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cometrx.sharepoint.com/sites/FOOTPRINT-PROJECTS/Shared Documents/PROJECTS/OCF_ELLAKTOR/2024/ENV/Deliverables/"/>
    </mc:Choice>
  </mc:AlternateContent>
  <xr:revisionPtr revIDLastSave="4562" documentId="13_ncr:1_{823FCE2E-EA87-41D4-B707-17B2ED881360}" xr6:coauthVersionLast="47" xr6:coauthVersionMax="47" xr10:uidLastSave="{5EEA1732-9A02-4E07-A049-0C4400C2FF87}"/>
  <bookViews>
    <workbookView minimized="1" xWindow="16350" yWindow="-12405" windowWidth="17250" windowHeight="8865" activeTab="1" autoFilterDateGrouping="0" xr2:uid="{00000000-000D-0000-FFFF-FFFF00000000}"/>
  </bookViews>
  <sheets>
    <sheet name="Charts" sheetId="20" r:id="rId1"/>
    <sheet name="Result GHG" sheetId="1" r:id="rId2"/>
    <sheet name="Sheet3" sheetId="23" state="hidden" r:id="rId3"/>
    <sheet name="Sheet1" sheetId="24" state="hidden" r:id="rId4"/>
    <sheet name="Calculations" sheetId="2" r:id="rId5"/>
    <sheet name="Factors" sheetId="16" r:id="rId6"/>
    <sheet name="Scope 3_Scope 2 Upstream CO2eq" sheetId="17" r:id="rId7"/>
    <sheet name="Uncertainty" sheetId="19" r:id="rId8"/>
  </sheets>
  <externalReferences>
    <externalReference r:id="rId9"/>
  </externalReferences>
  <definedNames>
    <definedName name="GBPperEUR">[1]Inventory_Factors!$K$2</definedName>
    <definedName name="USDperEUR">[1]Inventory_Factors!$L$2</definedName>
  </definedNames>
  <calcPr calcId="191029"/>
  <pivotCaches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8" i="16" l="1"/>
  <c r="D261" i="16"/>
  <c r="D260" i="16"/>
  <c r="W988" i="2" l="1"/>
  <c r="Q988" i="2"/>
  <c r="P988" i="2"/>
  <c r="O988" i="2"/>
  <c r="N988" i="2"/>
  <c r="V988" i="2" l="1"/>
  <c r="R988" i="2"/>
  <c r="S988" i="2"/>
  <c r="T988" i="2"/>
  <c r="U988" i="2"/>
  <c r="X988" i="2" l="1"/>
  <c r="W199" i="2"/>
  <c r="Q199" i="2"/>
  <c r="P199" i="2"/>
  <c r="O199" i="2"/>
  <c r="N199" i="2"/>
  <c r="V199" i="2" l="1"/>
  <c r="R199" i="2"/>
  <c r="S199" i="2"/>
  <c r="T199" i="2"/>
  <c r="U199" i="2"/>
  <c r="X199" i="2" l="1"/>
  <c r="D363" i="16"/>
  <c r="D350" i="16" s="1"/>
  <c r="D312" i="16"/>
  <c r="D313" i="16"/>
  <c r="D351" i="16" l="1"/>
  <c r="D349" i="16"/>
  <c r="J631" i="2" l="1"/>
  <c r="D393" i="16" l="1"/>
  <c r="D404" i="16"/>
  <c r="N981" i="2"/>
  <c r="T981" i="2" s="1"/>
  <c r="N982" i="2"/>
  <c r="S982" i="2" s="1"/>
  <c r="N990" i="2"/>
  <c r="T990" i="2" s="1"/>
  <c r="N994" i="2"/>
  <c r="R994" i="2" s="1"/>
  <c r="O981" i="2"/>
  <c r="O982" i="2"/>
  <c r="O990" i="2"/>
  <c r="O994" i="2"/>
  <c r="P981" i="2"/>
  <c r="P982" i="2"/>
  <c r="P990" i="2"/>
  <c r="P994" i="2"/>
  <c r="Q981" i="2"/>
  <c r="Q982" i="2"/>
  <c r="Q990" i="2"/>
  <c r="Q994" i="2"/>
  <c r="W981" i="2"/>
  <c r="W982" i="2"/>
  <c r="W990" i="2"/>
  <c r="W994" i="2"/>
  <c r="U982" i="2" l="1"/>
  <c r="T982" i="2"/>
  <c r="S990" i="2"/>
  <c r="R982" i="2"/>
  <c r="R990" i="2"/>
  <c r="V990" i="2"/>
  <c r="S981" i="2"/>
  <c r="U981" i="2"/>
  <c r="R981" i="2"/>
  <c r="V982" i="2"/>
  <c r="S994" i="2"/>
  <c r="U994" i="2"/>
  <c r="V981" i="2"/>
  <c r="T994" i="2"/>
  <c r="V994" i="2"/>
  <c r="U990" i="2"/>
  <c r="N858" i="2"/>
  <c r="N859" i="2"/>
  <c r="N872" i="2"/>
  <c r="N885" i="2"/>
  <c r="N943" i="2"/>
  <c r="T943" i="2" s="1"/>
  <c r="N948" i="2"/>
  <c r="T948" i="2" s="1"/>
  <c r="N991" i="2"/>
  <c r="T991" i="2" s="1"/>
  <c r="O943" i="2"/>
  <c r="O948" i="2"/>
  <c r="O991" i="2"/>
  <c r="P943" i="2"/>
  <c r="P948" i="2"/>
  <c r="P991" i="2"/>
  <c r="Q943" i="2"/>
  <c r="Q948" i="2"/>
  <c r="Q991" i="2"/>
  <c r="W943" i="2"/>
  <c r="W948" i="2"/>
  <c r="W991" i="2"/>
  <c r="X982" i="2" l="1"/>
  <c r="X990" i="2"/>
  <c r="X981" i="2"/>
  <c r="R948" i="2"/>
  <c r="S948" i="2"/>
  <c r="V948" i="2"/>
  <c r="U948" i="2"/>
  <c r="X994" i="2"/>
  <c r="S991" i="2"/>
  <c r="V991" i="2"/>
  <c r="U991" i="2"/>
  <c r="R991" i="2"/>
  <c r="S943" i="2"/>
  <c r="U943" i="2"/>
  <c r="V943" i="2"/>
  <c r="R943" i="2"/>
  <c r="X948" i="2" l="1"/>
  <c r="X991" i="2"/>
  <c r="X943" i="2"/>
  <c r="J15" i="19" l="1"/>
  <c r="Q978" i="19"/>
  <c r="R978" i="19"/>
  <c r="S978" i="19"/>
  <c r="T978" i="19"/>
  <c r="U978" i="19"/>
  <c r="V978" i="19"/>
  <c r="W978" i="19"/>
  <c r="X978" i="19"/>
  <c r="Y978" i="19"/>
  <c r="Z978" i="19"/>
  <c r="AA978" i="19"/>
  <c r="AB978" i="19"/>
  <c r="AC978" i="19"/>
  <c r="AD978" i="19"/>
  <c r="AE978" i="19"/>
  <c r="AF978" i="19"/>
  <c r="AG978" i="19"/>
  <c r="AH978" i="19"/>
  <c r="AI978" i="19"/>
  <c r="AJ978" i="19"/>
  <c r="AK978" i="19"/>
  <c r="AL978" i="19"/>
  <c r="AM978" i="19"/>
  <c r="AN978" i="19"/>
  <c r="AO978" i="19"/>
  <c r="AP978" i="19"/>
  <c r="AQ978" i="19"/>
  <c r="AR978" i="19"/>
  <c r="AS978" i="19"/>
  <c r="AT978" i="19"/>
  <c r="AU978" i="19"/>
  <c r="AV978" i="19"/>
  <c r="AW978" i="19"/>
  <c r="AX978" i="19"/>
  <c r="AY978" i="19"/>
  <c r="AZ978" i="19"/>
  <c r="BA978" i="19"/>
  <c r="BB978" i="19"/>
  <c r="BC978" i="19"/>
  <c r="BD978" i="19"/>
  <c r="BE978" i="19"/>
  <c r="BF978" i="19"/>
  <c r="BG978" i="19"/>
  <c r="BH978" i="19"/>
  <c r="BI978" i="19"/>
  <c r="BJ978" i="19"/>
  <c r="BK978" i="19"/>
  <c r="BL978" i="19"/>
  <c r="BM978" i="19"/>
  <c r="BN978" i="19"/>
  <c r="BO978" i="19"/>
  <c r="BP978" i="19"/>
  <c r="BQ978" i="19"/>
  <c r="BR978" i="19"/>
  <c r="BS978" i="19"/>
  <c r="BT978" i="19"/>
  <c r="BU978" i="19"/>
  <c r="BV978" i="19"/>
  <c r="BW978" i="19"/>
  <c r="BX978" i="19"/>
  <c r="BY978" i="19"/>
  <c r="BZ978" i="19"/>
  <c r="CA978" i="19"/>
  <c r="CB978" i="19"/>
  <c r="CC978" i="19"/>
  <c r="CD978" i="19"/>
  <c r="CE978" i="19"/>
  <c r="CF978" i="19"/>
  <c r="CG978" i="19"/>
  <c r="CH978" i="19"/>
  <c r="CI978" i="19"/>
  <c r="CJ978" i="19"/>
  <c r="CK978" i="19"/>
  <c r="CL978" i="19"/>
  <c r="CM978" i="19"/>
  <c r="CN978" i="19"/>
  <c r="CO978" i="19"/>
  <c r="CP978" i="19"/>
  <c r="CQ978" i="19"/>
  <c r="CR978" i="19"/>
  <c r="CS978" i="19"/>
  <c r="CT978" i="19"/>
  <c r="CU978" i="19"/>
  <c r="CV978" i="19"/>
  <c r="CW978" i="19"/>
  <c r="CX978" i="19"/>
  <c r="CY978" i="19"/>
  <c r="CZ978" i="19"/>
  <c r="DA978" i="19"/>
  <c r="DB978" i="19"/>
  <c r="DC978" i="19"/>
  <c r="DD978" i="19"/>
  <c r="DE978" i="19"/>
  <c r="DF978" i="19"/>
  <c r="DG978" i="19"/>
  <c r="DH978" i="19"/>
  <c r="DI978" i="19"/>
  <c r="DJ978" i="19"/>
  <c r="DK978" i="19"/>
  <c r="P978" i="19"/>
  <c r="O969" i="19" l="1"/>
  <c r="O970" i="19" s="1"/>
  <c r="O971" i="19" s="1"/>
  <c r="O972" i="19" s="1"/>
  <c r="O973" i="19" s="1"/>
  <c r="O974" i="19" s="1"/>
  <c r="O975" i="19" s="1"/>
  <c r="O976" i="19" s="1"/>
  <c r="O977" i="19" s="1"/>
  <c r="O2" i="19" l="1"/>
  <c r="O3" i="19" s="1"/>
  <c r="O4" i="19" s="1"/>
  <c r="O5" i="19" s="1"/>
  <c r="O6" i="19" s="1"/>
  <c r="O7" i="19" s="1"/>
  <c r="O8" i="19" s="1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O84" i="19" s="1"/>
  <c r="O85" i="19" s="1"/>
  <c r="O86" i="19" s="1"/>
  <c r="O87" i="19" s="1"/>
  <c r="O88" i="19" s="1"/>
  <c r="O89" i="19" s="1"/>
  <c r="O90" i="19" s="1"/>
  <c r="O91" i="19" s="1"/>
  <c r="O92" i="19" s="1"/>
  <c r="O93" i="19" s="1"/>
  <c r="O94" i="19" s="1"/>
  <c r="O95" i="19" s="1"/>
  <c r="O96" i="19" s="1"/>
  <c r="O97" i="19" s="1"/>
  <c r="O98" i="19" s="1"/>
  <c r="O99" i="19" s="1"/>
  <c r="O100" i="19" s="1"/>
  <c r="O101" i="19" s="1"/>
  <c r="O102" i="19" s="1"/>
  <c r="O103" i="19" s="1"/>
  <c r="O104" i="19" s="1"/>
  <c r="O105" i="19" s="1"/>
  <c r="O106" i="19" s="1"/>
  <c r="O107" i="19" s="1"/>
  <c r="O108" i="19" s="1"/>
  <c r="O109" i="19" s="1"/>
  <c r="O110" i="19" s="1"/>
  <c r="O111" i="19" s="1"/>
  <c r="O112" i="19" s="1"/>
  <c r="O113" i="19" s="1"/>
  <c r="O114" i="19" s="1"/>
  <c r="O115" i="19" s="1"/>
  <c r="O116" i="19" s="1"/>
  <c r="O117" i="19" s="1"/>
  <c r="O118" i="19" s="1"/>
  <c r="O119" i="19" s="1"/>
  <c r="O120" i="19" s="1"/>
  <c r="O121" i="19" s="1"/>
  <c r="O122" i="19" s="1"/>
  <c r="O123" i="19" s="1"/>
  <c r="O124" i="19" s="1"/>
  <c r="O125" i="19" s="1"/>
  <c r="O126" i="19" s="1"/>
  <c r="O127" i="19" s="1"/>
  <c r="O128" i="19" s="1"/>
  <c r="O129" i="19" s="1"/>
  <c r="O130" i="19" s="1"/>
  <c r="O131" i="19" s="1"/>
  <c r="O132" i="19" s="1"/>
  <c r="O133" i="19" s="1"/>
  <c r="O134" i="19" s="1"/>
  <c r="O135" i="19" s="1"/>
  <c r="O136" i="19" s="1"/>
  <c r="O137" i="19" s="1"/>
  <c r="O138" i="19" s="1"/>
  <c r="O139" i="19" s="1"/>
  <c r="O140" i="19" s="1"/>
  <c r="O141" i="19" s="1"/>
  <c r="O142" i="19" s="1"/>
  <c r="O143" i="19" s="1"/>
  <c r="O144" i="19" s="1"/>
  <c r="O145" i="19" s="1"/>
  <c r="O146" i="19" s="1"/>
  <c r="O147" i="19" s="1"/>
  <c r="O148" i="19" s="1"/>
  <c r="O149" i="19" s="1"/>
  <c r="O150" i="19" s="1"/>
  <c r="O151" i="19" s="1"/>
  <c r="O152" i="19" s="1"/>
  <c r="O153" i="19" s="1"/>
  <c r="O154" i="19" s="1"/>
  <c r="O155" i="19" s="1"/>
  <c r="O156" i="19" s="1"/>
  <c r="O157" i="19" s="1"/>
  <c r="O158" i="19" s="1"/>
  <c r="O159" i="19" s="1"/>
  <c r="O160" i="19" s="1"/>
  <c r="O161" i="19" s="1"/>
  <c r="O162" i="19" s="1"/>
  <c r="O163" i="19" s="1"/>
  <c r="O164" i="19" s="1"/>
  <c r="O165" i="19" s="1"/>
  <c r="O166" i="19" s="1"/>
  <c r="O167" i="19" s="1"/>
  <c r="O168" i="19" s="1"/>
  <c r="O169" i="19" s="1"/>
  <c r="O170" i="19" s="1"/>
  <c r="O171" i="19" s="1"/>
  <c r="O172" i="19" s="1"/>
  <c r="O173" i="19" s="1"/>
  <c r="O174" i="19" s="1"/>
  <c r="O175" i="19" s="1"/>
  <c r="O176" i="19" s="1"/>
  <c r="O177" i="19" s="1"/>
  <c r="O178" i="19" s="1"/>
  <c r="O179" i="19" s="1"/>
  <c r="O180" i="19" s="1"/>
  <c r="O181" i="19" s="1"/>
  <c r="O182" i="19" s="1"/>
  <c r="O183" i="19" s="1"/>
  <c r="O184" i="19" s="1"/>
  <c r="O185" i="19" s="1"/>
  <c r="O186" i="19" s="1"/>
  <c r="O187" i="19" s="1"/>
  <c r="O188" i="19" s="1"/>
  <c r="O189" i="19" s="1"/>
  <c r="O190" i="19" s="1"/>
  <c r="O191" i="19" s="1"/>
  <c r="O192" i="19" s="1"/>
  <c r="O193" i="19" s="1"/>
  <c r="O194" i="19" s="1"/>
  <c r="O195" i="19" s="1"/>
  <c r="O196" i="19" s="1"/>
  <c r="O197" i="19" s="1"/>
  <c r="O198" i="19" s="1"/>
  <c r="O199" i="19" s="1"/>
  <c r="O200" i="19" s="1"/>
  <c r="O201" i="19" s="1"/>
  <c r="O202" i="19" s="1"/>
  <c r="O203" i="19" s="1"/>
  <c r="O204" i="19" s="1"/>
  <c r="O205" i="19" s="1"/>
  <c r="O206" i="19" s="1"/>
  <c r="O207" i="19" s="1"/>
  <c r="O208" i="19" s="1"/>
  <c r="O209" i="19" s="1"/>
  <c r="O210" i="19" s="1"/>
  <c r="O211" i="19" s="1"/>
  <c r="O212" i="19" s="1"/>
  <c r="O213" i="19" s="1"/>
  <c r="O214" i="19" s="1"/>
  <c r="O215" i="19" s="1"/>
  <c r="O216" i="19" s="1"/>
  <c r="O217" i="19" s="1"/>
  <c r="O218" i="19" s="1"/>
  <c r="O219" i="19" s="1"/>
  <c r="O220" i="19" s="1"/>
  <c r="O221" i="19" s="1"/>
  <c r="O222" i="19" s="1"/>
  <c r="O223" i="19" s="1"/>
  <c r="O224" i="19" s="1"/>
  <c r="O225" i="19" s="1"/>
  <c r="O226" i="19" s="1"/>
  <c r="O227" i="19" s="1"/>
  <c r="O228" i="19" s="1"/>
  <c r="O229" i="19" s="1"/>
  <c r="O230" i="19" s="1"/>
  <c r="O231" i="19" s="1"/>
  <c r="O232" i="19" s="1"/>
  <c r="O233" i="19" s="1"/>
  <c r="O234" i="19" s="1"/>
  <c r="O235" i="19" s="1"/>
  <c r="O236" i="19" s="1"/>
  <c r="O237" i="19" s="1"/>
  <c r="O238" i="19" s="1"/>
  <c r="O239" i="19" s="1"/>
  <c r="O240" i="19" s="1"/>
  <c r="O241" i="19" s="1"/>
  <c r="O242" i="19" s="1"/>
  <c r="O243" i="19" s="1"/>
  <c r="O244" i="19" s="1"/>
  <c r="O245" i="19" s="1"/>
  <c r="O246" i="19" s="1"/>
  <c r="O247" i="19" s="1"/>
  <c r="O248" i="19" s="1"/>
  <c r="O249" i="19" s="1"/>
  <c r="O250" i="19" s="1"/>
  <c r="O251" i="19" s="1"/>
  <c r="O252" i="19" s="1"/>
  <c r="O253" i="19" s="1"/>
  <c r="O254" i="19" s="1"/>
  <c r="O255" i="19" s="1"/>
  <c r="O256" i="19" s="1"/>
  <c r="O257" i="19" s="1"/>
  <c r="O258" i="19" s="1"/>
  <c r="O259" i="19" s="1"/>
  <c r="O260" i="19" s="1"/>
  <c r="O261" i="19" s="1"/>
  <c r="O262" i="19" s="1"/>
  <c r="O263" i="19" s="1"/>
  <c r="O264" i="19" s="1"/>
  <c r="O265" i="19" s="1"/>
  <c r="O266" i="19" s="1"/>
  <c r="O267" i="19" s="1"/>
  <c r="O268" i="19" s="1"/>
  <c r="O269" i="19" s="1"/>
  <c r="O270" i="19" s="1"/>
  <c r="O271" i="19" s="1"/>
  <c r="O272" i="19" s="1"/>
  <c r="O273" i="19" s="1"/>
  <c r="O274" i="19" s="1"/>
  <c r="O275" i="19" s="1"/>
  <c r="O276" i="19" s="1"/>
  <c r="O277" i="19" s="1"/>
  <c r="O278" i="19" s="1"/>
  <c r="O279" i="19" s="1"/>
  <c r="O280" i="19" s="1"/>
  <c r="O281" i="19" s="1"/>
  <c r="O282" i="19" s="1"/>
  <c r="O283" i="19" s="1"/>
  <c r="O284" i="19" s="1"/>
  <c r="O285" i="19" s="1"/>
  <c r="O286" i="19" s="1"/>
  <c r="O287" i="19" s="1"/>
  <c r="O288" i="19" s="1"/>
  <c r="O289" i="19" s="1"/>
  <c r="O290" i="19" s="1"/>
  <c r="O291" i="19" s="1"/>
  <c r="O292" i="19" s="1"/>
  <c r="O293" i="19" s="1"/>
  <c r="O294" i="19" s="1"/>
  <c r="O295" i="19" s="1"/>
  <c r="O296" i="19" s="1"/>
  <c r="O297" i="19" s="1"/>
  <c r="O298" i="19" s="1"/>
  <c r="O299" i="19" s="1"/>
  <c r="O300" i="19" s="1"/>
  <c r="O301" i="19" s="1"/>
  <c r="O302" i="19" s="1"/>
  <c r="O303" i="19" s="1"/>
  <c r="O304" i="19" s="1"/>
  <c r="O305" i="19" s="1"/>
  <c r="O306" i="19" s="1"/>
  <c r="O307" i="19" s="1"/>
  <c r="O308" i="19" s="1"/>
  <c r="O309" i="19" s="1"/>
  <c r="O310" i="19" s="1"/>
  <c r="O311" i="19" s="1"/>
  <c r="O312" i="19" s="1"/>
  <c r="O313" i="19" s="1"/>
  <c r="O314" i="19" s="1"/>
  <c r="O315" i="19" s="1"/>
  <c r="O316" i="19" s="1"/>
  <c r="O317" i="19" s="1"/>
  <c r="O318" i="19" s="1"/>
  <c r="O319" i="19" s="1"/>
  <c r="O320" i="19" s="1"/>
  <c r="O321" i="19" s="1"/>
  <c r="O322" i="19" s="1"/>
  <c r="O323" i="19" s="1"/>
  <c r="O324" i="19" s="1"/>
  <c r="O325" i="19" s="1"/>
  <c r="O326" i="19" s="1"/>
  <c r="O327" i="19" s="1"/>
  <c r="O328" i="19" s="1"/>
  <c r="O329" i="19" s="1"/>
  <c r="O330" i="19" s="1"/>
  <c r="O331" i="19" s="1"/>
  <c r="O332" i="19" s="1"/>
  <c r="O333" i="19" s="1"/>
  <c r="O334" i="19" s="1"/>
  <c r="O335" i="19" s="1"/>
  <c r="O336" i="19" s="1"/>
  <c r="O337" i="19" s="1"/>
  <c r="O338" i="19" s="1"/>
  <c r="O339" i="19" s="1"/>
  <c r="O340" i="19" s="1"/>
  <c r="O341" i="19" s="1"/>
  <c r="O342" i="19" s="1"/>
  <c r="O343" i="19" s="1"/>
  <c r="O344" i="19" s="1"/>
  <c r="O345" i="19" s="1"/>
  <c r="O346" i="19" s="1"/>
  <c r="O347" i="19" s="1"/>
  <c r="O348" i="19" s="1"/>
  <c r="O349" i="19" s="1"/>
  <c r="O350" i="19" s="1"/>
  <c r="O351" i="19" s="1"/>
  <c r="O352" i="19" s="1"/>
  <c r="O353" i="19" s="1"/>
  <c r="O354" i="19" s="1"/>
  <c r="O355" i="19" s="1"/>
  <c r="O356" i="19" s="1"/>
  <c r="O357" i="19" s="1"/>
  <c r="O358" i="19" s="1"/>
  <c r="O359" i="19" s="1"/>
  <c r="O360" i="19" s="1"/>
  <c r="O361" i="19" s="1"/>
  <c r="O362" i="19" s="1"/>
  <c r="O363" i="19" s="1"/>
  <c r="O364" i="19" s="1"/>
  <c r="O365" i="19" s="1"/>
  <c r="O366" i="19" s="1"/>
  <c r="O367" i="19" s="1"/>
  <c r="O368" i="19" s="1"/>
  <c r="O369" i="19" s="1"/>
  <c r="O370" i="19" s="1"/>
  <c r="O371" i="19" s="1"/>
  <c r="O372" i="19" s="1"/>
  <c r="O373" i="19" s="1"/>
  <c r="O374" i="19" s="1"/>
  <c r="O375" i="19" s="1"/>
  <c r="O376" i="19" s="1"/>
  <c r="O377" i="19" s="1"/>
  <c r="O378" i="19" s="1"/>
  <c r="O379" i="19" s="1"/>
  <c r="O380" i="19" s="1"/>
  <c r="O381" i="19" s="1"/>
  <c r="O382" i="19" s="1"/>
  <c r="O383" i="19" s="1"/>
  <c r="O384" i="19" s="1"/>
  <c r="O385" i="19" s="1"/>
  <c r="O386" i="19" s="1"/>
  <c r="O387" i="19" s="1"/>
  <c r="O388" i="19" s="1"/>
  <c r="O389" i="19" s="1"/>
  <c r="O390" i="19" s="1"/>
  <c r="O391" i="19" s="1"/>
  <c r="O392" i="19" s="1"/>
  <c r="O393" i="19" s="1"/>
  <c r="O394" i="19" s="1"/>
  <c r="O395" i="19" s="1"/>
  <c r="O396" i="19" s="1"/>
  <c r="O397" i="19" s="1"/>
  <c r="O398" i="19" s="1"/>
  <c r="O399" i="19" s="1"/>
  <c r="O400" i="19" s="1"/>
  <c r="O401" i="19" s="1"/>
  <c r="O402" i="19" s="1"/>
  <c r="O403" i="19" s="1"/>
  <c r="O404" i="19" s="1"/>
  <c r="O405" i="19" s="1"/>
  <c r="O406" i="19" s="1"/>
  <c r="O407" i="19" s="1"/>
  <c r="O408" i="19" s="1"/>
  <c r="O409" i="19" s="1"/>
  <c r="O410" i="19" s="1"/>
  <c r="O411" i="19" s="1"/>
  <c r="O412" i="19" s="1"/>
  <c r="O413" i="19" s="1"/>
  <c r="O414" i="19" s="1"/>
  <c r="O415" i="19" s="1"/>
  <c r="O416" i="19" s="1"/>
  <c r="O417" i="19" s="1"/>
  <c r="O418" i="19" s="1"/>
  <c r="O419" i="19" s="1"/>
  <c r="O420" i="19" s="1"/>
  <c r="O421" i="19" s="1"/>
  <c r="O422" i="19" s="1"/>
  <c r="O423" i="19" s="1"/>
  <c r="O424" i="19" s="1"/>
  <c r="O425" i="19" s="1"/>
  <c r="O426" i="19" s="1"/>
  <c r="O427" i="19" s="1"/>
  <c r="O428" i="19" s="1"/>
  <c r="O429" i="19" s="1"/>
  <c r="O430" i="19" s="1"/>
  <c r="O431" i="19" s="1"/>
  <c r="O432" i="19" s="1"/>
  <c r="O433" i="19" s="1"/>
  <c r="O434" i="19" s="1"/>
  <c r="O435" i="19" s="1"/>
  <c r="O436" i="19" s="1"/>
  <c r="O437" i="19" s="1"/>
  <c r="O438" i="19" s="1"/>
  <c r="O439" i="19" s="1"/>
  <c r="O440" i="19" s="1"/>
  <c r="O441" i="19" s="1"/>
  <c r="O442" i="19" s="1"/>
  <c r="O443" i="19" s="1"/>
  <c r="O444" i="19" s="1"/>
  <c r="O445" i="19" s="1"/>
  <c r="O446" i="19" s="1"/>
  <c r="O447" i="19" s="1"/>
  <c r="O448" i="19" s="1"/>
  <c r="O449" i="19" s="1"/>
  <c r="O450" i="19" s="1"/>
  <c r="O451" i="19" s="1"/>
  <c r="O452" i="19" s="1"/>
  <c r="O453" i="19" s="1"/>
  <c r="O454" i="19" s="1"/>
  <c r="O455" i="19" s="1"/>
  <c r="O456" i="19" s="1"/>
  <c r="O457" i="19" s="1"/>
  <c r="O458" i="19" s="1"/>
  <c r="O459" i="19" s="1"/>
  <c r="O460" i="19" s="1"/>
  <c r="O461" i="19" s="1"/>
  <c r="O462" i="19" s="1"/>
  <c r="O463" i="19" s="1"/>
  <c r="O464" i="19" s="1"/>
  <c r="O465" i="19" s="1"/>
  <c r="O466" i="19" s="1"/>
  <c r="O467" i="19" s="1"/>
  <c r="O468" i="19" s="1"/>
  <c r="O469" i="19" s="1"/>
  <c r="O470" i="19" s="1"/>
  <c r="O471" i="19" s="1"/>
  <c r="O472" i="19" s="1"/>
  <c r="O473" i="19" s="1"/>
  <c r="O474" i="19" s="1"/>
  <c r="O475" i="19" s="1"/>
  <c r="O476" i="19" s="1"/>
  <c r="O477" i="19" s="1"/>
  <c r="O478" i="19" s="1"/>
  <c r="O479" i="19" s="1"/>
  <c r="O480" i="19" s="1"/>
  <c r="O481" i="19" s="1"/>
  <c r="O482" i="19" s="1"/>
  <c r="O483" i="19" s="1"/>
  <c r="O484" i="19" s="1"/>
  <c r="O485" i="19" s="1"/>
  <c r="O486" i="19" s="1"/>
  <c r="O487" i="19" s="1"/>
  <c r="O488" i="19" s="1"/>
  <c r="O489" i="19" s="1"/>
  <c r="O490" i="19" s="1"/>
  <c r="O491" i="19" s="1"/>
  <c r="O492" i="19" s="1"/>
  <c r="O493" i="19" s="1"/>
  <c r="O494" i="19" s="1"/>
  <c r="O495" i="19" s="1"/>
  <c r="O496" i="19" s="1"/>
  <c r="O497" i="19" s="1"/>
  <c r="O498" i="19" s="1"/>
  <c r="O499" i="19" s="1"/>
  <c r="O500" i="19" s="1"/>
  <c r="O501" i="19" s="1"/>
  <c r="O502" i="19" s="1"/>
  <c r="O503" i="19" s="1"/>
  <c r="O504" i="19" s="1"/>
  <c r="O505" i="19" s="1"/>
  <c r="O506" i="19" s="1"/>
  <c r="O507" i="19" s="1"/>
  <c r="O508" i="19" s="1"/>
  <c r="O509" i="19" s="1"/>
  <c r="O510" i="19" s="1"/>
  <c r="O511" i="19" s="1"/>
  <c r="O512" i="19" s="1"/>
  <c r="O513" i="19" s="1"/>
  <c r="O514" i="19" s="1"/>
  <c r="O515" i="19" s="1"/>
  <c r="O516" i="19" s="1"/>
  <c r="O517" i="19" s="1"/>
  <c r="O518" i="19" s="1"/>
  <c r="O519" i="19" s="1"/>
  <c r="O520" i="19" s="1"/>
  <c r="O521" i="19" s="1"/>
  <c r="O522" i="19" s="1"/>
  <c r="O523" i="19" s="1"/>
  <c r="O524" i="19" s="1"/>
  <c r="O525" i="19" s="1"/>
  <c r="O526" i="19" s="1"/>
  <c r="O527" i="19" s="1"/>
  <c r="O528" i="19" s="1"/>
  <c r="O529" i="19" s="1"/>
  <c r="O530" i="19" s="1"/>
  <c r="O531" i="19" s="1"/>
  <c r="O532" i="19" s="1"/>
  <c r="O533" i="19" s="1"/>
  <c r="O534" i="19" s="1"/>
  <c r="O535" i="19" s="1"/>
  <c r="O536" i="19" s="1"/>
  <c r="O537" i="19" s="1"/>
  <c r="O538" i="19" s="1"/>
  <c r="O539" i="19" s="1"/>
  <c r="O540" i="19" s="1"/>
  <c r="O541" i="19" s="1"/>
  <c r="O542" i="19" s="1"/>
  <c r="O543" i="19" s="1"/>
  <c r="O544" i="19" s="1"/>
  <c r="O545" i="19" s="1"/>
  <c r="O546" i="19" s="1"/>
  <c r="O547" i="19" s="1"/>
  <c r="O548" i="19" s="1"/>
  <c r="O549" i="19" s="1"/>
  <c r="O550" i="19" s="1"/>
  <c r="O551" i="19" s="1"/>
  <c r="O552" i="19" s="1"/>
  <c r="O553" i="19" s="1"/>
  <c r="O554" i="19" s="1"/>
  <c r="O555" i="19" s="1"/>
  <c r="O556" i="19" s="1"/>
  <c r="O557" i="19" s="1"/>
  <c r="O558" i="19" s="1"/>
  <c r="O559" i="19" s="1"/>
  <c r="O560" i="19" s="1"/>
  <c r="O561" i="19" s="1"/>
  <c r="O562" i="19" s="1"/>
  <c r="O563" i="19" s="1"/>
  <c r="O564" i="19" s="1"/>
  <c r="O565" i="19" s="1"/>
  <c r="O566" i="19" s="1"/>
  <c r="O567" i="19" s="1"/>
  <c r="O568" i="19" s="1"/>
  <c r="O569" i="19" s="1"/>
  <c r="O570" i="19" s="1"/>
  <c r="O571" i="19" s="1"/>
  <c r="O572" i="19" s="1"/>
  <c r="O573" i="19" s="1"/>
  <c r="O574" i="19" s="1"/>
  <c r="O575" i="19" s="1"/>
  <c r="O576" i="19" s="1"/>
  <c r="O577" i="19" s="1"/>
  <c r="O578" i="19" s="1"/>
  <c r="O579" i="19" s="1"/>
  <c r="O580" i="19" s="1"/>
  <c r="O581" i="19" s="1"/>
  <c r="O582" i="19" s="1"/>
  <c r="O583" i="19" s="1"/>
  <c r="O584" i="19" s="1"/>
  <c r="O585" i="19" s="1"/>
  <c r="O586" i="19" s="1"/>
  <c r="O587" i="19" s="1"/>
  <c r="O588" i="19" s="1"/>
  <c r="O589" i="19" s="1"/>
  <c r="O590" i="19" s="1"/>
  <c r="O591" i="19" s="1"/>
  <c r="O592" i="19" s="1"/>
  <c r="O593" i="19" s="1"/>
  <c r="O594" i="19" s="1"/>
  <c r="O595" i="19" s="1"/>
  <c r="O596" i="19" s="1"/>
  <c r="O597" i="19" s="1"/>
  <c r="O598" i="19" s="1"/>
  <c r="O599" i="19" s="1"/>
  <c r="O600" i="19" s="1"/>
  <c r="O601" i="19" s="1"/>
  <c r="O602" i="19" s="1"/>
  <c r="O603" i="19" s="1"/>
  <c r="O604" i="19" s="1"/>
  <c r="O605" i="19" s="1"/>
  <c r="O606" i="19" s="1"/>
  <c r="O607" i="19" s="1"/>
  <c r="O608" i="19" s="1"/>
  <c r="O609" i="19" s="1"/>
  <c r="O610" i="19" s="1"/>
  <c r="O611" i="19" s="1"/>
  <c r="O612" i="19" s="1"/>
  <c r="O613" i="19" s="1"/>
  <c r="O614" i="19" s="1"/>
  <c r="O615" i="19" s="1"/>
  <c r="O616" i="19" s="1"/>
  <c r="O617" i="19" s="1"/>
  <c r="O618" i="19" s="1"/>
  <c r="O619" i="19" s="1"/>
  <c r="O620" i="19" s="1"/>
  <c r="O621" i="19" s="1"/>
  <c r="O622" i="19" s="1"/>
  <c r="O623" i="19" s="1"/>
  <c r="O624" i="19" s="1"/>
  <c r="O625" i="19" s="1"/>
  <c r="O626" i="19" s="1"/>
  <c r="O627" i="19" s="1"/>
  <c r="O628" i="19" s="1"/>
  <c r="O629" i="19" s="1"/>
  <c r="O630" i="19" s="1"/>
  <c r="O631" i="19" s="1"/>
  <c r="O632" i="19" s="1"/>
  <c r="O633" i="19" s="1"/>
  <c r="O634" i="19" s="1"/>
  <c r="O635" i="19" s="1"/>
  <c r="O636" i="19" s="1"/>
  <c r="O637" i="19" s="1"/>
  <c r="O638" i="19" s="1"/>
  <c r="O639" i="19" s="1"/>
  <c r="O640" i="19" s="1"/>
  <c r="O641" i="19" s="1"/>
  <c r="O642" i="19" s="1"/>
  <c r="O643" i="19" s="1"/>
  <c r="O644" i="19" s="1"/>
  <c r="O645" i="19" s="1"/>
  <c r="O646" i="19" s="1"/>
  <c r="O647" i="19" s="1"/>
  <c r="O648" i="19" s="1"/>
  <c r="O649" i="19" s="1"/>
  <c r="O650" i="19" s="1"/>
  <c r="O651" i="19" s="1"/>
  <c r="O652" i="19" s="1"/>
  <c r="O653" i="19" s="1"/>
  <c r="O654" i="19" s="1"/>
  <c r="O655" i="19" s="1"/>
  <c r="O656" i="19" s="1"/>
  <c r="O657" i="19" s="1"/>
  <c r="O945" i="19"/>
  <c r="O946" i="19" s="1"/>
  <c r="O947" i="19" s="1"/>
  <c r="O948" i="19" s="1"/>
  <c r="O949" i="19" s="1"/>
  <c r="O950" i="19" s="1"/>
  <c r="O951" i="19" s="1"/>
  <c r="O952" i="19" s="1"/>
  <c r="O953" i="19" s="1"/>
  <c r="O954" i="19" s="1"/>
  <c r="O955" i="19" s="1"/>
  <c r="O956" i="19" s="1"/>
  <c r="O957" i="19" s="1"/>
  <c r="O958" i="19" s="1"/>
  <c r="O959" i="19" s="1"/>
  <c r="O960" i="19" s="1"/>
  <c r="O961" i="19" s="1"/>
  <c r="O962" i="19" s="1"/>
  <c r="O963" i="19" s="1"/>
  <c r="O964" i="19" s="1"/>
  <c r="O965" i="19" s="1"/>
  <c r="O966" i="19" s="1"/>
  <c r="O967" i="19" s="1"/>
  <c r="O968" i="19" s="1"/>
  <c r="O850" i="19"/>
  <c r="O851" i="19" s="1"/>
  <c r="O852" i="19" s="1"/>
  <c r="O853" i="19" s="1"/>
  <c r="O854" i="19" s="1"/>
  <c r="O855" i="19" s="1"/>
  <c r="O856" i="19" s="1"/>
  <c r="O857" i="19" s="1"/>
  <c r="O858" i="19" s="1"/>
  <c r="O859" i="19" s="1"/>
  <c r="O860" i="19" s="1"/>
  <c r="O861" i="19" s="1"/>
  <c r="O862" i="19" s="1"/>
  <c r="O863" i="19" s="1"/>
  <c r="O864" i="19" s="1"/>
  <c r="O865" i="19" s="1"/>
  <c r="O866" i="19" s="1"/>
  <c r="O867" i="19" s="1"/>
  <c r="O868" i="19" s="1"/>
  <c r="O869" i="19" s="1"/>
  <c r="O870" i="19" s="1"/>
  <c r="O871" i="19" s="1"/>
  <c r="O872" i="19" s="1"/>
  <c r="O873" i="19" s="1"/>
  <c r="O874" i="19" s="1"/>
  <c r="O875" i="19" s="1"/>
  <c r="O876" i="19" s="1"/>
  <c r="O877" i="19" s="1"/>
  <c r="O878" i="19" s="1"/>
  <c r="O879" i="19" s="1"/>
  <c r="O880" i="19" s="1"/>
  <c r="O881" i="19" s="1"/>
  <c r="O882" i="19" s="1"/>
  <c r="O883" i="19" s="1"/>
  <c r="O884" i="19" s="1"/>
  <c r="O885" i="19" s="1"/>
  <c r="O886" i="19" s="1"/>
  <c r="O887" i="19" s="1"/>
  <c r="O888" i="19" s="1"/>
  <c r="O889" i="19" s="1"/>
  <c r="O890" i="19" s="1"/>
  <c r="O891" i="19" s="1"/>
  <c r="O892" i="19" s="1"/>
  <c r="O893" i="19" s="1"/>
  <c r="O894" i="19" s="1"/>
  <c r="O895" i="19" s="1"/>
  <c r="O896" i="19" s="1"/>
  <c r="O897" i="19" s="1"/>
  <c r="O898" i="19" s="1"/>
  <c r="O899" i="19" s="1"/>
  <c r="O900" i="19" s="1"/>
  <c r="O901" i="19" s="1"/>
  <c r="O902" i="19" s="1"/>
  <c r="O903" i="19" s="1"/>
  <c r="O904" i="19" s="1"/>
  <c r="O905" i="19" s="1"/>
  <c r="O906" i="19" s="1"/>
  <c r="O907" i="19" s="1"/>
  <c r="O908" i="19" s="1"/>
  <c r="O909" i="19" s="1"/>
  <c r="O910" i="19" s="1"/>
  <c r="O911" i="19" s="1"/>
  <c r="O912" i="19" s="1"/>
  <c r="O913" i="19" s="1"/>
  <c r="O914" i="19" s="1"/>
  <c r="O915" i="19" s="1"/>
  <c r="O916" i="19" s="1"/>
  <c r="O917" i="19" s="1"/>
  <c r="O918" i="19" s="1"/>
  <c r="O919" i="19" s="1"/>
  <c r="O920" i="19" s="1"/>
  <c r="O921" i="19" s="1"/>
  <c r="O922" i="19" s="1"/>
  <c r="O923" i="19" s="1"/>
  <c r="O924" i="19" s="1"/>
  <c r="O925" i="19" s="1"/>
  <c r="O926" i="19" s="1"/>
  <c r="O927" i="19" s="1"/>
  <c r="O928" i="19" s="1"/>
  <c r="O929" i="19" s="1"/>
  <c r="O930" i="19" s="1"/>
  <c r="O931" i="19" s="1"/>
  <c r="O932" i="19" s="1"/>
  <c r="O933" i="19" s="1"/>
  <c r="O934" i="19" s="1"/>
  <c r="O935" i="19" s="1"/>
  <c r="O936" i="19" s="1"/>
  <c r="O937" i="19" s="1"/>
  <c r="O938" i="19" s="1"/>
  <c r="O939" i="19" s="1"/>
  <c r="O940" i="19" s="1"/>
  <c r="O941" i="19" s="1"/>
  <c r="O942" i="19" s="1"/>
  <c r="O943" i="19" s="1"/>
  <c r="O659" i="19"/>
  <c r="O660" i="19" s="1"/>
  <c r="O661" i="19" s="1"/>
  <c r="O662" i="19" s="1"/>
  <c r="O663" i="19" s="1"/>
  <c r="O664" i="19" s="1"/>
  <c r="O665" i="19" s="1"/>
  <c r="O666" i="19" s="1"/>
  <c r="O667" i="19" s="1"/>
  <c r="O668" i="19" s="1"/>
  <c r="O669" i="19" s="1"/>
  <c r="O670" i="19" s="1"/>
  <c r="O671" i="19" s="1"/>
  <c r="O672" i="19" s="1"/>
  <c r="O673" i="19" s="1"/>
  <c r="O674" i="19" s="1"/>
  <c r="O675" i="19" s="1"/>
  <c r="O676" i="19" s="1"/>
  <c r="O677" i="19" s="1"/>
  <c r="O678" i="19" s="1"/>
  <c r="O679" i="19" s="1"/>
  <c r="O680" i="19" s="1"/>
  <c r="O681" i="19" s="1"/>
  <c r="O682" i="19" s="1"/>
  <c r="O683" i="19" s="1"/>
  <c r="O684" i="19" s="1"/>
  <c r="O685" i="19" s="1"/>
  <c r="O686" i="19" s="1"/>
  <c r="O687" i="19" s="1"/>
  <c r="O688" i="19" s="1"/>
  <c r="O689" i="19" s="1"/>
  <c r="O690" i="19" s="1"/>
  <c r="O691" i="19" s="1"/>
  <c r="O692" i="19" s="1"/>
  <c r="O693" i="19" s="1"/>
  <c r="O694" i="19" s="1"/>
  <c r="O695" i="19" s="1"/>
  <c r="O696" i="19" s="1"/>
  <c r="O697" i="19" s="1"/>
  <c r="O698" i="19" s="1"/>
  <c r="O699" i="19" s="1"/>
  <c r="O700" i="19" s="1"/>
  <c r="O701" i="19" s="1"/>
  <c r="O702" i="19" s="1"/>
  <c r="O703" i="19" s="1"/>
  <c r="O704" i="19" s="1"/>
  <c r="O705" i="19" s="1"/>
  <c r="O706" i="19" s="1"/>
  <c r="O707" i="19" s="1"/>
  <c r="O708" i="19" s="1"/>
  <c r="O709" i="19" s="1"/>
  <c r="O710" i="19" s="1"/>
  <c r="O711" i="19" s="1"/>
  <c r="O712" i="19" s="1"/>
  <c r="O713" i="19" s="1"/>
  <c r="O714" i="19" s="1"/>
  <c r="O715" i="19" s="1"/>
  <c r="O716" i="19" s="1"/>
  <c r="O717" i="19" s="1"/>
  <c r="O718" i="19" s="1"/>
  <c r="O719" i="19" s="1"/>
  <c r="O720" i="19" s="1"/>
  <c r="O721" i="19" s="1"/>
  <c r="O722" i="19" s="1"/>
  <c r="O723" i="19" s="1"/>
  <c r="O724" i="19" s="1"/>
  <c r="O725" i="19" s="1"/>
  <c r="O726" i="19" s="1"/>
  <c r="O727" i="19" s="1"/>
  <c r="O728" i="19" s="1"/>
  <c r="O729" i="19" s="1"/>
  <c r="O730" i="19" s="1"/>
  <c r="O731" i="19" s="1"/>
  <c r="O732" i="19" s="1"/>
  <c r="O733" i="19" s="1"/>
  <c r="O734" i="19" s="1"/>
  <c r="O735" i="19" s="1"/>
  <c r="O736" i="19" s="1"/>
  <c r="O737" i="19" s="1"/>
  <c r="O738" i="19" s="1"/>
  <c r="O739" i="19" s="1"/>
  <c r="O740" i="19" s="1"/>
  <c r="O741" i="19" s="1"/>
  <c r="O742" i="19" s="1"/>
  <c r="O743" i="19" s="1"/>
  <c r="O744" i="19" s="1"/>
  <c r="O745" i="19" s="1"/>
  <c r="O746" i="19" s="1"/>
  <c r="O747" i="19" s="1"/>
  <c r="O748" i="19" s="1"/>
  <c r="O749" i="19" s="1"/>
  <c r="O750" i="19" s="1"/>
  <c r="O751" i="19" s="1"/>
  <c r="O752" i="19" s="1"/>
  <c r="O753" i="19" s="1"/>
  <c r="O754" i="19" s="1"/>
  <c r="O755" i="19" s="1"/>
  <c r="O756" i="19" s="1"/>
  <c r="O757" i="19" s="1"/>
  <c r="O758" i="19" s="1"/>
  <c r="O759" i="19" s="1"/>
  <c r="O760" i="19" s="1"/>
  <c r="O761" i="19" s="1"/>
  <c r="O762" i="19" s="1"/>
  <c r="O763" i="19" s="1"/>
  <c r="O764" i="19" s="1"/>
  <c r="O765" i="19" s="1"/>
  <c r="O766" i="19" s="1"/>
  <c r="O767" i="19" s="1"/>
  <c r="O768" i="19" s="1"/>
  <c r="O769" i="19" s="1"/>
  <c r="O770" i="19" s="1"/>
  <c r="O771" i="19" s="1"/>
  <c r="O772" i="19" s="1"/>
  <c r="O773" i="19" s="1"/>
  <c r="O774" i="19" s="1"/>
  <c r="O775" i="19" s="1"/>
  <c r="O776" i="19" s="1"/>
  <c r="O777" i="19" s="1"/>
  <c r="O778" i="19" s="1"/>
  <c r="O779" i="19" s="1"/>
  <c r="O780" i="19" s="1"/>
  <c r="O781" i="19" s="1"/>
  <c r="O782" i="19" s="1"/>
  <c r="O783" i="19" s="1"/>
  <c r="O784" i="19" s="1"/>
  <c r="O785" i="19" s="1"/>
  <c r="O786" i="19" s="1"/>
  <c r="O787" i="19" s="1"/>
  <c r="O788" i="19" s="1"/>
  <c r="O789" i="19" s="1"/>
  <c r="O790" i="19" s="1"/>
  <c r="O791" i="19" s="1"/>
  <c r="O792" i="19" s="1"/>
  <c r="O793" i="19" s="1"/>
  <c r="O794" i="19" s="1"/>
  <c r="O795" i="19" s="1"/>
  <c r="O796" i="19" s="1"/>
  <c r="O797" i="19" s="1"/>
  <c r="O798" i="19" s="1"/>
  <c r="O799" i="19" s="1"/>
  <c r="O800" i="19" s="1"/>
  <c r="O801" i="19" s="1"/>
  <c r="O802" i="19" s="1"/>
  <c r="O803" i="19" s="1"/>
  <c r="O804" i="19" s="1"/>
  <c r="O805" i="19" s="1"/>
  <c r="O806" i="19" s="1"/>
  <c r="O807" i="19" s="1"/>
  <c r="O808" i="19" s="1"/>
  <c r="O809" i="19" s="1"/>
  <c r="O810" i="19" s="1"/>
  <c r="O811" i="19" s="1"/>
  <c r="O812" i="19" s="1"/>
  <c r="O813" i="19" s="1"/>
  <c r="O814" i="19" s="1"/>
  <c r="O815" i="19" s="1"/>
  <c r="O816" i="19" s="1"/>
  <c r="O817" i="19" s="1"/>
  <c r="O818" i="19" s="1"/>
  <c r="O819" i="19" s="1"/>
  <c r="O820" i="19" s="1"/>
  <c r="O821" i="19" s="1"/>
  <c r="O822" i="19" s="1"/>
  <c r="O823" i="19" s="1"/>
  <c r="O824" i="19" s="1"/>
  <c r="O825" i="19" s="1"/>
  <c r="O826" i="19" s="1"/>
  <c r="O827" i="19" s="1"/>
  <c r="O828" i="19" s="1"/>
  <c r="O829" i="19" s="1"/>
  <c r="O830" i="19" s="1"/>
  <c r="O831" i="19" s="1"/>
  <c r="O832" i="19" s="1"/>
  <c r="O833" i="19" s="1"/>
  <c r="O834" i="19" s="1"/>
  <c r="O835" i="19" s="1"/>
  <c r="O836" i="19" s="1"/>
  <c r="O837" i="19" s="1"/>
  <c r="O838" i="19" s="1"/>
  <c r="O839" i="19" s="1"/>
  <c r="O840" i="19" s="1"/>
  <c r="O841" i="19" s="1"/>
  <c r="O842" i="19" s="1"/>
  <c r="O843" i="19" s="1"/>
  <c r="O844" i="19" s="1"/>
  <c r="O845" i="19" s="1"/>
  <c r="O846" i="19" s="1"/>
  <c r="O847" i="19" s="1"/>
  <c r="O848" i="19" s="1"/>
  <c r="N992" i="2" l="1"/>
  <c r="S992" i="2" s="1"/>
  <c r="N833" i="2"/>
  <c r="T833" i="2" s="1"/>
  <c r="N856" i="2"/>
  <c r="S856" i="2" s="1"/>
  <c r="N918" i="2"/>
  <c r="S918" i="2" s="1"/>
  <c r="N938" i="2"/>
  <c r="U938" i="2" s="1"/>
  <c r="N962" i="2"/>
  <c r="U962" i="2" s="1"/>
  <c r="N993" i="2"/>
  <c r="S993" i="2" s="1"/>
  <c r="N822" i="2"/>
  <c r="S822" i="2" s="1"/>
  <c r="N867" i="2"/>
  <c r="S867" i="2" s="1"/>
  <c r="N883" i="2"/>
  <c r="T883" i="2" s="1"/>
  <c r="N919" i="2"/>
  <c r="R919" i="2" s="1"/>
  <c r="N928" i="2"/>
  <c r="R928" i="2" s="1"/>
  <c r="N939" i="2"/>
  <c r="R939" i="2" s="1"/>
  <c r="N844" i="2"/>
  <c r="S844" i="2" s="1"/>
  <c r="N849" i="2"/>
  <c r="S849" i="2" s="1"/>
  <c r="N850" i="2"/>
  <c r="R850" i="2" s="1"/>
  <c r="N868" i="2"/>
  <c r="T868" i="2" s="1"/>
  <c r="N912" i="2"/>
  <c r="U912" i="2" s="1"/>
  <c r="N929" i="2"/>
  <c r="T929" i="2" s="1"/>
  <c r="N931" i="2"/>
  <c r="S931" i="2" s="1"/>
  <c r="N952" i="2"/>
  <c r="U952" i="2" s="1"/>
  <c r="N956" i="2"/>
  <c r="S956" i="2" s="1"/>
  <c r="N963" i="2"/>
  <c r="S963" i="2" s="1"/>
  <c r="N975" i="2"/>
  <c r="U975" i="2" s="1"/>
  <c r="N980" i="2"/>
  <c r="U980" i="2" s="1"/>
  <c r="N989" i="2"/>
  <c r="S989" i="2" s="1"/>
  <c r="N892" i="2"/>
  <c r="T892" i="2" s="1"/>
  <c r="O992" i="2"/>
  <c r="O833" i="2"/>
  <c r="O856" i="2"/>
  <c r="O918" i="2"/>
  <c r="O938" i="2"/>
  <c r="O962" i="2"/>
  <c r="O993" i="2"/>
  <c r="O822" i="2"/>
  <c r="O867" i="2"/>
  <c r="O883" i="2"/>
  <c r="O919" i="2"/>
  <c r="O928" i="2"/>
  <c r="O939" i="2"/>
  <c r="O844" i="2"/>
  <c r="O849" i="2"/>
  <c r="O850" i="2"/>
  <c r="O868" i="2"/>
  <c r="O912" i="2"/>
  <c r="O929" i="2"/>
  <c r="O931" i="2"/>
  <c r="O952" i="2"/>
  <c r="O956" i="2"/>
  <c r="O963" i="2"/>
  <c r="O975" i="2"/>
  <c r="O980" i="2"/>
  <c r="O989" i="2"/>
  <c r="O892" i="2"/>
  <c r="P992" i="2"/>
  <c r="P833" i="2"/>
  <c r="P856" i="2"/>
  <c r="P918" i="2"/>
  <c r="P938" i="2"/>
  <c r="P962" i="2"/>
  <c r="P993" i="2"/>
  <c r="P822" i="2"/>
  <c r="P867" i="2"/>
  <c r="P883" i="2"/>
  <c r="P919" i="2"/>
  <c r="P928" i="2"/>
  <c r="P939" i="2"/>
  <c r="P844" i="2"/>
  <c r="P849" i="2"/>
  <c r="P850" i="2"/>
  <c r="P868" i="2"/>
  <c r="P912" i="2"/>
  <c r="P929" i="2"/>
  <c r="P931" i="2"/>
  <c r="P952" i="2"/>
  <c r="P956" i="2"/>
  <c r="P963" i="2"/>
  <c r="P975" i="2"/>
  <c r="P980" i="2"/>
  <c r="P989" i="2"/>
  <c r="P892" i="2"/>
  <c r="Q992" i="2"/>
  <c r="Q833" i="2"/>
  <c r="Q856" i="2"/>
  <c r="Q918" i="2"/>
  <c r="Q938" i="2"/>
  <c r="Q962" i="2"/>
  <c r="Q993" i="2"/>
  <c r="Q822" i="2"/>
  <c r="Q867" i="2"/>
  <c r="Q883" i="2"/>
  <c r="Q919" i="2"/>
  <c r="Q928" i="2"/>
  <c r="Q939" i="2"/>
  <c r="Q844" i="2"/>
  <c r="Q849" i="2"/>
  <c r="Q850" i="2"/>
  <c r="Q868" i="2"/>
  <c r="Q912" i="2"/>
  <c r="Q929" i="2"/>
  <c r="Q931" i="2"/>
  <c r="Q952" i="2"/>
  <c r="Q956" i="2"/>
  <c r="Q963" i="2"/>
  <c r="Q975" i="2"/>
  <c r="Q980" i="2"/>
  <c r="Q989" i="2"/>
  <c r="Q892" i="2"/>
  <c r="W992" i="2"/>
  <c r="W833" i="2"/>
  <c r="W856" i="2"/>
  <c r="W918" i="2"/>
  <c r="W938" i="2"/>
  <c r="W962" i="2"/>
  <c r="W993" i="2"/>
  <c r="W822" i="2"/>
  <c r="W867" i="2"/>
  <c r="W883" i="2"/>
  <c r="W919" i="2"/>
  <c r="W928" i="2"/>
  <c r="W939" i="2"/>
  <c r="W844" i="2"/>
  <c r="W849" i="2"/>
  <c r="W850" i="2"/>
  <c r="W868" i="2"/>
  <c r="W912" i="2"/>
  <c r="W929" i="2"/>
  <c r="W931" i="2"/>
  <c r="W952" i="2"/>
  <c r="W956" i="2"/>
  <c r="W963" i="2"/>
  <c r="W975" i="2"/>
  <c r="W980" i="2"/>
  <c r="W989" i="2"/>
  <c r="W892" i="2"/>
  <c r="N959" i="2"/>
  <c r="T959" i="2" s="1"/>
  <c r="N973" i="2"/>
  <c r="T973" i="2" s="1"/>
  <c r="N979" i="2"/>
  <c r="S979" i="2" s="1"/>
  <c r="N984" i="2"/>
  <c r="R984" i="2" s="1"/>
  <c r="O959" i="2"/>
  <c r="O973" i="2"/>
  <c r="O979" i="2"/>
  <c r="O984" i="2"/>
  <c r="P959" i="2"/>
  <c r="P973" i="2"/>
  <c r="P979" i="2"/>
  <c r="P984" i="2"/>
  <c r="Q959" i="2"/>
  <c r="Q973" i="2"/>
  <c r="Q979" i="2"/>
  <c r="Q984" i="2"/>
  <c r="W959" i="2"/>
  <c r="W973" i="2"/>
  <c r="W979" i="2"/>
  <c r="W984" i="2"/>
  <c r="V856" i="2" l="1"/>
  <c r="U856" i="2"/>
  <c r="R856" i="2"/>
  <c r="U833" i="2"/>
  <c r="S833" i="2"/>
  <c r="V918" i="2"/>
  <c r="R833" i="2"/>
  <c r="R931" i="2"/>
  <c r="V912" i="2"/>
  <c r="V833" i="2"/>
  <c r="T938" i="2"/>
  <c r="V919" i="2"/>
  <c r="U919" i="2"/>
  <c r="R980" i="2"/>
  <c r="T912" i="2"/>
  <c r="R938" i="2"/>
  <c r="V989" i="2"/>
  <c r="U989" i="2"/>
  <c r="S939" i="2"/>
  <c r="U939" i="2"/>
  <c r="R989" i="2"/>
  <c r="V975" i="2"/>
  <c r="R918" i="2"/>
  <c r="S929" i="2"/>
  <c r="V992" i="2"/>
  <c r="R868" i="2"/>
  <c r="T980" i="2"/>
  <c r="S868" i="2"/>
  <c r="R883" i="2"/>
  <c r="U883" i="2"/>
  <c r="V980" i="2"/>
  <c r="V868" i="2"/>
  <c r="V883" i="2"/>
  <c r="S980" i="2"/>
  <c r="R992" i="2"/>
  <c r="R867" i="2"/>
  <c r="U868" i="2"/>
  <c r="S883" i="2"/>
  <c r="U892" i="2"/>
  <c r="T919" i="2"/>
  <c r="S912" i="2"/>
  <c r="U929" i="2"/>
  <c r="T856" i="2"/>
  <c r="S919" i="2"/>
  <c r="R912" i="2"/>
  <c r="R929" i="2"/>
  <c r="T989" i="2"/>
  <c r="V929" i="2"/>
  <c r="V928" i="2"/>
  <c r="T931" i="2"/>
  <c r="S938" i="2"/>
  <c r="U931" i="2"/>
  <c r="T939" i="2"/>
  <c r="V931" i="2"/>
  <c r="V939" i="2"/>
  <c r="V938" i="2"/>
  <c r="S959" i="2"/>
  <c r="V867" i="2"/>
  <c r="U867" i="2"/>
  <c r="T975" i="2"/>
  <c r="S975" i="2"/>
  <c r="R975" i="2"/>
  <c r="T867" i="2"/>
  <c r="R952" i="2"/>
  <c r="U850" i="2"/>
  <c r="V850" i="2"/>
  <c r="U992" i="2"/>
  <c r="T850" i="2"/>
  <c r="T992" i="2"/>
  <c r="S850" i="2"/>
  <c r="V892" i="2"/>
  <c r="V952" i="2"/>
  <c r="T952" i="2"/>
  <c r="S952" i="2"/>
  <c r="T918" i="2"/>
  <c r="S928" i="2"/>
  <c r="U822" i="2"/>
  <c r="R892" i="2"/>
  <c r="U918" i="2"/>
  <c r="T928" i="2"/>
  <c r="S892" i="2"/>
  <c r="U928" i="2"/>
  <c r="S973" i="2"/>
  <c r="U963" i="2"/>
  <c r="U849" i="2"/>
  <c r="R959" i="2"/>
  <c r="U973" i="2"/>
  <c r="U959" i="2"/>
  <c r="R973" i="2"/>
  <c r="V959" i="2"/>
  <c r="U844" i="2"/>
  <c r="U993" i="2"/>
  <c r="U956" i="2"/>
  <c r="T963" i="2"/>
  <c r="T849" i="2"/>
  <c r="T822" i="2"/>
  <c r="R963" i="2"/>
  <c r="R849" i="2"/>
  <c r="R822" i="2"/>
  <c r="R844" i="2"/>
  <c r="T956" i="2"/>
  <c r="T844" i="2"/>
  <c r="T993" i="2"/>
  <c r="U984" i="2"/>
  <c r="S984" i="2"/>
  <c r="V984" i="2"/>
  <c r="V963" i="2"/>
  <c r="V849" i="2"/>
  <c r="V822" i="2"/>
  <c r="T984" i="2"/>
  <c r="T979" i="2"/>
  <c r="R979" i="2"/>
  <c r="R956" i="2"/>
  <c r="R993" i="2"/>
  <c r="U979" i="2"/>
  <c r="V979" i="2"/>
  <c r="V956" i="2"/>
  <c r="V844" i="2"/>
  <c r="V993" i="2"/>
  <c r="V973" i="2"/>
  <c r="V962" i="2"/>
  <c r="T962" i="2"/>
  <c r="S962" i="2"/>
  <c r="R962" i="2"/>
  <c r="X856" i="2" l="1"/>
  <c r="X833" i="2"/>
  <c r="X989" i="2"/>
  <c r="X868" i="2"/>
  <c r="X980" i="2"/>
  <c r="X883" i="2"/>
  <c r="X912" i="2"/>
  <c r="X919" i="2"/>
  <c r="X929" i="2"/>
  <c r="X992" i="2"/>
  <c r="X939" i="2"/>
  <c r="X938" i="2"/>
  <c r="X931" i="2"/>
  <c r="X850" i="2"/>
  <c r="X975" i="2"/>
  <c r="X867" i="2"/>
  <c r="X952" i="2"/>
  <c r="X928" i="2"/>
  <c r="X959" i="2"/>
  <c r="X918" i="2"/>
  <c r="X892" i="2"/>
  <c r="X973" i="2"/>
  <c r="X979" i="2"/>
  <c r="X984" i="2"/>
  <c r="X844" i="2"/>
  <c r="X963" i="2"/>
  <c r="X822" i="2"/>
  <c r="X849" i="2"/>
  <c r="X993" i="2"/>
  <c r="X956" i="2"/>
  <c r="X962" i="2"/>
  <c r="D263" i="16" l="1"/>
  <c r="C10" i="17" l="1"/>
  <c r="J198" i="2" l="1"/>
  <c r="J526" i="2" l="1" a="1"/>
  <c r="J526" i="2" s="1"/>
  <c r="J800" i="2" l="1"/>
  <c r="N770" i="2"/>
  <c r="T770" i="2" s="1"/>
  <c r="N771" i="2"/>
  <c r="T771" i="2" s="1"/>
  <c r="N772" i="2"/>
  <c r="S772" i="2" s="1"/>
  <c r="P770" i="2"/>
  <c r="P771" i="2"/>
  <c r="P772" i="2"/>
  <c r="Q770" i="2"/>
  <c r="Q771" i="2"/>
  <c r="Q772" i="2"/>
  <c r="W770" i="2"/>
  <c r="W771" i="2"/>
  <c r="W772" i="2"/>
  <c r="J773" i="2"/>
  <c r="V771" i="2" l="1"/>
  <c r="S770" i="2"/>
  <c r="V772" i="2"/>
  <c r="R772" i="2"/>
  <c r="V770" i="2"/>
  <c r="U772" i="2"/>
  <c r="U770" i="2"/>
  <c r="R771" i="2"/>
  <c r="U771" i="2"/>
  <c r="N282" i="2" l="1"/>
  <c r="S282" i="2" s="1"/>
  <c r="O282" i="2"/>
  <c r="P282" i="2"/>
  <c r="Q282" i="2"/>
  <c r="W282" i="2"/>
  <c r="U282" i="2" l="1"/>
  <c r="V282" i="2"/>
  <c r="T282" i="2"/>
  <c r="R282" i="2"/>
  <c r="X282" i="2" l="1"/>
  <c r="D288" i="16" l="1"/>
  <c r="J617" i="2" l="1"/>
  <c r="N609" i="2"/>
  <c r="R609" i="2" s="1"/>
  <c r="P609" i="2"/>
  <c r="Q609" i="2"/>
  <c r="W609" i="2"/>
  <c r="J71" i="2"/>
  <c r="J615" i="2"/>
  <c r="N615" i="2"/>
  <c r="R615" i="2" s="1"/>
  <c r="P615" i="2"/>
  <c r="Q615" i="2"/>
  <c r="W615" i="2"/>
  <c r="N35" i="2"/>
  <c r="T35" i="2" s="1"/>
  <c r="N36" i="2"/>
  <c r="V36" i="2" s="1"/>
  <c r="N37" i="2"/>
  <c r="R37" i="2" s="1"/>
  <c r="P35" i="2"/>
  <c r="P36" i="2"/>
  <c r="P37" i="2"/>
  <c r="Q35" i="2"/>
  <c r="Q36" i="2"/>
  <c r="Q37" i="2"/>
  <c r="W35" i="2"/>
  <c r="W36" i="2"/>
  <c r="W37" i="2"/>
  <c r="T609" i="2" l="1"/>
  <c r="S609" i="2"/>
  <c r="U609" i="2"/>
  <c r="V37" i="2"/>
  <c r="U37" i="2"/>
  <c r="S37" i="2"/>
  <c r="U615" i="2"/>
  <c r="T615" i="2"/>
  <c r="S615" i="2"/>
  <c r="S35" i="2"/>
  <c r="U35" i="2"/>
  <c r="R36" i="2"/>
  <c r="V35" i="2"/>
  <c r="U36" i="2"/>
  <c r="T36" i="2"/>
  <c r="J619" i="2"/>
  <c r="N619" i="2"/>
  <c r="R619" i="2" s="1"/>
  <c r="N620" i="2"/>
  <c r="R620" i="2" s="1"/>
  <c r="P619" i="2"/>
  <c r="P620" i="2"/>
  <c r="Q619" i="2"/>
  <c r="Q620" i="2"/>
  <c r="W619" i="2"/>
  <c r="W620" i="2"/>
  <c r="J611" i="2"/>
  <c r="T620" i="2" l="1"/>
  <c r="U620" i="2"/>
  <c r="S620" i="2"/>
  <c r="S619" i="2"/>
  <c r="U619" i="2"/>
  <c r="T619" i="2"/>
  <c r="J632" i="2" l="1"/>
  <c r="N116" i="2"/>
  <c r="T116" i="2" s="1"/>
  <c r="N117" i="2"/>
  <c r="R117" i="2" s="1"/>
  <c r="N118" i="2"/>
  <c r="R118" i="2" s="1"/>
  <c r="P116" i="2"/>
  <c r="P117" i="2"/>
  <c r="P118" i="2"/>
  <c r="Q116" i="2"/>
  <c r="Q117" i="2"/>
  <c r="Q118" i="2"/>
  <c r="W116" i="2"/>
  <c r="W117" i="2"/>
  <c r="W118" i="2"/>
  <c r="D26" i="16"/>
  <c r="D24" i="16"/>
  <c r="N631" i="2"/>
  <c r="S631" i="2" s="1"/>
  <c r="N632" i="2"/>
  <c r="S632" i="2" s="1"/>
  <c r="P631" i="2"/>
  <c r="P632" i="2"/>
  <c r="Q631" i="2"/>
  <c r="Q632" i="2"/>
  <c r="W631" i="2"/>
  <c r="W632" i="2"/>
  <c r="J628" i="2"/>
  <c r="J627" i="2"/>
  <c r="N627" i="2"/>
  <c r="R627" i="2" s="1"/>
  <c r="N628" i="2"/>
  <c r="R628" i="2" s="1"/>
  <c r="P627" i="2"/>
  <c r="P628" i="2"/>
  <c r="Q627" i="2"/>
  <c r="Q628" i="2"/>
  <c r="W627" i="2"/>
  <c r="W628" i="2"/>
  <c r="J605" i="2"/>
  <c r="J629" i="2"/>
  <c r="V118" i="2" l="1"/>
  <c r="V117" i="2"/>
  <c r="U118" i="2"/>
  <c r="U117" i="2"/>
  <c r="T117" i="2"/>
  <c r="S118" i="2"/>
  <c r="V116" i="2"/>
  <c r="S116" i="2"/>
  <c r="U116" i="2"/>
  <c r="U631" i="2"/>
  <c r="R631" i="2"/>
  <c r="R632" i="2"/>
  <c r="T631" i="2"/>
  <c r="U632" i="2"/>
  <c r="T632" i="2"/>
  <c r="T628" i="2"/>
  <c r="S628" i="2"/>
  <c r="U628" i="2"/>
  <c r="T627" i="2"/>
  <c r="U627" i="2"/>
  <c r="S627" i="2"/>
  <c r="N707" i="2" l="1"/>
  <c r="N708" i="2"/>
  <c r="R708" i="2" s="1"/>
  <c r="N709" i="2"/>
  <c r="R709" i="2" s="1"/>
  <c r="N710" i="2"/>
  <c r="S710" i="2" s="1"/>
  <c r="N711" i="2"/>
  <c r="R711" i="2" s="1"/>
  <c r="N712" i="2"/>
  <c r="T712" i="2" s="1"/>
  <c r="N713" i="2"/>
  <c r="R713" i="2" s="1"/>
  <c r="N714" i="2"/>
  <c r="S714" i="2" s="1"/>
  <c r="N715" i="2"/>
  <c r="U715" i="2" s="1"/>
  <c r="P707" i="2"/>
  <c r="P708" i="2"/>
  <c r="P709" i="2"/>
  <c r="P710" i="2"/>
  <c r="P711" i="2"/>
  <c r="P712" i="2"/>
  <c r="P713" i="2"/>
  <c r="P714" i="2"/>
  <c r="P715" i="2"/>
  <c r="Q707" i="2"/>
  <c r="Q708" i="2"/>
  <c r="Q709" i="2"/>
  <c r="Q710" i="2"/>
  <c r="Q711" i="2"/>
  <c r="Q712" i="2"/>
  <c r="Q713" i="2"/>
  <c r="Q714" i="2"/>
  <c r="Q715" i="2"/>
  <c r="W707" i="2"/>
  <c r="W708" i="2"/>
  <c r="W709" i="2"/>
  <c r="W710" i="2"/>
  <c r="W711" i="2"/>
  <c r="W712" i="2"/>
  <c r="W713" i="2"/>
  <c r="W714" i="2"/>
  <c r="W715" i="2"/>
  <c r="N716" i="2"/>
  <c r="N717" i="2"/>
  <c r="R717" i="2" s="1"/>
  <c r="N718" i="2"/>
  <c r="T718" i="2" s="1"/>
  <c r="N719" i="2"/>
  <c r="S719" i="2" s="1"/>
  <c r="N720" i="2"/>
  <c r="S720" i="2" s="1"/>
  <c r="N721" i="2"/>
  <c r="R721" i="2" s="1"/>
  <c r="N722" i="2"/>
  <c r="R722" i="2" s="1"/>
  <c r="N723" i="2"/>
  <c r="N724" i="2"/>
  <c r="S724" i="2" s="1"/>
  <c r="P716" i="2"/>
  <c r="P717" i="2"/>
  <c r="P718" i="2"/>
  <c r="P719" i="2"/>
  <c r="P720" i="2"/>
  <c r="P721" i="2"/>
  <c r="P722" i="2"/>
  <c r="P723" i="2"/>
  <c r="P724" i="2"/>
  <c r="Q716" i="2"/>
  <c r="Q717" i="2"/>
  <c r="Q718" i="2"/>
  <c r="Q719" i="2"/>
  <c r="Q720" i="2"/>
  <c r="Q721" i="2"/>
  <c r="Q722" i="2"/>
  <c r="Q723" i="2"/>
  <c r="Q724" i="2"/>
  <c r="W716" i="2"/>
  <c r="W717" i="2"/>
  <c r="W718" i="2"/>
  <c r="W719" i="2"/>
  <c r="W720" i="2"/>
  <c r="W721" i="2"/>
  <c r="W722" i="2"/>
  <c r="W723" i="2"/>
  <c r="W724" i="2"/>
  <c r="N706" i="2"/>
  <c r="P706" i="2"/>
  <c r="Q706" i="2"/>
  <c r="W706" i="2"/>
  <c r="N702" i="2"/>
  <c r="R702" i="2" s="1"/>
  <c r="P702" i="2"/>
  <c r="Q702" i="2"/>
  <c r="W702" i="2"/>
  <c r="N700" i="2"/>
  <c r="R700" i="2" s="1"/>
  <c r="P700" i="2"/>
  <c r="Q700" i="2"/>
  <c r="W700" i="2"/>
  <c r="N698" i="2"/>
  <c r="R698" i="2" s="1"/>
  <c r="P698" i="2"/>
  <c r="Q698" i="2"/>
  <c r="W698" i="2"/>
  <c r="N694" i="2"/>
  <c r="R694" i="2" s="1"/>
  <c r="P694" i="2"/>
  <c r="Q694" i="2"/>
  <c r="W694" i="2"/>
  <c r="N690" i="2"/>
  <c r="R690" i="2" s="1"/>
  <c r="P690" i="2"/>
  <c r="Q690" i="2"/>
  <c r="W690" i="2"/>
  <c r="N686" i="2"/>
  <c r="R686" i="2" s="1"/>
  <c r="P686" i="2"/>
  <c r="Q686" i="2"/>
  <c r="W686" i="2"/>
  <c r="N682" i="2"/>
  <c r="R682" i="2" s="1"/>
  <c r="P682" i="2"/>
  <c r="Q682" i="2"/>
  <c r="W682" i="2"/>
  <c r="N678" i="2"/>
  <c r="S678" i="2" s="1"/>
  <c r="P678" i="2"/>
  <c r="Q678" i="2"/>
  <c r="W678" i="2"/>
  <c r="N674" i="2"/>
  <c r="R674" i="2" s="1"/>
  <c r="P674" i="2"/>
  <c r="Q674" i="2"/>
  <c r="W674" i="2"/>
  <c r="N670" i="2"/>
  <c r="R670" i="2" s="1"/>
  <c r="P670" i="2"/>
  <c r="Q670" i="2"/>
  <c r="W670" i="2"/>
  <c r="N666" i="2"/>
  <c r="R666" i="2" s="1"/>
  <c r="P666" i="2"/>
  <c r="Q666" i="2"/>
  <c r="W666" i="2"/>
  <c r="N662" i="2"/>
  <c r="R662" i="2" s="1"/>
  <c r="P662" i="2"/>
  <c r="Q662" i="2"/>
  <c r="W662" i="2"/>
  <c r="N658" i="2"/>
  <c r="R658" i="2" s="1"/>
  <c r="P658" i="2"/>
  <c r="Q658" i="2"/>
  <c r="W658" i="2"/>
  <c r="N654" i="2"/>
  <c r="R654" i="2" s="1"/>
  <c r="P654" i="2"/>
  <c r="Q654" i="2"/>
  <c r="W654" i="2"/>
  <c r="N650" i="2"/>
  <c r="S650" i="2" s="1"/>
  <c r="P650" i="2"/>
  <c r="Q650" i="2"/>
  <c r="W650" i="2"/>
  <c r="N646" i="2"/>
  <c r="S646" i="2" s="1"/>
  <c r="P646" i="2"/>
  <c r="Q646" i="2"/>
  <c r="W646" i="2"/>
  <c r="N644" i="2"/>
  <c r="U644" i="2" s="1"/>
  <c r="P644" i="2"/>
  <c r="Q644" i="2"/>
  <c r="W644" i="2"/>
  <c r="N640" i="2"/>
  <c r="R640" i="2" s="1"/>
  <c r="P640" i="2"/>
  <c r="Q640" i="2"/>
  <c r="W640" i="2"/>
  <c r="N636" i="2"/>
  <c r="S636" i="2" s="1"/>
  <c r="P636" i="2"/>
  <c r="Q636" i="2"/>
  <c r="W636" i="2"/>
  <c r="R723" i="2" l="1"/>
  <c r="R706" i="2"/>
  <c r="R707" i="2"/>
  <c r="S712" i="2"/>
  <c r="S711" i="2"/>
  <c r="U711" i="2"/>
  <c r="T711" i="2"/>
  <c r="R712" i="2"/>
  <c r="U712" i="2"/>
  <c r="T708" i="2"/>
  <c r="R720" i="2"/>
  <c r="S718" i="2"/>
  <c r="S708" i="2"/>
  <c r="U708" i="2"/>
  <c r="S707" i="2"/>
  <c r="R718" i="2"/>
  <c r="R715" i="2"/>
  <c r="S715" i="2"/>
  <c r="U719" i="2"/>
  <c r="R710" i="2"/>
  <c r="T707" i="2"/>
  <c r="U718" i="2"/>
  <c r="U707" i="2"/>
  <c r="T715" i="2"/>
  <c r="U714" i="2"/>
  <c r="T714" i="2"/>
  <c r="T721" i="2"/>
  <c r="T720" i="2"/>
  <c r="R714" i="2"/>
  <c r="S717" i="2"/>
  <c r="U717" i="2"/>
  <c r="T717" i="2"/>
  <c r="U721" i="2"/>
  <c r="U720" i="2"/>
  <c r="S721" i="2"/>
  <c r="T716" i="2"/>
  <c r="U716" i="2"/>
  <c r="S716" i="2"/>
  <c r="R716" i="2"/>
  <c r="T710" i="2"/>
  <c r="U710" i="2"/>
  <c r="U709" i="2"/>
  <c r="T709" i="2"/>
  <c r="S709" i="2"/>
  <c r="T719" i="2"/>
  <c r="R724" i="2"/>
  <c r="U713" i="2"/>
  <c r="T713" i="2"/>
  <c r="S713" i="2"/>
  <c r="T724" i="2"/>
  <c r="R719" i="2"/>
  <c r="U724" i="2"/>
  <c r="U722" i="2"/>
  <c r="T723" i="2"/>
  <c r="U723" i="2"/>
  <c r="T722" i="2"/>
  <c r="S723" i="2"/>
  <c r="S722" i="2"/>
  <c r="T706" i="2"/>
  <c r="U702" i="2"/>
  <c r="T702" i="2"/>
  <c r="U706" i="2"/>
  <c r="S706" i="2"/>
  <c r="T698" i="2"/>
  <c r="U700" i="2"/>
  <c r="S702" i="2"/>
  <c r="T694" i="2"/>
  <c r="T700" i="2"/>
  <c r="T690" i="2"/>
  <c r="S700" i="2"/>
  <c r="U686" i="2"/>
  <c r="U698" i="2"/>
  <c r="S698" i="2"/>
  <c r="T682" i="2"/>
  <c r="U694" i="2"/>
  <c r="S694" i="2"/>
  <c r="U690" i="2"/>
  <c r="S690" i="2"/>
  <c r="R678" i="2"/>
  <c r="T686" i="2"/>
  <c r="U674" i="2"/>
  <c r="S686" i="2"/>
  <c r="U682" i="2"/>
  <c r="S682" i="2"/>
  <c r="U678" i="2"/>
  <c r="T670" i="2"/>
  <c r="T678" i="2"/>
  <c r="T674" i="2"/>
  <c r="T666" i="2"/>
  <c r="U662" i="2"/>
  <c r="S674" i="2"/>
  <c r="U670" i="2"/>
  <c r="S670" i="2"/>
  <c r="S662" i="2"/>
  <c r="U666" i="2"/>
  <c r="S666" i="2"/>
  <c r="U654" i="2"/>
  <c r="T662" i="2"/>
  <c r="T654" i="2"/>
  <c r="R650" i="2"/>
  <c r="U658" i="2"/>
  <c r="T658" i="2"/>
  <c r="R646" i="2"/>
  <c r="S658" i="2"/>
  <c r="U640" i="2"/>
  <c r="S654" i="2"/>
  <c r="U646" i="2"/>
  <c r="U650" i="2"/>
  <c r="T650" i="2"/>
  <c r="T646" i="2"/>
  <c r="T644" i="2"/>
  <c r="S644" i="2"/>
  <c r="R644" i="2"/>
  <c r="T640" i="2"/>
  <c r="S640" i="2"/>
  <c r="U636" i="2"/>
  <c r="R636" i="2"/>
  <c r="T636" i="2"/>
  <c r="J167" i="2" a="1"/>
  <c r="J167" i="2" s="1"/>
  <c r="N704" i="2"/>
  <c r="U704" i="2" s="1"/>
  <c r="N705" i="2"/>
  <c r="U705" i="2" s="1"/>
  <c r="P704" i="2"/>
  <c r="P705" i="2"/>
  <c r="Q704" i="2"/>
  <c r="Q705" i="2"/>
  <c r="W704" i="2"/>
  <c r="W705" i="2"/>
  <c r="N696" i="2"/>
  <c r="R696" i="2" s="1"/>
  <c r="N697" i="2"/>
  <c r="U697" i="2" s="1"/>
  <c r="P696" i="2"/>
  <c r="P697" i="2"/>
  <c r="Q696" i="2"/>
  <c r="Q697" i="2"/>
  <c r="W696" i="2"/>
  <c r="W697" i="2"/>
  <c r="N692" i="2"/>
  <c r="U692" i="2" s="1"/>
  <c r="N693" i="2"/>
  <c r="S693" i="2" s="1"/>
  <c r="P692" i="2"/>
  <c r="P693" i="2"/>
  <c r="Q692" i="2"/>
  <c r="Q693" i="2"/>
  <c r="W692" i="2"/>
  <c r="W693" i="2"/>
  <c r="N688" i="2"/>
  <c r="N689" i="2"/>
  <c r="S689" i="2" s="1"/>
  <c r="P688" i="2"/>
  <c r="P689" i="2"/>
  <c r="Q688" i="2"/>
  <c r="Q689" i="2"/>
  <c r="W688" i="2"/>
  <c r="W689" i="2"/>
  <c r="N684" i="2"/>
  <c r="N685" i="2"/>
  <c r="P684" i="2"/>
  <c r="P685" i="2"/>
  <c r="Q684" i="2"/>
  <c r="Q685" i="2"/>
  <c r="W684" i="2"/>
  <c r="W685" i="2"/>
  <c r="N680" i="2"/>
  <c r="T680" i="2" s="1"/>
  <c r="N681" i="2"/>
  <c r="S681" i="2" s="1"/>
  <c r="P680" i="2"/>
  <c r="P681" i="2"/>
  <c r="Q680" i="2"/>
  <c r="Q681" i="2"/>
  <c r="W680" i="2"/>
  <c r="W681" i="2"/>
  <c r="N676" i="2"/>
  <c r="N677" i="2"/>
  <c r="S677" i="2" s="1"/>
  <c r="P676" i="2"/>
  <c r="P677" i="2"/>
  <c r="Q676" i="2"/>
  <c r="Q677" i="2"/>
  <c r="W676" i="2"/>
  <c r="W677" i="2"/>
  <c r="N672" i="2"/>
  <c r="N673" i="2"/>
  <c r="S673" i="2" s="1"/>
  <c r="P672" i="2"/>
  <c r="P673" i="2"/>
  <c r="Q672" i="2"/>
  <c r="Q673" i="2"/>
  <c r="W672" i="2"/>
  <c r="W673" i="2"/>
  <c r="N668" i="2"/>
  <c r="N669" i="2"/>
  <c r="S669" i="2" s="1"/>
  <c r="P668" i="2"/>
  <c r="P669" i="2"/>
  <c r="Q668" i="2"/>
  <c r="Q669" i="2"/>
  <c r="W668" i="2"/>
  <c r="W669" i="2"/>
  <c r="N664" i="2"/>
  <c r="N665" i="2"/>
  <c r="S665" i="2" s="1"/>
  <c r="P664" i="2"/>
  <c r="P665" i="2"/>
  <c r="Q664" i="2"/>
  <c r="Q665" i="2"/>
  <c r="W664" i="2"/>
  <c r="W665" i="2"/>
  <c r="N660" i="2"/>
  <c r="N661" i="2"/>
  <c r="S661" i="2" s="1"/>
  <c r="P660" i="2"/>
  <c r="P661" i="2"/>
  <c r="Q660" i="2"/>
  <c r="Q661" i="2"/>
  <c r="W660" i="2"/>
  <c r="W661" i="2"/>
  <c r="N656" i="2"/>
  <c r="N657" i="2"/>
  <c r="S657" i="2" s="1"/>
  <c r="P656" i="2"/>
  <c r="P657" i="2"/>
  <c r="Q656" i="2"/>
  <c r="Q657" i="2"/>
  <c r="W656" i="2"/>
  <c r="W657" i="2"/>
  <c r="N652" i="2"/>
  <c r="N653" i="2"/>
  <c r="P652" i="2"/>
  <c r="P653" i="2"/>
  <c r="Q652" i="2"/>
  <c r="Q653" i="2"/>
  <c r="W652" i="2"/>
  <c r="W653" i="2"/>
  <c r="N648" i="2"/>
  <c r="V648" i="2" s="1"/>
  <c r="N649" i="2"/>
  <c r="S649" i="2" s="1"/>
  <c r="P648" i="2"/>
  <c r="P649" i="2"/>
  <c r="Q648" i="2"/>
  <c r="Q649" i="2"/>
  <c r="W648" i="2"/>
  <c r="W649" i="2"/>
  <c r="N642" i="2"/>
  <c r="N643" i="2"/>
  <c r="S643" i="2" s="1"/>
  <c r="P642" i="2"/>
  <c r="P643" i="2"/>
  <c r="Q642" i="2"/>
  <c r="Q643" i="2"/>
  <c r="W642" i="2"/>
  <c r="W643" i="2"/>
  <c r="N638" i="2"/>
  <c r="V638" i="2" s="1"/>
  <c r="N639" i="2"/>
  <c r="S639" i="2" s="1"/>
  <c r="P638" i="2"/>
  <c r="P639" i="2"/>
  <c r="Q638" i="2"/>
  <c r="Q639" i="2"/>
  <c r="W638" i="2"/>
  <c r="W639" i="2"/>
  <c r="N634" i="2"/>
  <c r="N635" i="2"/>
  <c r="R635" i="2" s="1"/>
  <c r="P634" i="2"/>
  <c r="P635" i="2"/>
  <c r="Q634" i="2"/>
  <c r="Q635" i="2"/>
  <c r="W634" i="2"/>
  <c r="W635" i="2"/>
  <c r="D273" i="16"/>
  <c r="O705" i="2" s="1"/>
  <c r="D272" i="16"/>
  <c r="O704" i="2" s="1"/>
  <c r="D271" i="16"/>
  <c r="O703" i="2" s="1"/>
  <c r="N703" i="2"/>
  <c r="P703" i="2"/>
  <c r="Q703" i="2"/>
  <c r="W703" i="2"/>
  <c r="S704" i="2" l="1"/>
  <c r="V705" i="2"/>
  <c r="V704" i="2"/>
  <c r="T704" i="2"/>
  <c r="T705" i="2"/>
  <c r="R704" i="2"/>
  <c r="R705" i="2"/>
  <c r="S705" i="2"/>
  <c r="S697" i="2"/>
  <c r="R697" i="2"/>
  <c r="V697" i="2"/>
  <c r="R685" i="2"/>
  <c r="S685" i="2"/>
  <c r="V692" i="2"/>
  <c r="T692" i="2"/>
  <c r="R692" i="2"/>
  <c r="V677" i="2"/>
  <c r="R680" i="2"/>
  <c r="V696" i="2"/>
  <c r="U696" i="2"/>
  <c r="U693" i="2"/>
  <c r="R693" i="2"/>
  <c r="V689" i="2"/>
  <c r="T696" i="2"/>
  <c r="V693" i="2"/>
  <c r="R689" i="2"/>
  <c r="V685" i="2"/>
  <c r="V688" i="2"/>
  <c r="U688" i="2"/>
  <c r="R688" i="2"/>
  <c r="V669" i="2"/>
  <c r="R677" i="2"/>
  <c r="U689" i="2"/>
  <c r="V680" i="2"/>
  <c r="V684" i="2"/>
  <c r="T688" i="2"/>
  <c r="U680" i="2"/>
  <c r="U685" i="2"/>
  <c r="R684" i="2"/>
  <c r="T684" i="2"/>
  <c r="U684" i="2"/>
  <c r="V681" i="2"/>
  <c r="R681" i="2"/>
  <c r="U681" i="2"/>
  <c r="R672" i="2"/>
  <c r="R669" i="2"/>
  <c r="R664" i="2"/>
  <c r="V672" i="2"/>
  <c r="V676" i="2"/>
  <c r="R676" i="2"/>
  <c r="U677" i="2"/>
  <c r="U676" i="2"/>
  <c r="T676" i="2"/>
  <c r="V673" i="2"/>
  <c r="R673" i="2"/>
  <c r="U673" i="2"/>
  <c r="R665" i="2"/>
  <c r="U672" i="2"/>
  <c r="V664" i="2"/>
  <c r="T672" i="2"/>
  <c r="U664" i="2"/>
  <c r="T664" i="2"/>
  <c r="R668" i="2"/>
  <c r="R657" i="2"/>
  <c r="V668" i="2"/>
  <c r="U669" i="2"/>
  <c r="U668" i="2"/>
  <c r="T668" i="2"/>
  <c r="V665" i="2"/>
  <c r="U665" i="2"/>
  <c r="R648" i="2"/>
  <c r="V661" i="2"/>
  <c r="R656" i="2"/>
  <c r="V660" i="2"/>
  <c r="R660" i="2"/>
  <c r="V656" i="2"/>
  <c r="U661" i="2"/>
  <c r="R661" i="2"/>
  <c r="U648" i="2"/>
  <c r="U656" i="2"/>
  <c r="T648" i="2"/>
  <c r="R653" i="2"/>
  <c r="U660" i="2"/>
  <c r="S653" i="2"/>
  <c r="T660" i="2"/>
  <c r="V657" i="2"/>
  <c r="V653" i="2"/>
  <c r="U653" i="2"/>
  <c r="U657" i="2"/>
  <c r="U652" i="2"/>
  <c r="T656" i="2"/>
  <c r="V652" i="2"/>
  <c r="R652" i="2"/>
  <c r="U638" i="2"/>
  <c r="T652" i="2"/>
  <c r="T638" i="2"/>
  <c r="V649" i="2"/>
  <c r="R649" i="2"/>
  <c r="V635" i="2"/>
  <c r="U649" i="2"/>
  <c r="R638" i="2"/>
  <c r="S635" i="2"/>
  <c r="V643" i="2"/>
  <c r="R642" i="2"/>
  <c r="V642" i="2"/>
  <c r="U643" i="2"/>
  <c r="U642" i="2"/>
  <c r="R643" i="2"/>
  <c r="T642" i="2"/>
  <c r="U635" i="2"/>
  <c r="V639" i="2"/>
  <c r="R639" i="2"/>
  <c r="U639" i="2"/>
  <c r="V634" i="2"/>
  <c r="R634" i="2"/>
  <c r="U634" i="2"/>
  <c r="T634" i="2"/>
  <c r="R703" i="2"/>
  <c r="V703" i="2"/>
  <c r="T703" i="2"/>
  <c r="S703" i="2"/>
  <c r="U703" i="2"/>
  <c r="D30" i="16"/>
  <c r="D32" i="16"/>
  <c r="D22" i="16"/>
  <c r="D21" i="16"/>
  <c r="D39" i="16"/>
  <c r="D38" i="16"/>
  <c r="D37" i="16"/>
  <c r="D36" i="16"/>
  <c r="Z24" i="16"/>
  <c r="Z23" i="16"/>
  <c r="X704" i="2" l="1"/>
  <c r="X705" i="2"/>
  <c r="X703" i="2"/>
  <c r="D374" i="16"/>
  <c r="D107" i="16" l="1"/>
  <c r="D101" i="16" s="1"/>
  <c r="O118" i="2" s="1"/>
  <c r="T118" i="2" s="1"/>
  <c r="X118" i="2" s="1"/>
  <c r="D29" i="16"/>
  <c r="D27" i="16"/>
  <c r="D362" i="16"/>
  <c r="D99" i="16" l="1"/>
  <c r="O116" i="2" s="1"/>
  <c r="R116" i="2" s="1"/>
  <c r="X116" i="2" s="1"/>
  <c r="D100" i="16"/>
  <c r="O117" i="2" s="1"/>
  <c r="S117" i="2" s="1"/>
  <c r="X117" i="2" s="1"/>
  <c r="D70" i="16"/>
  <c r="D71" i="16"/>
  <c r="D89" i="16"/>
  <c r="O772" i="2" s="1"/>
  <c r="T772" i="2" s="1"/>
  <c r="X772" i="2" s="1"/>
  <c r="D69" i="16"/>
  <c r="D87" i="16"/>
  <c r="O770" i="2" s="1"/>
  <c r="R770" i="2" s="1"/>
  <c r="X770" i="2" s="1"/>
  <c r="D88" i="16"/>
  <c r="O771" i="2" s="1"/>
  <c r="S771" i="2" s="1"/>
  <c r="X771" i="2" s="1"/>
  <c r="D94" i="16"/>
  <c r="D95" i="16"/>
  <c r="D86" i="16"/>
  <c r="D93" i="16"/>
  <c r="D85" i="16"/>
  <c r="D84" i="16"/>
  <c r="D80" i="16"/>
  <c r="D78" i="16"/>
  <c r="D79" i="16"/>
  <c r="D347" i="16"/>
  <c r="D309" i="16" l="1"/>
  <c r="D346" i="16" s="1"/>
  <c r="D308" i="16"/>
  <c r="D348" i="16" s="1"/>
  <c r="D106" i="16"/>
  <c r="D40" i="16"/>
  <c r="D42" i="16"/>
  <c r="D45" i="16"/>
  <c r="D72" i="16" l="1"/>
  <c r="D74" i="16"/>
  <c r="D73" i="16"/>
  <c r="J56" i="2"/>
  <c r="N59" i="2"/>
  <c r="S59" i="2" s="1"/>
  <c r="N60" i="2"/>
  <c r="R60" i="2" s="1"/>
  <c r="N61" i="2"/>
  <c r="U61" i="2" s="1"/>
  <c r="N62" i="2"/>
  <c r="U62" i="2" s="1"/>
  <c r="N63" i="2"/>
  <c r="T63" i="2" s="1"/>
  <c r="N64" i="2"/>
  <c r="R64" i="2" s="1"/>
  <c r="P59" i="2"/>
  <c r="P60" i="2"/>
  <c r="P61" i="2"/>
  <c r="P62" i="2"/>
  <c r="P63" i="2"/>
  <c r="P64" i="2"/>
  <c r="Q59" i="2"/>
  <c r="Q60" i="2"/>
  <c r="Q61" i="2"/>
  <c r="Q62" i="2"/>
  <c r="Q63" i="2"/>
  <c r="Q64" i="2"/>
  <c r="W59" i="2"/>
  <c r="W60" i="2"/>
  <c r="W61" i="2"/>
  <c r="W62" i="2"/>
  <c r="W63" i="2"/>
  <c r="W64" i="2"/>
  <c r="J5" i="2"/>
  <c r="N8" i="2"/>
  <c r="S8" i="2" s="1"/>
  <c r="N9" i="2"/>
  <c r="V9" i="2" s="1"/>
  <c r="N10" i="2"/>
  <c r="U10" i="2" s="1"/>
  <c r="P8" i="2"/>
  <c r="P9" i="2"/>
  <c r="P10" i="2"/>
  <c r="Q8" i="2"/>
  <c r="Q9" i="2"/>
  <c r="Q10" i="2"/>
  <c r="W8" i="2"/>
  <c r="W9" i="2"/>
  <c r="W10" i="2"/>
  <c r="N23" i="2"/>
  <c r="U23" i="2" s="1"/>
  <c r="N24" i="2"/>
  <c r="T24" i="2" s="1"/>
  <c r="N25" i="2"/>
  <c r="U25" i="2" s="1"/>
  <c r="P23" i="2"/>
  <c r="P24" i="2"/>
  <c r="P25" i="2"/>
  <c r="Q23" i="2"/>
  <c r="Q24" i="2"/>
  <c r="Q25" i="2"/>
  <c r="W23" i="2"/>
  <c r="W24" i="2"/>
  <c r="W25" i="2"/>
  <c r="N26" i="2"/>
  <c r="N27" i="2"/>
  <c r="R27" i="2" s="1"/>
  <c r="N28" i="2"/>
  <c r="V28" i="2" s="1"/>
  <c r="P26" i="2"/>
  <c r="P27" i="2"/>
  <c r="P28" i="2"/>
  <c r="Q26" i="2"/>
  <c r="Q27" i="2"/>
  <c r="Q28" i="2"/>
  <c r="W26" i="2"/>
  <c r="W27" i="2"/>
  <c r="W28" i="2"/>
  <c r="J159" i="2"/>
  <c r="J160" i="2" s="1" a="1"/>
  <c r="J160" i="2" s="1"/>
  <c r="N162" i="2"/>
  <c r="U162" i="2" s="1"/>
  <c r="N163" i="2"/>
  <c r="R163" i="2" s="1"/>
  <c r="N164" i="2"/>
  <c r="R164" i="2" s="1"/>
  <c r="P162" i="2"/>
  <c r="P163" i="2"/>
  <c r="P164" i="2"/>
  <c r="Q162" i="2"/>
  <c r="Q163" i="2"/>
  <c r="Q164" i="2"/>
  <c r="W162" i="2"/>
  <c r="W163" i="2"/>
  <c r="W164" i="2"/>
  <c r="N165" i="2"/>
  <c r="U165" i="2" s="1"/>
  <c r="P165" i="2"/>
  <c r="Q165" i="2"/>
  <c r="W165" i="2"/>
  <c r="J166" i="2" a="1"/>
  <c r="J166" i="2" s="1"/>
  <c r="N166" i="2"/>
  <c r="U166" i="2" s="1"/>
  <c r="P166" i="2"/>
  <c r="Q166" i="2"/>
  <c r="W166" i="2"/>
  <c r="N167" i="2"/>
  <c r="U167" i="2" s="1"/>
  <c r="P167" i="2"/>
  <c r="Q167" i="2"/>
  <c r="W167" i="2"/>
  <c r="J186" i="2"/>
  <c r="N189" i="2"/>
  <c r="U189" i="2" s="1"/>
  <c r="N190" i="2"/>
  <c r="T190" i="2" s="1"/>
  <c r="N191" i="2"/>
  <c r="P189" i="2"/>
  <c r="P190" i="2"/>
  <c r="P191" i="2"/>
  <c r="Q189" i="2"/>
  <c r="Q190" i="2"/>
  <c r="Q191" i="2"/>
  <c r="W189" i="2"/>
  <c r="W190" i="2"/>
  <c r="W191" i="2"/>
  <c r="J120" i="2"/>
  <c r="N123" i="2"/>
  <c r="V123" i="2" s="1"/>
  <c r="N124" i="2"/>
  <c r="V124" i="2" s="1"/>
  <c r="N125" i="2"/>
  <c r="R125" i="2" s="1"/>
  <c r="P123" i="2"/>
  <c r="P124" i="2"/>
  <c r="P125" i="2"/>
  <c r="Q123" i="2"/>
  <c r="Q124" i="2"/>
  <c r="Q125" i="2"/>
  <c r="W123" i="2"/>
  <c r="W124" i="2"/>
  <c r="W125" i="2"/>
  <c r="V61" i="2" l="1"/>
  <c r="S61" i="2"/>
  <c r="V60" i="2"/>
  <c r="U60" i="2"/>
  <c r="T60" i="2"/>
  <c r="T62" i="2"/>
  <c r="V62" i="2"/>
  <c r="S62" i="2"/>
  <c r="V63" i="2"/>
  <c r="U59" i="2"/>
  <c r="T59" i="2"/>
  <c r="V8" i="2"/>
  <c r="V59" i="2"/>
  <c r="R61" i="2"/>
  <c r="V23" i="2"/>
  <c r="T23" i="2"/>
  <c r="U163" i="2"/>
  <c r="T166" i="2"/>
  <c r="T162" i="2"/>
  <c r="T8" i="2"/>
  <c r="R63" i="2"/>
  <c r="S162" i="2"/>
  <c r="R10" i="2"/>
  <c r="V27" i="2"/>
  <c r="V24" i="2"/>
  <c r="R9" i="2"/>
  <c r="V162" i="2"/>
  <c r="T9" i="2"/>
  <c r="U63" i="2"/>
  <c r="U9" i="2"/>
  <c r="V64" i="2"/>
  <c r="S64" i="2"/>
  <c r="U64" i="2"/>
  <c r="U8" i="2"/>
  <c r="V26" i="2"/>
  <c r="U27" i="2"/>
  <c r="R25" i="2"/>
  <c r="T27" i="2"/>
  <c r="V25" i="2"/>
  <c r="S10" i="2"/>
  <c r="V10" i="2"/>
  <c r="V125" i="2"/>
  <c r="U24" i="2"/>
  <c r="S167" i="2"/>
  <c r="R166" i="2"/>
  <c r="S23" i="2"/>
  <c r="S28" i="2"/>
  <c r="R28" i="2"/>
  <c r="U124" i="2"/>
  <c r="U28" i="2"/>
  <c r="T163" i="2"/>
  <c r="V163" i="2"/>
  <c r="U164" i="2"/>
  <c r="S26" i="2"/>
  <c r="V189" i="2"/>
  <c r="V167" i="2"/>
  <c r="V166" i="2"/>
  <c r="U26" i="2"/>
  <c r="T189" i="2"/>
  <c r="T165" i="2"/>
  <c r="S165" i="2"/>
  <c r="V164" i="2"/>
  <c r="S164" i="2"/>
  <c r="V165" i="2"/>
  <c r="R167" i="2"/>
  <c r="S123" i="2"/>
  <c r="R124" i="2"/>
  <c r="T123" i="2"/>
  <c r="U123" i="2"/>
  <c r="V190" i="2"/>
  <c r="S191" i="2"/>
  <c r="U190" i="2"/>
  <c r="R191" i="2"/>
  <c r="U191" i="2"/>
  <c r="S189" i="2"/>
  <c r="R190" i="2"/>
  <c r="V191" i="2"/>
  <c r="T124" i="2"/>
  <c r="S125" i="2"/>
  <c r="U125" i="2"/>
  <c r="J782" i="2" l="1"/>
  <c r="N785" i="2"/>
  <c r="V785" i="2" s="1"/>
  <c r="N786" i="2"/>
  <c r="R786" i="2" s="1"/>
  <c r="N787" i="2"/>
  <c r="S787" i="2" s="1"/>
  <c r="P785" i="2"/>
  <c r="P786" i="2"/>
  <c r="P787" i="2"/>
  <c r="Q785" i="2"/>
  <c r="Q786" i="2"/>
  <c r="Q787" i="2"/>
  <c r="W785" i="2"/>
  <c r="W786" i="2"/>
  <c r="W787" i="2"/>
  <c r="W790" i="2"/>
  <c r="W789" i="2"/>
  <c r="W788" i="2"/>
  <c r="Q790" i="2"/>
  <c r="Q789" i="2"/>
  <c r="Q788" i="2"/>
  <c r="P790" i="2"/>
  <c r="P789" i="2"/>
  <c r="P788" i="2"/>
  <c r="N790" i="2"/>
  <c r="R790" i="2" s="1"/>
  <c r="N789" i="2"/>
  <c r="N788" i="2"/>
  <c r="V788" i="2" s="1"/>
  <c r="J776" i="2"/>
  <c r="N776" i="2"/>
  <c r="S776" i="2" s="1"/>
  <c r="N777" i="2"/>
  <c r="T777" i="2" s="1"/>
  <c r="N778" i="2"/>
  <c r="R778" i="2" s="1"/>
  <c r="N779" i="2"/>
  <c r="U779" i="2" s="1"/>
  <c r="N780" i="2"/>
  <c r="R780" i="2" s="1"/>
  <c r="N781" i="2"/>
  <c r="N782" i="2"/>
  <c r="N783" i="2"/>
  <c r="N784" i="2"/>
  <c r="S784" i="2" s="1"/>
  <c r="P776" i="2"/>
  <c r="P777" i="2"/>
  <c r="P778" i="2"/>
  <c r="P779" i="2"/>
  <c r="P780" i="2"/>
  <c r="P781" i="2"/>
  <c r="P782" i="2"/>
  <c r="P783" i="2"/>
  <c r="P784" i="2"/>
  <c r="Q776" i="2"/>
  <c r="Q777" i="2"/>
  <c r="Q778" i="2"/>
  <c r="Q779" i="2"/>
  <c r="Q780" i="2"/>
  <c r="Q781" i="2"/>
  <c r="Q782" i="2"/>
  <c r="Q783" i="2"/>
  <c r="Q784" i="2"/>
  <c r="W776" i="2"/>
  <c r="W777" i="2"/>
  <c r="W778" i="2"/>
  <c r="W779" i="2"/>
  <c r="W780" i="2"/>
  <c r="W781" i="2"/>
  <c r="W782" i="2"/>
  <c r="W783" i="2"/>
  <c r="W784" i="2"/>
  <c r="N758" i="2"/>
  <c r="S758" i="2" s="1"/>
  <c r="N759" i="2"/>
  <c r="R759" i="2" s="1"/>
  <c r="N760" i="2"/>
  <c r="R760" i="2" s="1"/>
  <c r="P758" i="2"/>
  <c r="P759" i="2"/>
  <c r="P760" i="2"/>
  <c r="Q758" i="2"/>
  <c r="Q759" i="2"/>
  <c r="Q760" i="2"/>
  <c r="W758" i="2"/>
  <c r="W759" i="2"/>
  <c r="W760" i="2"/>
  <c r="J746" i="2"/>
  <c r="N751" i="2"/>
  <c r="S751" i="2" s="1"/>
  <c r="N752" i="2"/>
  <c r="T752" i="2" s="1"/>
  <c r="N753" i="2"/>
  <c r="V753" i="2" s="1"/>
  <c r="N754" i="2"/>
  <c r="U754" i="2" s="1"/>
  <c r="P751" i="2"/>
  <c r="P752" i="2"/>
  <c r="P753" i="2"/>
  <c r="P754" i="2"/>
  <c r="Q751" i="2"/>
  <c r="Q752" i="2"/>
  <c r="Q753" i="2"/>
  <c r="Q754" i="2"/>
  <c r="W751" i="2"/>
  <c r="W752" i="2"/>
  <c r="W753" i="2"/>
  <c r="W754" i="2"/>
  <c r="N743" i="2"/>
  <c r="S743" i="2" s="1"/>
  <c r="N744" i="2"/>
  <c r="U744" i="2" s="1"/>
  <c r="N745" i="2"/>
  <c r="U745" i="2" s="1"/>
  <c r="N746" i="2"/>
  <c r="T746" i="2" s="1"/>
  <c r="N747" i="2"/>
  <c r="T747" i="2" s="1"/>
  <c r="N748" i="2"/>
  <c r="R748" i="2" s="1"/>
  <c r="P743" i="2"/>
  <c r="P744" i="2"/>
  <c r="P745" i="2"/>
  <c r="P746" i="2"/>
  <c r="P747" i="2"/>
  <c r="P748" i="2"/>
  <c r="Q743" i="2"/>
  <c r="Q744" i="2"/>
  <c r="Q745" i="2"/>
  <c r="Q746" i="2"/>
  <c r="Q747" i="2"/>
  <c r="Q748" i="2"/>
  <c r="W743" i="2"/>
  <c r="W744" i="2"/>
  <c r="W745" i="2"/>
  <c r="W746" i="2"/>
  <c r="W747" i="2"/>
  <c r="W748" i="2"/>
  <c r="N749" i="2"/>
  <c r="T749" i="2" s="1"/>
  <c r="N750" i="2"/>
  <c r="R750" i="2" s="1"/>
  <c r="P749" i="2"/>
  <c r="P750" i="2"/>
  <c r="Q749" i="2"/>
  <c r="Q750" i="2"/>
  <c r="W749" i="2"/>
  <c r="W750" i="2"/>
  <c r="N731" i="2"/>
  <c r="T731" i="2" s="1"/>
  <c r="N732" i="2"/>
  <c r="U732" i="2" s="1"/>
  <c r="N733" i="2"/>
  <c r="S733" i="2" s="1"/>
  <c r="N734" i="2"/>
  <c r="T734" i="2" s="1"/>
  <c r="N735" i="2"/>
  <c r="R735" i="2" s="1"/>
  <c r="N736" i="2"/>
  <c r="S736" i="2" s="1"/>
  <c r="P731" i="2"/>
  <c r="P732" i="2"/>
  <c r="P733" i="2"/>
  <c r="P734" i="2"/>
  <c r="P735" i="2"/>
  <c r="P736" i="2"/>
  <c r="Q731" i="2"/>
  <c r="Q732" i="2"/>
  <c r="Q733" i="2"/>
  <c r="Q734" i="2"/>
  <c r="Q735" i="2"/>
  <c r="Q736" i="2"/>
  <c r="W731" i="2"/>
  <c r="W732" i="2"/>
  <c r="W733" i="2"/>
  <c r="W734" i="2"/>
  <c r="W735" i="2"/>
  <c r="W736" i="2"/>
  <c r="N737" i="2"/>
  <c r="T737" i="2" s="1"/>
  <c r="N738" i="2"/>
  <c r="R738" i="2" s="1"/>
  <c r="N739" i="2"/>
  <c r="R739" i="2" s="1"/>
  <c r="P737" i="2"/>
  <c r="P738" i="2"/>
  <c r="P739" i="2"/>
  <c r="Q737" i="2"/>
  <c r="Q738" i="2"/>
  <c r="Q739" i="2"/>
  <c r="W737" i="2"/>
  <c r="W738" i="2"/>
  <c r="W739" i="2"/>
  <c r="N740" i="2"/>
  <c r="T740" i="2" s="1"/>
  <c r="N741" i="2"/>
  <c r="U741" i="2" s="1"/>
  <c r="N742" i="2"/>
  <c r="R742" i="2" s="1"/>
  <c r="P740" i="2"/>
  <c r="P741" i="2"/>
  <c r="P742" i="2"/>
  <c r="Q740" i="2"/>
  <c r="Q741" i="2"/>
  <c r="Q742" i="2"/>
  <c r="W740" i="2"/>
  <c r="W741" i="2"/>
  <c r="W742" i="2"/>
  <c r="U786" i="2" l="1"/>
  <c r="U785" i="2"/>
  <c r="T786" i="2"/>
  <c r="V776" i="2"/>
  <c r="U776" i="2"/>
  <c r="V786" i="2"/>
  <c r="T785" i="2"/>
  <c r="T776" i="2"/>
  <c r="S785" i="2"/>
  <c r="V784" i="2"/>
  <c r="R784" i="2"/>
  <c r="V777" i="2"/>
  <c r="R777" i="2"/>
  <c r="U777" i="2"/>
  <c r="R787" i="2"/>
  <c r="U752" i="2"/>
  <c r="U787" i="2"/>
  <c r="V787" i="2"/>
  <c r="S790" i="2"/>
  <c r="U784" i="2"/>
  <c r="V783" i="2"/>
  <c r="U778" i="2"/>
  <c r="S778" i="2"/>
  <c r="U790" i="2"/>
  <c r="R751" i="2"/>
  <c r="S760" i="2"/>
  <c r="V779" i="2"/>
  <c r="S779" i="2"/>
  <c r="V778" i="2"/>
  <c r="T779" i="2"/>
  <c r="V789" i="2"/>
  <c r="T788" i="2"/>
  <c r="V790" i="2"/>
  <c r="T789" i="2"/>
  <c r="R789" i="2"/>
  <c r="U788" i="2"/>
  <c r="U789" i="2"/>
  <c r="S788" i="2"/>
  <c r="V751" i="2"/>
  <c r="V760" i="2"/>
  <c r="R781" i="2"/>
  <c r="V782" i="2"/>
  <c r="S782" i="2"/>
  <c r="T782" i="2"/>
  <c r="S781" i="2"/>
  <c r="T758" i="2"/>
  <c r="U781" i="2"/>
  <c r="U743" i="2"/>
  <c r="V781" i="2"/>
  <c r="U733" i="2"/>
  <c r="V752" i="2"/>
  <c r="U758" i="2"/>
  <c r="V733" i="2"/>
  <c r="R733" i="2"/>
  <c r="V780" i="2"/>
  <c r="U783" i="2"/>
  <c r="T753" i="2"/>
  <c r="T759" i="2"/>
  <c r="U782" i="2"/>
  <c r="T783" i="2"/>
  <c r="U780" i="2"/>
  <c r="R783" i="2"/>
  <c r="R754" i="2"/>
  <c r="V758" i="2"/>
  <c r="T780" i="2"/>
  <c r="V754" i="2"/>
  <c r="S754" i="2"/>
  <c r="U760" i="2"/>
  <c r="V759" i="2"/>
  <c r="V750" i="2"/>
  <c r="U759" i="2"/>
  <c r="R753" i="2"/>
  <c r="U750" i="2"/>
  <c r="S746" i="2"/>
  <c r="R747" i="2"/>
  <c r="V747" i="2"/>
  <c r="V746" i="2"/>
  <c r="U747" i="2"/>
  <c r="V732" i="2"/>
  <c r="U746" i="2"/>
  <c r="U753" i="2"/>
  <c r="S752" i="2"/>
  <c r="T743" i="2"/>
  <c r="T744" i="2"/>
  <c r="V744" i="2"/>
  <c r="T750" i="2"/>
  <c r="V743" i="2"/>
  <c r="R744" i="2"/>
  <c r="S749" i="2"/>
  <c r="V749" i="2"/>
  <c r="S748" i="2"/>
  <c r="U749" i="2"/>
  <c r="V745" i="2"/>
  <c r="S734" i="2"/>
  <c r="S745" i="2"/>
  <c r="U751" i="2"/>
  <c r="R745" i="2"/>
  <c r="T738" i="2"/>
  <c r="S739" i="2"/>
  <c r="U748" i="2"/>
  <c r="V748" i="2"/>
  <c r="U731" i="2"/>
  <c r="R732" i="2"/>
  <c r="V731" i="2"/>
  <c r="S731" i="2"/>
  <c r="V738" i="2"/>
  <c r="U735" i="2"/>
  <c r="U734" i="2"/>
  <c r="V739" i="2"/>
  <c r="V736" i="2"/>
  <c r="V734" i="2"/>
  <c r="U739" i="2"/>
  <c r="R736" i="2"/>
  <c r="U742" i="2"/>
  <c r="V742" i="2"/>
  <c r="S742" i="2"/>
  <c r="V735" i="2"/>
  <c r="T735" i="2"/>
  <c r="U736" i="2"/>
  <c r="V737" i="2"/>
  <c r="S737" i="2"/>
  <c r="U737" i="2"/>
  <c r="T732" i="2"/>
  <c r="V741" i="2"/>
  <c r="U738" i="2"/>
  <c r="T741" i="2"/>
  <c r="V740" i="2"/>
  <c r="R741" i="2"/>
  <c r="S740" i="2"/>
  <c r="U740" i="2"/>
  <c r="J145" i="2"/>
  <c r="J144" i="2"/>
  <c r="H26" i="1"/>
  <c r="N144" i="2"/>
  <c r="V144" i="2" s="1"/>
  <c r="O144" i="2"/>
  <c r="P144" i="2"/>
  <c r="Q144" i="2"/>
  <c r="W144" i="2"/>
  <c r="N145" i="2"/>
  <c r="O145" i="2"/>
  <c r="P145" i="2"/>
  <c r="Q145" i="2"/>
  <c r="W145" i="2"/>
  <c r="J157" i="2"/>
  <c r="J156" i="2"/>
  <c r="J155" i="2"/>
  <c r="J154" i="2"/>
  <c r="J153" i="2"/>
  <c r="N153" i="2"/>
  <c r="V153" i="2" s="1"/>
  <c r="N154" i="2"/>
  <c r="T154" i="2" s="1"/>
  <c r="N155" i="2"/>
  <c r="R155" i="2" s="1"/>
  <c r="N156" i="2"/>
  <c r="S156" i="2" s="1"/>
  <c r="N157" i="2"/>
  <c r="R157" i="2" s="1"/>
  <c r="O153" i="2"/>
  <c r="O154" i="2"/>
  <c r="O155" i="2"/>
  <c r="O156" i="2"/>
  <c r="O157" i="2"/>
  <c r="P153" i="2"/>
  <c r="P154" i="2"/>
  <c r="P155" i="2"/>
  <c r="P156" i="2"/>
  <c r="P157" i="2"/>
  <c r="Q153" i="2"/>
  <c r="Q154" i="2"/>
  <c r="Q155" i="2"/>
  <c r="Q156" i="2"/>
  <c r="Q157" i="2"/>
  <c r="W153" i="2"/>
  <c r="W154" i="2"/>
  <c r="W155" i="2"/>
  <c r="W156" i="2"/>
  <c r="W157" i="2"/>
  <c r="J152" i="2"/>
  <c r="J151" i="2"/>
  <c r="J150" i="2"/>
  <c r="J149" i="2"/>
  <c r="J148" i="2"/>
  <c r="J147" i="2"/>
  <c r="J158" i="2"/>
  <c r="J146" i="2"/>
  <c r="N158" i="2"/>
  <c r="R158" i="2" s="1"/>
  <c r="O158" i="2"/>
  <c r="P158" i="2"/>
  <c r="Q158" i="2"/>
  <c r="W158" i="2"/>
  <c r="N110" i="2"/>
  <c r="T110" i="2" s="1"/>
  <c r="N111" i="2"/>
  <c r="R111" i="2" s="1"/>
  <c r="N112" i="2"/>
  <c r="R112" i="2" s="1"/>
  <c r="P110" i="2"/>
  <c r="P111" i="2"/>
  <c r="P112" i="2"/>
  <c r="Q110" i="2"/>
  <c r="Q111" i="2"/>
  <c r="Q112" i="2"/>
  <c r="W110" i="2"/>
  <c r="W111" i="2"/>
  <c r="W112" i="2"/>
  <c r="N101" i="2"/>
  <c r="S101" i="2" s="1"/>
  <c r="N102" i="2"/>
  <c r="U102" i="2" s="1"/>
  <c r="N103" i="2"/>
  <c r="U103" i="2" s="1"/>
  <c r="P101" i="2"/>
  <c r="P102" i="2"/>
  <c r="P103" i="2"/>
  <c r="Q101" i="2"/>
  <c r="Q102" i="2"/>
  <c r="Q103" i="2"/>
  <c r="W101" i="2"/>
  <c r="W102" i="2"/>
  <c r="W103" i="2"/>
  <c r="N80" i="2"/>
  <c r="U80" i="2" s="1"/>
  <c r="N81" i="2"/>
  <c r="R81" i="2" s="1"/>
  <c r="N82" i="2"/>
  <c r="S82" i="2" s="1"/>
  <c r="P80" i="2"/>
  <c r="P81" i="2"/>
  <c r="P82" i="2"/>
  <c r="Q80" i="2"/>
  <c r="Q81" i="2"/>
  <c r="Q82" i="2"/>
  <c r="W80" i="2"/>
  <c r="W81" i="2"/>
  <c r="W82" i="2"/>
  <c r="J42" i="2" a="1"/>
  <c r="J42" i="2" s="1"/>
  <c r="J49" i="2" a="1"/>
  <c r="J49" i="2" s="1"/>
  <c r="J48" i="2" a="1"/>
  <c r="J48" i="2" s="1"/>
  <c r="N44" i="2"/>
  <c r="U44" i="2" s="1"/>
  <c r="N45" i="2"/>
  <c r="T45" i="2" s="1"/>
  <c r="N46" i="2"/>
  <c r="U46" i="2" s="1"/>
  <c r="P44" i="2"/>
  <c r="P45" i="2"/>
  <c r="P46" i="2"/>
  <c r="Q44" i="2"/>
  <c r="Q45" i="2"/>
  <c r="Q46" i="2"/>
  <c r="W44" i="2"/>
  <c r="W45" i="2"/>
  <c r="W46" i="2"/>
  <c r="N47" i="2"/>
  <c r="N48" i="2"/>
  <c r="R48" i="2" s="1"/>
  <c r="N49" i="2"/>
  <c r="R49" i="2" s="1"/>
  <c r="P47" i="2"/>
  <c r="P48" i="2"/>
  <c r="P49" i="2"/>
  <c r="Q47" i="2"/>
  <c r="Q48" i="2"/>
  <c r="Q49" i="2"/>
  <c r="W47" i="2"/>
  <c r="W48" i="2"/>
  <c r="W49" i="2"/>
  <c r="J119" i="2"/>
  <c r="J618" i="2" l="1"/>
  <c r="R144" i="2"/>
  <c r="R145" i="2"/>
  <c r="U144" i="2"/>
  <c r="V145" i="2"/>
  <c r="T144" i="2"/>
  <c r="S144" i="2"/>
  <c r="U145" i="2"/>
  <c r="T145" i="2"/>
  <c r="S145" i="2"/>
  <c r="U154" i="2"/>
  <c r="T155" i="2"/>
  <c r="S155" i="2"/>
  <c r="U155" i="2"/>
  <c r="S154" i="2"/>
  <c r="R154" i="2"/>
  <c r="V154" i="2"/>
  <c r="V155" i="2"/>
  <c r="S157" i="2"/>
  <c r="V157" i="2"/>
  <c r="T157" i="2"/>
  <c r="V156" i="2"/>
  <c r="T156" i="2"/>
  <c r="R156" i="2"/>
  <c r="U157" i="2"/>
  <c r="U156" i="2"/>
  <c r="T153" i="2"/>
  <c r="R153" i="2"/>
  <c r="U153" i="2"/>
  <c r="S153" i="2"/>
  <c r="S110" i="2"/>
  <c r="T111" i="2"/>
  <c r="V110" i="2"/>
  <c r="U111" i="2"/>
  <c r="U112" i="2"/>
  <c r="S112" i="2"/>
  <c r="V101" i="2"/>
  <c r="V112" i="2"/>
  <c r="V111" i="2"/>
  <c r="V158" i="2"/>
  <c r="U158" i="2"/>
  <c r="T158" i="2"/>
  <c r="U101" i="2"/>
  <c r="S158" i="2"/>
  <c r="T102" i="2"/>
  <c r="T101" i="2"/>
  <c r="V103" i="2"/>
  <c r="S103" i="2"/>
  <c r="V102" i="2"/>
  <c r="U110" i="2"/>
  <c r="R103" i="2"/>
  <c r="R102" i="2"/>
  <c r="V82" i="2"/>
  <c r="U82" i="2"/>
  <c r="R82" i="2"/>
  <c r="U45" i="2"/>
  <c r="T81" i="2"/>
  <c r="V81" i="2"/>
  <c r="U81" i="2"/>
  <c r="V80" i="2"/>
  <c r="S80" i="2"/>
  <c r="T80" i="2"/>
  <c r="V46" i="2"/>
  <c r="V45" i="2"/>
  <c r="S46" i="2"/>
  <c r="R46" i="2"/>
  <c r="V44" i="2"/>
  <c r="R45" i="2"/>
  <c r="S44" i="2"/>
  <c r="T44" i="2"/>
  <c r="U49" i="2"/>
  <c r="T48" i="2"/>
  <c r="S49" i="2"/>
  <c r="V48" i="2"/>
  <c r="V49" i="2"/>
  <c r="V47" i="2"/>
  <c r="S47" i="2"/>
  <c r="U48" i="2"/>
  <c r="U47" i="2"/>
  <c r="T47" i="2"/>
  <c r="I26" i="1" l="1"/>
  <c r="K26" i="1"/>
  <c r="L26" i="1"/>
  <c r="X145" i="2"/>
  <c r="X144" i="2"/>
  <c r="J26" i="1"/>
  <c r="J798" i="2" l="1"/>
  <c r="D376" i="16"/>
  <c r="D296" i="16" l="1"/>
  <c r="D295" i="16"/>
  <c r="D294" i="16"/>
  <c r="N536" i="2"/>
  <c r="V536" i="2" s="1"/>
  <c r="N537" i="2"/>
  <c r="V537" i="2" s="1"/>
  <c r="N538" i="2"/>
  <c r="R538" i="2" s="1"/>
  <c r="N539" i="2"/>
  <c r="T539" i="2" s="1"/>
  <c r="N540" i="2"/>
  <c r="R540" i="2" s="1"/>
  <c r="N541" i="2"/>
  <c r="R541" i="2" s="1"/>
  <c r="N542" i="2"/>
  <c r="V542" i="2" s="1"/>
  <c r="N543" i="2"/>
  <c r="U543" i="2" s="1"/>
  <c r="N544" i="2"/>
  <c r="N545" i="2"/>
  <c r="T545" i="2" s="1"/>
  <c r="N546" i="2"/>
  <c r="V546" i="2" s="1"/>
  <c r="N547" i="2"/>
  <c r="S547" i="2" s="1"/>
  <c r="N548" i="2"/>
  <c r="N549" i="2"/>
  <c r="V549" i="2" s="1"/>
  <c r="N550" i="2"/>
  <c r="R550" i="2" s="1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J532" i="2" a="1"/>
  <c r="J532" i="2" s="1"/>
  <c r="J531" i="2" a="1"/>
  <c r="J531" i="2" s="1"/>
  <c r="N533" i="2"/>
  <c r="T533" i="2" s="1"/>
  <c r="N534" i="2"/>
  <c r="N535" i="2"/>
  <c r="U535" i="2" s="1"/>
  <c r="O533" i="2"/>
  <c r="O534" i="2"/>
  <c r="O535" i="2"/>
  <c r="P533" i="2"/>
  <c r="P534" i="2"/>
  <c r="P535" i="2"/>
  <c r="Q533" i="2"/>
  <c r="Q534" i="2"/>
  <c r="Q535" i="2"/>
  <c r="W533" i="2"/>
  <c r="W534" i="2"/>
  <c r="W535" i="2"/>
  <c r="N551" i="2"/>
  <c r="T551" i="2" s="1"/>
  <c r="O551" i="2"/>
  <c r="P551" i="2"/>
  <c r="Q551" i="2"/>
  <c r="W551" i="2"/>
  <c r="N552" i="2"/>
  <c r="U552" i="2" s="1"/>
  <c r="O552" i="2"/>
  <c r="P552" i="2"/>
  <c r="Q552" i="2"/>
  <c r="W552" i="2"/>
  <c r="N598" i="2"/>
  <c r="R598" i="2" s="1"/>
  <c r="N599" i="2"/>
  <c r="R599" i="2" s="1"/>
  <c r="N600" i="2"/>
  <c r="S600" i="2" s="1"/>
  <c r="N601" i="2"/>
  <c r="S601" i="2" s="1"/>
  <c r="N602" i="2"/>
  <c r="T602" i="2" s="1"/>
  <c r="O598" i="2"/>
  <c r="O599" i="2"/>
  <c r="O600" i="2"/>
  <c r="O601" i="2"/>
  <c r="O602" i="2"/>
  <c r="P598" i="2"/>
  <c r="P599" i="2"/>
  <c r="P600" i="2"/>
  <c r="P601" i="2"/>
  <c r="P602" i="2"/>
  <c r="Q598" i="2"/>
  <c r="Q599" i="2"/>
  <c r="Q600" i="2"/>
  <c r="Q601" i="2"/>
  <c r="Q602" i="2"/>
  <c r="W598" i="2"/>
  <c r="W599" i="2"/>
  <c r="W600" i="2"/>
  <c r="W601" i="2"/>
  <c r="W602" i="2"/>
  <c r="S541" i="2" l="1"/>
  <c r="U541" i="2"/>
  <c r="V541" i="2"/>
  <c r="U546" i="2"/>
  <c r="U538" i="2"/>
  <c r="T546" i="2"/>
  <c r="S538" i="2"/>
  <c r="R546" i="2"/>
  <c r="T549" i="2"/>
  <c r="V547" i="2"/>
  <c r="U547" i="2"/>
  <c r="U549" i="2"/>
  <c r="U545" i="2"/>
  <c r="R549" i="2"/>
  <c r="S533" i="2"/>
  <c r="V545" i="2"/>
  <c r="U539" i="2"/>
  <c r="S545" i="2"/>
  <c r="V539" i="2"/>
  <c r="S539" i="2"/>
  <c r="R547" i="2"/>
  <c r="U551" i="2"/>
  <c r="S551" i="2"/>
  <c r="V543" i="2"/>
  <c r="T542" i="2"/>
  <c r="R551" i="2"/>
  <c r="V535" i="2"/>
  <c r="V550" i="2"/>
  <c r="S550" i="2"/>
  <c r="U550" i="2"/>
  <c r="S535" i="2"/>
  <c r="V548" i="2"/>
  <c r="S548" i="2"/>
  <c r="S542" i="2"/>
  <c r="S544" i="2"/>
  <c r="R544" i="2"/>
  <c r="U542" i="2"/>
  <c r="V544" i="2"/>
  <c r="U544" i="2"/>
  <c r="U537" i="2"/>
  <c r="V538" i="2"/>
  <c r="T537" i="2"/>
  <c r="R537" i="2"/>
  <c r="T536" i="2"/>
  <c r="U536" i="2"/>
  <c r="S536" i="2"/>
  <c r="V540" i="2"/>
  <c r="T534" i="2"/>
  <c r="T548" i="2"/>
  <c r="T540" i="2"/>
  <c r="U548" i="2"/>
  <c r="U540" i="2"/>
  <c r="V534" i="2"/>
  <c r="R543" i="2"/>
  <c r="V533" i="2"/>
  <c r="R535" i="2"/>
  <c r="V551" i="2"/>
  <c r="R534" i="2"/>
  <c r="U534" i="2"/>
  <c r="T543" i="2"/>
  <c r="T552" i="2"/>
  <c r="U533" i="2"/>
  <c r="S552" i="2"/>
  <c r="R533" i="2"/>
  <c r="V552" i="2"/>
  <c r="R552" i="2"/>
  <c r="T598" i="2"/>
  <c r="T600" i="2"/>
  <c r="T599" i="2"/>
  <c r="U600" i="2"/>
  <c r="V600" i="2"/>
  <c r="V602" i="2"/>
  <c r="V601" i="2"/>
  <c r="U601" i="2"/>
  <c r="R602" i="2"/>
  <c r="U599" i="2"/>
  <c r="R600" i="2"/>
  <c r="V599" i="2"/>
  <c r="U602" i="2"/>
  <c r="S599" i="2"/>
  <c r="R601" i="2"/>
  <c r="T601" i="2"/>
  <c r="V598" i="2"/>
  <c r="S598" i="2"/>
  <c r="U598" i="2"/>
  <c r="S602" i="2"/>
  <c r="X533" i="2" l="1"/>
  <c r="X551" i="2"/>
  <c r="X552" i="2"/>
  <c r="X601" i="2"/>
  <c r="X600" i="2"/>
  <c r="X599" i="2"/>
  <c r="X598" i="2"/>
  <c r="X602" i="2"/>
  <c r="N523" i="2" l="1"/>
  <c r="S523" i="2" s="1"/>
  <c r="O523" i="2"/>
  <c r="P523" i="2"/>
  <c r="Q523" i="2"/>
  <c r="W523" i="2"/>
  <c r="W361" i="2"/>
  <c r="W522" i="2"/>
  <c r="W360" i="2"/>
  <c r="W359" i="2"/>
  <c r="W521" i="2"/>
  <c r="W358" i="2"/>
  <c r="W357" i="2"/>
  <c r="W356" i="2"/>
  <c r="W355" i="2"/>
  <c r="W520" i="2"/>
  <c r="W354" i="2"/>
  <c r="W353" i="2"/>
  <c r="W352" i="2"/>
  <c r="W351" i="2"/>
  <c r="W350" i="2"/>
  <c r="W349" i="2"/>
  <c r="W348" i="2"/>
  <c r="W347" i="2"/>
  <c r="W519" i="2"/>
  <c r="W518" i="2"/>
  <c r="W517" i="2"/>
  <c r="W346" i="2"/>
  <c r="W345" i="2"/>
  <c r="W516" i="2"/>
  <c r="W51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372" i="2"/>
  <c r="W371" i="2"/>
  <c r="W370" i="2"/>
  <c r="W369" i="2"/>
  <c r="W368" i="2"/>
  <c r="W367" i="2"/>
  <c r="W281" i="2"/>
  <c r="W280" i="2"/>
  <c r="W279" i="2"/>
  <c r="W278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285" i="2"/>
  <c r="W284" i="2"/>
  <c r="W283" i="2"/>
  <c r="W384" i="2"/>
  <c r="W383" i="2"/>
  <c r="W382" i="2"/>
  <c r="W381" i="2"/>
  <c r="W380" i="2"/>
  <c r="W379" i="2"/>
  <c r="W378" i="2"/>
  <c r="W377" i="2"/>
  <c r="W388" i="2"/>
  <c r="W387" i="2"/>
  <c r="W386" i="2"/>
  <c r="W385" i="2"/>
  <c r="W363" i="2"/>
  <c r="W362" i="2"/>
  <c r="W376" i="2"/>
  <c r="W375" i="2"/>
  <c r="W374" i="2"/>
  <c r="W394" i="2"/>
  <c r="W373" i="2"/>
  <c r="W366" i="2"/>
  <c r="W365" i="2"/>
  <c r="W364" i="2"/>
  <c r="W393" i="2"/>
  <c r="W392" i="2"/>
  <c r="W391" i="2"/>
  <c r="W390" i="2"/>
  <c r="W389" i="2"/>
  <c r="Q361" i="2"/>
  <c r="Q522" i="2"/>
  <c r="Q360" i="2"/>
  <c r="Q359" i="2"/>
  <c r="Q521" i="2"/>
  <c r="Q358" i="2"/>
  <c r="Q357" i="2"/>
  <c r="Q356" i="2"/>
  <c r="Q355" i="2"/>
  <c r="Q520" i="2"/>
  <c r="Q354" i="2"/>
  <c r="Q353" i="2"/>
  <c r="Q352" i="2"/>
  <c r="Q351" i="2"/>
  <c r="Q350" i="2"/>
  <c r="Q349" i="2"/>
  <c r="Q348" i="2"/>
  <c r="Q347" i="2"/>
  <c r="Q519" i="2"/>
  <c r="Q518" i="2"/>
  <c r="Q517" i="2"/>
  <c r="Q346" i="2"/>
  <c r="Q345" i="2"/>
  <c r="Q516" i="2"/>
  <c r="Q51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372" i="2"/>
  <c r="Q371" i="2"/>
  <c r="Q370" i="2"/>
  <c r="Q369" i="2"/>
  <c r="Q368" i="2"/>
  <c r="Q367" i="2"/>
  <c r="Q281" i="2"/>
  <c r="Q280" i="2"/>
  <c r="Q279" i="2"/>
  <c r="Q278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285" i="2"/>
  <c r="Q284" i="2"/>
  <c r="Q283" i="2"/>
  <c r="Q384" i="2"/>
  <c r="Q383" i="2"/>
  <c r="Q382" i="2"/>
  <c r="Q381" i="2"/>
  <c r="Q380" i="2"/>
  <c r="Q379" i="2"/>
  <c r="Q378" i="2"/>
  <c r="Q377" i="2"/>
  <c r="Q388" i="2"/>
  <c r="Q387" i="2"/>
  <c r="Q386" i="2"/>
  <c r="Q385" i="2"/>
  <c r="Q363" i="2"/>
  <c r="Q362" i="2"/>
  <c r="Q376" i="2"/>
  <c r="Q375" i="2"/>
  <c r="Q374" i="2"/>
  <c r="Q394" i="2"/>
  <c r="Q373" i="2"/>
  <c r="Q366" i="2"/>
  <c r="Q365" i="2"/>
  <c r="Q364" i="2"/>
  <c r="Q393" i="2"/>
  <c r="Q392" i="2"/>
  <c r="Q391" i="2"/>
  <c r="Q390" i="2"/>
  <c r="Q389" i="2"/>
  <c r="P361" i="2"/>
  <c r="P522" i="2"/>
  <c r="P360" i="2"/>
  <c r="P359" i="2"/>
  <c r="P521" i="2"/>
  <c r="P358" i="2"/>
  <c r="P357" i="2"/>
  <c r="P356" i="2"/>
  <c r="P355" i="2"/>
  <c r="P520" i="2"/>
  <c r="P354" i="2"/>
  <c r="P353" i="2"/>
  <c r="P352" i="2"/>
  <c r="P351" i="2"/>
  <c r="P350" i="2"/>
  <c r="P349" i="2"/>
  <c r="P348" i="2"/>
  <c r="P347" i="2"/>
  <c r="P519" i="2"/>
  <c r="P518" i="2"/>
  <c r="P517" i="2"/>
  <c r="P346" i="2"/>
  <c r="P345" i="2"/>
  <c r="P516" i="2"/>
  <c r="P51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372" i="2"/>
  <c r="P371" i="2"/>
  <c r="P370" i="2"/>
  <c r="P369" i="2"/>
  <c r="P368" i="2"/>
  <c r="P367" i="2"/>
  <c r="P281" i="2"/>
  <c r="P280" i="2"/>
  <c r="P279" i="2"/>
  <c r="P278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285" i="2"/>
  <c r="P284" i="2"/>
  <c r="P283" i="2"/>
  <c r="P384" i="2"/>
  <c r="P383" i="2"/>
  <c r="P382" i="2"/>
  <c r="P381" i="2"/>
  <c r="P380" i="2"/>
  <c r="P379" i="2"/>
  <c r="P378" i="2"/>
  <c r="P377" i="2"/>
  <c r="P388" i="2"/>
  <c r="P387" i="2"/>
  <c r="P386" i="2"/>
  <c r="P385" i="2"/>
  <c r="P363" i="2"/>
  <c r="P362" i="2"/>
  <c r="P376" i="2"/>
  <c r="P375" i="2"/>
  <c r="P374" i="2"/>
  <c r="P394" i="2"/>
  <c r="P373" i="2"/>
  <c r="P366" i="2"/>
  <c r="P365" i="2"/>
  <c r="P364" i="2"/>
  <c r="P393" i="2"/>
  <c r="P392" i="2"/>
  <c r="P391" i="2"/>
  <c r="P390" i="2"/>
  <c r="P389" i="2"/>
  <c r="O361" i="2"/>
  <c r="O522" i="2"/>
  <c r="O360" i="2"/>
  <c r="O359" i="2"/>
  <c r="O521" i="2"/>
  <c r="O358" i="2"/>
  <c r="O357" i="2"/>
  <c r="O356" i="2"/>
  <c r="O355" i="2"/>
  <c r="O520" i="2"/>
  <c r="O354" i="2"/>
  <c r="O353" i="2"/>
  <c r="O352" i="2"/>
  <c r="O351" i="2"/>
  <c r="O350" i="2"/>
  <c r="O349" i="2"/>
  <c r="O348" i="2"/>
  <c r="O347" i="2"/>
  <c r="O519" i="2"/>
  <c r="O518" i="2"/>
  <c r="O517" i="2"/>
  <c r="O346" i="2"/>
  <c r="O345" i="2"/>
  <c r="O516" i="2"/>
  <c r="O51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372" i="2"/>
  <c r="O371" i="2"/>
  <c r="O370" i="2"/>
  <c r="O369" i="2"/>
  <c r="O368" i="2"/>
  <c r="O367" i="2"/>
  <c r="O281" i="2"/>
  <c r="O280" i="2"/>
  <c r="O279" i="2"/>
  <c r="O278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285" i="2"/>
  <c r="O284" i="2"/>
  <c r="O283" i="2"/>
  <c r="O384" i="2"/>
  <c r="O383" i="2"/>
  <c r="O382" i="2"/>
  <c r="O381" i="2"/>
  <c r="O380" i="2"/>
  <c r="O379" i="2"/>
  <c r="O378" i="2"/>
  <c r="O377" i="2"/>
  <c r="O388" i="2"/>
  <c r="O387" i="2"/>
  <c r="O386" i="2"/>
  <c r="O385" i="2"/>
  <c r="O363" i="2"/>
  <c r="O362" i="2"/>
  <c r="O376" i="2"/>
  <c r="O375" i="2"/>
  <c r="O374" i="2"/>
  <c r="O394" i="2"/>
  <c r="O373" i="2"/>
  <c r="O366" i="2"/>
  <c r="O365" i="2"/>
  <c r="O364" i="2"/>
  <c r="O393" i="2"/>
  <c r="O392" i="2"/>
  <c r="O391" i="2"/>
  <c r="O390" i="2"/>
  <c r="O389" i="2"/>
  <c r="N361" i="2"/>
  <c r="N522" i="2"/>
  <c r="U522" i="2" s="1"/>
  <c r="N360" i="2"/>
  <c r="N359" i="2"/>
  <c r="N521" i="2"/>
  <c r="N358" i="2"/>
  <c r="S358" i="2" s="1"/>
  <c r="N357" i="2"/>
  <c r="R357" i="2" s="1"/>
  <c r="N356" i="2"/>
  <c r="U356" i="2" s="1"/>
  <c r="N355" i="2"/>
  <c r="N520" i="2"/>
  <c r="S520" i="2" s="1"/>
  <c r="N354" i="2"/>
  <c r="N353" i="2"/>
  <c r="N352" i="2"/>
  <c r="N351" i="2"/>
  <c r="T351" i="2" s="1"/>
  <c r="N350" i="2"/>
  <c r="N349" i="2"/>
  <c r="N348" i="2"/>
  <c r="N347" i="2"/>
  <c r="S347" i="2" s="1"/>
  <c r="N519" i="2"/>
  <c r="N518" i="2"/>
  <c r="N517" i="2"/>
  <c r="N346" i="2"/>
  <c r="N345" i="2"/>
  <c r="R345" i="2" s="1"/>
  <c r="N516" i="2"/>
  <c r="R516" i="2" s="1"/>
  <c r="N515" i="2"/>
  <c r="R515" i="2" s="1"/>
  <c r="N344" i="2"/>
  <c r="U344" i="2" s="1"/>
  <c r="N343" i="2"/>
  <c r="U343" i="2" s="1"/>
  <c r="N342" i="2"/>
  <c r="N341" i="2"/>
  <c r="N340" i="2"/>
  <c r="S340" i="2" s="1"/>
  <c r="N339" i="2"/>
  <c r="N338" i="2"/>
  <c r="S338" i="2" s="1"/>
  <c r="N337" i="2"/>
  <c r="R337" i="2" s="1"/>
  <c r="N336" i="2"/>
  <c r="U336" i="2" s="1"/>
  <c r="N335" i="2"/>
  <c r="N334" i="2"/>
  <c r="N333" i="2"/>
  <c r="N332" i="2"/>
  <c r="N331" i="2"/>
  <c r="N330" i="2"/>
  <c r="N329" i="2"/>
  <c r="S329" i="2" s="1"/>
  <c r="N328" i="2"/>
  <c r="T328" i="2" s="1"/>
  <c r="N327" i="2"/>
  <c r="N326" i="2"/>
  <c r="N325" i="2"/>
  <c r="N324" i="2"/>
  <c r="N323" i="2"/>
  <c r="N322" i="2"/>
  <c r="N321" i="2"/>
  <c r="N320" i="2"/>
  <c r="U320" i="2" s="1"/>
  <c r="N319" i="2"/>
  <c r="N318" i="2"/>
  <c r="N317" i="2"/>
  <c r="N316" i="2"/>
  <c r="R316" i="2" s="1"/>
  <c r="N315" i="2"/>
  <c r="N314" i="2"/>
  <c r="S314" i="2" s="1"/>
  <c r="N313" i="2"/>
  <c r="N312" i="2"/>
  <c r="S312" i="2" s="1"/>
  <c r="N311" i="2"/>
  <c r="N310" i="2"/>
  <c r="N309" i="2"/>
  <c r="N308" i="2"/>
  <c r="R308" i="2" s="1"/>
  <c r="N307" i="2"/>
  <c r="R307" i="2" s="1"/>
  <c r="N306" i="2"/>
  <c r="T306" i="2" s="1"/>
  <c r="N305" i="2"/>
  <c r="S305" i="2" s="1"/>
  <c r="N304" i="2"/>
  <c r="T304" i="2" s="1"/>
  <c r="N303" i="2"/>
  <c r="N302" i="2"/>
  <c r="N301" i="2"/>
  <c r="N300" i="2"/>
  <c r="N299" i="2"/>
  <c r="N298" i="2"/>
  <c r="N297" i="2"/>
  <c r="N296" i="2"/>
  <c r="S296" i="2" s="1"/>
  <c r="N295" i="2"/>
  <c r="N294" i="2"/>
  <c r="N293" i="2"/>
  <c r="N292" i="2"/>
  <c r="T292" i="2" s="1"/>
  <c r="N291" i="2"/>
  <c r="R291" i="2" s="1"/>
  <c r="N290" i="2"/>
  <c r="R290" i="2" s="1"/>
  <c r="N289" i="2"/>
  <c r="U289" i="2" s="1"/>
  <c r="N288" i="2"/>
  <c r="N287" i="2"/>
  <c r="N286" i="2"/>
  <c r="N514" i="2"/>
  <c r="N513" i="2"/>
  <c r="N512" i="2"/>
  <c r="R512" i="2" s="1"/>
  <c r="N511" i="2"/>
  <c r="N510" i="2"/>
  <c r="N509" i="2"/>
  <c r="S509" i="2" s="1"/>
  <c r="N508" i="2"/>
  <c r="N507" i="2"/>
  <c r="N506" i="2"/>
  <c r="N505" i="2"/>
  <c r="N504" i="2"/>
  <c r="T504" i="2" s="1"/>
  <c r="N503" i="2"/>
  <c r="R503" i="2" s="1"/>
  <c r="N502" i="2"/>
  <c r="R502" i="2" s="1"/>
  <c r="N501" i="2"/>
  <c r="R501" i="2" s="1"/>
  <c r="N500" i="2"/>
  <c r="N499" i="2"/>
  <c r="N498" i="2"/>
  <c r="N497" i="2"/>
  <c r="S497" i="2" s="1"/>
  <c r="N496" i="2"/>
  <c r="N495" i="2"/>
  <c r="S495" i="2" s="1"/>
  <c r="N494" i="2"/>
  <c r="N493" i="2"/>
  <c r="N492" i="2"/>
  <c r="N491" i="2"/>
  <c r="N490" i="2"/>
  <c r="N489" i="2"/>
  <c r="N488" i="2"/>
  <c r="N487" i="2"/>
  <c r="U487" i="2" s="1"/>
  <c r="N486" i="2"/>
  <c r="U486" i="2" s="1"/>
  <c r="N485" i="2"/>
  <c r="S485" i="2" s="1"/>
  <c r="N484" i="2"/>
  <c r="N483" i="2"/>
  <c r="N482" i="2"/>
  <c r="N481" i="2"/>
  <c r="T481" i="2" s="1"/>
  <c r="N480" i="2"/>
  <c r="N479" i="2"/>
  <c r="N478" i="2"/>
  <c r="N477" i="2"/>
  <c r="N476" i="2"/>
  <c r="N475" i="2"/>
  <c r="N474" i="2"/>
  <c r="N473" i="2"/>
  <c r="R473" i="2" s="1"/>
  <c r="N472" i="2"/>
  <c r="R472" i="2" s="1"/>
  <c r="N471" i="2"/>
  <c r="S471" i="2" s="1"/>
  <c r="N470" i="2"/>
  <c r="S470" i="2" s="1"/>
  <c r="N469" i="2"/>
  <c r="T469" i="2" s="1"/>
  <c r="N468" i="2"/>
  <c r="N467" i="2"/>
  <c r="N466" i="2"/>
  <c r="U466" i="2" s="1"/>
  <c r="N465" i="2"/>
  <c r="R465" i="2" s="1"/>
  <c r="N464" i="2"/>
  <c r="R464" i="2" s="1"/>
  <c r="N463" i="2"/>
  <c r="R463" i="2" s="1"/>
  <c r="N462" i="2"/>
  <c r="S462" i="2" s="1"/>
  <c r="N461" i="2"/>
  <c r="S461" i="2" s="1"/>
  <c r="N460" i="2"/>
  <c r="N459" i="2"/>
  <c r="N458" i="2"/>
  <c r="N457" i="2"/>
  <c r="T457" i="2" s="1"/>
  <c r="N456" i="2"/>
  <c r="T456" i="2" s="1"/>
  <c r="N455" i="2"/>
  <c r="N454" i="2"/>
  <c r="N453" i="2"/>
  <c r="N452" i="2"/>
  <c r="N451" i="2"/>
  <c r="N450" i="2"/>
  <c r="N449" i="2"/>
  <c r="N448" i="2"/>
  <c r="N447" i="2"/>
  <c r="T447" i="2" s="1"/>
  <c r="N446" i="2"/>
  <c r="N445" i="2"/>
  <c r="N444" i="2"/>
  <c r="N443" i="2"/>
  <c r="N442" i="2"/>
  <c r="T442" i="2" s="1"/>
  <c r="N441" i="2"/>
  <c r="U441" i="2" s="1"/>
  <c r="N440" i="2"/>
  <c r="U440" i="2" s="1"/>
  <c r="N439" i="2"/>
  <c r="U439" i="2" s="1"/>
  <c r="N438" i="2"/>
  <c r="U438" i="2" s="1"/>
  <c r="N437" i="2"/>
  <c r="S437" i="2" s="1"/>
  <c r="N436" i="2"/>
  <c r="N435" i="2"/>
  <c r="N434" i="2"/>
  <c r="R434" i="2" s="1"/>
  <c r="N433" i="2"/>
  <c r="R433" i="2" s="1"/>
  <c r="N432" i="2"/>
  <c r="N431" i="2"/>
  <c r="N430" i="2"/>
  <c r="N429" i="2"/>
  <c r="N428" i="2"/>
  <c r="N427" i="2"/>
  <c r="N426" i="2"/>
  <c r="R426" i="2" s="1"/>
  <c r="N425" i="2"/>
  <c r="R425" i="2" s="1"/>
  <c r="N424" i="2"/>
  <c r="U424" i="2" s="1"/>
  <c r="N423" i="2"/>
  <c r="N372" i="2"/>
  <c r="N371" i="2"/>
  <c r="N370" i="2"/>
  <c r="S370" i="2" s="1"/>
  <c r="N369" i="2"/>
  <c r="R369" i="2" s="1"/>
  <c r="N368" i="2"/>
  <c r="U368" i="2" s="1"/>
  <c r="N367" i="2"/>
  <c r="T367" i="2" s="1"/>
  <c r="N281" i="2"/>
  <c r="N280" i="2"/>
  <c r="N279" i="2"/>
  <c r="N278" i="2"/>
  <c r="N422" i="2"/>
  <c r="N421" i="2"/>
  <c r="N420" i="2"/>
  <c r="S420" i="2" s="1"/>
  <c r="N419" i="2"/>
  <c r="R419" i="2" s="1"/>
  <c r="N418" i="2"/>
  <c r="S418" i="2" s="1"/>
  <c r="N417" i="2"/>
  <c r="S417" i="2" s="1"/>
  <c r="N416" i="2"/>
  <c r="N415" i="2"/>
  <c r="N414" i="2"/>
  <c r="N413" i="2"/>
  <c r="N412" i="2"/>
  <c r="R412" i="2" s="1"/>
  <c r="N411" i="2"/>
  <c r="R411" i="2" s="1"/>
  <c r="N410" i="2"/>
  <c r="R410" i="2" s="1"/>
  <c r="N409" i="2"/>
  <c r="S409" i="2" s="1"/>
  <c r="N408" i="2"/>
  <c r="N407" i="2"/>
  <c r="N406" i="2"/>
  <c r="N405" i="2"/>
  <c r="R405" i="2" s="1"/>
  <c r="N404" i="2"/>
  <c r="T404" i="2" s="1"/>
  <c r="N403" i="2"/>
  <c r="N402" i="2"/>
  <c r="N401" i="2"/>
  <c r="N400" i="2"/>
  <c r="N399" i="2"/>
  <c r="N398" i="2"/>
  <c r="N397" i="2"/>
  <c r="N396" i="2"/>
  <c r="R396" i="2" s="1"/>
  <c r="N395" i="2"/>
  <c r="R395" i="2" s="1"/>
  <c r="N285" i="2"/>
  <c r="R285" i="2" s="1"/>
  <c r="N284" i="2"/>
  <c r="U284" i="2" s="1"/>
  <c r="N283" i="2"/>
  <c r="S283" i="2" s="1"/>
  <c r="N384" i="2"/>
  <c r="S384" i="2" s="1"/>
  <c r="N383" i="2"/>
  <c r="N382" i="2"/>
  <c r="N381" i="2"/>
  <c r="R381" i="2" s="1"/>
  <c r="N380" i="2"/>
  <c r="R380" i="2" s="1"/>
  <c r="N379" i="2"/>
  <c r="R379" i="2" s="1"/>
  <c r="N378" i="2"/>
  <c r="N377" i="2"/>
  <c r="N388" i="2"/>
  <c r="N387" i="2"/>
  <c r="N386" i="2"/>
  <c r="T386" i="2" s="1"/>
  <c r="N385" i="2"/>
  <c r="R385" i="2" s="1"/>
  <c r="N363" i="2"/>
  <c r="R363" i="2" s="1"/>
  <c r="N362" i="2"/>
  <c r="N376" i="2"/>
  <c r="N375" i="2"/>
  <c r="N374" i="2"/>
  <c r="N394" i="2"/>
  <c r="N373" i="2"/>
  <c r="S373" i="2" s="1"/>
  <c r="N366" i="2"/>
  <c r="R366" i="2" s="1"/>
  <c r="N365" i="2"/>
  <c r="R365" i="2" s="1"/>
  <c r="N364" i="2"/>
  <c r="R364" i="2" s="1"/>
  <c r="N393" i="2"/>
  <c r="N392" i="2"/>
  <c r="N391" i="2"/>
  <c r="N390" i="2"/>
  <c r="R390" i="2" s="1"/>
  <c r="N389" i="2"/>
  <c r="V448" i="2" l="1"/>
  <c r="V480" i="2"/>
  <c r="V323" i="2"/>
  <c r="V350" i="2"/>
  <c r="U523" i="2"/>
  <c r="R523" i="2"/>
  <c r="V523" i="2"/>
  <c r="T523" i="2"/>
  <c r="V301" i="2"/>
  <c r="V427" i="2"/>
  <c r="V348" i="2"/>
  <c r="T522" i="2"/>
  <c r="V320" i="2"/>
  <c r="V297" i="2"/>
  <c r="V449" i="2"/>
  <c r="S486" i="2"/>
  <c r="V478" i="2"/>
  <c r="V494" i="2"/>
  <c r="V401" i="2"/>
  <c r="V375" i="2"/>
  <c r="V378" i="2"/>
  <c r="T340" i="2"/>
  <c r="R404" i="2"/>
  <c r="R448" i="2"/>
  <c r="V328" i="2"/>
  <c r="R344" i="2"/>
  <c r="T501" i="2"/>
  <c r="U290" i="2"/>
  <c r="R447" i="2"/>
  <c r="R289" i="2"/>
  <c r="S284" i="2"/>
  <c r="S336" i="2"/>
  <c r="T336" i="2"/>
  <c r="T338" i="2"/>
  <c r="R420" i="2"/>
  <c r="R481" i="2"/>
  <c r="R312" i="2"/>
  <c r="R351" i="2"/>
  <c r="S368" i="2"/>
  <c r="S304" i="2"/>
  <c r="T385" i="2"/>
  <c r="T503" i="2"/>
  <c r="R338" i="2"/>
  <c r="T471" i="2"/>
  <c r="U291" i="2"/>
  <c r="R350" i="2"/>
  <c r="R424" i="2"/>
  <c r="R494" i="2"/>
  <c r="R320" i="2"/>
  <c r="R356" i="2"/>
  <c r="U283" i="2"/>
  <c r="R418" i="2"/>
  <c r="S410" i="2"/>
  <c r="S412" i="2"/>
  <c r="R328" i="2"/>
  <c r="S439" i="2"/>
  <c r="R336" i="2"/>
  <c r="T368" i="2"/>
  <c r="T320" i="2"/>
  <c r="V368" i="2"/>
  <c r="T394" i="2"/>
  <c r="V394" i="2"/>
  <c r="R394" i="2"/>
  <c r="U394" i="2"/>
  <c r="U383" i="2"/>
  <c r="V383" i="2"/>
  <c r="S383" i="2"/>
  <c r="T383" i="2"/>
  <c r="V406" i="2"/>
  <c r="U406" i="2"/>
  <c r="S406" i="2"/>
  <c r="V422" i="2"/>
  <c r="U422" i="2"/>
  <c r="T422" i="2"/>
  <c r="S422" i="2"/>
  <c r="R422" i="2"/>
  <c r="T428" i="2"/>
  <c r="U428" i="2"/>
  <c r="R428" i="2"/>
  <c r="S428" i="2"/>
  <c r="V428" i="2"/>
  <c r="U443" i="2"/>
  <c r="T443" i="2"/>
  <c r="S443" i="2"/>
  <c r="V443" i="2"/>
  <c r="V459" i="2"/>
  <c r="U459" i="2"/>
  <c r="S459" i="2"/>
  <c r="R459" i="2"/>
  <c r="T459" i="2"/>
  <c r="S475" i="2"/>
  <c r="V475" i="2"/>
  <c r="T475" i="2"/>
  <c r="U475" i="2"/>
  <c r="R475" i="2"/>
  <c r="T491" i="2"/>
  <c r="U491" i="2"/>
  <c r="V491" i="2"/>
  <c r="S491" i="2"/>
  <c r="R491" i="2"/>
  <c r="U507" i="2"/>
  <c r="V507" i="2"/>
  <c r="R507" i="2"/>
  <c r="T507" i="2"/>
  <c r="V294" i="2"/>
  <c r="U294" i="2"/>
  <c r="T294" i="2"/>
  <c r="R294" i="2"/>
  <c r="S294" i="2"/>
  <c r="V310" i="2"/>
  <c r="S310" i="2"/>
  <c r="T310" i="2"/>
  <c r="U310" i="2"/>
  <c r="R310" i="2"/>
  <c r="T326" i="2"/>
  <c r="V326" i="2"/>
  <c r="U326" i="2"/>
  <c r="U342" i="2"/>
  <c r="V342" i="2"/>
  <c r="R342" i="2"/>
  <c r="T342" i="2"/>
  <c r="S342" i="2"/>
  <c r="V353" i="2"/>
  <c r="U353" i="2"/>
  <c r="S353" i="2"/>
  <c r="T353" i="2"/>
  <c r="R353" i="2"/>
  <c r="T405" i="2"/>
  <c r="V390" i="2"/>
  <c r="U390" i="2"/>
  <c r="S390" i="2"/>
  <c r="T390" i="2"/>
  <c r="V387" i="2"/>
  <c r="U387" i="2"/>
  <c r="S387" i="2"/>
  <c r="R387" i="2"/>
  <c r="U398" i="2"/>
  <c r="V398" i="2"/>
  <c r="S398" i="2"/>
  <c r="T398" i="2"/>
  <c r="R398" i="2"/>
  <c r="V414" i="2"/>
  <c r="S414" i="2"/>
  <c r="R414" i="2"/>
  <c r="U414" i="2"/>
  <c r="T414" i="2"/>
  <c r="V370" i="2"/>
  <c r="U370" i="2"/>
  <c r="T370" i="2"/>
  <c r="V435" i="2"/>
  <c r="U435" i="2"/>
  <c r="T435" i="2"/>
  <c r="S435" i="2"/>
  <c r="R435" i="2"/>
  <c r="U451" i="2"/>
  <c r="V451" i="2"/>
  <c r="T451" i="2"/>
  <c r="R451" i="2"/>
  <c r="S451" i="2"/>
  <c r="T467" i="2"/>
  <c r="S467" i="2"/>
  <c r="V467" i="2"/>
  <c r="R467" i="2"/>
  <c r="U483" i="2"/>
  <c r="V483" i="2"/>
  <c r="T483" i="2"/>
  <c r="T499" i="2"/>
  <c r="R499" i="2"/>
  <c r="S499" i="2"/>
  <c r="U499" i="2"/>
  <c r="V499" i="2"/>
  <c r="U286" i="2"/>
  <c r="V286" i="2"/>
  <c r="S286" i="2"/>
  <c r="R286" i="2"/>
  <c r="T286" i="2"/>
  <c r="T302" i="2"/>
  <c r="U302" i="2"/>
  <c r="V302" i="2"/>
  <c r="U318" i="2"/>
  <c r="T318" i="2"/>
  <c r="S318" i="2"/>
  <c r="R318" i="2"/>
  <c r="V318" i="2"/>
  <c r="T334" i="2"/>
  <c r="U334" i="2"/>
  <c r="S334" i="2"/>
  <c r="R334" i="2"/>
  <c r="V334" i="2"/>
  <c r="U518" i="2"/>
  <c r="T518" i="2"/>
  <c r="R518" i="2"/>
  <c r="U359" i="2"/>
  <c r="T359" i="2"/>
  <c r="S359" i="2"/>
  <c r="V359" i="2"/>
  <c r="R359" i="2"/>
  <c r="U391" i="2"/>
  <c r="V391" i="2"/>
  <c r="R391" i="2"/>
  <c r="S391" i="2"/>
  <c r="T391" i="2"/>
  <c r="U374" i="2"/>
  <c r="T374" i="2"/>
  <c r="R374" i="2"/>
  <c r="U388" i="2"/>
  <c r="V388" i="2"/>
  <c r="T388" i="2"/>
  <c r="R388" i="2"/>
  <c r="S388" i="2"/>
  <c r="U384" i="2"/>
  <c r="V384" i="2"/>
  <c r="R384" i="2"/>
  <c r="T384" i="2"/>
  <c r="U399" i="2"/>
  <c r="V399" i="2"/>
  <c r="T399" i="2"/>
  <c r="R399" i="2"/>
  <c r="S399" i="2"/>
  <c r="U407" i="2"/>
  <c r="S407" i="2"/>
  <c r="R407" i="2"/>
  <c r="T407" i="2"/>
  <c r="V407" i="2"/>
  <c r="V415" i="2"/>
  <c r="U415" i="2"/>
  <c r="S415" i="2"/>
  <c r="R415" i="2"/>
  <c r="T415" i="2"/>
  <c r="U278" i="2"/>
  <c r="V278" i="2"/>
  <c r="T278" i="2"/>
  <c r="S278" i="2"/>
  <c r="R278" i="2"/>
  <c r="U371" i="2"/>
  <c r="V371" i="2"/>
  <c r="T371" i="2"/>
  <c r="R371" i="2"/>
  <c r="S371" i="2"/>
  <c r="U429" i="2"/>
  <c r="R429" i="2"/>
  <c r="V429" i="2"/>
  <c r="S429" i="2"/>
  <c r="T429" i="2"/>
  <c r="U436" i="2"/>
  <c r="T436" i="2"/>
  <c r="V436" i="2"/>
  <c r="R436" i="2"/>
  <c r="U444" i="2"/>
  <c r="V444" i="2"/>
  <c r="S444" i="2"/>
  <c r="R444" i="2"/>
  <c r="U452" i="2"/>
  <c r="V452" i="2"/>
  <c r="T452" i="2"/>
  <c r="R452" i="2"/>
  <c r="S452" i="2"/>
  <c r="U460" i="2"/>
  <c r="V460" i="2"/>
  <c r="R460" i="2"/>
  <c r="T460" i="2"/>
  <c r="V468" i="2"/>
  <c r="S468" i="2"/>
  <c r="R468" i="2"/>
  <c r="T468" i="2"/>
  <c r="U468" i="2"/>
  <c r="V476" i="2"/>
  <c r="U476" i="2"/>
  <c r="T476" i="2"/>
  <c r="S476" i="2"/>
  <c r="U484" i="2"/>
  <c r="S484" i="2"/>
  <c r="V484" i="2"/>
  <c r="T484" i="2"/>
  <c r="R484" i="2"/>
  <c r="U492" i="2"/>
  <c r="V492" i="2"/>
  <c r="S492" i="2"/>
  <c r="T492" i="2"/>
  <c r="R492" i="2"/>
  <c r="T500" i="2"/>
  <c r="S500" i="2"/>
  <c r="U500" i="2"/>
  <c r="V500" i="2"/>
  <c r="V508" i="2"/>
  <c r="T508" i="2"/>
  <c r="U508" i="2"/>
  <c r="R508" i="2"/>
  <c r="U287" i="2"/>
  <c r="V287" i="2"/>
  <c r="S287" i="2"/>
  <c r="R287" i="2"/>
  <c r="T287" i="2"/>
  <c r="U295" i="2"/>
  <c r="T295" i="2"/>
  <c r="R295" i="2"/>
  <c r="S295" i="2"/>
  <c r="V295" i="2"/>
  <c r="V303" i="2"/>
  <c r="U303" i="2"/>
  <c r="S303" i="2"/>
  <c r="R303" i="2"/>
  <c r="V311" i="2"/>
  <c r="S311" i="2"/>
  <c r="T311" i="2"/>
  <c r="U311" i="2"/>
  <c r="R311" i="2"/>
  <c r="S319" i="2"/>
  <c r="V319" i="2"/>
  <c r="U319" i="2"/>
  <c r="T319" i="2"/>
  <c r="U327" i="2"/>
  <c r="V327" i="2"/>
  <c r="T327" i="2"/>
  <c r="R327" i="2"/>
  <c r="T335" i="2"/>
  <c r="U335" i="2"/>
  <c r="S335" i="2"/>
  <c r="V335" i="2"/>
  <c r="R335" i="2"/>
  <c r="T343" i="2"/>
  <c r="V343" i="2"/>
  <c r="R343" i="2"/>
  <c r="S343" i="2"/>
  <c r="U519" i="2"/>
  <c r="V519" i="2"/>
  <c r="R519" i="2"/>
  <c r="T519" i="2"/>
  <c r="U354" i="2"/>
  <c r="V354" i="2"/>
  <c r="S354" i="2"/>
  <c r="T354" i="2"/>
  <c r="R354" i="2"/>
  <c r="V360" i="2"/>
  <c r="U360" i="2"/>
  <c r="T360" i="2"/>
  <c r="S360" i="2"/>
  <c r="R360" i="2"/>
  <c r="R326" i="2"/>
  <c r="S436" i="2"/>
  <c r="S326" i="2"/>
  <c r="T406" i="2"/>
  <c r="R406" i="2"/>
  <c r="R476" i="2"/>
  <c r="S507" i="2"/>
  <c r="S327" i="2"/>
  <c r="U467" i="2"/>
  <c r="V374" i="2"/>
  <c r="R302" i="2"/>
  <c r="S508" i="2"/>
  <c r="R386" i="2"/>
  <c r="R443" i="2"/>
  <c r="R483" i="2"/>
  <c r="S460" i="2"/>
  <c r="T303" i="2"/>
  <c r="R383" i="2"/>
  <c r="S302" i="2"/>
  <c r="S518" i="2"/>
  <c r="T444" i="2"/>
  <c r="V518" i="2"/>
  <c r="R500" i="2"/>
  <c r="S394" i="2"/>
  <c r="S519" i="2"/>
  <c r="T387" i="2"/>
  <c r="T389" i="2"/>
  <c r="V389" i="2"/>
  <c r="U389" i="2"/>
  <c r="S389" i="2"/>
  <c r="V373" i="2"/>
  <c r="U373" i="2"/>
  <c r="T373" i="2"/>
  <c r="R373" i="2"/>
  <c r="U386" i="2"/>
  <c r="V386" i="2"/>
  <c r="S386" i="2"/>
  <c r="U382" i="2"/>
  <c r="T382" i="2"/>
  <c r="S382" i="2"/>
  <c r="V382" i="2"/>
  <c r="R382" i="2"/>
  <c r="V397" i="2"/>
  <c r="S397" i="2"/>
  <c r="T397" i="2"/>
  <c r="R397" i="2"/>
  <c r="U397" i="2"/>
  <c r="U405" i="2"/>
  <c r="S405" i="2"/>
  <c r="V405" i="2"/>
  <c r="V413" i="2"/>
  <c r="T413" i="2"/>
  <c r="S413" i="2"/>
  <c r="R413" i="2"/>
  <c r="U413" i="2"/>
  <c r="V421" i="2"/>
  <c r="U421" i="2"/>
  <c r="T421" i="2"/>
  <c r="S421" i="2"/>
  <c r="R421" i="2"/>
  <c r="T369" i="2"/>
  <c r="V369" i="2"/>
  <c r="R427" i="2"/>
  <c r="S427" i="2"/>
  <c r="T427" i="2"/>
  <c r="U427" i="2"/>
  <c r="U442" i="2"/>
  <c r="V442" i="2"/>
  <c r="S442" i="2"/>
  <c r="R442" i="2"/>
  <c r="V450" i="2"/>
  <c r="T450" i="2"/>
  <c r="U450" i="2"/>
  <c r="S450" i="2"/>
  <c r="R450" i="2"/>
  <c r="U458" i="2"/>
  <c r="V458" i="2"/>
  <c r="S458" i="2"/>
  <c r="T458" i="2"/>
  <c r="R466" i="2"/>
  <c r="V466" i="2"/>
  <c r="S466" i="2"/>
  <c r="T466" i="2"/>
  <c r="R474" i="2"/>
  <c r="U474" i="2"/>
  <c r="S474" i="2"/>
  <c r="T474" i="2"/>
  <c r="R482" i="2"/>
  <c r="T482" i="2"/>
  <c r="U482" i="2"/>
  <c r="V482" i="2"/>
  <c r="S482" i="2"/>
  <c r="R490" i="2"/>
  <c r="T490" i="2"/>
  <c r="V490" i="2"/>
  <c r="S490" i="2"/>
  <c r="U490" i="2"/>
  <c r="U498" i="2"/>
  <c r="R498" i="2"/>
  <c r="V498" i="2"/>
  <c r="T498" i="2"/>
  <c r="S498" i="2"/>
  <c r="R506" i="2"/>
  <c r="V506" i="2"/>
  <c r="T506" i="2"/>
  <c r="U506" i="2"/>
  <c r="S506" i="2"/>
  <c r="V514" i="2"/>
  <c r="R514" i="2"/>
  <c r="U514" i="2"/>
  <c r="S514" i="2"/>
  <c r="T514" i="2"/>
  <c r="R293" i="2"/>
  <c r="U293" i="2"/>
  <c r="V293" i="2"/>
  <c r="T293" i="2"/>
  <c r="S293" i="2"/>
  <c r="R301" i="2"/>
  <c r="S301" i="2"/>
  <c r="U301" i="2"/>
  <c r="T301" i="2"/>
  <c r="R309" i="2"/>
  <c r="V309" i="2"/>
  <c r="U309" i="2"/>
  <c r="S309" i="2"/>
  <c r="T309" i="2"/>
  <c r="R317" i="2"/>
  <c r="T317" i="2"/>
  <c r="U317" i="2"/>
  <c r="V317" i="2"/>
  <c r="S317" i="2"/>
  <c r="R325" i="2"/>
  <c r="T325" i="2"/>
  <c r="U325" i="2"/>
  <c r="V325" i="2"/>
  <c r="S325" i="2"/>
  <c r="U333" i="2"/>
  <c r="R333" i="2"/>
  <c r="S333" i="2"/>
  <c r="T333" i="2"/>
  <c r="V333" i="2"/>
  <c r="R341" i="2"/>
  <c r="V341" i="2"/>
  <c r="T341" i="2"/>
  <c r="S341" i="2"/>
  <c r="V517" i="2"/>
  <c r="R517" i="2"/>
  <c r="U517" i="2"/>
  <c r="S517" i="2"/>
  <c r="T517" i="2"/>
  <c r="R352" i="2"/>
  <c r="V352" i="2"/>
  <c r="U352" i="2"/>
  <c r="S352" i="2"/>
  <c r="T352" i="2"/>
  <c r="R521" i="2"/>
  <c r="S521" i="2"/>
  <c r="U521" i="2"/>
  <c r="T521" i="2"/>
  <c r="V521" i="2"/>
  <c r="R389" i="2"/>
  <c r="R370" i="2"/>
  <c r="R458" i="2"/>
  <c r="R319" i="2"/>
  <c r="S374" i="2"/>
  <c r="S369" i="2"/>
  <c r="S483" i="2"/>
  <c r="U369" i="2"/>
  <c r="U341" i="2"/>
  <c r="V474" i="2"/>
  <c r="V392" i="2"/>
  <c r="T392" i="2"/>
  <c r="R392" i="2"/>
  <c r="S392" i="2"/>
  <c r="T375" i="2"/>
  <c r="R375" i="2"/>
  <c r="S375" i="2"/>
  <c r="V377" i="2"/>
  <c r="U377" i="2"/>
  <c r="R377" i="2"/>
  <c r="T377" i="2"/>
  <c r="T283" i="2"/>
  <c r="V283" i="2"/>
  <c r="R283" i="2"/>
  <c r="U400" i="2"/>
  <c r="V400" i="2"/>
  <c r="T400" i="2"/>
  <c r="R400" i="2"/>
  <c r="U408" i="2"/>
  <c r="R408" i="2"/>
  <c r="T408" i="2"/>
  <c r="V416" i="2"/>
  <c r="S416" i="2"/>
  <c r="R416" i="2"/>
  <c r="U416" i="2"/>
  <c r="V279" i="2"/>
  <c r="T279" i="2"/>
  <c r="U279" i="2"/>
  <c r="S279" i="2"/>
  <c r="R279" i="2"/>
  <c r="V372" i="2"/>
  <c r="U372" i="2"/>
  <c r="R372" i="2"/>
  <c r="S372" i="2"/>
  <c r="T372" i="2"/>
  <c r="S430" i="2"/>
  <c r="R430" i="2"/>
  <c r="V430" i="2"/>
  <c r="U430" i="2"/>
  <c r="V437" i="2"/>
  <c r="U437" i="2"/>
  <c r="T437" i="2"/>
  <c r="R437" i="2"/>
  <c r="V445" i="2"/>
  <c r="T445" i="2"/>
  <c r="U445" i="2"/>
  <c r="R445" i="2"/>
  <c r="U453" i="2"/>
  <c r="T453" i="2"/>
  <c r="V453" i="2"/>
  <c r="R453" i="2"/>
  <c r="S453" i="2"/>
  <c r="U461" i="2"/>
  <c r="T461" i="2"/>
  <c r="V461" i="2"/>
  <c r="R461" i="2"/>
  <c r="U469" i="2"/>
  <c r="V469" i="2"/>
  <c r="S469" i="2"/>
  <c r="R469" i="2"/>
  <c r="V477" i="2"/>
  <c r="U477" i="2"/>
  <c r="T477" i="2"/>
  <c r="S477" i="2"/>
  <c r="R477" i="2"/>
  <c r="V485" i="2"/>
  <c r="T485" i="2"/>
  <c r="U485" i="2"/>
  <c r="S493" i="2"/>
  <c r="U493" i="2"/>
  <c r="V493" i="2"/>
  <c r="T493" i="2"/>
  <c r="U501" i="2"/>
  <c r="V501" i="2"/>
  <c r="S501" i="2"/>
  <c r="T509" i="2"/>
  <c r="U509" i="2"/>
  <c r="V288" i="2"/>
  <c r="T288" i="2"/>
  <c r="R288" i="2"/>
  <c r="R449" i="2"/>
  <c r="S426" i="2"/>
  <c r="S445" i="2"/>
  <c r="S494" i="2"/>
  <c r="S288" i="2"/>
  <c r="U392" i="2"/>
  <c r="U411" i="2"/>
  <c r="V393" i="2"/>
  <c r="T393" i="2"/>
  <c r="U393" i="2"/>
  <c r="R393" i="2"/>
  <c r="S393" i="2"/>
  <c r="T376" i="2"/>
  <c r="V376" i="2"/>
  <c r="R376" i="2"/>
  <c r="S376" i="2"/>
  <c r="T378" i="2"/>
  <c r="U378" i="2"/>
  <c r="R378" i="2"/>
  <c r="S378" i="2"/>
  <c r="T284" i="2"/>
  <c r="V284" i="2"/>
  <c r="R284" i="2"/>
  <c r="T401" i="2"/>
  <c r="R401" i="2"/>
  <c r="U401" i="2"/>
  <c r="T409" i="2"/>
  <c r="U409" i="2"/>
  <c r="R409" i="2"/>
  <c r="V409" i="2"/>
  <c r="T417" i="2"/>
  <c r="U417" i="2"/>
  <c r="V417" i="2"/>
  <c r="R417" i="2"/>
  <c r="T280" i="2"/>
  <c r="V280" i="2"/>
  <c r="U280" i="2"/>
  <c r="S280" i="2"/>
  <c r="R280" i="2"/>
  <c r="V423" i="2"/>
  <c r="T423" i="2"/>
  <c r="U423" i="2"/>
  <c r="R423" i="2"/>
  <c r="S423" i="2"/>
  <c r="T431" i="2"/>
  <c r="V431" i="2"/>
  <c r="R431" i="2"/>
  <c r="U431" i="2"/>
  <c r="S431" i="2"/>
  <c r="T438" i="2"/>
  <c r="V438" i="2"/>
  <c r="S438" i="2"/>
  <c r="R438" i="2"/>
  <c r="T446" i="2"/>
  <c r="U446" i="2"/>
  <c r="R446" i="2"/>
  <c r="T454" i="2"/>
  <c r="V454" i="2"/>
  <c r="R454" i="2"/>
  <c r="U454" i="2"/>
  <c r="S454" i="2"/>
  <c r="T462" i="2"/>
  <c r="U462" i="2"/>
  <c r="V462" i="2"/>
  <c r="R462" i="2"/>
  <c r="U470" i="2"/>
  <c r="T470" i="2"/>
  <c r="V470" i="2"/>
  <c r="R470" i="2"/>
  <c r="T478" i="2"/>
  <c r="U478" i="2"/>
  <c r="S478" i="2"/>
  <c r="R478" i="2"/>
  <c r="V486" i="2"/>
  <c r="T486" i="2"/>
  <c r="R486" i="2"/>
  <c r="T494" i="2"/>
  <c r="U494" i="2"/>
  <c r="T502" i="2"/>
  <c r="S502" i="2"/>
  <c r="V502" i="2"/>
  <c r="U502" i="2"/>
  <c r="T510" i="2"/>
  <c r="U510" i="2"/>
  <c r="S510" i="2"/>
  <c r="V510" i="2"/>
  <c r="T289" i="2"/>
  <c r="V289" i="2"/>
  <c r="T297" i="2"/>
  <c r="U297" i="2"/>
  <c r="R297" i="2"/>
  <c r="S297" i="2"/>
  <c r="U305" i="2"/>
  <c r="T305" i="2"/>
  <c r="V305" i="2"/>
  <c r="R305" i="2"/>
  <c r="T313" i="2"/>
  <c r="U313" i="2"/>
  <c r="S313" i="2"/>
  <c r="V313" i="2"/>
  <c r="R313" i="2"/>
  <c r="V321" i="2"/>
  <c r="T321" i="2"/>
  <c r="S321" i="2"/>
  <c r="R321" i="2"/>
  <c r="T329" i="2"/>
  <c r="V329" i="2"/>
  <c r="U329" i="2"/>
  <c r="T337" i="2"/>
  <c r="S337" i="2"/>
  <c r="U337" i="2"/>
  <c r="V337" i="2"/>
  <c r="T515" i="2"/>
  <c r="U515" i="2"/>
  <c r="V515" i="2"/>
  <c r="S515" i="2"/>
  <c r="T348" i="2"/>
  <c r="U348" i="2"/>
  <c r="S348" i="2"/>
  <c r="T355" i="2"/>
  <c r="V355" i="2"/>
  <c r="U355" i="2"/>
  <c r="R355" i="2"/>
  <c r="U361" i="2"/>
  <c r="T361" i="2"/>
  <c r="V361" i="2"/>
  <c r="S361" i="2"/>
  <c r="R361" i="2"/>
  <c r="R439" i="2"/>
  <c r="R485" i="2"/>
  <c r="R292" i="2"/>
  <c r="R358" i="2"/>
  <c r="S400" i="2"/>
  <c r="S446" i="2"/>
  <c r="S289" i="2"/>
  <c r="S355" i="2"/>
  <c r="U412" i="2"/>
  <c r="V446" i="2"/>
  <c r="V364" i="2"/>
  <c r="U364" i="2"/>
  <c r="S364" i="2"/>
  <c r="V362" i="2"/>
  <c r="S362" i="2"/>
  <c r="U362" i="2"/>
  <c r="V379" i="2"/>
  <c r="U379" i="2"/>
  <c r="T379" i="2"/>
  <c r="S379" i="2"/>
  <c r="V285" i="2"/>
  <c r="U285" i="2"/>
  <c r="S285" i="2"/>
  <c r="V402" i="2"/>
  <c r="T402" i="2"/>
  <c r="U402" i="2"/>
  <c r="V410" i="2"/>
  <c r="U410" i="2"/>
  <c r="T410" i="2"/>
  <c r="V418" i="2"/>
  <c r="U418" i="2"/>
  <c r="V281" i="2"/>
  <c r="U281" i="2"/>
  <c r="V424" i="2"/>
  <c r="S424" i="2"/>
  <c r="T424" i="2"/>
  <c r="V432" i="2"/>
  <c r="U432" i="2"/>
  <c r="T432" i="2"/>
  <c r="S432" i="2"/>
  <c r="V439" i="2"/>
  <c r="T439" i="2"/>
  <c r="V447" i="2"/>
  <c r="S447" i="2"/>
  <c r="U447" i="2"/>
  <c r="V455" i="2"/>
  <c r="T455" i="2"/>
  <c r="U455" i="2"/>
  <c r="S455" i="2"/>
  <c r="V463" i="2"/>
  <c r="U463" i="2"/>
  <c r="T463" i="2"/>
  <c r="S463" i="2"/>
  <c r="V471" i="2"/>
  <c r="R471" i="2"/>
  <c r="U471" i="2"/>
  <c r="V479" i="2"/>
  <c r="U479" i="2"/>
  <c r="S479" i="2"/>
  <c r="T479" i="2"/>
  <c r="R479" i="2"/>
  <c r="V487" i="2"/>
  <c r="R487" i="2"/>
  <c r="S487" i="2"/>
  <c r="V495" i="2"/>
  <c r="U495" i="2"/>
  <c r="T495" i="2"/>
  <c r="R495" i="2"/>
  <c r="V503" i="2"/>
  <c r="U503" i="2"/>
  <c r="S503" i="2"/>
  <c r="V511" i="2"/>
  <c r="S511" i="2"/>
  <c r="U511" i="2"/>
  <c r="T511" i="2"/>
  <c r="V290" i="2"/>
  <c r="T290" i="2"/>
  <c r="V298" i="2"/>
  <c r="T298" i="2"/>
  <c r="U298" i="2"/>
  <c r="S298" i="2"/>
  <c r="V306" i="2"/>
  <c r="U306" i="2"/>
  <c r="R306" i="2"/>
  <c r="S306" i="2"/>
  <c r="V314" i="2"/>
  <c r="U314" i="2"/>
  <c r="T314" i="2"/>
  <c r="R314" i="2"/>
  <c r="V322" i="2"/>
  <c r="S322" i="2"/>
  <c r="R322" i="2"/>
  <c r="U322" i="2"/>
  <c r="V330" i="2"/>
  <c r="T330" i="2"/>
  <c r="U330" i="2"/>
  <c r="S330" i="2"/>
  <c r="R330" i="2"/>
  <c r="V338" i="2"/>
  <c r="U338" i="2"/>
  <c r="V516" i="2"/>
  <c r="S516" i="2"/>
  <c r="U516" i="2"/>
  <c r="T516" i="2"/>
  <c r="V349" i="2"/>
  <c r="T349" i="2"/>
  <c r="S349" i="2"/>
  <c r="U349" i="2"/>
  <c r="V356" i="2"/>
  <c r="T356" i="2"/>
  <c r="R281" i="2"/>
  <c r="R440" i="2"/>
  <c r="R455" i="2"/>
  <c r="R509" i="2"/>
  <c r="R298" i="2"/>
  <c r="R329" i="2"/>
  <c r="S401" i="2"/>
  <c r="S473" i="2"/>
  <c r="S290" i="2"/>
  <c r="S316" i="2"/>
  <c r="S356" i="2"/>
  <c r="T364" i="2"/>
  <c r="T285" i="2"/>
  <c r="T416" i="2"/>
  <c r="T430" i="2"/>
  <c r="T487" i="2"/>
  <c r="T322" i="2"/>
  <c r="U375" i="2"/>
  <c r="S365" i="2"/>
  <c r="U365" i="2"/>
  <c r="V365" i="2"/>
  <c r="V363" i="2"/>
  <c r="S363" i="2"/>
  <c r="T363" i="2"/>
  <c r="U363" i="2"/>
  <c r="S380" i="2"/>
  <c r="U380" i="2"/>
  <c r="T380" i="2"/>
  <c r="V380" i="2"/>
  <c r="S395" i="2"/>
  <c r="U395" i="2"/>
  <c r="V395" i="2"/>
  <c r="S403" i="2"/>
  <c r="V403" i="2"/>
  <c r="U403" i="2"/>
  <c r="S411" i="2"/>
  <c r="T411" i="2"/>
  <c r="V411" i="2"/>
  <c r="S419" i="2"/>
  <c r="U419" i="2"/>
  <c r="V419" i="2"/>
  <c r="T419" i="2"/>
  <c r="S367" i="2"/>
  <c r="U367" i="2"/>
  <c r="S425" i="2"/>
  <c r="V425" i="2"/>
  <c r="U425" i="2"/>
  <c r="T425" i="2"/>
  <c r="V433" i="2"/>
  <c r="S433" i="2"/>
  <c r="U433" i="2"/>
  <c r="S440" i="2"/>
  <c r="V440" i="2"/>
  <c r="S448" i="2"/>
  <c r="U448" i="2"/>
  <c r="T448" i="2"/>
  <c r="S456" i="2"/>
  <c r="V456" i="2"/>
  <c r="S464" i="2"/>
  <c r="T464" i="2"/>
  <c r="U464" i="2"/>
  <c r="V464" i="2"/>
  <c r="S472" i="2"/>
  <c r="U472" i="2"/>
  <c r="V472" i="2"/>
  <c r="T472" i="2"/>
  <c r="S480" i="2"/>
  <c r="U480" i="2"/>
  <c r="T480" i="2"/>
  <c r="R480" i="2"/>
  <c r="U488" i="2"/>
  <c r="S488" i="2"/>
  <c r="V488" i="2"/>
  <c r="R488" i="2"/>
  <c r="V496" i="2"/>
  <c r="S496" i="2"/>
  <c r="U496" i="2"/>
  <c r="T496" i="2"/>
  <c r="R496" i="2"/>
  <c r="S504" i="2"/>
  <c r="U504" i="2"/>
  <c r="V504" i="2"/>
  <c r="R504" i="2"/>
  <c r="S512" i="2"/>
  <c r="U512" i="2"/>
  <c r="T512" i="2"/>
  <c r="V512" i="2"/>
  <c r="S291" i="2"/>
  <c r="V291" i="2"/>
  <c r="T291" i="2"/>
  <c r="S299" i="2"/>
  <c r="T299" i="2"/>
  <c r="V299" i="2"/>
  <c r="U299" i="2"/>
  <c r="S307" i="2"/>
  <c r="U307" i="2"/>
  <c r="T307" i="2"/>
  <c r="V307" i="2"/>
  <c r="S315" i="2"/>
  <c r="U315" i="2"/>
  <c r="T315" i="2"/>
  <c r="R315" i="2"/>
  <c r="V315" i="2"/>
  <c r="U323" i="2"/>
  <c r="S323" i="2"/>
  <c r="R323" i="2"/>
  <c r="V331" i="2"/>
  <c r="S331" i="2"/>
  <c r="U331" i="2"/>
  <c r="T331" i="2"/>
  <c r="R331" i="2"/>
  <c r="S339" i="2"/>
  <c r="V339" i="2"/>
  <c r="T339" i="2"/>
  <c r="R339" i="2"/>
  <c r="S345" i="2"/>
  <c r="U345" i="2"/>
  <c r="T345" i="2"/>
  <c r="S350" i="2"/>
  <c r="U350" i="2"/>
  <c r="T350" i="2"/>
  <c r="S357" i="2"/>
  <c r="V357" i="2"/>
  <c r="T357" i="2"/>
  <c r="U357" i="2"/>
  <c r="R402" i="2"/>
  <c r="R367" i="2"/>
  <c r="R441" i="2"/>
  <c r="R456" i="2"/>
  <c r="R510" i="2"/>
  <c r="R299" i="2"/>
  <c r="R348" i="2"/>
  <c r="S377" i="2"/>
  <c r="S402" i="2"/>
  <c r="T365" i="2"/>
  <c r="T395" i="2"/>
  <c r="T418" i="2"/>
  <c r="T433" i="2"/>
  <c r="T488" i="2"/>
  <c r="T323" i="2"/>
  <c r="U376" i="2"/>
  <c r="U321" i="2"/>
  <c r="V408" i="2"/>
  <c r="V509" i="2"/>
  <c r="U366" i="2"/>
  <c r="V366" i="2"/>
  <c r="T366" i="2"/>
  <c r="U385" i="2"/>
  <c r="V385" i="2"/>
  <c r="S385" i="2"/>
  <c r="V381" i="2"/>
  <c r="T381" i="2"/>
  <c r="S381" i="2"/>
  <c r="U396" i="2"/>
  <c r="V396" i="2"/>
  <c r="S396" i="2"/>
  <c r="T396" i="2"/>
  <c r="V404" i="2"/>
  <c r="U404" i="2"/>
  <c r="S404" i="2"/>
  <c r="V412" i="2"/>
  <c r="T412" i="2"/>
  <c r="T420" i="2"/>
  <c r="U420" i="2"/>
  <c r="V420" i="2"/>
  <c r="V426" i="2"/>
  <c r="U426" i="2"/>
  <c r="T426" i="2"/>
  <c r="U434" i="2"/>
  <c r="T434" i="2"/>
  <c r="V434" i="2"/>
  <c r="S434" i="2"/>
  <c r="V441" i="2"/>
  <c r="T441" i="2"/>
  <c r="S441" i="2"/>
  <c r="U449" i="2"/>
  <c r="S449" i="2"/>
  <c r="T449" i="2"/>
  <c r="U457" i="2"/>
  <c r="S457" i="2"/>
  <c r="V457" i="2"/>
  <c r="U465" i="2"/>
  <c r="V465" i="2"/>
  <c r="T465" i="2"/>
  <c r="S465" i="2"/>
  <c r="U473" i="2"/>
  <c r="T473" i="2"/>
  <c r="V473" i="2"/>
  <c r="U481" i="2"/>
  <c r="S481" i="2"/>
  <c r="V481" i="2"/>
  <c r="U489" i="2"/>
  <c r="V489" i="2"/>
  <c r="R489" i="2"/>
  <c r="S489" i="2"/>
  <c r="T489" i="2"/>
  <c r="U497" i="2"/>
  <c r="V497" i="2"/>
  <c r="T497" i="2"/>
  <c r="R497" i="2"/>
  <c r="U505" i="2"/>
  <c r="V505" i="2"/>
  <c r="S505" i="2"/>
  <c r="R505" i="2"/>
  <c r="T505" i="2"/>
  <c r="U513" i="2"/>
  <c r="T513" i="2"/>
  <c r="V513" i="2"/>
  <c r="S513" i="2"/>
  <c r="R513" i="2"/>
  <c r="U292" i="2"/>
  <c r="S292" i="2"/>
  <c r="V292" i="2"/>
  <c r="U300" i="2"/>
  <c r="V300" i="2"/>
  <c r="T300" i="2"/>
  <c r="U308" i="2"/>
  <c r="T308" i="2"/>
  <c r="V308" i="2"/>
  <c r="S308" i="2"/>
  <c r="U316" i="2"/>
  <c r="T316" i="2"/>
  <c r="V316" i="2"/>
  <c r="U324" i="2"/>
  <c r="V324" i="2"/>
  <c r="S324" i="2"/>
  <c r="R324" i="2"/>
  <c r="T324" i="2"/>
  <c r="U332" i="2"/>
  <c r="V332" i="2"/>
  <c r="T332" i="2"/>
  <c r="R332" i="2"/>
  <c r="S332" i="2"/>
  <c r="U340" i="2"/>
  <c r="V340" i="2"/>
  <c r="R340" i="2"/>
  <c r="U346" i="2"/>
  <c r="V346" i="2"/>
  <c r="T346" i="2"/>
  <c r="S346" i="2"/>
  <c r="R346" i="2"/>
  <c r="U351" i="2"/>
  <c r="S351" i="2"/>
  <c r="V351" i="2"/>
  <c r="U358" i="2"/>
  <c r="T358" i="2"/>
  <c r="V358" i="2"/>
  <c r="R362" i="2"/>
  <c r="R403" i="2"/>
  <c r="R368" i="2"/>
  <c r="R432" i="2"/>
  <c r="R457" i="2"/>
  <c r="R493" i="2"/>
  <c r="R511" i="2"/>
  <c r="R300" i="2"/>
  <c r="R349" i="2"/>
  <c r="S366" i="2"/>
  <c r="S408" i="2"/>
  <c r="S281" i="2"/>
  <c r="S300" i="2"/>
  <c r="T362" i="2"/>
  <c r="T403" i="2"/>
  <c r="T281" i="2"/>
  <c r="T440" i="2"/>
  <c r="U381" i="2"/>
  <c r="U456" i="2"/>
  <c r="U288" i="2"/>
  <c r="U339" i="2"/>
  <c r="V367" i="2"/>
  <c r="V345" i="2"/>
  <c r="V304" i="2"/>
  <c r="R304" i="2"/>
  <c r="R522" i="2"/>
  <c r="S320" i="2"/>
  <c r="S522" i="2"/>
  <c r="U296" i="2"/>
  <c r="V296" i="2"/>
  <c r="V312" i="2"/>
  <c r="U312" i="2"/>
  <c r="U328" i="2"/>
  <c r="S328" i="2"/>
  <c r="T344" i="2"/>
  <c r="V344" i="2"/>
  <c r="S344" i="2"/>
  <c r="V347" i="2"/>
  <c r="T347" i="2"/>
  <c r="U347" i="2"/>
  <c r="U520" i="2"/>
  <c r="V520" i="2"/>
  <c r="R296" i="2"/>
  <c r="R520" i="2"/>
  <c r="T296" i="2"/>
  <c r="T312" i="2"/>
  <c r="T520" i="2"/>
  <c r="U304" i="2"/>
  <c r="V336" i="2"/>
  <c r="R347" i="2"/>
  <c r="V522" i="2"/>
  <c r="X523" i="2" l="1"/>
  <c r="X289" i="2"/>
  <c r="X336" i="2"/>
  <c r="X495" i="2"/>
  <c r="X338" i="2"/>
  <c r="X344" i="2"/>
  <c r="X439" i="2"/>
  <c r="X515" i="2"/>
  <c r="X298" i="2"/>
  <c r="X486" i="2"/>
  <c r="X319" i="2"/>
  <c r="X368" i="2"/>
  <c r="X404" i="2"/>
  <c r="X308" i="2"/>
  <c r="X329" i="2"/>
  <c r="X313" i="2"/>
  <c r="X493" i="2"/>
  <c r="X511" i="2"/>
  <c r="X434" i="2"/>
  <c r="X510" i="2"/>
  <c r="X463" i="2"/>
  <c r="X470" i="2"/>
  <c r="X438" i="2"/>
  <c r="X426" i="2"/>
  <c r="X501" i="2"/>
  <c r="X453" i="2"/>
  <c r="X437" i="2"/>
  <c r="X396" i="2"/>
  <c r="X418" i="2"/>
  <c r="X410" i="2"/>
  <c r="X409" i="2"/>
  <c r="X405" i="2"/>
  <c r="X379" i="2"/>
  <c r="X389" i="2"/>
  <c r="X383" i="2"/>
  <c r="X364" i="2"/>
  <c r="X320" i="2"/>
  <c r="X370" i="2"/>
  <c r="X316" i="2"/>
  <c r="X425" i="2"/>
  <c r="X293" i="2"/>
  <c r="X347" i="2"/>
  <c r="X299" i="2"/>
  <c r="X357" i="2"/>
  <c r="X433" i="2"/>
  <c r="X380" i="2"/>
  <c r="X516" i="2"/>
  <c r="X485" i="2"/>
  <c r="X337" i="2"/>
  <c r="X369" i="2"/>
  <c r="X390" i="2"/>
  <c r="X342" i="2"/>
  <c r="X324" i="2"/>
  <c r="X420" i="2"/>
  <c r="X291" i="2"/>
  <c r="X306" i="2"/>
  <c r="X412" i="2"/>
  <c r="X350" i="2"/>
  <c r="X307" i="2"/>
  <c r="X472" i="2"/>
  <c r="X419" i="2"/>
  <c r="X363" i="2"/>
  <c r="X424" i="2"/>
  <c r="X458" i="2"/>
  <c r="X500" i="2"/>
  <c r="X429" i="2"/>
  <c r="X388" i="2"/>
  <c r="X351" i="2"/>
  <c r="X322" i="2"/>
  <c r="X447" i="2"/>
  <c r="X312" i="2"/>
  <c r="X328" i="2"/>
  <c r="X522" i="2"/>
  <c r="X432" i="2"/>
  <c r="X465" i="2"/>
  <c r="X381" i="2"/>
  <c r="X448" i="2"/>
  <c r="X395" i="2"/>
  <c r="X356" i="2"/>
  <c r="X455" i="2"/>
  <c r="X309" i="2"/>
  <c r="X335" i="2"/>
  <c r="X491" i="2"/>
  <c r="X476" i="2"/>
  <c r="X345" i="2"/>
  <c r="X512" i="2"/>
  <c r="X411" i="2"/>
  <c r="X290" i="2"/>
  <c r="X502" i="2"/>
  <c r="X482" i="2"/>
  <c r="X466" i="2"/>
  <c r="X421" i="2"/>
  <c r="X406" i="2"/>
  <c r="X326" i="2"/>
  <c r="X304" i="2"/>
  <c r="X366" i="2"/>
  <c r="X349" i="2"/>
  <c r="X481" i="2"/>
  <c r="X385" i="2"/>
  <c r="X348" i="2"/>
  <c r="X464" i="2"/>
  <c r="X365" i="2"/>
  <c r="X473" i="2"/>
  <c r="X503" i="2"/>
  <c r="X285" i="2"/>
  <c r="X494" i="2"/>
  <c r="X443" i="2"/>
  <c r="X384" i="2"/>
  <c r="X300" i="2"/>
  <c r="X323" i="2"/>
  <c r="X488" i="2"/>
  <c r="X292" i="2"/>
  <c r="X431" i="2"/>
  <c r="X280" i="2"/>
  <c r="X284" i="2"/>
  <c r="X376" i="2"/>
  <c r="X430" i="2"/>
  <c r="X333" i="2"/>
  <c r="X413" i="2"/>
  <c r="X397" i="2"/>
  <c r="X302" i="2"/>
  <c r="X343" i="2"/>
  <c r="X327" i="2"/>
  <c r="X311" i="2"/>
  <c r="X484" i="2"/>
  <c r="X435" i="2"/>
  <c r="X340" i="2"/>
  <c r="X505" i="2"/>
  <c r="X479" i="2"/>
  <c r="X469" i="2"/>
  <c r="X408" i="2"/>
  <c r="X360" i="2"/>
  <c r="X278" i="2"/>
  <c r="X399" i="2"/>
  <c r="X456" i="2"/>
  <c r="X392" i="2"/>
  <c r="X518" i="2"/>
  <c r="X499" i="2"/>
  <c r="X414" i="2"/>
  <c r="X387" i="2"/>
  <c r="X294" i="2"/>
  <c r="X422" i="2"/>
  <c r="X457" i="2"/>
  <c r="X513" i="2"/>
  <c r="X489" i="2"/>
  <c r="X441" i="2"/>
  <c r="X331" i="2"/>
  <c r="X496" i="2"/>
  <c r="X509" i="2"/>
  <c r="X400" i="2"/>
  <c r="X377" i="2"/>
  <c r="X352" i="2"/>
  <c r="X317" i="2"/>
  <c r="X506" i="2"/>
  <c r="X295" i="2"/>
  <c r="X508" i="2"/>
  <c r="X492" i="2"/>
  <c r="X468" i="2"/>
  <c r="X452" i="2"/>
  <c r="X436" i="2"/>
  <c r="X391" i="2"/>
  <c r="X318" i="2"/>
  <c r="X286" i="2"/>
  <c r="X520" i="2"/>
  <c r="X346" i="2"/>
  <c r="X367" i="2"/>
  <c r="X315" i="2"/>
  <c r="X480" i="2"/>
  <c r="X330" i="2"/>
  <c r="X355" i="2"/>
  <c r="X297" i="2"/>
  <c r="X454" i="2"/>
  <c r="X423" i="2"/>
  <c r="X378" i="2"/>
  <c r="X393" i="2"/>
  <c r="X449" i="2"/>
  <c r="X477" i="2"/>
  <c r="X372" i="2"/>
  <c r="X341" i="2"/>
  <c r="X301" i="2"/>
  <c r="X442" i="2"/>
  <c r="X382" i="2"/>
  <c r="X373" i="2"/>
  <c r="X483" i="2"/>
  <c r="X519" i="2"/>
  <c r="X451" i="2"/>
  <c r="X310" i="2"/>
  <c r="X296" i="2"/>
  <c r="X332" i="2"/>
  <c r="X497" i="2"/>
  <c r="X402" i="2"/>
  <c r="X440" i="2"/>
  <c r="X314" i="2"/>
  <c r="X417" i="2"/>
  <c r="X288" i="2"/>
  <c r="X461" i="2"/>
  <c r="X416" i="2"/>
  <c r="X514" i="2"/>
  <c r="X490" i="2"/>
  <c r="X303" i="2"/>
  <c r="X371" i="2"/>
  <c r="X407" i="2"/>
  <c r="X359" i="2"/>
  <c r="X398" i="2"/>
  <c r="X459" i="2"/>
  <c r="X403" i="2"/>
  <c r="X281" i="2"/>
  <c r="X358" i="2"/>
  <c r="X321" i="2"/>
  <c r="X478" i="2"/>
  <c r="X462" i="2"/>
  <c r="X401" i="2"/>
  <c r="X445" i="2"/>
  <c r="X521" i="2"/>
  <c r="X325" i="2"/>
  <c r="X474" i="2"/>
  <c r="X354" i="2"/>
  <c r="X374" i="2"/>
  <c r="X334" i="2"/>
  <c r="X362" i="2"/>
  <c r="X339" i="2"/>
  <c r="X504" i="2"/>
  <c r="X487" i="2"/>
  <c r="X471" i="2"/>
  <c r="X361" i="2"/>
  <c r="X305" i="2"/>
  <c r="X446" i="2"/>
  <c r="X279" i="2"/>
  <c r="X283" i="2"/>
  <c r="X375" i="2"/>
  <c r="X517" i="2"/>
  <c r="X498" i="2"/>
  <c r="X450" i="2"/>
  <c r="X427" i="2"/>
  <c r="X386" i="2"/>
  <c r="X287" i="2"/>
  <c r="X460" i="2"/>
  <c r="X444" i="2"/>
  <c r="X415" i="2"/>
  <c r="X467" i="2"/>
  <c r="X353" i="2"/>
  <c r="X507" i="2"/>
  <c r="X475" i="2"/>
  <c r="X428" i="2"/>
  <c r="X394" i="2"/>
  <c r="D119" i="16" l="1"/>
  <c r="D118" i="16"/>
  <c r="D123" i="16"/>
  <c r="D109" i="16"/>
  <c r="D116" i="16"/>
  <c r="D117" i="16"/>
  <c r="D115" i="16"/>
  <c r="N275" i="2"/>
  <c r="V275" i="2" s="1"/>
  <c r="N276" i="2"/>
  <c r="T276" i="2" s="1"/>
  <c r="N277" i="2"/>
  <c r="S277" i="2" s="1"/>
  <c r="P275" i="2"/>
  <c r="P276" i="2"/>
  <c r="P277" i="2"/>
  <c r="Q275" i="2"/>
  <c r="Q276" i="2"/>
  <c r="Q277" i="2"/>
  <c r="J263" i="2" a="1"/>
  <c r="J263" i="2" s="1"/>
  <c r="N263" i="2"/>
  <c r="P263" i="2"/>
  <c r="Q263" i="2"/>
  <c r="J262" i="2" a="1"/>
  <c r="J262" i="2" s="1"/>
  <c r="J258" i="2" a="1"/>
  <c r="J258" i="2" s="1"/>
  <c r="J253" i="2" a="1"/>
  <c r="J253" i="2" s="1"/>
  <c r="J256" i="2" a="1"/>
  <c r="J256" i="2" s="1"/>
  <c r="N260" i="2"/>
  <c r="P260" i="2"/>
  <c r="Q260" i="2"/>
  <c r="J255" i="2" a="1"/>
  <c r="J255" i="2" s="1"/>
  <c r="J250" i="2" a="1"/>
  <c r="J250" i="2" s="1"/>
  <c r="J249" i="2" a="1"/>
  <c r="J249" i="2" s="1"/>
  <c r="J245" i="2" a="1"/>
  <c r="J245" i="2" s="1"/>
  <c r="J244" i="2" a="1"/>
  <c r="J244" i="2" s="1"/>
  <c r="J242" i="2" a="1"/>
  <c r="J242" i="2" s="1"/>
  <c r="J241" i="2" a="1"/>
  <c r="J241" i="2" s="1"/>
  <c r="J236" i="2" a="1"/>
  <c r="J236" i="2" s="1"/>
  <c r="J235" i="2" a="1"/>
  <c r="J235" i="2" s="1"/>
  <c r="J232" i="2" a="1"/>
  <c r="J232" i="2" s="1"/>
  <c r="J228" i="2" a="1"/>
  <c r="J228" i="2" s="1"/>
  <c r="J226" i="2" a="1"/>
  <c r="J226" i="2" s="1"/>
  <c r="J225" i="2" a="1"/>
  <c r="J225" i="2" s="1"/>
  <c r="J223" i="2" a="1"/>
  <c r="J223" i="2" s="1"/>
  <c r="J222" i="2" a="1"/>
  <c r="J222" i="2" s="1"/>
  <c r="J220" i="2" a="1"/>
  <c r="J220" i="2" s="1"/>
  <c r="J219" i="2" a="1"/>
  <c r="J219" i="2" s="1"/>
  <c r="J217" i="2" a="1"/>
  <c r="J217" i="2" s="1"/>
  <c r="J216" i="2" a="1"/>
  <c r="J216" i="2" s="1"/>
  <c r="J214" i="2" a="1"/>
  <c r="J214" i="2" s="1"/>
  <c r="J213" i="2" a="1"/>
  <c r="J213" i="2" s="1"/>
  <c r="J211" i="2" a="1"/>
  <c r="J211" i="2" s="1"/>
  <c r="J210" i="2" a="1"/>
  <c r="J210" i="2" s="1"/>
  <c r="J208" i="2" a="1"/>
  <c r="J208" i="2" s="1"/>
  <c r="J207" i="2" a="1"/>
  <c r="J207" i="2" s="1"/>
  <c r="J205" i="2" a="1"/>
  <c r="J205" i="2" s="1"/>
  <c r="J204" i="2" a="1"/>
  <c r="J204" i="2" s="1"/>
  <c r="J202" i="2" a="1"/>
  <c r="J202" i="2" s="1"/>
  <c r="J201" i="2" a="1"/>
  <c r="J201" i="2" s="1"/>
  <c r="N203" i="2"/>
  <c r="U203" i="2" s="1"/>
  <c r="N204" i="2"/>
  <c r="R204" i="2" s="1"/>
  <c r="N205" i="2"/>
  <c r="R205" i="2" s="1"/>
  <c r="O203" i="2"/>
  <c r="O204" i="2"/>
  <c r="O205" i="2"/>
  <c r="P203" i="2"/>
  <c r="P204" i="2"/>
  <c r="P205" i="2"/>
  <c r="Q203" i="2"/>
  <c r="Q204" i="2"/>
  <c r="Q205" i="2"/>
  <c r="W203" i="2"/>
  <c r="W204" i="2"/>
  <c r="W205" i="2"/>
  <c r="N206" i="2"/>
  <c r="U206" i="2" s="1"/>
  <c r="N207" i="2"/>
  <c r="T207" i="2" s="1"/>
  <c r="N208" i="2"/>
  <c r="V208" i="2" s="1"/>
  <c r="N209" i="2"/>
  <c r="T209" i="2" s="1"/>
  <c r="N210" i="2"/>
  <c r="T210" i="2" s="1"/>
  <c r="N211" i="2"/>
  <c r="U211" i="2" s="1"/>
  <c r="N212" i="2"/>
  <c r="V212" i="2" s="1"/>
  <c r="N213" i="2"/>
  <c r="R213" i="2" s="1"/>
  <c r="N214" i="2"/>
  <c r="V214" i="2" s="1"/>
  <c r="O206" i="2"/>
  <c r="O207" i="2"/>
  <c r="O208" i="2"/>
  <c r="O209" i="2"/>
  <c r="O210" i="2"/>
  <c r="O211" i="2"/>
  <c r="O212" i="2"/>
  <c r="O213" i="2"/>
  <c r="O214" i="2"/>
  <c r="P206" i="2"/>
  <c r="P207" i="2"/>
  <c r="P208" i="2"/>
  <c r="P209" i="2"/>
  <c r="P210" i="2"/>
  <c r="P211" i="2"/>
  <c r="P212" i="2"/>
  <c r="P213" i="2"/>
  <c r="P214" i="2"/>
  <c r="Q206" i="2"/>
  <c r="Q207" i="2"/>
  <c r="Q208" i="2"/>
  <c r="Q209" i="2"/>
  <c r="Q210" i="2"/>
  <c r="Q211" i="2"/>
  <c r="Q212" i="2"/>
  <c r="Q213" i="2"/>
  <c r="Q214" i="2"/>
  <c r="W206" i="2"/>
  <c r="W207" i="2"/>
  <c r="W208" i="2"/>
  <c r="W209" i="2"/>
  <c r="W210" i="2"/>
  <c r="W211" i="2"/>
  <c r="W212" i="2"/>
  <c r="W213" i="2"/>
  <c r="W214" i="2"/>
  <c r="N215" i="2"/>
  <c r="U215" i="2" s="1"/>
  <c r="N216" i="2"/>
  <c r="V216" i="2" s="1"/>
  <c r="N217" i="2"/>
  <c r="U217" i="2" s="1"/>
  <c r="N218" i="2"/>
  <c r="T218" i="2" s="1"/>
  <c r="N219" i="2"/>
  <c r="U219" i="2" s="1"/>
  <c r="N220" i="2"/>
  <c r="S220" i="2" s="1"/>
  <c r="N221" i="2"/>
  <c r="T221" i="2" s="1"/>
  <c r="N222" i="2"/>
  <c r="N223" i="2"/>
  <c r="V223" i="2" s="1"/>
  <c r="O215" i="2"/>
  <c r="O216" i="2"/>
  <c r="O217" i="2"/>
  <c r="O218" i="2"/>
  <c r="O219" i="2"/>
  <c r="O220" i="2"/>
  <c r="O221" i="2"/>
  <c r="O222" i="2"/>
  <c r="O223" i="2"/>
  <c r="P215" i="2"/>
  <c r="P216" i="2"/>
  <c r="P217" i="2"/>
  <c r="P218" i="2"/>
  <c r="P219" i="2"/>
  <c r="P220" i="2"/>
  <c r="P221" i="2"/>
  <c r="P222" i="2"/>
  <c r="P223" i="2"/>
  <c r="Q215" i="2"/>
  <c r="Q216" i="2"/>
  <c r="Q217" i="2"/>
  <c r="Q218" i="2"/>
  <c r="Q219" i="2"/>
  <c r="Q220" i="2"/>
  <c r="Q221" i="2"/>
  <c r="Q222" i="2"/>
  <c r="Q223" i="2"/>
  <c r="W215" i="2"/>
  <c r="W216" i="2"/>
  <c r="W217" i="2"/>
  <c r="W218" i="2"/>
  <c r="W219" i="2"/>
  <c r="W220" i="2"/>
  <c r="W221" i="2"/>
  <c r="W222" i="2"/>
  <c r="W223" i="2"/>
  <c r="V277" i="2" l="1"/>
  <c r="U277" i="2"/>
  <c r="T277" i="2"/>
  <c r="V276" i="2"/>
  <c r="U275" i="2"/>
  <c r="T275" i="2"/>
  <c r="S275" i="2"/>
  <c r="S276" i="2"/>
  <c r="U276" i="2"/>
  <c r="V263" i="2"/>
  <c r="U263" i="2"/>
  <c r="V221" i="2"/>
  <c r="V211" i="2"/>
  <c r="T263" i="2"/>
  <c r="R206" i="2"/>
  <c r="V220" i="2"/>
  <c r="V260" i="2"/>
  <c r="S263" i="2"/>
  <c r="T260" i="2"/>
  <c r="S260" i="2"/>
  <c r="V217" i="2"/>
  <c r="S214" i="2"/>
  <c r="U260" i="2"/>
  <c r="V206" i="2"/>
  <c r="T215" i="2"/>
  <c r="R214" i="2"/>
  <c r="S215" i="2"/>
  <c r="V207" i="2"/>
  <c r="R207" i="2"/>
  <c r="V215" i="2"/>
  <c r="V205" i="2"/>
  <c r="S205" i="2"/>
  <c r="U207" i="2"/>
  <c r="U214" i="2"/>
  <c r="T206" i="2"/>
  <c r="R209" i="2"/>
  <c r="U205" i="2"/>
  <c r="T223" i="2"/>
  <c r="U216" i="2"/>
  <c r="S217" i="2"/>
  <c r="U210" i="2"/>
  <c r="S206" i="2"/>
  <c r="T214" i="2"/>
  <c r="S216" i="2"/>
  <c r="T216" i="2"/>
  <c r="R210" i="2"/>
  <c r="R216" i="2"/>
  <c r="V210" i="2"/>
  <c r="R208" i="2"/>
  <c r="R212" i="2"/>
  <c r="S207" i="2"/>
  <c r="S210" i="2"/>
  <c r="T208" i="2"/>
  <c r="T220" i="2"/>
  <c r="R223" i="2"/>
  <c r="S222" i="2"/>
  <c r="S209" i="2"/>
  <c r="T211" i="2"/>
  <c r="T204" i="2"/>
  <c r="R203" i="2"/>
  <c r="R220" i="2"/>
  <c r="S208" i="2"/>
  <c r="T203" i="2"/>
  <c r="U209" i="2"/>
  <c r="S203" i="2"/>
  <c r="V204" i="2"/>
  <c r="V203" i="2"/>
  <c r="V209" i="2"/>
  <c r="U208" i="2"/>
  <c r="U204" i="2"/>
  <c r="U223" i="2"/>
  <c r="S223" i="2"/>
  <c r="R215" i="2"/>
  <c r="U220" i="2"/>
  <c r="T217" i="2"/>
  <c r="U218" i="2"/>
  <c r="R217" i="2"/>
  <c r="R211" i="2"/>
  <c r="S211" i="2"/>
  <c r="V218" i="2"/>
  <c r="U213" i="2"/>
  <c r="U212" i="2"/>
  <c r="T213" i="2"/>
  <c r="V213" i="2"/>
  <c r="T212" i="2"/>
  <c r="S213" i="2"/>
  <c r="S212" i="2"/>
  <c r="R219" i="2"/>
  <c r="S219" i="2"/>
  <c r="R218" i="2"/>
  <c r="T219" i="2"/>
  <c r="S218" i="2"/>
  <c r="V219" i="2"/>
  <c r="U222" i="2"/>
  <c r="U221" i="2"/>
  <c r="T222" i="2"/>
  <c r="V222" i="2"/>
  <c r="S221" i="2"/>
  <c r="R222" i="2"/>
  <c r="R221" i="2"/>
  <c r="X206" i="2" l="1"/>
  <c r="X207" i="2"/>
  <c r="X214" i="2"/>
  <c r="X216" i="2"/>
  <c r="X215" i="2"/>
  <c r="X210" i="2"/>
  <c r="X209" i="2"/>
  <c r="X208" i="2"/>
  <c r="X223" i="2"/>
  <c r="X220" i="2"/>
  <c r="X203" i="2"/>
  <c r="X211" i="2"/>
  <c r="X217" i="2"/>
  <c r="X212" i="2"/>
  <c r="X221" i="2"/>
  <c r="X213" i="2"/>
  <c r="X218" i="2"/>
  <c r="X219" i="2"/>
  <c r="X222" i="2"/>
  <c r="D380" i="16" l="1"/>
  <c r="D379" i="16" l="1"/>
  <c r="D377" i="16"/>
  <c r="D378" i="16"/>
  <c r="D373" i="16"/>
  <c r="D372" i="16"/>
  <c r="D375" i="16"/>
  <c r="D128" i="16" l="1"/>
  <c r="D129" i="16"/>
  <c r="O620" i="2" l="1"/>
  <c r="O632" i="2"/>
  <c r="V632" i="2" s="1"/>
  <c r="X632" i="2" s="1"/>
  <c r="O628" i="2"/>
  <c r="V628" i="2" s="1"/>
  <c r="X628" i="2" s="1"/>
  <c r="O615" i="2"/>
  <c r="V615" i="2" s="1"/>
  <c r="X615" i="2" s="1"/>
  <c r="O609" i="2"/>
  <c r="O619" i="2"/>
  <c r="V619" i="2" s="1"/>
  <c r="X619" i="2" s="1"/>
  <c r="O627" i="2"/>
  <c r="V627" i="2" s="1"/>
  <c r="X627" i="2" s="1"/>
  <c r="O631" i="2"/>
  <c r="V631" i="2" s="1"/>
  <c r="X631" i="2" s="1"/>
  <c r="D20" i="16"/>
  <c r="D19" i="16"/>
  <c r="D18" i="16"/>
  <c r="D329" i="16" l="1"/>
  <c r="D330" i="16"/>
  <c r="D332" i="16"/>
  <c r="D327" i="16"/>
  <c r="D328" i="16"/>
  <c r="D318" i="16"/>
  <c r="D326" i="16"/>
  <c r="D324" i="16"/>
  <c r="D314" i="16"/>
  <c r="D319" i="16"/>
  <c r="D320" i="16"/>
  <c r="D323" i="16"/>
  <c r="D321" i="16"/>
  <c r="D322" i="16"/>
  <c r="D52" i="16"/>
  <c r="D58" i="16"/>
  <c r="D56" i="16"/>
  <c r="D48" i="16"/>
  <c r="D46" i="16"/>
  <c r="D47" i="16"/>
  <c r="D60" i="16"/>
  <c r="O260" i="2"/>
  <c r="O275" i="2" l="1"/>
  <c r="O263" i="2"/>
  <c r="R263" i="2" s="1"/>
  <c r="O276" i="2"/>
  <c r="O277" i="2"/>
  <c r="D122" i="16"/>
  <c r="D279" i="16" s="1"/>
  <c r="D121" i="16"/>
  <c r="D120" i="16"/>
  <c r="W263" i="2" l="1"/>
  <c r="X263" i="2" s="1"/>
  <c r="H24" i="1" l="1"/>
  <c r="H25" i="1"/>
  <c r="H23" i="1" l="1"/>
  <c r="D267" i="16"/>
  <c r="D264" i="16" l="1"/>
  <c r="D287" i="16"/>
  <c r="D275" i="16" s="1"/>
  <c r="O688" i="2" l="1"/>
  <c r="S688" i="2" s="1"/>
  <c r="X688" i="2" s="1"/>
  <c r="O684" i="2"/>
  <c r="S684" i="2" s="1"/>
  <c r="X684" i="2" s="1"/>
  <c r="O652" i="2"/>
  <c r="S652" i="2" s="1"/>
  <c r="X652" i="2" s="1"/>
  <c r="O634" i="2"/>
  <c r="S634" i="2" s="1"/>
  <c r="X634" i="2" s="1"/>
  <c r="O696" i="2"/>
  <c r="S696" i="2" s="1"/>
  <c r="X696" i="2" s="1"/>
  <c r="O680" i="2"/>
  <c r="S680" i="2" s="1"/>
  <c r="X680" i="2" s="1"/>
  <c r="O664" i="2"/>
  <c r="S664" i="2" s="1"/>
  <c r="X664" i="2" s="1"/>
  <c r="D365" i="16"/>
  <c r="D306" i="16"/>
  <c r="D265" i="16" l="1"/>
  <c r="O653" i="2" l="1"/>
  <c r="T653" i="2" s="1"/>
  <c r="X653" i="2" s="1"/>
  <c r="O689" i="2"/>
  <c r="T689" i="2" s="1"/>
  <c r="X689" i="2" s="1"/>
  <c r="O685" i="2"/>
  <c r="T685" i="2" s="1"/>
  <c r="X685" i="2" s="1"/>
  <c r="O635" i="2"/>
  <c r="T635" i="2" s="1"/>
  <c r="X635" i="2" s="1"/>
  <c r="O697" i="2"/>
  <c r="T697" i="2" s="1"/>
  <c r="X697" i="2" s="1"/>
  <c r="O681" i="2"/>
  <c r="T681" i="2" s="1"/>
  <c r="X681" i="2" s="1"/>
  <c r="O665" i="2"/>
  <c r="T665" i="2" s="1"/>
  <c r="X665" i="2" s="1"/>
  <c r="U13" i="20"/>
  <c r="N553" i="2" l="1"/>
  <c r="R553" i="2" s="1"/>
  <c r="N554" i="2"/>
  <c r="S554" i="2" s="1"/>
  <c r="N555" i="2"/>
  <c r="T555" i="2" s="1"/>
  <c r="N556" i="2"/>
  <c r="S556" i="2" s="1"/>
  <c r="N557" i="2"/>
  <c r="T557" i="2" s="1"/>
  <c r="N558" i="2"/>
  <c r="R558" i="2" s="1"/>
  <c r="N559" i="2"/>
  <c r="U559" i="2" s="1"/>
  <c r="N560" i="2"/>
  <c r="S560" i="2" s="1"/>
  <c r="O553" i="2"/>
  <c r="O554" i="2"/>
  <c r="O555" i="2"/>
  <c r="O556" i="2"/>
  <c r="O557" i="2"/>
  <c r="O558" i="2"/>
  <c r="O559" i="2"/>
  <c r="O560" i="2"/>
  <c r="P553" i="2"/>
  <c r="P554" i="2"/>
  <c r="P555" i="2"/>
  <c r="P556" i="2"/>
  <c r="P557" i="2"/>
  <c r="P558" i="2"/>
  <c r="P559" i="2"/>
  <c r="P560" i="2"/>
  <c r="Q553" i="2"/>
  <c r="Q554" i="2"/>
  <c r="Q555" i="2"/>
  <c r="Q556" i="2"/>
  <c r="Q557" i="2"/>
  <c r="Q558" i="2"/>
  <c r="Q559" i="2"/>
  <c r="Q560" i="2"/>
  <c r="W553" i="2"/>
  <c r="W554" i="2"/>
  <c r="W555" i="2"/>
  <c r="W556" i="2"/>
  <c r="W557" i="2"/>
  <c r="W558" i="2"/>
  <c r="W559" i="2"/>
  <c r="W560" i="2"/>
  <c r="R554" i="2" l="1"/>
  <c r="T554" i="2"/>
  <c r="R559" i="2"/>
  <c r="U558" i="2"/>
  <c r="T558" i="2"/>
  <c r="S558" i="2"/>
  <c r="S559" i="2"/>
  <c r="V559" i="2"/>
  <c r="T559" i="2"/>
  <c r="V558" i="2"/>
  <c r="S553" i="2"/>
  <c r="T553" i="2"/>
  <c r="U553" i="2"/>
  <c r="V553" i="2"/>
  <c r="U557" i="2"/>
  <c r="U555" i="2"/>
  <c r="R555" i="2"/>
  <c r="V555" i="2"/>
  <c r="S555" i="2"/>
  <c r="T556" i="2"/>
  <c r="R556" i="2"/>
  <c r="U556" i="2"/>
  <c r="V556" i="2"/>
  <c r="V554" i="2"/>
  <c r="U554" i="2"/>
  <c r="V557" i="2"/>
  <c r="R557" i="2"/>
  <c r="S557" i="2"/>
  <c r="V560" i="2"/>
  <c r="U560" i="2"/>
  <c r="T560" i="2"/>
  <c r="R560" i="2"/>
  <c r="O227" i="2"/>
  <c r="X558" i="2" l="1"/>
  <c r="X553" i="2"/>
  <c r="X557" i="2"/>
  <c r="X559" i="2"/>
  <c r="X555" i="2"/>
  <c r="X554" i="2"/>
  <c r="X560" i="2"/>
  <c r="X556" i="2"/>
  <c r="K77" i="1"/>
  <c r="K76" i="1" s="1"/>
  <c r="J77" i="1"/>
  <c r="J76" i="1" s="1"/>
  <c r="I77" i="1"/>
  <c r="I76" i="1" s="1"/>
  <c r="H77" i="1"/>
  <c r="H76" i="1" s="1"/>
  <c r="N806" i="2"/>
  <c r="R806" i="2" s="1"/>
  <c r="O806" i="2"/>
  <c r="P806" i="2"/>
  <c r="Q806" i="2"/>
  <c r="W806" i="2"/>
  <c r="G76" i="1" l="1"/>
  <c r="Q10" i="20" s="1"/>
  <c r="V806" i="2"/>
  <c r="U806" i="2"/>
  <c r="T806" i="2"/>
  <c r="S806" i="2"/>
  <c r="X806" i="2" l="1"/>
  <c r="E35" i="19" l="1"/>
  <c r="E36" i="19" s="1"/>
  <c r="N596" i="2" l="1"/>
  <c r="S596" i="2" s="1"/>
  <c r="N597" i="2"/>
  <c r="T597" i="2" s="1"/>
  <c r="O596" i="2"/>
  <c r="O597" i="2"/>
  <c r="P596" i="2"/>
  <c r="P597" i="2"/>
  <c r="Q596" i="2"/>
  <c r="Q597" i="2"/>
  <c r="W596" i="2"/>
  <c r="W597" i="2"/>
  <c r="R597" i="2" l="1"/>
  <c r="R596" i="2"/>
  <c r="V596" i="2"/>
  <c r="S597" i="2"/>
  <c r="V597" i="2"/>
  <c r="U597" i="2"/>
  <c r="U596" i="2"/>
  <c r="T596" i="2"/>
  <c r="N1004" i="2"/>
  <c r="R1004" i="2" s="1"/>
  <c r="O1004" i="2"/>
  <c r="P1004" i="2"/>
  <c r="Q1004" i="2"/>
  <c r="W1004" i="2"/>
  <c r="N1006" i="2"/>
  <c r="R1006" i="2" s="1"/>
  <c r="O1006" i="2"/>
  <c r="P1006" i="2"/>
  <c r="Q1006" i="2"/>
  <c r="W1006" i="2"/>
  <c r="N999" i="2"/>
  <c r="O999" i="2"/>
  <c r="P999" i="2"/>
  <c r="Q999" i="2"/>
  <c r="W999" i="2"/>
  <c r="N530" i="2"/>
  <c r="S530" i="2" s="1"/>
  <c r="N531" i="2"/>
  <c r="T531" i="2" s="1"/>
  <c r="N532" i="2"/>
  <c r="P530" i="2"/>
  <c r="P531" i="2"/>
  <c r="P532" i="2"/>
  <c r="Q530" i="2"/>
  <c r="Q531" i="2"/>
  <c r="Q532" i="2"/>
  <c r="W530" i="2"/>
  <c r="W531" i="2"/>
  <c r="W532" i="2"/>
  <c r="N679" i="2"/>
  <c r="P679" i="2"/>
  <c r="Q679" i="2"/>
  <c r="W679" i="2"/>
  <c r="N726" i="2"/>
  <c r="R726" i="2" s="1"/>
  <c r="P726" i="2"/>
  <c r="Q726" i="2"/>
  <c r="W726" i="2"/>
  <c r="N637" i="2"/>
  <c r="P637" i="2"/>
  <c r="Q637" i="2"/>
  <c r="W637" i="2"/>
  <c r="N259" i="2"/>
  <c r="P259" i="2"/>
  <c r="Q259" i="2"/>
  <c r="W229" i="2"/>
  <c r="W228" i="2"/>
  <c r="W227" i="2"/>
  <c r="Q229" i="2"/>
  <c r="Q228" i="2"/>
  <c r="Q227" i="2"/>
  <c r="P229" i="2"/>
  <c r="P228" i="2"/>
  <c r="P227" i="2"/>
  <c r="N229" i="2"/>
  <c r="N228" i="2"/>
  <c r="T228" i="2" s="1"/>
  <c r="N227" i="2"/>
  <c r="T227" i="2" s="1"/>
  <c r="V1004" i="2" l="1"/>
  <c r="X596" i="2"/>
  <c r="X597" i="2"/>
  <c r="R999" i="2"/>
  <c r="U1004" i="2"/>
  <c r="T1004" i="2"/>
  <c r="S1004" i="2"/>
  <c r="V1006" i="2"/>
  <c r="U1006" i="2"/>
  <c r="T1006" i="2"/>
  <c r="S1006" i="2"/>
  <c r="V999" i="2"/>
  <c r="U999" i="2"/>
  <c r="T999" i="2"/>
  <c r="S999" i="2"/>
  <c r="R531" i="2"/>
  <c r="V532" i="2"/>
  <c r="R532" i="2"/>
  <c r="V531" i="2"/>
  <c r="U532" i="2"/>
  <c r="U531" i="2"/>
  <c r="S532" i="2"/>
  <c r="T530" i="2"/>
  <c r="U530" i="2"/>
  <c r="V530" i="2"/>
  <c r="V679" i="2"/>
  <c r="U679" i="2"/>
  <c r="T679" i="2"/>
  <c r="U726" i="2"/>
  <c r="S726" i="2"/>
  <c r="T726" i="2"/>
  <c r="V637" i="2"/>
  <c r="U637" i="2"/>
  <c r="T637" i="2"/>
  <c r="S637" i="2"/>
  <c r="V259" i="2"/>
  <c r="U259" i="2"/>
  <c r="T259" i="2"/>
  <c r="S259" i="2"/>
  <c r="U228" i="2"/>
  <c r="U229" i="2"/>
  <c r="V227" i="2"/>
  <c r="R228" i="2"/>
  <c r="V228" i="2"/>
  <c r="R229" i="2"/>
  <c r="V229" i="2"/>
  <c r="S227" i="2"/>
  <c r="U227" i="2"/>
  <c r="S229" i="2"/>
  <c r="X1004" i="2" l="1"/>
  <c r="X1006" i="2"/>
  <c r="X999" i="2"/>
  <c r="N608" i="2" l="1"/>
  <c r="R608" i="2" s="1"/>
  <c r="O608" i="2"/>
  <c r="P608" i="2"/>
  <c r="Q608" i="2"/>
  <c r="W608" i="2"/>
  <c r="U608" i="2" l="1"/>
  <c r="T608" i="2"/>
  <c r="S608" i="2"/>
  <c r="O997" i="2" l="1"/>
  <c r="N997" i="2"/>
  <c r="R997" i="2" s="1"/>
  <c r="P997" i="2"/>
  <c r="Q997" i="2"/>
  <c r="W997" i="2"/>
  <c r="V997" i="2" l="1"/>
  <c r="U997" i="2"/>
  <c r="T997" i="2"/>
  <c r="S997" i="2"/>
  <c r="X997" i="2" l="1"/>
  <c r="N577" i="2"/>
  <c r="S577" i="2" s="1"/>
  <c r="N578" i="2"/>
  <c r="S578" i="2" s="1"/>
  <c r="N579" i="2"/>
  <c r="S579" i="2" s="1"/>
  <c r="O577" i="2"/>
  <c r="O578" i="2"/>
  <c r="O579" i="2"/>
  <c r="P577" i="2"/>
  <c r="P578" i="2"/>
  <c r="P579" i="2"/>
  <c r="Q577" i="2"/>
  <c r="Q578" i="2"/>
  <c r="Q579" i="2"/>
  <c r="W577" i="2"/>
  <c r="W578" i="2"/>
  <c r="W579" i="2"/>
  <c r="R579" i="2" l="1"/>
  <c r="R578" i="2"/>
  <c r="R577" i="2"/>
  <c r="V579" i="2"/>
  <c r="V578" i="2"/>
  <c r="V577" i="2"/>
  <c r="U578" i="2"/>
  <c r="U579" i="2"/>
  <c r="U577" i="2"/>
  <c r="T579" i="2"/>
  <c r="T578" i="2"/>
  <c r="T577" i="2"/>
  <c r="X577" i="2" l="1"/>
  <c r="X579" i="2"/>
  <c r="X578" i="2"/>
  <c r="D282" i="16"/>
  <c r="D283" i="16"/>
  <c r="D281" i="16"/>
  <c r="D277" i="16" s="1"/>
  <c r="N683" i="2" l="1"/>
  <c r="N687" i="2"/>
  <c r="V687" i="2" s="1"/>
  <c r="N691" i="2"/>
  <c r="N695" i="2"/>
  <c r="N699" i="2"/>
  <c r="N701" i="2"/>
  <c r="P683" i="2"/>
  <c r="P687" i="2"/>
  <c r="P691" i="2"/>
  <c r="P695" i="2"/>
  <c r="P699" i="2"/>
  <c r="P701" i="2"/>
  <c r="Q683" i="2"/>
  <c r="Q687" i="2"/>
  <c r="Q691" i="2"/>
  <c r="Q695" i="2"/>
  <c r="Q699" i="2"/>
  <c r="Q701" i="2"/>
  <c r="W683" i="2"/>
  <c r="W687" i="2"/>
  <c r="W691" i="2"/>
  <c r="W695" i="2"/>
  <c r="W699" i="2"/>
  <c r="W701" i="2"/>
  <c r="T691" i="2" l="1"/>
  <c r="V691" i="2"/>
  <c r="T699" i="2"/>
  <c r="V699" i="2"/>
  <c r="T695" i="2"/>
  <c r="V695" i="2"/>
  <c r="T683" i="2"/>
  <c r="V683" i="2"/>
  <c r="U683" i="2"/>
  <c r="U695" i="2"/>
  <c r="U691" i="2"/>
  <c r="U701" i="2"/>
  <c r="T701" i="2"/>
  <c r="U699" i="2"/>
  <c r="V701" i="2"/>
  <c r="T687" i="2"/>
  <c r="U687" i="2"/>
  <c r="W159" i="2"/>
  <c r="W160" i="2"/>
  <c r="W161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20" i="2"/>
  <c r="W121" i="2"/>
  <c r="W122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86" i="2"/>
  <c r="W187" i="2"/>
  <c r="W188" i="2"/>
  <c r="W192" i="2"/>
  <c r="W193" i="2"/>
  <c r="W194" i="2"/>
  <c r="W195" i="2"/>
  <c r="W196" i="2"/>
  <c r="W197" i="2"/>
  <c r="W5" i="2"/>
  <c r="W6" i="2"/>
  <c r="W7" i="2"/>
  <c r="W11" i="2"/>
  <c r="W12" i="2"/>
  <c r="W13" i="2"/>
  <c r="W14" i="2"/>
  <c r="W15" i="2"/>
  <c r="W16" i="2"/>
  <c r="W17" i="2"/>
  <c r="W18" i="2"/>
  <c r="W19" i="2"/>
  <c r="W20" i="2"/>
  <c r="W21" i="2"/>
  <c r="W22" i="2"/>
  <c r="W29" i="2"/>
  <c r="W30" i="2"/>
  <c r="W31" i="2"/>
  <c r="W32" i="2"/>
  <c r="W33" i="2"/>
  <c r="W34" i="2"/>
  <c r="W38" i="2"/>
  <c r="W39" i="2"/>
  <c r="W40" i="2"/>
  <c r="W41" i="2"/>
  <c r="W42" i="2"/>
  <c r="W43" i="2"/>
  <c r="W50" i="2"/>
  <c r="W51" i="2"/>
  <c r="W52" i="2"/>
  <c r="W53" i="2"/>
  <c r="W54" i="2"/>
  <c r="W55" i="2"/>
  <c r="W56" i="2"/>
  <c r="W57" i="2"/>
  <c r="W58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4" i="2"/>
  <c r="W105" i="2"/>
  <c r="W106" i="2"/>
  <c r="W107" i="2"/>
  <c r="W108" i="2"/>
  <c r="W109" i="2"/>
  <c r="W113" i="2"/>
  <c r="W114" i="2"/>
  <c r="W115" i="2"/>
  <c r="W146" i="2"/>
  <c r="W147" i="2"/>
  <c r="W148" i="2"/>
  <c r="W149" i="2"/>
  <c r="W150" i="2"/>
  <c r="W151" i="2"/>
  <c r="W152" i="2"/>
  <c r="W119" i="2"/>
  <c r="W198" i="2"/>
  <c r="W2" i="2"/>
  <c r="W138" i="2"/>
  <c r="W139" i="2"/>
  <c r="W3" i="2"/>
  <c r="W140" i="2"/>
  <c r="W141" i="2"/>
  <c r="W4" i="2"/>
  <c r="W142" i="2"/>
  <c r="W143" i="2"/>
  <c r="W200" i="2"/>
  <c r="W201" i="2"/>
  <c r="W202" i="2"/>
  <c r="W224" i="2"/>
  <c r="W225" i="2"/>
  <c r="W226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603" i="2"/>
  <c r="W604" i="2"/>
  <c r="W605" i="2"/>
  <c r="W606" i="2"/>
  <c r="W607" i="2"/>
  <c r="W610" i="2"/>
  <c r="W611" i="2"/>
  <c r="W612" i="2"/>
  <c r="W613" i="2"/>
  <c r="W614" i="2"/>
  <c r="W616" i="2"/>
  <c r="W617" i="2"/>
  <c r="W618" i="2"/>
  <c r="W621" i="2"/>
  <c r="W622" i="2"/>
  <c r="W623" i="2"/>
  <c r="W624" i="2"/>
  <c r="W625" i="2"/>
  <c r="W626" i="2"/>
  <c r="W629" i="2"/>
  <c r="W630" i="2"/>
  <c r="W633" i="2"/>
  <c r="W641" i="2"/>
  <c r="W645" i="2"/>
  <c r="W647" i="2"/>
  <c r="W651" i="2"/>
  <c r="W655" i="2"/>
  <c r="W659" i="2"/>
  <c r="W663" i="2"/>
  <c r="W667" i="2"/>
  <c r="W671" i="2"/>
  <c r="W675" i="2"/>
  <c r="W725" i="2"/>
  <c r="W727" i="2"/>
  <c r="W801" i="2"/>
  <c r="W802" i="2"/>
  <c r="W803" i="2"/>
  <c r="W804" i="2"/>
  <c r="W805" i="2"/>
  <c r="W807" i="2"/>
  <c r="W808" i="2"/>
  <c r="W728" i="2"/>
  <c r="W729" i="2"/>
  <c r="W730" i="2"/>
  <c r="W755" i="2"/>
  <c r="W756" i="2"/>
  <c r="W757" i="2"/>
  <c r="W761" i="2"/>
  <c r="W762" i="2"/>
  <c r="W763" i="2"/>
  <c r="W764" i="2"/>
  <c r="W765" i="2"/>
  <c r="W766" i="2"/>
  <c r="W767" i="2"/>
  <c r="W768" i="2"/>
  <c r="W769" i="2"/>
  <c r="W773" i="2"/>
  <c r="W774" i="2"/>
  <c r="W775" i="2"/>
  <c r="W791" i="2"/>
  <c r="W792" i="2"/>
  <c r="W793" i="2"/>
  <c r="W794" i="2"/>
  <c r="W795" i="2"/>
  <c r="W796" i="2"/>
  <c r="W797" i="2"/>
  <c r="W798" i="2"/>
  <c r="W799" i="2"/>
  <c r="W800" i="2"/>
  <c r="W810" i="2"/>
  <c r="W812" i="2"/>
  <c r="W824" i="2"/>
  <c r="W829" i="2"/>
  <c r="W835" i="2"/>
  <c r="W838" i="2"/>
  <c r="W853" i="2"/>
  <c r="W858" i="2"/>
  <c r="W859" i="2"/>
  <c r="W872" i="2"/>
  <c r="W885" i="2"/>
  <c r="W933" i="2"/>
  <c r="W941" i="2"/>
  <c r="W942" i="2"/>
  <c r="W921" i="2"/>
  <c r="W873" i="2"/>
  <c r="W818" i="2"/>
  <c r="W862" i="2"/>
  <c r="W880" i="2"/>
  <c r="W914" i="2"/>
  <c r="W922" i="2"/>
  <c r="W934" i="2"/>
  <c r="W983" i="2"/>
  <c r="W819" i="2"/>
  <c r="W841" i="2"/>
  <c r="W848" i="2"/>
  <c r="W863" i="2"/>
  <c r="W904" i="2"/>
  <c r="W910" i="2"/>
  <c r="W923" i="2"/>
  <c r="W951" i="2"/>
  <c r="W955" i="2"/>
  <c r="W820" i="2"/>
  <c r="W864" i="2"/>
  <c r="W881" i="2"/>
  <c r="W915" i="2"/>
  <c r="W924" i="2"/>
  <c r="W935" i="2"/>
  <c r="W985" i="2"/>
  <c r="W826" i="2"/>
  <c r="W831" i="2"/>
  <c r="W842" i="2"/>
  <c r="W847" i="2"/>
  <c r="W854" i="2"/>
  <c r="W865" i="2"/>
  <c r="W891" i="2"/>
  <c r="W925" i="2"/>
  <c r="W926" i="2"/>
  <c r="W960" i="2"/>
  <c r="W967" i="2"/>
  <c r="W970" i="2"/>
  <c r="W986" i="2"/>
  <c r="W821" i="2"/>
  <c r="W866" i="2"/>
  <c r="W882" i="2"/>
  <c r="W916" i="2"/>
  <c r="W927" i="2"/>
  <c r="W936" i="2"/>
  <c r="W987" i="2"/>
  <c r="W827" i="2"/>
  <c r="W832" i="2"/>
  <c r="W837" i="2"/>
  <c r="W843" i="2"/>
  <c r="W855" i="2"/>
  <c r="W905" i="2"/>
  <c r="W907" i="2"/>
  <c r="W911" i="2"/>
  <c r="W917" i="2"/>
  <c r="W937" i="2"/>
  <c r="W961" i="2"/>
  <c r="W968" i="2"/>
  <c r="W971" i="2"/>
  <c r="W974" i="2"/>
  <c r="W809" i="2"/>
  <c r="W811" i="2"/>
  <c r="W813" i="2"/>
  <c r="W814" i="2"/>
  <c r="W815" i="2"/>
  <c r="W816" i="2"/>
  <c r="W817" i="2"/>
  <c r="W823" i="2"/>
  <c r="W825" i="2"/>
  <c r="W828" i="2"/>
  <c r="W830" i="2"/>
  <c r="W834" i="2"/>
  <c r="W836" i="2"/>
  <c r="W839" i="2"/>
  <c r="W840" i="2"/>
  <c r="W845" i="2"/>
  <c r="W846" i="2"/>
  <c r="W851" i="2"/>
  <c r="W852" i="2"/>
  <c r="W857" i="2"/>
  <c r="W860" i="2"/>
  <c r="W861" i="2"/>
  <c r="W869" i="2"/>
  <c r="W870" i="2"/>
  <c r="W871" i="2"/>
  <c r="W874" i="2"/>
  <c r="W875" i="2"/>
  <c r="W877" i="2"/>
  <c r="W878" i="2"/>
  <c r="W879" i="2"/>
  <c r="W884" i="2"/>
  <c r="W886" i="2"/>
  <c r="W887" i="2"/>
  <c r="W888" i="2"/>
  <c r="W889" i="2"/>
  <c r="W890" i="2"/>
  <c r="W893" i="2"/>
  <c r="W894" i="2"/>
  <c r="W895" i="2"/>
  <c r="W896" i="2"/>
  <c r="W897" i="2"/>
  <c r="W898" i="2"/>
  <c r="W899" i="2"/>
  <c r="W900" i="2"/>
  <c r="W901" i="2"/>
  <c r="W902" i="2"/>
  <c r="W903" i="2"/>
  <c r="W906" i="2"/>
  <c r="W908" i="2"/>
  <c r="W909" i="2"/>
  <c r="W913" i="2"/>
  <c r="W920" i="2"/>
  <c r="W930" i="2"/>
  <c r="W932" i="2"/>
  <c r="W940" i="2"/>
  <c r="W944" i="2"/>
  <c r="W945" i="2"/>
  <c r="W946" i="2"/>
  <c r="W947" i="2"/>
  <c r="W949" i="2"/>
  <c r="W950" i="2"/>
  <c r="W953" i="2"/>
  <c r="W954" i="2"/>
  <c r="W957" i="2"/>
  <c r="W958" i="2"/>
  <c r="W964" i="2"/>
  <c r="W965" i="2"/>
  <c r="W966" i="2"/>
  <c r="W969" i="2"/>
  <c r="W972" i="2"/>
  <c r="W976" i="2"/>
  <c r="W977" i="2"/>
  <c r="W978" i="2"/>
  <c r="W876" i="2"/>
  <c r="W995" i="2"/>
  <c r="W996" i="2"/>
  <c r="W998" i="2"/>
  <c r="W1000" i="2"/>
  <c r="W1001" i="2"/>
  <c r="W1002" i="2"/>
  <c r="W1003" i="2"/>
  <c r="W1005" i="2"/>
  <c r="W1007" i="2"/>
  <c r="W1008" i="2"/>
  <c r="W1009" i="2"/>
  <c r="W1010" i="2"/>
  <c r="W1011" i="2"/>
  <c r="W1012" i="2"/>
  <c r="W1013" i="2"/>
  <c r="W524" i="2"/>
  <c r="W525" i="2"/>
  <c r="W526" i="2"/>
  <c r="W527" i="2"/>
  <c r="W528" i="2"/>
  <c r="W529" i="2"/>
  <c r="N725" i="2" l="1"/>
  <c r="R725" i="2" s="1"/>
  <c r="P725" i="2"/>
  <c r="Q725" i="2"/>
  <c r="T725" i="2" l="1"/>
  <c r="S725" i="2"/>
  <c r="U725" i="2"/>
  <c r="K10" i="17" l="1"/>
  <c r="M10" i="17" s="1"/>
  <c r="E10" i="17"/>
  <c r="D10" i="17"/>
  <c r="B10" i="17"/>
  <c r="G10" i="17"/>
  <c r="F10" i="17" l="1"/>
  <c r="B27" i="17" s="1"/>
  <c r="D131" i="16" s="1"/>
  <c r="D276" i="16" l="1"/>
  <c r="O700" i="2" s="1"/>
  <c r="V700" i="2" s="1"/>
  <c r="X700" i="2" s="1"/>
  <c r="O724" i="2"/>
  <c r="V724" i="2" s="1"/>
  <c r="X724" i="2" s="1"/>
  <c r="B32" i="17"/>
  <c r="D132" i="16" s="1"/>
  <c r="B38" i="17"/>
  <c r="D133" i="16" s="1"/>
  <c r="B22" i="17"/>
  <c r="D130" i="16" l="1"/>
  <c r="D266" i="16" s="1"/>
  <c r="O654" i="2" s="1"/>
  <c r="V654" i="2" s="1"/>
  <c r="X654" i="2" s="1"/>
  <c r="O717" i="2"/>
  <c r="V717" i="2" s="1"/>
  <c r="X717" i="2" s="1"/>
  <c r="D280" i="16"/>
  <c r="O646" i="2" s="1"/>
  <c r="V646" i="2" s="1"/>
  <c r="X646" i="2" s="1"/>
  <c r="D278" i="16"/>
  <c r="O702" i="2" s="1"/>
  <c r="V702" i="2" s="1"/>
  <c r="X702" i="2" s="1"/>
  <c r="O723" i="2"/>
  <c r="D270" i="16"/>
  <c r="V723" i="2" l="1"/>
  <c r="X723" i="2" s="1"/>
  <c r="O726" i="2"/>
  <c r="O725" i="2"/>
  <c r="O636" i="2"/>
  <c r="V636" i="2" s="1"/>
  <c r="X636" i="2" s="1"/>
  <c r="O686" i="2"/>
  <c r="V686" i="2" s="1"/>
  <c r="X686" i="2" s="1"/>
  <c r="O682" i="2"/>
  <c r="V682" i="2" s="1"/>
  <c r="X682" i="2" s="1"/>
  <c r="O690" i="2"/>
  <c r="V690" i="2" s="1"/>
  <c r="X690" i="2" s="1"/>
  <c r="O698" i="2"/>
  <c r="V698" i="2" s="1"/>
  <c r="X698" i="2" s="1"/>
  <c r="O666" i="2"/>
  <c r="V666" i="2" s="1"/>
  <c r="X666" i="2" s="1"/>
  <c r="O708" i="2"/>
  <c r="V708" i="2" s="1"/>
  <c r="X708" i="2" s="1"/>
  <c r="O707" i="2"/>
  <c r="O722" i="2"/>
  <c r="V722" i="2" s="1"/>
  <c r="X722" i="2" s="1"/>
  <c r="O719" i="2"/>
  <c r="V719" i="2" s="1"/>
  <c r="X719" i="2" s="1"/>
  <c r="O718" i="2"/>
  <c r="V718" i="2" s="1"/>
  <c r="X718" i="2" s="1"/>
  <c r="O710" i="2"/>
  <c r="V710" i="2" s="1"/>
  <c r="X710" i="2" s="1"/>
  <c r="O714" i="2"/>
  <c r="V714" i="2" s="1"/>
  <c r="X714" i="2" s="1"/>
  <c r="O721" i="2"/>
  <c r="V721" i="2" s="1"/>
  <c r="X721" i="2" s="1"/>
  <c r="D274" i="16"/>
  <c r="O706" i="2" s="1"/>
  <c r="O709" i="2"/>
  <c r="V709" i="2" s="1"/>
  <c r="X709" i="2" s="1"/>
  <c r="O713" i="2"/>
  <c r="V713" i="2" s="1"/>
  <c r="X713" i="2" s="1"/>
  <c r="O720" i="2"/>
  <c r="V720" i="2" s="1"/>
  <c r="X720" i="2" s="1"/>
  <c r="O716" i="2"/>
  <c r="V716" i="2" s="1"/>
  <c r="X716" i="2" s="1"/>
  <c r="O712" i="2"/>
  <c r="V712" i="2" s="1"/>
  <c r="X712" i="2" s="1"/>
  <c r="O715" i="2"/>
  <c r="V715" i="2" s="1"/>
  <c r="X715" i="2" s="1"/>
  <c r="O711" i="2"/>
  <c r="V711" i="2" s="1"/>
  <c r="X711" i="2" s="1"/>
  <c r="O678" i="2"/>
  <c r="V678" i="2" s="1"/>
  <c r="X678" i="2" s="1"/>
  <c r="O658" i="2"/>
  <c r="V658" i="2" s="1"/>
  <c r="X658" i="2" s="1"/>
  <c r="O650" i="2"/>
  <c r="V650" i="2" s="1"/>
  <c r="X650" i="2" s="1"/>
  <c r="O670" i="2"/>
  <c r="V670" i="2" s="1"/>
  <c r="X670" i="2" s="1"/>
  <c r="O640" i="2"/>
  <c r="V640" i="2" s="1"/>
  <c r="X640" i="2" s="1"/>
  <c r="O694" i="2"/>
  <c r="V694" i="2" s="1"/>
  <c r="X694" i="2" s="1"/>
  <c r="O662" i="2"/>
  <c r="V662" i="2" s="1"/>
  <c r="X662" i="2" s="1"/>
  <c r="O674" i="2"/>
  <c r="V674" i="2" s="1"/>
  <c r="X674" i="2" s="1"/>
  <c r="O644" i="2"/>
  <c r="V644" i="2" s="1"/>
  <c r="X644" i="2" s="1"/>
  <c r="N528" i="2"/>
  <c r="R528" i="2" s="1"/>
  <c r="N529" i="2"/>
  <c r="U529" i="2" s="1"/>
  <c r="P528" i="2"/>
  <c r="P529" i="2"/>
  <c r="Q528" i="2"/>
  <c r="Q529" i="2"/>
  <c r="N527" i="2"/>
  <c r="P527" i="2"/>
  <c r="Q527" i="2"/>
  <c r="N525" i="2"/>
  <c r="R525" i="2" s="1"/>
  <c r="N526" i="2"/>
  <c r="R526" i="2" s="1"/>
  <c r="P525" i="2"/>
  <c r="P526" i="2"/>
  <c r="Q525" i="2"/>
  <c r="Q526" i="2"/>
  <c r="V707" i="2" l="1"/>
  <c r="X707" i="2" s="1"/>
  <c r="V706" i="2"/>
  <c r="X706" i="2" s="1"/>
  <c r="V528" i="2"/>
  <c r="U528" i="2"/>
  <c r="T528" i="2"/>
  <c r="S529" i="2"/>
  <c r="R529" i="2"/>
  <c r="V529" i="2"/>
  <c r="V527" i="2"/>
  <c r="U527" i="2"/>
  <c r="T527" i="2"/>
  <c r="S527" i="2"/>
  <c r="V526" i="2"/>
  <c r="V525" i="2"/>
  <c r="U526" i="2"/>
  <c r="S526" i="2"/>
  <c r="U525" i="2"/>
  <c r="T525" i="2"/>
  <c r="N524" i="2"/>
  <c r="P524" i="2"/>
  <c r="Q524" i="2"/>
  <c r="N1007" i="2"/>
  <c r="N1011" i="2"/>
  <c r="T1011" i="2" s="1"/>
  <c r="N1012" i="2"/>
  <c r="R1012" i="2" s="1"/>
  <c r="N1013" i="2"/>
  <c r="S1013" i="2" s="1"/>
  <c r="O1011" i="2"/>
  <c r="O1012" i="2"/>
  <c r="O1013" i="2"/>
  <c r="P1011" i="2"/>
  <c r="P1012" i="2"/>
  <c r="P1013" i="2"/>
  <c r="Q1011" i="2"/>
  <c r="Q1012" i="2"/>
  <c r="Q1013" i="2"/>
  <c r="N1010" i="2"/>
  <c r="R1010" i="2" s="1"/>
  <c r="O1010" i="2"/>
  <c r="P1010" i="2"/>
  <c r="Q1010" i="2"/>
  <c r="N1008" i="2"/>
  <c r="R1008" i="2" s="1"/>
  <c r="N1009" i="2"/>
  <c r="R1009" i="2" s="1"/>
  <c r="O1008" i="2"/>
  <c r="O1009" i="2"/>
  <c r="P1008" i="2"/>
  <c r="P1009" i="2"/>
  <c r="Q1008" i="2"/>
  <c r="Q1009" i="2"/>
  <c r="V524" i="2" l="1"/>
  <c r="U524" i="2"/>
  <c r="T524" i="2"/>
  <c r="S524" i="2"/>
  <c r="U1011" i="2"/>
  <c r="S1011" i="2"/>
  <c r="R1011" i="2"/>
  <c r="V1011" i="2"/>
  <c r="U1012" i="2"/>
  <c r="U1013" i="2"/>
  <c r="T1013" i="2"/>
  <c r="V1013" i="2"/>
  <c r="R1013" i="2"/>
  <c r="T1012" i="2"/>
  <c r="S1012" i="2"/>
  <c r="V1012" i="2"/>
  <c r="V1010" i="2"/>
  <c r="U1010" i="2"/>
  <c r="T1010" i="2"/>
  <c r="S1010" i="2"/>
  <c r="V1009" i="2"/>
  <c r="V1008" i="2"/>
  <c r="U1009" i="2"/>
  <c r="U1008" i="2"/>
  <c r="T1009" i="2"/>
  <c r="T1008" i="2"/>
  <c r="S1009" i="2"/>
  <c r="S1008" i="2"/>
  <c r="X1011" i="2" l="1"/>
  <c r="X1013" i="2"/>
  <c r="X1012" i="2"/>
  <c r="X1010" i="2"/>
  <c r="X1008" i="2"/>
  <c r="X1009" i="2"/>
  <c r="R1007" i="2"/>
  <c r="O1007" i="2"/>
  <c r="P1007" i="2"/>
  <c r="Q1007" i="2"/>
  <c r="U1007" i="2" l="1"/>
  <c r="T1007" i="2"/>
  <c r="S1007" i="2"/>
  <c r="V1007" i="2"/>
  <c r="X1007" i="2" l="1"/>
  <c r="N1005" i="2"/>
  <c r="R1005" i="2" s="1"/>
  <c r="O1005" i="2"/>
  <c r="P1005" i="2"/>
  <c r="Q1005" i="2"/>
  <c r="N1003" i="2"/>
  <c r="R1003" i="2" s="1"/>
  <c r="O1003" i="2"/>
  <c r="P1003" i="2"/>
  <c r="Q1003" i="2"/>
  <c r="N1002" i="2"/>
  <c r="R1002" i="2" s="1"/>
  <c r="O1002" i="2"/>
  <c r="P1002" i="2"/>
  <c r="Q1002" i="2"/>
  <c r="N1001" i="2"/>
  <c r="U1001" i="2" s="1"/>
  <c r="O1001" i="2"/>
  <c r="P1001" i="2"/>
  <c r="Q1001" i="2"/>
  <c r="N1000" i="2"/>
  <c r="R1000" i="2" s="1"/>
  <c r="O1000" i="2"/>
  <c r="P1000" i="2"/>
  <c r="Q1000" i="2"/>
  <c r="N998" i="2"/>
  <c r="O998" i="2"/>
  <c r="P998" i="2"/>
  <c r="Q998" i="2"/>
  <c r="N995" i="2"/>
  <c r="S995" i="2" s="1"/>
  <c r="N996" i="2"/>
  <c r="S996" i="2" s="1"/>
  <c r="O995" i="2"/>
  <c r="O996" i="2"/>
  <c r="P995" i="2"/>
  <c r="P996" i="2"/>
  <c r="Q995" i="2"/>
  <c r="Q996" i="2"/>
  <c r="V1003" i="2" l="1"/>
  <c r="R995" i="2"/>
  <c r="I64" i="1"/>
  <c r="I65" i="1"/>
  <c r="R998" i="2"/>
  <c r="R996" i="2"/>
  <c r="V1005" i="2"/>
  <c r="U1005" i="2"/>
  <c r="T1005" i="2"/>
  <c r="S1005" i="2"/>
  <c r="U1003" i="2"/>
  <c r="T1003" i="2"/>
  <c r="S1003" i="2"/>
  <c r="V1001" i="2"/>
  <c r="V1002" i="2"/>
  <c r="U1002" i="2"/>
  <c r="T1002" i="2"/>
  <c r="S1002" i="2"/>
  <c r="U995" i="2"/>
  <c r="T1001" i="2"/>
  <c r="V996" i="2"/>
  <c r="V995" i="2"/>
  <c r="U996" i="2"/>
  <c r="S1001" i="2"/>
  <c r="R1001" i="2"/>
  <c r="V1000" i="2"/>
  <c r="U1000" i="2"/>
  <c r="T1000" i="2"/>
  <c r="S1000" i="2"/>
  <c r="T996" i="2"/>
  <c r="T995" i="2"/>
  <c r="V998" i="2"/>
  <c r="U998" i="2"/>
  <c r="T998" i="2"/>
  <c r="S998" i="2"/>
  <c r="X1000" i="2" l="1"/>
  <c r="X1003" i="2"/>
  <c r="X1005" i="2"/>
  <c r="X995" i="2"/>
  <c r="X1002" i="2"/>
  <c r="X996" i="2"/>
  <c r="X1001" i="2"/>
  <c r="X998" i="2"/>
  <c r="K65" i="1"/>
  <c r="K63" i="1"/>
  <c r="H65" i="1"/>
  <c r="J63" i="1"/>
  <c r="I63" i="1"/>
  <c r="H63" i="1"/>
  <c r="J65" i="1"/>
  <c r="J64" i="1"/>
  <c r="K64" i="1"/>
  <c r="H62" i="1"/>
  <c r="H64" i="1"/>
  <c r="H61" i="1" l="1"/>
  <c r="N972" i="2"/>
  <c r="U972" i="2" s="1"/>
  <c r="N976" i="2"/>
  <c r="S976" i="2" s="1"/>
  <c r="N977" i="2"/>
  <c r="R977" i="2" s="1"/>
  <c r="N978" i="2"/>
  <c r="U978" i="2" s="1"/>
  <c r="N876" i="2"/>
  <c r="T876" i="2" s="1"/>
  <c r="O972" i="2"/>
  <c r="O976" i="2"/>
  <c r="O977" i="2"/>
  <c r="O978" i="2"/>
  <c r="O876" i="2"/>
  <c r="P972" i="2"/>
  <c r="P976" i="2"/>
  <c r="P977" i="2"/>
  <c r="P978" i="2"/>
  <c r="P876" i="2"/>
  <c r="Q972" i="2"/>
  <c r="Q976" i="2"/>
  <c r="Q977" i="2"/>
  <c r="Q978" i="2"/>
  <c r="Q876" i="2"/>
  <c r="N958" i="2"/>
  <c r="N964" i="2"/>
  <c r="N965" i="2"/>
  <c r="T965" i="2" s="1"/>
  <c r="N966" i="2"/>
  <c r="S966" i="2" s="1"/>
  <c r="N969" i="2"/>
  <c r="U969" i="2" s="1"/>
  <c r="O958" i="2"/>
  <c r="O964" i="2"/>
  <c r="O965" i="2"/>
  <c r="O966" i="2"/>
  <c r="O969" i="2"/>
  <c r="P958" i="2"/>
  <c r="P964" i="2"/>
  <c r="P965" i="2"/>
  <c r="P966" i="2"/>
  <c r="P969" i="2"/>
  <c r="Q958" i="2"/>
  <c r="Q964" i="2"/>
  <c r="Q965" i="2"/>
  <c r="Q966" i="2"/>
  <c r="Q969" i="2"/>
  <c r="N947" i="2"/>
  <c r="S947" i="2" s="1"/>
  <c r="N949" i="2"/>
  <c r="S949" i="2" s="1"/>
  <c r="N950" i="2"/>
  <c r="N953" i="2"/>
  <c r="T953" i="2" s="1"/>
  <c r="N954" i="2"/>
  <c r="S954" i="2" s="1"/>
  <c r="N957" i="2"/>
  <c r="T957" i="2" s="1"/>
  <c r="O947" i="2"/>
  <c r="O949" i="2"/>
  <c r="O950" i="2"/>
  <c r="O953" i="2"/>
  <c r="O954" i="2"/>
  <c r="O957" i="2"/>
  <c r="P947" i="2"/>
  <c r="P949" i="2"/>
  <c r="P950" i="2"/>
  <c r="P953" i="2"/>
  <c r="P954" i="2"/>
  <c r="P957" i="2"/>
  <c r="Q947" i="2"/>
  <c r="Q949" i="2"/>
  <c r="Q950" i="2"/>
  <c r="Q953" i="2"/>
  <c r="Q954" i="2"/>
  <c r="Q957" i="2"/>
  <c r="N940" i="2"/>
  <c r="N944" i="2"/>
  <c r="R944" i="2" s="1"/>
  <c r="N945" i="2"/>
  <c r="R945" i="2" s="1"/>
  <c r="N946" i="2"/>
  <c r="O940" i="2"/>
  <c r="O944" i="2"/>
  <c r="O945" i="2"/>
  <c r="O946" i="2"/>
  <c r="P940" i="2"/>
  <c r="P944" i="2"/>
  <c r="P945" i="2"/>
  <c r="P946" i="2"/>
  <c r="Q940" i="2"/>
  <c r="Q944" i="2"/>
  <c r="Q945" i="2"/>
  <c r="Q946" i="2"/>
  <c r="N930" i="2"/>
  <c r="U930" i="2" s="1"/>
  <c r="N932" i="2"/>
  <c r="R932" i="2" s="1"/>
  <c r="O930" i="2"/>
  <c r="O932" i="2"/>
  <c r="P930" i="2"/>
  <c r="P932" i="2"/>
  <c r="Q930" i="2"/>
  <c r="Q932" i="2"/>
  <c r="N920" i="2"/>
  <c r="R920" i="2" s="1"/>
  <c r="O920" i="2"/>
  <c r="P920" i="2"/>
  <c r="Q920" i="2"/>
  <c r="N913" i="2"/>
  <c r="O913" i="2"/>
  <c r="P913" i="2"/>
  <c r="Q913" i="2"/>
  <c r="N878" i="2"/>
  <c r="R878" i="2" s="1"/>
  <c r="N879" i="2"/>
  <c r="S879" i="2" s="1"/>
  <c r="N884" i="2"/>
  <c r="S884" i="2" s="1"/>
  <c r="N886" i="2"/>
  <c r="T886" i="2" s="1"/>
  <c r="N887" i="2"/>
  <c r="N888" i="2"/>
  <c r="R888" i="2" s="1"/>
  <c r="N889" i="2"/>
  <c r="S889" i="2" s="1"/>
  <c r="N890" i="2"/>
  <c r="T890" i="2" s="1"/>
  <c r="N893" i="2"/>
  <c r="S893" i="2" s="1"/>
  <c r="N894" i="2"/>
  <c r="U894" i="2" s="1"/>
  <c r="N895" i="2"/>
  <c r="R895" i="2" s="1"/>
  <c r="N896" i="2"/>
  <c r="S896" i="2" s="1"/>
  <c r="N897" i="2"/>
  <c r="S897" i="2" s="1"/>
  <c r="N898" i="2"/>
  <c r="R898" i="2" s="1"/>
  <c r="N899" i="2"/>
  <c r="R899" i="2" s="1"/>
  <c r="N900" i="2"/>
  <c r="T900" i="2" s="1"/>
  <c r="N901" i="2"/>
  <c r="U901" i="2" s="1"/>
  <c r="N902" i="2"/>
  <c r="U902" i="2" s="1"/>
  <c r="N903" i="2"/>
  <c r="S903" i="2" s="1"/>
  <c r="N906" i="2"/>
  <c r="U906" i="2" s="1"/>
  <c r="N908" i="2"/>
  <c r="R908" i="2" s="1"/>
  <c r="N909" i="2"/>
  <c r="O878" i="2"/>
  <c r="O879" i="2"/>
  <c r="O884" i="2"/>
  <c r="O886" i="2"/>
  <c r="O887" i="2"/>
  <c r="O888" i="2"/>
  <c r="O889" i="2"/>
  <c r="O890" i="2"/>
  <c r="O893" i="2"/>
  <c r="O894" i="2"/>
  <c r="O895" i="2"/>
  <c r="O896" i="2"/>
  <c r="O897" i="2"/>
  <c r="O898" i="2"/>
  <c r="O899" i="2"/>
  <c r="O900" i="2"/>
  <c r="O901" i="2"/>
  <c r="O902" i="2"/>
  <c r="O903" i="2"/>
  <c r="O906" i="2"/>
  <c r="O908" i="2"/>
  <c r="O909" i="2"/>
  <c r="P878" i="2"/>
  <c r="P879" i="2"/>
  <c r="P884" i="2"/>
  <c r="P886" i="2"/>
  <c r="P887" i="2"/>
  <c r="P888" i="2"/>
  <c r="P889" i="2"/>
  <c r="P890" i="2"/>
  <c r="P893" i="2"/>
  <c r="P894" i="2"/>
  <c r="P895" i="2"/>
  <c r="P896" i="2"/>
  <c r="P897" i="2"/>
  <c r="P898" i="2"/>
  <c r="P899" i="2"/>
  <c r="P900" i="2"/>
  <c r="P901" i="2"/>
  <c r="P902" i="2"/>
  <c r="P903" i="2"/>
  <c r="P906" i="2"/>
  <c r="P908" i="2"/>
  <c r="P909" i="2"/>
  <c r="Q878" i="2"/>
  <c r="Q879" i="2"/>
  <c r="Q884" i="2"/>
  <c r="Q886" i="2"/>
  <c r="Q887" i="2"/>
  <c r="Q888" i="2"/>
  <c r="Q889" i="2"/>
  <c r="Q890" i="2"/>
  <c r="Q893" i="2"/>
  <c r="Q894" i="2"/>
  <c r="Q895" i="2"/>
  <c r="Q896" i="2"/>
  <c r="Q897" i="2"/>
  <c r="Q898" i="2"/>
  <c r="Q899" i="2"/>
  <c r="Q900" i="2"/>
  <c r="Q901" i="2"/>
  <c r="Q902" i="2"/>
  <c r="Q903" i="2"/>
  <c r="Q906" i="2"/>
  <c r="Q908" i="2"/>
  <c r="Q909" i="2"/>
  <c r="N830" i="2"/>
  <c r="R830" i="2" s="1"/>
  <c r="N834" i="2"/>
  <c r="U834" i="2" s="1"/>
  <c r="N836" i="2"/>
  <c r="R836" i="2" s="1"/>
  <c r="N839" i="2"/>
  <c r="T839" i="2" s="1"/>
  <c r="N840" i="2"/>
  <c r="R840" i="2" s="1"/>
  <c r="N845" i="2"/>
  <c r="S845" i="2" s="1"/>
  <c r="N846" i="2"/>
  <c r="T846" i="2" s="1"/>
  <c r="N851" i="2"/>
  <c r="N852" i="2"/>
  <c r="R852" i="2" s="1"/>
  <c r="N857" i="2"/>
  <c r="S857" i="2" s="1"/>
  <c r="N860" i="2"/>
  <c r="T860" i="2" s="1"/>
  <c r="N861" i="2"/>
  <c r="U861" i="2" s="1"/>
  <c r="N869" i="2"/>
  <c r="T869" i="2" s="1"/>
  <c r="N870" i="2"/>
  <c r="U870" i="2" s="1"/>
  <c r="N871" i="2"/>
  <c r="T871" i="2" s="1"/>
  <c r="N874" i="2"/>
  <c r="R874" i="2" s="1"/>
  <c r="N875" i="2"/>
  <c r="R875" i="2" s="1"/>
  <c r="N877" i="2"/>
  <c r="S877" i="2" s="1"/>
  <c r="O830" i="2"/>
  <c r="O834" i="2"/>
  <c r="O836" i="2"/>
  <c r="O839" i="2"/>
  <c r="O840" i="2"/>
  <c r="O845" i="2"/>
  <c r="O846" i="2"/>
  <c r="O851" i="2"/>
  <c r="O852" i="2"/>
  <c r="O857" i="2"/>
  <c r="O860" i="2"/>
  <c r="O861" i="2"/>
  <c r="O869" i="2"/>
  <c r="O870" i="2"/>
  <c r="O871" i="2"/>
  <c r="O874" i="2"/>
  <c r="O875" i="2"/>
  <c r="O877" i="2"/>
  <c r="P830" i="2"/>
  <c r="P834" i="2"/>
  <c r="P836" i="2"/>
  <c r="P839" i="2"/>
  <c r="P840" i="2"/>
  <c r="P845" i="2"/>
  <c r="P846" i="2"/>
  <c r="P851" i="2"/>
  <c r="P852" i="2"/>
  <c r="P857" i="2"/>
  <c r="P860" i="2"/>
  <c r="P861" i="2"/>
  <c r="P869" i="2"/>
  <c r="P870" i="2"/>
  <c r="P871" i="2"/>
  <c r="P874" i="2"/>
  <c r="P875" i="2"/>
  <c r="P877" i="2"/>
  <c r="Q830" i="2"/>
  <c r="Q834" i="2"/>
  <c r="Q836" i="2"/>
  <c r="Q839" i="2"/>
  <c r="Q840" i="2"/>
  <c r="Q845" i="2"/>
  <c r="Q846" i="2"/>
  <c r="Q851" i="2"/>
  <c r="Q852" i="2"/>
  <c r="Q857" i="2"/>
  <c r="Q860" i="2"/>
  <c r="Q861" i="2"/>
  <c r="Q869" i="2"/>
  <c r="Q870" i="2"/>
  <c r="Q871" i="2"/>
  <c r="Q874" i="2"/>
  <c r="Q875" i="2"/>
  <c r="Q877" i="2"/>
  <c r="N815" i="2"/>
  <c r="S815" i="2" s="1"/>
  <c r="N816" i="2"/>
  <c r="U816" i="2" s="1"/>
  <c r="N817" i="2"/>
  <c r="S817" i="2" s="1"/>
  <c r="N823" i="2"/>
  <c r="U823" i="2" s="1"/>
  <c r="N825" i="2"/>
  <c r="U825" i="2" s="1"/>
  <c r="N828" i="2"/>
  <c r="U828" i="2" s="1"/>
  <c r="O815" i="2"/>
  <c r="O816" i="2"/>
  <c r="O817" i="2"/>
  <c r="O823" i="2"/>
  <c r="O825" i="2"/>
  <c r="O828" i="2"/>
  <c r="P815" i="2"/>
  <c r="P816" i="2"/>
  <c r="P817" i="2"/>
  <c r="P823" i="2"/>
  <c r="P825" i="2"/>
  <c r="P828" i="2"/>
  <c r="Q815" i="2"/>
  <c r="Q816" i="2"/>
  <c r="Q817" i="2"/>
  <c r="Q823" i="2"/>
  <c r="Q825" i="2"/>
  <c r="Q828" i="2"/>
  <c r="N974" i="2"/>
  <c r="S974" i="2" s="1"/>
  <c r="N809" i="2"/>
  <c r="N811" i="2"/>
  <c r="R811" i="2" s="1"/>
  <c r="N813" i="2"/>
  <c r="N814" i="2"/>
  <c r="R814" i="2" s="1"/>
  <c r="O974" i="2"/>
  <c r="O809" i="2"/>
  <c r="O811" i="2"/>
  <c r="O813" i="2"/>
  <c r="O814" i="2"/>
  <c r="P974" i="2"/>
  <c r="P809" i="2"/>
  <c r="P811" i="2"/>
  <c r="P813" i="2"/>
  <c r="P814" i="2"/>
  <c r="Q974" i="2"/>
  <c r="Q809" i="2"/>
  <c r="Q811" i="2"/>
  <c r="Q813" i="2"/>
  <c r="Q814" i="2"/>
  <c r="N855" i="2"/>
  <c r="R855" i="2" s="1"/>
  <c r="N905" i="2"/>
  <c r="U905" i="2" s="1"/>
  <c r="N907" i="2"/>
  <c r="T907" i="2" s="1"/>
  <c r="N911" i="2"/>
  <c r="N917" i="2"/>
  <c r="T917" i="2" s="1"/>
  <c r="N937" i="2"/>
  <c r="N961" i="2"/>
  <c r="T961" i="2" s="1"/>
  <c r="N968" i="2"/>
  <c r="U968" i="2" s="1"/>
  <c r="N971" i="2"/>
  <c r="U971" i="2" s="1"/>
  <c r="O855" i="2"/>
  <c r="O905" i="2"/>
  <c r="O907" i="2"/>
  <c r="O911" i="2"/>
  <c r="O917" i="2"/>
  <c r="O937" i="2"/>
  <c r="O961" i="2"/>
  <c r="O968" i="2"/>
  <c r="O971" i="2"/>
  <c r="P855" i="2"/>
  <c r="P905" i="2"/>
  <c r="P907" i="2"/>
  <c r="P911" i="2"/>
  <c r="P917" i="2"/>
  <c r="P937" i="2"/>
  <c r="P961" i="2"/>
  <c r="P968" i="2"/>
  <c r="P971" i="2"/>
  <c r="Q855" i="2"/>
  <c r="Q905" i="2"/>
  <c r="Q907" i="2"/>
  <c r="Q911" i="2"/>
  <c r="Q917" i="2"/>
  <c r="Q937" i="2"/>
  <c r="Q961" i="2"/>
  <c r="Q968" i="2"/>
  <c r="Q971" i="2"/>
  <c r="N926" i="2"/>
  <c r="R926" i="2" s="1"/>
  <c r="N960" i="2"/>
  <c r="S960" i="2" s="1"/>
  <c r="N967" i="2"/>
  <c r="T967" i="2" s="1"/>
  <c r="N970" i="2"/>
  <c r="T970" i="2" s="1"/>
  <c r="N986" i="2"/>
  <c r="U986" i="2" s="1"/>
  <c r="N821" i="2"/>
  <c r="N866" i="2"/>
  <c r="S866" i="2" s="1"/>
  <c r="N882" i="2"/>
  <c r="S882" i="2" s="1"/>
  <c r="N916" i="2"/>
  <c r="N927" i="2"/>
  <c r="R927" i="2" s="1"/>
  <c r="N936" i="2"/>
  <c r="R936" i="2" s="1"/>
  <c r="N987" i="2"/>
  <c r="R987" i="2" s="1"/>
  <c r="N827" i="2"/>
  <c r="U827" i="2" s="1"/>
  <c r="N832" i="2"/>
  <c r="T832" i="2" s="1"/>
  <c r="N837" i="2"/>
  <c r="T837" i="2" s="1"/>
  <c r="N843" i="2"/>
  <c r="U843" i="2" s="1"/>
  <c r="O926" i="2"/>
  <c r="O960" i="2"/>
  <c r="O967" i="2"/>
  <c r="O970" i="2"/>
  <c r="O986" i="2"/>
  <c r="O821" i="2"/>
  <c r="O866" i="2"/>
  <c r="O882" i="2"/>
  <c r="O916" i="2"/>
  <c r="O927" i="2"/>
  <c r="O936" i="2"/>
  <c r="O987" i="2"/>
  <c r="O827" i="2"/>
  <c r="O832" i="2"/>
  <c r="O837" i="2"/>
  <c r="O843" i="2"/>
  <c r="P926" i="2"/>
  <c r="P960" i="2"/>
  <c r="P967" i="2"/>
  <c r="P970" i="2"/>
  <c r="P986" i="2"/>
  <c r="P821" i="2"/>
  <c r="P866" i="2"/>
  <c r="P882" i="2"/>
  <c r="P916" i="2"/>
  <c r="P927" i="2"/>
  <c r="P936" i="2"/>
  <c r="P987" i="2"/>
  <c r="P827" i="2"/>
  <c r="P832" i="2"/>
  <c r="P837" i="2"/>
  <c r="P843" i="2"/>
  <c r="Q926" i="2"/>
  <c r="Q960" i="2"/>
  <c r="Q967" i="2"/>
  <c r="Q970" i="2"/>
  <c r="Q986" i="2"/>
  <c r="Q821" i="2"/>
  <c r="Q866" i="2"/>
  <c r="Q882" i="2"/>
  <c r="Q916" i="2"/>
  <c r="Q927" i="2"/>
  <c r="Q936" i="2"/>
  <c r="Q987" i="2"/>
  <c r="Q827" i="2"/>
  <c r="Q832" i="2"/>
  <c r="Q837" i="2"/>
  <c r="Q843" i="2"/>
  <c r="N925" i="2"/>
  <c r="R925" i="2" s="1"/>
  <c r="O925" i="2"/>
  <c r="P925" i="2"/>
  <c r="Q925" i="2"/>
  <c r="N826" i="2"/>
  <c r="N831" i="2"/>
  <c r="R831" i="2" s="1"/>
  <c r="N842" i="2"/>
  <c r="S842" i="2" s="1"/>
  <c r="N847" i="2"/>
  <c r="U847" i="2" s="1"/>
  <c r="N854" i="2"/>
  <c r="R854" i="2" s="1"/>
  <c r="N865" i="2"/>
  <c r="R865" i="2" s="1"/>
  <c r="N891" i="2"/>
  <c r="U891" i="2" s="1"/>
  <c r="O826" i="2"/>
  <c r="O831" i="2"/>
  <c r="O842" i="2"/>
  <c r="O847" i="2"/>
  <c r="O854" i="2"/>
  <c r="O865" i="2"/>
  <c r="O891" i="2"/>
  <c r="P826" i="2"/>
  <c r="P831" i="2"/>
  <c r="P842" i="2"/>
  <c r="P847" i="2"/>
  <c r="P854" i="2"/>
  <c r="P865" i="2"/>
  <c r="P891" i="2"/>
  <c r="Q826" i="2"/>
  <c r="Q831" i="2"/>
  <c r="Q842" i="2"/>
  <c r="Q847" i="2"/>
  <c r="Q854" i="2"/>
  <c r="Q865" i="2"/>
  <c r="Q891" i="2"/>
  <c r="N924" i="2"/>
  <c r="N935" i="2"/>
  <c r="S935" i="2" s="1"/>
  <c r="N985" i="2"/>
  <c r="T985" i="2" s="1"/>
  <c r="O924" i="2"/>
  <c r="O935" i="2"/>
  <c r="O985" i="2"/>
  <c r="P924" i="2"/>
  <c r="P935" i="2"/>
  <c r="P985" i="2"/>
  <c r="Q924" i="2"/>
  <c r="Q935" i="2"/>
  <c r="Q985" i="2"/>
  <c r="N915" i="2"/>
  <c r="R915" i="2" s="1"/>
  <c r="O915" i="2"/>
  <c r="P915" i="2"/>
  <c r="Q915" i="2"/>
  <c r="N820" i="2"/>
  <c r="S820" i="2" s="1"/>
  <c r="N864" i="2"/>
  <c r="S864" i="2" s="1"/>
  <c r="N881" i="2"/>
  <c r="T881" i="2" s="1"/>
  <c r="O820" i="2"/>
  <c r="O864" i="2"/>
  <c r="O881" i="2"/>
  <c r="P820" i="2"/>
  <c r="P864" i="2"/>
  <c r="P881" i="2"/>
  <c r="Q820" i="2"/>
  <c r="Q864" i="2"/>
  <c r="Q881" i="2"/>
  <c r="N923" i="2"/>
  <c r="U923" i="2" s="1"/>
  <c r="N951" i="2"/>
  <c r="S951" i="2" s="1"/>
  <c r="N955" i="2"/>
  <c r="T955" i="2" s="1"/>
  <c r="O923" i="2"/>
  <c r="O951" i="2"/>
  <c r="O955" i="2"/>
  <c r="P923" i="2"/>
  <c r="P951" i="2"/>
  <c r="P955" i="2"/>
  <c r="Q923" i="2"/>
  <c r="Q951" i="2"/>
  <c r="Q955" i="2"/>
  <c r="N904" i="2"/>
  <c r="R904" i="2" s="1"/>
  <c r="N910" i="2"/>
  <c r="R910" i="2" s="1"/>
  <c r="O904" i="2"/>
  <c r="O910" i="2"/>
  <c r="P904" i="2"/>
  <c r="P910" i="2"/>
  <c r="Q904" i="2"/>
  <c r="Q910" i="2"/>
  <c r="T872" i="2"/>
  <c r="U885" i="2"/>
  <c r="N933" i="2"/>
  <c r="S933" i="2" s="1"/>
  <c r="N941" i="2"/>
  <c r="U941" i="2" s="1"/>
  <c r="N942" i="2"/>
  <c r="U942" i="2" s="1"/>
  <c r="N921" i="2"/>
  <c r="U921" i="2" s="1"/>
  <c r="N873" i="2"/>
  <c r="S873" i="2" s="1"/>
  <c r="N818" i="2"/>
  <c r="T818" i="2" s="1"/>
  <c r="N862" i="2"/>
  <c r="S862" i="2" s="1"/>
  <c r="N880" i="2"/>
  <c r="R880" i="2" s="1"/>
  <c r="N914" i="2"/>
  <c r="S914" i="2" s="1"/>
  <c r="N922" i="2"/>
  <c r="R922" i="2" s="1"/>
  <c r="N934" i="2"/>
  <c r="R934" i="2" s="1"/>
  <c r="N983" i="2"/>
  <c r="T983" i="2" s="1"/>
  <c r="N819" i="2"/>
  <c r="T819" i="2" s="1"/>
  <c r="N841" i="2"/>
  <c r="S841" i="2" s="1"/>
  <c r="N848" i="2"/>
  <c r="R848" i="2" s="1"/>
  <c r="N863" i="2"/>
  <c r="S863" i="2" s="1"/>
  <c r="O872" i="2"/>
  <c r="O885" i="2"/>
  <c r="O933" i="2"/>
  <c r="O941" i="2"/>
  <c r="O942" i="2"/>
  <c r="O921" i="2"/>
  <c r="O873" i="2"/>
  <c r="O818" i="2"/>
  <c r="O862" i="2"/>
  <c r="O880" i="2"/>
  <c r="O914" i="2"/>
  <c r="O922" i="2"/>
  <c r="O934" i="2"/>
  <c r="O983" i="2"/>
  <c r="O819" i="2"/>
  <c r="O841" i="2"/>
  <c r="O848" i="2"/>
  <c r="O863" i="2"/>
  <c r="P872" i="2"/>
  <c r="P885" i="2"/>
  <c r="P933" i="2"/>
  <c r="P941" i="2"/>
  <c r="P942" i="2"/>
  <c r="P921" i="2"/>
  <c r="P873" i="2"/>
  <c r="P818" i="2"/>
  <c r="P862" i="2"/>
  <c r="P880" i="2"/>
  <c r="P914" i="2"/>
  <c r="P922" i="2"/>
  <c r="P934" i="2"/>
  <c r="P983" i="2"/>
  <c r="P819" i="2"/>
  <c r="P841" i="2"/>
  <c r="P848" i="2"/>
  <c r="P863" i="2"/>
  <c r="Q872" i="2"/>
  <c r="Q885" i="2"/>
  <c r="Q933" i="2"/>
  <c r="Q941" i="2"/>
  <c r="Q942" i="2"/>
  <c r="Q921" i="2"/>
  <c r="Q873" i="2"/>
  <c r="Q818" i="2"/>
  <c r="Q862" i="2"/>
  <c r="Q880" i="2"/>
  <c r="Q914" i="2"/>
  <c r="Q922" i="2"/>
  <c r="Q934" i="2"/>
  <c r="Q983" i="2"/>
  <c r="Q819" i="2"/>
  <c r="Q841" i="2"/>
  <c r="Q848" i="2"/>
  <c r="Q863" i="2"/>
  <c r="N812" i="2"/>
  <c r="R812" i="2" s="1"/>
  <c r="N824" i="2"/>
  <c r="S824" i="2" s="1"/>
  <c r="N829" i="2"/>
  <c r="T829" i="2" s="1"/>
  <c r="N835" i="2"/>
  <c r="S835" i="2" s="1"/>
  <c r="N838" i="2"/>
  <c r="S838" i="2" s="1"/>
  <c r="N853" i="2"/>
  <c r="S853" i="2" s="1"/>
  <c r="U858" i="2"/>
  <c r="R859" i="2"/>
  <c r="O812" i="2"/>
  <c r="O824" i="2"/>
  <c r="O829" i="2"/>
  <c r="O835" i="2"/>
  <c r="O838" i="2"/>
  <c r="O853" i="2"/>
  <c r="O858" i="2"/>
  <c r="O859" i="2"/>
  <c r="P812" i="2"/>
  <c r="P824" i="2"/>
  <c r="P829" i="2"/>
  <c r="P835" i="2"/>
  <c r="P838" i="2"/>
  <c r="P853" i="2"/>
  <c r="P858" i="2"/>
  <c r="P859" i="2"/>
  <c r="Q812" i="2"/>
  <c r="Q824" i="2"/>
  <c r="Q829" i="2"/>
  <c r="Q835" i="2"/>
  <c r="Q838" i="2"/>
  <c r="Q853" i="2"/>
  <c r="Q858" i="2"/>
  <c r="Q859" i="2"/>
  <c r="R909" i="2" l="1"/>
  <c r="R964" i="2"/>
  <c r="R913" i="2"/>
  <c r="T902" i="2"/>
  <c r="V888" i="2"/>
  <c r="U889" i="2"/>
  <c r="S834" i="2"/>
  <c r="R839" i="2"/>
  <c r="S832" i="2"/>
  <c r="U900" i="2"/>
  <c r="T896" i="2"/>
  <c r="V911" i="2"/>
  <c r="V823" i="2"/>
  <c r="V886" i="2"/>
  <c r="V924" i="2"/>
  <c r="U886" i="2"/>
  <c r="R902" i="2"/>
  <c r="V940" i="2"/>
  <c r="R834" i="2"/>
  <c r="S886" i="2"/>
  <c r="V950" i="2"/>
  <c r="U960" i="2"/>
  <c r="R886" i="2"/>
  <c r="V826" i="2"/>
  <c r="V851" i="2"/>
  <c r="U888" i="2"/>
  <c r="V916" i="2"/>
  <c r="V813" i="2"/>
  <c r="S898" i="2"/>
  <c r="V958" i="2"/>
  <c r="V821" i="2"/>
  <c r="S888" i="2"/>
  <c r="V946" i="2"/>
  <c r="U977" i="2"/>
  <c r="V937" i="2"/>
  <c r="V809" i="2"/>
  <c r="V887" i="2"/>
  <c r="V855" i="2"/>
  <c r="R889" i="2"/>
  <c r="V977" i="2"/>
  <c r="T903" i="2"/>
  <c r="U950" i="2"/>
  <c r="T972" i="2"/>
  <c r="R950" i="2"/>
  <c r="S876" i="2"/>
  <c r="S869" i="2"/>
  <c r="S977" i="2"/>
  <c r="T888" i="2"/>
  <c r="R861" i="2"/>
  <c r="V902" i="2"/>
  <c r="S902" i="2"/>
  <c r="V900" i="2"/>
  <c r="S900" i="2"/>
  <c r="R986" i="2"/>
  <c r="V846" i="2"/>
  <c r="S972" i="2"/>
  <c r="U846" i="2"/>
  <c r="V876" i="2"/>
  <c r="R876" i="2"/>
  <c r="R972" i="2"/>
  <c r="V972" i="2"/>
  <c r="T897" i="2"/>
  <c r="U876" i="2"/>
  <c r="V908" i="2"/>
  <c r="R846" i="2"/>
  <c r="T976" i="2"/>
  <c r="U855" i="2"/>
  <c r="T855" i="2"/>
  <c r="V871" i="2"/>
  <c r="T899" i="2"/>
  <c r="R903" i="2"/>
  <c r="R911" i="2"/>
  <c r="V852" i="2"/>
  <c r="V884" i="2"/>
  <c r="V986" i="2"/>
  <c r="V878" i="2"/>
  <c r="T889" i="2"/>
  <c r="U903" i="2"/>
  <c r="R884" i="2"/>
  <c r="T884" i="2"/>
  <c r="R949" i="2"/>
  <c r="V903" i="2"/>
  <c r="S899" i="2"/>
  <c r="U884" i="2"/>
  <c r="V889" i="2"/>
  <c r="S878" i="2"/>
  <c r="V965" i="2"/>
  <c r="U958" i="2"/>
  <c r="U897" i="2"/>
  <c r="T958" i="2"/>
  <c r="R897" i="2"/>
  <c r="S958" i="2"/>
  <c r="T878" i="2"/>
  <c r="V897" i="2"/>
  <c r="U878" i="2"/>
  <c r="V949" i="2"/>
  <c r="T969" i="2"/>
  <c r="S969" i="2"/>
  <c r="S965" i="2"/>
  <c r="V969" i="2"/>
  <c r="R969" i="2"/>
  <c r="R954" i="2"/>
  <c r="R953" i="2"/>
  <c r="U946" i="2"/>
  <c r="U949" i="2"/>
  <c r="T949" i="2"/>
  <c r="T946" i="2"/>
  <c r="V828" i="2"/>
  <c r="V947" i="2"/>
  <c r="U953" i="2"/>
  <c r="T954" i="2"/>
  <c r="T950" i="2"/>
  <c r="V964" i="2"/>
  <c r="R965" i="2"/>
  <c r="S875" i="2"/>
  <c r="S932" i="2"/>
  <c r="R815" i="2"/>
  <c r="R947" i="2"/>
  <c r="S953" i="2"/>
  <c r="U965" i="2"/>
  <c r="S846" i="2"/>
  <c r="S950" i="2"/>
  <c r="U964" i="2"/>
  <c r="U909" i="2"/>
  <c r="V953" i="2"/>
  <c r="T964" i="2"/>
  <c r="V932" i="2"/>
  <c r="U940" i="2"/>
  <c r="U976" i="2"/>
  <c r="R978" i="2"/>
  <c r="R917" i="2"/>
  <c r="U840" i="2"/>
  <c r="U908" i="2"/>
  <c r="T908" i="2"/>
  <c r="S908" i="2"/>
  <c r="R976" i="2"/>
  <c r="T823" i="2"/>
  <c r="T875" i="2"/>
  <c r="T944" i="2"/>
  <c r="V901" i="2"/>
  <c r="S901" i="2"/>
  <c r="S946" i="2"/>
  <c r="T978" i="2"/>
  <c r="T986" i="2"/>
  <c r="S843" i="2"/>
  <c r="V875" i="2"/>
  <c r="T834" i="2"/>
  <c r="U899" i="2"/>
  <c r="T901" i="2"/>
  <c r="R901" i="2"/>
  <c r="R946" i="2"/>
  <c r="T977" i="2"/>
  <c r="V860" i="2"/>
  <c r="V893" i="2"/>
  <c r="U893" i="2"/>
  <c r="R893" i="2"/>
  <c r="V978" i="2"/>
  <c r="S840" i="2"/>
  <c r="T893" i="2"/>
  <c r="R887" i="2"/>
  <c r="S978" i="2"/>
  <c r="V840" i="2"/>
  <c r="U887" i="2"/>
  <c r="V954" i="2"/>
  <c r="T947" i="2"/>
  <c r="U875" i="2"/>
  <c r="R871" i="2"/>
  <c r="S887" i="2"/>
  <c r="R860" i="2"/>
  <c r="T940" i="2"/>
  <c r="U966" i="2"/>
  <c r="S964" i="2"/>
  <c r="T960" i="2"/>
  <c r="R906" i="2"/>
  <c r="U961" i="2"/>
  <c r="V957" i="2"/>
  <c r="T830" i="2"/>
  <c r="S944" i="2"/>
  <c r="R957" i="2"/>
  <c r="V830" i="2"/>
  <c r="S940" i="2"/>
  <c r="R966" i="2"/>
  <c r="U932" i="2"/>
  <c r="R828" i="2"/>
  <c r="U871" i="2"/>
  <c r="S852" i="2"/>
  <c r="V899" i="2"/>
  <c r="T887" i="2"/>
  <c r="R900" i="2"/>
  <c r="T932" i="2"/>
  <c r="V944" i="2"/>
  <c r="R940" i="2"/>
  <c r="U957" i="2"/>
  <c r="S957" i="2"/>
  <c r="T966" i="2"/>
  <c r="V976" i="2"/>
  <c r="R832" i="2"/>
  <c r="R907" i="2"/>
  <c r="R970" i="2"/>
  <c r="R823" i="2"/>
  <c r="U860" i="2"/>
  <c r="T906" i="2"/>
  <c r="T930" i="2"/>
  <c r="U954" i="2"/>
  <c r="R958" i="2"/>
  <c r="V966" i="2"/>
  <c r="V882" i="2"/>
  <c r="V870" i="2"/>
  <c r="U830" i="2"/>
  <c r="T945" i="2"/>
  <c r="U947" i="2"/>
  <c r="R961" i="2"/>
  <c r="U852" i="2"/>
  <c r="S860" i="2"/>
  <c r="V945" i="2"/>
  <c r="S945" i="2"/>
  <c r="T895" i="2"/>
  <c r="U945" i="2"/>
  <c r="U814" i="2"/>
  <c r="T828" i="2"/>
  <c r="T861" i="2"/>
  <c r="S830" i="2"/>
  <c r="V895" i="2"/>
  <c r="U944" i="2"/>
  <c r="T813" i="2"/>
  <c r="V834" i="2"/>
  <c r="T852" i="2"/>
  <c r="S895" i="2"/>
  <c r="U895" i="2"/>
  <c r="T843" i="2"/>
  <c r="R825" i="2"/>
  <c r="S861" i="2"/>
  <c r="V906" i="2"/>
  <c r="S930" i="2"/>
  <c r="V905" i="2"/>
  <c r="R817" i="2"/>
  <c r="V839" i="2"/>
  <c r="R930" i="2"/>
  <c r="T811" i="2"/>
  <c r="V825" i="2"/>
  <c r="U890" i="2"/>
  <c r="S890" i="2"/>
  <c r="S813" i="2"/>
  <c r="V877" i="2"/>
  <c r="S986" i="2"/>
  <c r="S811" i="2"/>
  <c r="V817" i="2"/>
  <c r="S906" i="2"/>
  <c r="R905" i="2"/>
  <c r="S970" i="2"/>
  <c r="S917" i="2"/>
  <c r="U817" i="2"/>
  <c r="V930" i="2"/>
  <c r="T825" i="2"/>
  <c r="R890" i="2"/>
  <c r="V890" i="2"/>
  <c r="V926" i="2"/>
  <c r="T817" i="2"/>
  <c r="T816" i="2"/>
  <c r="R816" i="2"/>
  <c r="V816" i="2"/>
  <c r="T815" i="2"/>
  <c r="S894" i="2"/>
  <c r="U882" i="2"/>
  <c r="V815" i="2"/>
  <c r="S828" i="2"/>
  <c r="V894" i="2"/>
  <c r="S909" i="2"/>
  <c r="V920" i="2"/>
  <c r="S825" i="2"/>
  <c r="U920" i="2"/>
  <c r="T941" i="2"/>
  <c r="S823" i="2"/>
  <c r="V909" i="2"/>
  <c r="T920" i="2"/>
  <c r="T971" i="2"/>
  <c r="T848" i="2"/>
  <c r="T882" i="2"/>
  <c r="V861" i="2"/>
  <c r="S836" i="2"/>
  <c r="T894" i="2"/>
  <c r="S920" i="2"/>
  <c r="S816" i="2"/>
  <c r="T909" i="2"/>
  <c r="V971" i="2"/>
  <c r="T836" i="2"/>
  <c r="R894" i="2"/>
  <c r="R869" i="2"/>
  <c r="S891" i="2"/>
  <c r="U916" i="2"/>
  <c r="U911" i="2"/>
  <c r="S814" i="2"/>
  <c r="V874" i="2"/>
  <c r="V836" i="2"/>
  <c r="T857" i="2"/>
  <c r="U815" i="2"/>
  <c r="U845" i="2"/>
  <c r="T898" i="2"/>
  <c r="T879" i="2"/>
  <c r="V913" i="2"/>
  <c r="R872" i="2"/>
  <c r="R937" i="2"/>
  <c r="T911" i="2"/>
  <c r="S809" i="2"/>
  <c r="V869" i="2"/>
  <c r="U839" i="2"/>
  <c r="U879" i="2"/>
  <c r="U913" i="2"/>
  <c r="R809" i="2"/>
  <c r="U874" i="2"/>
  <c r="U836" i="2"/>
  <c r="T845" i="2"/>
  <c r="U898" i="2"/>
  <c r="T913" i="2"/>
  <c r="S971" i="2"/>
  <c r="V814" i="2"/>
  <c r="S913" i="2"/>
  <c r="R916" i="2"/>
  <c r="V848" i="2"/>
  <c r="U848" i="2"/>
  <c r="S961" i="2"/>
  <c r="V974" i="2"/>
  <c r="U869" i="2"/>
  <c r="V879" i="2"/>
  <c r="V898" i="2"/>
  <c r="R879" i="2"/>
  <c r="S911" i="2"/>
  <c r="U809" i="2"/>
  <c r="T874" i="2"/>
  <c r="S848" i="2"/>
  <c r="S916" i="2"/>
  <c r="R971" i="2"/>
  <c r="T814" i="2"/>
  <c r="S874" i="2"/>
  <c r="R942" i="2"/>
  <c r="S870" i="2"/>
  <c r="R870" i="2"/>
  <c r="U974" i="2"/>
  <c r="R974" i="2"/>
  <c r="V845" i="2"/>
  <c r="S871" i="2"/>
  <c r="S839" i="2"/>
  <c r="T877" i="2"/>
  <c r="T851" i="2"/>
  <c r="U896" i="2"/>
  <c r="R968" i="2"/>
  <c r="T968" i="2"/>
  <c r="R851" i="2"/>
  <c r="V896" i="2"/>
  <c r="S967" i="2"/>
  <c r="V837" i="2"/>
  <c r="T936" i="2"/>
  <c r="S926" i="2"/>
  <c r="V917" i="2"/>
  <c r="T974" i="2"/>
  <c r="T840" i="2"/>
  <c r="R877" i="2"/>
  <c r="V968" i="2"/>
  <c r="R829" i="2"/>
  <c r="V827" i="2"/>
  <c r="U851" i="2"/>
  <c r="T870" i="2"/>
  <c r="R845" i="2"/>
  <c r="R820" i="2"/>
  <c r="U967" i="2"/>
  <c r="U854" i="2"/>
  <c r="T866" i="2"/>
  <c r="S968" i="2"/>
  <c r="U877" i="2"/>
  <c r="R896" i="2"/>
  <c r="S851" i="2"/>
  <c r="U837" i="2"/>
  <c r="R967" i="2"/>
  <c r="S837" i="2"/>
  <c r="U937" i="2"/>
  <c r="U813" i="2"/>
  <c r="R857" i="2"/>
  <c r="U857" i="2"/>
  <c r="V857" i="2"/>
  <c r="V891" i="2"/>
  <c r="U821" i="2"/>
  <c r="T926" i="2"/>
  <c r="R866" i="2"/>
  <c r="V961" i="2"/>
  <c r="U907" i="2"/>
  <c r="S937" i="2"/>
  <c r="R813" i="2"/>
  <c r="R885" i="2"/>
  <c r="R924" i="2"/>
  <c r="T826" i="2"/>
  <c r="V907" i="2"/>
  <c r="S907" i="2"/>
  <c r="S826" i="2"/>
  <c r="V866" i="2"/>
  <c r="U926" i="2"/>
  <c r="S855" i="2"/>
  <c r="T809" i="2"/>
  <c r="S885" i="2"/>
  <c r="T937" i="2"/>
  <c r="V811" i="2"/>
  <c r="S829" i="2"/>
  <c r="V960" i="2"/>
  <c r="T827" i="2"/>
  <c r="U927" i="2"/>
  <c r="U924" i="2"/>
  <c r="R827" i="2"/>
  <c r="U917" i="2"/>
  <c r="U811" i="2"/>
  <c r="V942" i="2"/>
  <c r="R891" i="2"/>
  <c r="V832" i="2"/>
  <c r="T987" i="2"/>
  <c r="S927" i="2"/>
  <c r="R882" i="2"/>
  <c r="U872" i="2"/>
  <c r="V927" i="2"/>
  <c r="U866" i="2"/>
  <c r="T927" i="2"/>
  <c r="R935" i="2"/>
  <c r="T942" i="2"/>
  <c r="U970" i="2"/>
  <c r="R960" i="2"/>
  <c r="T914" i="2"/>
  <c r="V970" i="2"/>
  <c r="S942" i="2"/>
  <c r="U826" i="2"/>
  <c r="R843" i="2"/>
  <c r="V843" i="2"/>
  <c r="U832" i="2"/>
  <c r="R826" i="2"/>
  <c r="V967" i="2"/>
  <c r="T916" i="2"/>
  <c r="S827" i="2"/>
  <c r="R837" i="2"/>
  <c r="S905" i="2"/>
  <c r="V934" i="2"/>
  <c r="S872" i="2"/>
  <c r="T821" i="2"/>
  <c r="T905" i="2"/>
  <c r="S821" i="2"/>
  <c r="T951" i="2"/>
  <c r="V872" i="2"/>
  <c r="R951" i="2"/>
  <c r="T891" i="2"/>
  <c r="R821" i="2"/>
  <c r="S865" i="2"/>
  <c r="T924" i="2"/>
  <c r="R818" i="2"/>
  <c r="S924" i="2"/>
  <c r="T847" i="2"/>
  <c r="R862" i="2"/>
  <c r="R873" i="2"/>
  <c r="V987" i="2"/>
  <c r="S987" i="2"/>
  <c r="V936" i="2"/>
  <c r="S936" i="2"/>
  <c r="S881" i="2"/>
  <c r="R881" i="2"/>
  <c r="V847" i="2"/>
  <c r="S854" i="2"/>
  <c r="V818" i="2"/>
  <c r="V873" i="2"/>
  <c r="S847" i="2"/>
  <c r="U873" i="2"/>
  <c r="S934" i="2"/>
  <c r="U987" i="2"/>
  <c r="T873" i="2"/>
  <c r="V829" i="2"/>
  <c r="V885" i="2"/>
  <c r="U865" i="2"/>
  <c r="U936" i="2"/>
  <c r="R847" i="2"/>
  <c r="U842" i="2"/>
  <c r="U934" i="2"/>
  <c r="U831" i="2"/>
  <c r="S831" i="2"/>
  <c r="V925" i="2"/>
  <c r="V865" i="2"/>
  <c r="T865" i="2"/>
  <c r="U925" i="2"/>
  <c r="T934" i="2"/>
  <c r="V854" i="2"/>
  <c r="T854" i="2"/>
  <c r="T925" i="2"/>
  <c r="R985" i="2"/>
  <c r="V985" i="2"/>
  <c r="S925" i="2"/>
  <c r="V831" i="2"/>
  <c r="T842" i="2"/>
  <c r="T831" i="2"/>
  <c r="U829" i="2"/>
  <c r="V881" i="2"/>
  <c r="S985" i="2"/>
  <c r="V842" i="2"/>
  <c r="V935" i="2"/>
  <c r="V820" i="2"/>
  <c r="U985" i="2"/>
  <c r="R842" i="2"/>
  <c r="T921" i="2"/>
  <c r="V862" i="2"/>
  <c r="S921" i="2"/>
  <c r="T841" i="2"/>
  <c r="T862" i="2"/>
  <c r="V921" i="2"/>
  <c r="V933" i="2"/>
  <c r="V922" i="2"/>
  <c r="R983" i="2"/>
  <c r="U935" i="2"/>
  <c r="T885" i="2"/>
  <c r="T935" i="2"/>
  <c r="S983" i="2"/>
  <c r="T922" i="2"/>
  <c r="S818" i="2"/>
  <c r="R941" i="2"/>
  <c r="R955" i="2"/>
  <c r="V983" i="2"/>
  <c r="R923" i="2"/>
  <c r="R864" i="2"/>
  <c r="V864" i="2"/>
  <c r="V915" i="2"/>
  <c r="U915" i="2"/>
  <c r="T880" i="2"/>
  <c r="S880" i="2"/>
  <c r="U881" i="2"/>
  <c r="T915" i="2"/>
  <c r="U880" i="2"/>
  <c r="V880" i="2"/>
  <c r="U818" i="2"/>
  <c r="V951" i="2"/>
  <c r="U864" i="2"/>
  <c r="S915" i="2"/>
  <c r="V838" i="2"/>
  <c r="T824" i="2"/>
  <c r="U955" i="2"/>
  <c r="T864" i="2"/>
  <c r="T923" i="2"/>
  <c r="U838" i="2"/>
  <c r="V863" i="2"/>
  <c r="R921" i="2"/>
  <c r="S955" i="2"/>
  <c r="T863" i="2"/>
  <c r="S923" i="2"/>
  <c r="U820" i="2"/>
  <c r="U863" i="2"/>
  <c r="R863" i="2"/>
  <c r="V955" i="2"/>
  <c r="T820" i="2"/>
  <c r="R838" i="2"/>
  <c r="V914" i="2"/>
  <c r="V904" i="2"/>
  <c r="V923" i="2"/>
  <c r="R914" i="2"/>
  <c r="U951" i="2"/>
  <c r="V858" i="2"/>
  <c r="R933" i="2"/>
  <c r="R853" i="2"/>
  <c r="V819" i="2"/>
  <c r="U933" i="2"/>
  <c r="R819" i="2"/>
  <c r="V910" i="2"/>
  <c r="U835" i="2"/>
  <c r="U819" i="2"/>
  <c r="U910" i="2"/>
  <c r="S819" i="2"/>
  <c r="U983" i="2"/>
  <c r="U904" i="2"/>
  <c r="R858" i="2"/>
  <c r="T933" i="2"/>
  <c r="T910" i="2"/>
  <c r="T853" i="2"/>
  <c r="T835" i="2"/>
  <c r="T904" i="2"/>
  <c r="S910" i="2"/>
  <c r="S858" i="2"/>
  <c r="T838" i="2"/>
  <c r="U841" i="2"/>
  <c r="R841" i="2"/>
  <c r="S904" i="2"/>
  <c r="V853" i="2"/>
  <c r="T812" i="2"/>
  <c r="U853" i="2"/>
  <c r="V841" i="2"/>
  <c r="V941" i="2"/>
  <c r="S941" i="2"/>
  <c r="S812" i="2"/>
  <c r="U824" i="2"/>
  <c r="V835" i="2"/>
  <c r="U812" i="2"/>
  <c r="R835" i="2"/>
  <c r="T858" i="2"/>
  <c r="R824" i="2"/>
  <c r="U922" i="2"/>
  <c r="S922" i="2"/>
  <c r="V824" i="2"/>
  <c r="V812" i="2"/>
  <c r="U914" i="2"/>
  <c r="U862" i="2"/>
  <c r="S859" i="2"/>
  <c r="T859" i="2"/>
  <c r="V859" i="2"/>
  <c r="U859" i="2"/>
  <c r="N810" i="2"/>
  <c r="R810" i="2" s="1"/>
  <c r="O810" i="2"/>
  <c r="P810" i="2"/>
  <c r="Q810" i="2"/>
  <c r="N800" i="2"/>
  <c r="R800" i="2" s="1"/>
  <c r="O800" i="2"/>
  <c r="P800" i="2"/>
  <c r="Q800" i="2"/>
  <c r="N799" i="2"/>
  <c r="R799" i="2" s="1"/>
  <c r="O799" i="2"/>
  <c r="P799" i="2"/>
  <c r="Q799" i="2"/>
  <c r="N797" i="2"/>
  <c r="U797" i="2" s="1"/>
  <c r="N798" i="2"/>
  <c r="U798" i="2" s="1"/>
  <c r="O797" i="2"/>
  <c r="O798" i="2"/>
  <c r="P797" i="2"/>
  <c r="P798" i="2"/>
  <c r="Q797" i="2"/>
  <c r="Q798" i="2"/>
  <c r="J796" i="2" a="1"/>
  <c r="J796" i="2" s="1"/>
  <c r="J795" i="2" a="1"/>
  <c r="J795" i="2" s="1"/>
  <c r="J757" i="2" a="1"/>
  <c r="J757" i="2" s="1"/>
  <c r="J756" i="2" a="1"/>
  <c r="J756" i="2" s="1"/>
  <c r="J797" i="2" l="1"/>
  <c r="V797" i="2" s="1"/>
  <c r="X900" i="2"/>
  <c r="X926" i="2"/>
  <c r="X904" i="2"/>
  <c r="X855" i="2"/>
  <c r="X819" i="2"/>
  <c r="X958" i="2"/>
  <c r="X830" i="2"/>
  <c r="X914" i="2"/>
  <c r="X936" i="2"/>
  <c r="X906" i="2"/>
  <c r="X840" i="2"/>
  <c r="X898" i="2"/>
  <c r="X848" i="2"/>
  <c r="X815" i="2"/>
  <c r="X899" i="2"/>
  <c r="X889" i="2"/>
  <c r="X857" i="2"/>
  <c r="X812" i="2"/>
  <c r="X987" i="2"/>
  <c r="X932" i="2"/>
  <c r="X925" i="2"/>
  <c r="X895" i="2"/>
  <c r="X878" i="2"/>
  <c r="X886" i="2"/>
  <c r="X915" i="2"/>
  <c r="X896" i="2"/>
  <c r="X811" i="2"/>
  <c r="X930" i="2"/>
  <c r="X970" i="2"/>
  <c r="X871" i="2"/>
  <c r="X946" i="2"/>
  <c r="X908" i="2"/>
  <c r="X911" i="2"/>
  <c r="X861" i="2"/>
  <c r="X910" i="2"/>
  <c r="X985" i="2"/>
  <c r="X869" i="2"/>
  <c r="X836" i="2"/>
  <c r="X875" i="2"/>
  <c r="X831" i="2"/>
  <c r="X854" i="2"/>
  <c r="X852" i="2"/>
  <c r="X944" i="2"/>
  <c r="X934" i="2"/>
  <c r="X814" i="2"/>
  <c r="X920" i="2"/>
  <c r="X859" i="2"/>
  <c r="X865" i="2"/>
  <c r="X880" i="2"/>
  <c r="X874" i="2"/>
  <c r="X888" i="2"/>
  <c r="X977" i="2"/>
  <c r="X841" i="2"/>
  <c r="X941" i="2"/>
  <c r="X922" i="2"/>
  <c r="X842" i="2"/>
  <c r="X881" i="2"/>
  <c r="X837" i="2"/>
  <c r="X927" i="2"/>
  <c r="X891" i="2"/>
  <c r="X809" i="2"/>
  <c r="X825" i="2"/>
  <c r="X945" i="2"/>
  <c r="X823" i="2"/>
  <c r="X940" i="2"/>
  <c r="X828" i="2"/>
  <c r="X887" i="2"/>
  <c r="X976" i="2"/>
  <c r="X949" i="2"/>
  <c r="X846" i="2"/>
  <c r="X964" i="2"/>
  <c r="X872" i="2"/>
  <c r="X971" i="2"/>
  <c r="X816" i="2"/>
  <c r="X902" i="2"/>
  <c r="X847" i="2"/>
  <c r="X818" i="2"/>
  <c r="X907" i="2"/>
  <c r="X966" i="2"/>
  <c r="X901" i="2"/>
  <c r="X947" i="2"/>
  <c r="X953" i="2"/>
  <c r="X884" i="2"/>
  <c r="X903" i="2"/>
  <c r="X839" i="2"/>
  <c r="X954" i="2"/>
  <c r="X986" i="2"/>
  <c r="X824" i="2"/>
  <c r="X864" i="2"/>
  <c r="X826" i="2"/>
  <c r="X960" i="2"/>
  <c r="X882" i="2"/>
  <c r="X827" i="2"/>
  <c r="X829" i="2"/>
  <c r="X961" i="2"/>
  <c r="X893" i="2"/>
  <c r="X969" i="2"/>
  <c r="X866" i="2"/>
  <c r="X832" i="2"/>
  <c r="X972" i="2"/>
  <c r="X863" i="2"/>
  <c r="X968" i="2"/>
  <c r="X858" i="2"/>
  <c r="X870" i="2"/>
  <c r="X817" i="2"/>
  <c r="X923" i="2"/>
  <c r="X967" i="2"/>
  <c r="X905" i="2"/>
  <c r="X957" i="2"/>
  <c r="X917" i="2"/>
  <c r="X853" i="2"/>
  <c r="X838" i="2"/>
  <c r="X873" i="2"/>
  <c r="X885" i="2"/>
  <c r="X820" i="2"/>
  <c r="X877" i="2"/>
  <c r="X942" i="2"/>
  <c r="X894" i="2"/>
  <c r="X978" i="2"/>
  <c r="X965" i="2"/>
  <c r="X897" i="2"/>
  <c r="X876" i="2"/>
  <c r="X950" i="2"/>
  <c r="X974" i="2"/>
  <c r="X909" i="2"/>
  <c r="X821" i="2"/>
  <c r="X924" i="2"/>
  <c r="X835" i="2"/>
  <c r="X933" i="2"/>
  <c r="X921" i="2"/>
  <c r="X955" i="2"/>
  <c r="X983" i="2"/>
  <c r="X862" i="2"/>
  <c r="X951" i="2"/>
  <c r="X843" i="2"/>
  <c r="X935" i="2"/>
  <c r="X813" i="2"/>
  <c r="X845" i="2"/>
  <c r="X851" i="2"/>
  <c r="X879" i="2"/>
  <c r="X916" i="2"/>
  <c r="X937" i="2"/>
  <c r="X890" i="2"/>
  <c r="X860" i="2"/>
  <c r="X834" i="2"/>
  <c r="X913" i="2"/>
  <c r="T800" i="2"/>
  <c r="V810" i="2"/>
  <c r="H60" i="1" s="1"/>
  <c r="U810" i="2"/>
  <c r="T810" i="2"/>
  <c r="U800" i="2"/>
  <c r="S810" i="2"/>
  <c r="V800" i="2"/>
  <c r="S800" i="2"/>
  <c r="I57" i="1"/>
  <c r="U799" i="2"/>
  <c r="L58" i="1" s="1"/>
  <c r="T799" i="2"/>
  <c r="S799" i="2"/>
  <c r="T798" i="2"/>
  <c r="S798" i="2"/>
  <c r="T797" i="2"/>
  <c r="S797" i="2"/>
  <c r="R798" i="2"/>
  <c r="R797" i="2"/>
  <c r="N728" i="2"/>
  <c r="V728" i="2" s="1"/>
  <c r="N729" i="2"/>
  <c r="T729" i="2" s="1"/>
  <c r="N730" i="2"/>
  <c r="R730" i="2" s="1"/>
  <c r="N755" i="2"/>
  <c r="S755" i="2" s="1"/>
  <c r="N756" i="2"/>
  <c r="T756" i="2" s="1"/>
  <c r="N757" i="2"/>
  <c r="V757" i="2" s="1"/>
  <c r="N761" i="2"/>
  <c r="T761" i="2" s="1"/>
  <c r="N762" i="2"/>
  <c r="T762" i="2" s="1"/>
  <c r="N763" i="2"/>
  <c r="U763" i="2" s="1"/>
  <c r="N764" i="2"/>
  <c r="V764" i="2" s="1"/>
  <c r="N765" i="2"/>
  <c r="V765" i="2" s="1"/>
  <c r="N766" i="2"/>
  <c r="N767" i="2"/>
  <c r="U767" i="2" s="1"/>
  <c r="N768" i="2"/>
  <c r="R768" i="2" s="1"/>
  <c r="N769" i="2"/>
  <c r="R769" i="2" s="1"/>
  <c r="N773" i="2"/>
  <c r="U773" i="2" s="1"/>
  <c r="N774" i="2"/>
  <c r="N775" i="2"/>
  <c r="N791" i="2"/>
  <c r="N792" i="2"/>
  <c r="V792" i="2" s="1"/>
  <c r="N793" i="2"/>
  <c r="V793" i="2" s="1"/>
  <c r="N794" i="2"/>
  <c r="U794" i="2" s="1"/>
  <c r="N795" i="2"/>
  <c r="U795" i="2" s="1"/>
  <c r="N796" i="2"/>
  <c r="P728" i="2"/>
  <c r="P729" i="2"/>
  <c r="P730" i="2"/>
  <c r="P755" i="2"/>
  <c r="P756" i="2"/>
  <c r="P757" i="2"/>
  <c r="P761" i="2"/>
  <c r="P762" i="2"/>
  <c r="P763" i="2"/>
  <c r="P764" i="2"/>
  <c r="P765" i="2"/>
  <c r="P766" i="2"/>
  <c r="P767" i="2"/>
  <c r="P768" i="2"/>
  <c r="P769" i="2"/>
  <c r="P773" i="2"/>
  <c r="P774" i="2"/>
  <c r="P775" i="2"/>
  <c r="P791" i="2"/>
  <c r="P792" i="2"/>
  <c r="P793" i="2"/>
  <c r="P794" i="2"/>
  <c r="P795" i="2"/>
  <c r="P796" i="2"/>
  <c r="Q728" i="2"/>
  <c r="Q729" i="2"/>
  <c r="Q730" i="2"/>
  <c r="Q755" i="2"/>
  <c r="Q756" i="2"/>
  <c r="Q757" i="2"/>
  <c r="Q761" i="2"/>
  <c r="Q762" i="2"/>
  <c r="Q763" i="2"/>
  <c r="Q764" i="2"/>
  <c r="Q765" i="2"/>
  <c r="Q766" i="2"/>
  <c r="Q767" i="2"/>
  <c r="Q768" i="2"/>
  <c r="Q769" i="2"/>
  <c r="Q773" i="2"/>
  <c r="Q774" i="2"/>
  <c r="Q775" i="2"/>
  <c r="Q791" i="2"/>
  <c r="Q792" i="2"/>
  <c r="Q793" i="2"/>
  <c r="Q794" i="2"/>
  <c r="Q795" i="2"/>
  <c r="Q796" i="2"/>
  <c r="N808" i="2"/>
  <c r="R808" i="2" s="1"/>
  <c r="O808" i="2"/>
  <c r="P808" i="2"/>
  <c r="Q808" i="2"/>
  <c r="N807" i="2"/>
  <c r="R807" i="2" s="1"/>
  <c r="O807" i="2"/>
  <c r="P807" i="2"/>
  <c r="Q807" i="2"/>
  <c r="N802" i="2"/>
  <c r="R802" i="2" s="1"/>
  <c r="N803" i="2"/>
  <c r="U803" i="2" s="1"/>
  <c r="N804" i="2"/>
  <c r="U804" i="2" s="1"/>
  <c r="N805" i="2"/>
  <c r="R805" i="2" s="1"/>
  <c r="O802" i="2"/>
  <c r="O803" i="2"/>
  <c r="O804" i="2"/>
  <c r="O805" i="2"/>
  <c r="P802" i="2"/>
  <c r="P803" i="2"/>
  <c r="P804" i="2"/>
  <c r="P805" i="2"/>
  <c r="Q802" i="2"/>
  <c r="Q803" i="2"/>
  <c r="Q804" i="2"/>
  <c r="Q805" i="2"/>
  <c r="N801" i="2"/>
  <c r="O801" i="2"/>
  <c r="P801" i="2"/>
  <c r="Q801" i="2"/>
  <c r="U801" i="2" l="1"/>
  <c r="V801" i="2"/>
  <c r="A947" i="19"/>
  <c r="A951" i="19"/>
  <c r="A958" i="19"/>
  <c r="A956" i="19"/>
  <c r="A948" i="19"/>
  <c r="A954" i="19"/>
  <c r="A961" i="19"/>
  <c r="A959" i="19"/>
  <c r="A949" i="19"/>
  <c r="A955" i="19"/>
  <c r="A960" i="19"/>
  <c r="A950" i="19"/>
  <c r="A953" i="19"/>
  <c r="A952" i="19"/>
  <c r="A946" i="19"/>
  <c r="A957" i="19"/>
  <c r="X810" i="2"/>
  <c r="X800" i="2"/>
  <c r="X797" i="2"/>
  <c r="V798" i="2"/>
  <c r="X798" i="2" s="1"/>
  <c r="V729" i="2"/>
  <c r="U765" i="2"/>
  <c r="U764" i="2"/>
  <c r="T794" i="2"/>
  <c r="T764" i="2"/>
  <c r="S794" i="2"/>
  <c r="S764" i="2"/>
  <c r="V761" i="2"/>
  <c r="R757" i="2"/>
  <c r="V769" i="2"/>
  <c r="V730" i="2"/>
  <c r="T765" i="2"/>
  <c r="R795" i="2"/>
  <c r="R765" i="2"/>
  <c r="K57" i="1"/>
  <c r="T795" i="2"/>
  <c r="I58" i="1"/>
  <c r="U761" i="2"/>
  <c r="V768" i="2"/>
  <c r="S773" i="2"/>
  <c r="T728" i="2"/>
  <c r="U728" i="2"/>
  <c r="U755" i="2"/>
  <c r="S767" i="2"/>
  <c r="V755" i="2"/>
  <c r="S728" i="2"/>
  <c r="V767" i="2"/>
  <c r="T767" i="2"/>
  <c r="T755" i="2"/>
  <c r="J57" i="1"/>
  <c r="S769" i="2"/>
  <c r="U762" i="2"/>
  <c r="L57" i="1"/>
  <c r="J58" i="1"/>
  <c r="K58" i="1"/>
  <c r="V775" i="2"/>
  <c r="U757" i="2"/>
  <c r="S763" i="2"/>
  <c r="U730" i="2"/>
  <c r="S730" i="2"/>
  <c r="U775" i="2"/>
  <c r="V763" i="2"/>
  <c r="U769" i="2"/>
  <c r="R792" i="2"/>
  <c r="T792" i="2"/>
  <c r="R775" i="2"/>
  <c r="R763" i="2"/>
  <c r="S775" i="2"/>
  <c r="U792" i="2"/>
  <c r="V762" i="2"/>
  <c r="R774" i="2"/>
  <c r="U774" i="2"/>
  <c r="T773" i="2"/>
  <c r="R729" i="2"/>
  <c r="T774" i="2"/>
  <c r="S761" i="2"/>
  <c r="V774" i="2"/>
  <c r="U768" i="2"/>
  <c r="T768" i="2"/>
  <c r="V773" i="2"/>
  <c r="U729" i="2"/>
  <c r="R762" i="2"/>
  <c r="S793" i="2"/>
  <c r="V791" i="2"/>
  <c r="T791" i="2"/>
  <c r="S791" i="2"/>
  <c r="R793" i="2"/>
  <c r="U793" i="2"/>
  <c r="U791" i="2"/>
  <c r="V795" i="2"/>
  <c r="V794" i="2"/>
  <c r="V802" i="2"/>
  <c r="T802" i="2"/>
  <c r="U802" i="2"/>
  <c r="T805" i="2"/>
  <c r="V766" i="2"/>
  <c r="R796" i="2"/>
  <c r="V796" i="2"/>
  <c r="R766" i="2"/>
  <c r="S802" i="2"/>
  <c r="S757" i="2"/>
  <c r="U756" i="2"/>
  <c r="R756" i="2"/>
  <c r="V756" i="2"/>
  <c r="U796" i="2"/>
  <c r="U766" i="2"/>
  <c r="S796" i="2"/>
  <c r="S766" i="2"/>
  <c r="V808" i="2"/>
  <c r="U808" i="2"/>
  <c r="T808" i="2"/>
  <c r="S808" i="2"/>
  <c r="T804" i="2"/>
  <c r="T803" i="2"/>
  <c r="V807" i="2"/>
  <c r="S804" i="2"/>
  <c r="U807" i="2"/>
  <c r="S803" i="2"/>
  <c r="T807" i="2"/>
  <c r="V804" i="2"/>
  <c r="S807" i="2"/>
  <c r="V803" i="2"/>
  <c r="R804" i="2"/>
  <c r="R803" i="2"/>
  <c r="T801" i="2"/>
  <c r="V805" i="2"/>
  <c r="S805" i="2"/>
  <c r="U805" i="2"/>
  <c r="S801" i="2"/>
  <c r="R801" i="2"/>
  <c r="X807" i="2" l="1"/>
  <c r="X805" i="2"/>
  <c r="X808" i="2"/>
  <c r="X802" i="2"/>
  <c r="X803" i="2"/>
  <c r="X801" i="2"/>
  <c r="X804" i="2"/>
  <c r="H58" i="1"/>
  <c r="I53" i="1"/>
  <c r="K53" i="1"/>
  <c r="L53" i="1"/>
  <c r="H53" i="1"/>
  <c r="J53" i="1"/>
  <c r="N655" i="2" l="1"/>
  <c r="P655" i="2"/>
  <c r="Q655" i="2"/>
  <c r="N671" i="2"/>
  <c r="P671" i="2"/>
  <c r="Q671" i="2"/>
  <c r="N645" i="2"/>
  <c r="P645" i="2"/>
  <c r="Q645" i="2"/>
  <c r="V655" i="2" l="1"/>
  <c r="U655" i="2"/>
  <c r="T655" i="2"/>
  <c r="S655" i="2"/>
  <c r="V671" i="2"/>
  <c r="U671" i="2"/>
  <c r="T671" i="2"/>
  <c r="S671" i="2"/>
  <c r="V645" i="2"/>
  <c r="U645" i="2"/>
  <c r="T645" i="2"/>
  <c r="S645" i="2"/>
  <c r="N659" i="2" l="1"/>
  <c r="U659" i="2" s="1"/>
  <c r="N663" i="2"/>
  <c r="P659" i="2"/>
  <c r="P663" i="2"/>
  <c r="Q659" i="2"/>
  <c r="Q663" i="2"/>
  <c r="N580" i="2"/>
  <c r="R580" i="2" s="1"/>
  <c r="N581" i="2"/>
  <c r="R581" i="2" s="1"/>
  <c r="N582" i="2"/>
  <c r="R582" i="2" s="1"/>
  <c r="N583" i="2"/>
  <c r="T583" i="2" s="1"/>
  <c r="O580" i="2"/>
  <c r="O581" i="2"/>
  <c r="O582" i="2"/>
  <c r="O583" i="2"/>
  <c r="P580" i="2"/>
  <c r="P581" i="2"/>
  <c r="P582" i="2"/>
  <c r="P583" i="2"/>
  <c r="Q580" i="2"/>
  <c r="Q581" i="2"/>
  <c r="Q582" i="2"/>
  <c r="Q583" i="2"/>
  <c r="V663" i="2" l="1"/>
  <c r="U663" i="2"/>
  <c r="T663" i="2"/>
  <c r="S663" i="2"/>
  <c r="S659" i="2"/>
  <c r="T659" i="2"/>
  <c r="V659" i="2"/>
  <c r="U583" i="2"/>
  <c r="T580" i="2"/>
  <c r="T582" i="2"/>
  <c r="S583" i="2"/>
  <c r="R583" i="2"/>
  <c r="V581" i="2"/>
  <c r="V580" i="2"/>
  <c r="S581" i="2"/>
  <c r="S580" i="2"/>
  <c r="S582" i="2"/>
  <c r="U582" i="2"/>
  <c r="U581" i="2"/>
  <c r="U580" i="2"/>
  <c r="T581" i="2"/>
  <c r="V582" i="2"/>
  <c r="V583" i="2"/>
  <c r="X580" i="2" l="1"/>
  <c r="X581" i="2"/>
  <c r="X582" i="2"/>
  <c r="X583" i="2"/>
  <c r="N641" i="2"/>
  <c r="T641" i="2" s="1"/>
  <c r="N647" i="2"/>
  <c r="N651" i="2"/>
  <c r="T651" i="2" s="1"/>
  <c r="N667" i="2"/>
  <c r="T667" i="2" s="1"/>
  <c r="N675" i="2"/>
  <c r="S675" i="2" s="1"/>
  <c r="N727" i="2"/>
  <c r="S727" i="2" s="1"/>
  <c r="O727" i="2"/>
  <c r="P641" i="2"/>
  <c r="P647" i="2"/>
  <c r="P651" i="2"/>
  <c r="P667" i="2"/>
  <c r="P675" i="2"/>
  <c r="P727" i="2"/>
  <c r="Q641" i="2"/>
  <c r="Q647" i="2"/>
  <c r="Q651" i="2"/>
  <c r="Q667" i="2"/>
  <c r="Q675" i="2"/>
  <c r="Q727" i="2"/>
  <c r="N633" i="2"/>
  <c r="P633" i="2"/>
  <c r="Q633" i="2"/>
  <c r="S667" i="2" l="1"/>
  <c r="S647" i="2"/>
  <c r="U647" i="2"/>
  <c r="V647" i="2"/>
  <c r="T647" i="2"/>
  <c r="V675" i="2"/>
  <c r="U675" i="2"/>
  <c r="T675" i="2"/>
  <c r="V667" i="2"/>
  <c r="U667" i="2"/>
  <c r="V651" i="2"/>
  <c r="S651" i="2"/>
  <c r="U651" i="2"/>
  <c r="S641" i="2"/>
  <c r="U641" i="2"/>
  <c r="V641" i="2"/>
  <c r="T727" i="2"/>
  <c r="U727" i="2"/>
  <c r="R727" i="2"/>
  <c r="V633" i="2"/>
  <c r="U633" i="2"/>
  <c r="T633" i="2"/>
  <c r="S633" i="2"/>
  <c r="D135" i="16"/>
  <c r="O629" i="2" s="1"/>
  <c r="N630" i="2"/>
  <c r="R630" i="2" s="1"/>
  <c r="O630" i="2"/>
  <c r="P630" i="2"/>
  <c r="Q630" i="2"/>
  <c r="N629" i="2"/>
  <c r="R629" i="2" s="1"/>
  <c r="P629" i="2"/>
  <c r="Q629" i="2"/>
  <c r="H74" i="1"/>
  <c r="D125" i="16"/>
  <c r="D126" i="16"/>
  <c r="N626" i="2"/>
  <c r="R626" i="2" s="1"/>
  <c r="P626" i="2"/>
  <c r="Q626" i="2"/>
  <c r="L56" i="1"/>
  <c r="H56" i="1"/>
  <c r="L55" i="1"/>
  <c r="H55" i="1"/>
  <c r="N621" i="2"/>
  <c r="R621" i="2" s="1"/>
  <c r="N622" i="2"/>
  <c r="S622" i="2" s="1"/>
  <c r="N623" i="2"/>
  <c r="T623" i="2" s="1"/>
  <c r="N624" i="2"/>
  <c r="R624" i="2" s="1"/>
  <c r="N625" i="2"/>
  <c r="R625" i="2" s="1"/>
  <c r="O621" i="2"/>
  <c r="O622" i="2"/>
  <c r="O623" i="2"/>
  <c r="O624" i="2"/>
  <c r="O625" i="2"/>
  <c r="P621" i="2"/>
  <c r="P622" i="2"/>
  <c r="P623" i="2"/>
  <c r="P624" i="2"/>
  <c r="P625" i="2"/>
  <c r="Q621" i="2"/>
  <c r="Q622" i="2"/>
  <c r="Q623" i="2"/>
  <c r="Q624" i="2"/>
  <c r="Q625" i="2"/>
  <c r="I43" i="1" l="1"/>
  <c r="I45" i="1"/>
  <c r="I46" i="1"/>
  <c r="O626" i="2"/>
  <c r="L48" i="1"/>
  <c r="I50" i="1"/>
  <c r="L50" i="1"/>
  <c r="J50" i="1"/>
  <c r="K50" i="1"/>
  <c r="U630" i="2"/>
  <c r="L46" i="1" s="1"/>
  <c r="T630" i="2"/>
  <c r="K46" i="1" s="1"/>
  <c r="S630" i="2"/>
  <c r="J46" i="1" s="1"/>
  <c r="U629" i="2"/>
  <c r="L45" i="1" s="1"/>
  <c r="T629" i="2"/>
  <c r="K45" i="1" s="1"/>
  <c r="S629" i="2"/>
  <c r="J45" i="1" s="1"/>
  <c r="I44" i="1"/>
  <c r="L44" i="1"/>
  <c r="K44" i="1"/>
  <c r="J44" i="1"/>
  <c r="U626" i="2"/>
  <c r="L43" i="1" s="1"/>
  <c r="T626" i="2"/>
  <c r="K43" i="1" s="1"/>
  <c r="S626" i="2"/>
  <c r="J43" i="1" s="1"/>
  <c r="T621" i="2"/>
  <c r="S623" i="2"/>
  <c r="S621" i="2"/>
  <c r="U623" i="2"/>
  <c r="R623" i="2"/>
  <c r="U621" i="2"/>
  <c r="S625" i="2"/>
  <c r="U624" i="2"/>
  <c r="S624" i="2"/>
  <c r="U625" i="2"/>
  <c r="T625" i="2"/>
  <c r="T624" i="2"/>
  <c r="T622" i="2"/>
  <c r="R622" i="2"/>
  <c r="U622" i="2"/>
  <c r="N612" i="2"/>
  <c r="S612" i="2" s="1"/>
  <c r="N613" i="2"/>
  <c r="T613" i="2" s="1"/>
  <c r="N614" i="2"/>
  <c r="N616" i="2"/>
  <c r="R616" i="2" s="1"/>
  <c r="N617" i="2"/>
  <c r="T617" i="2" s="1"/>
  <c r="N618" i="2"/>
  <c r="S618" i="2" s="1"/>
  <c r="O612" i="2"/>
  <c r="O613" i="2"/>
  <c r="O614" i="2"/>
  <c r="O616" i="2"/>
  <c r="O617" i="2"/>
  <c r="O618" i="2"/>
  <c r="P612" i="2"/>
  <c r="P613" i="2"/>
  <c r="P614" i="2"/>
  <c r="P616" i="2"/>
  <c r="P617" i="2"/>
  <c r="P618" i="2"/>
  <c r="Q612" i="2"/>
  <c r="Q613" i="2"/>
  <c r="Q614" i="2"/>
  <c r="Q616" i="2"/>
  <c r="Q617" i="2"/>
  <c r="Q618" i="2"/>
  <c r="N605" i="2"/>
  <c r="R605" i="2" s="1"/>
  <c r="O605" i="2"/>
  <c r="P605" i="2"/>
  <c r="Q605" i="2"/>
  <c r="N611" i="2"/>
  <c r="R611" i="2" s="1"/>
  <c r="O611" i="2"/>
  <c r="P611" i="2"/>
  <c r="Q611" i="2"/>
  <c r="N610" i="2"/>
  <c r="R610" i="2" s="1"/>
  <c r="O610" i="2"/>
  <c r="P610" i="2"/>
  <c r="Q610" i="2"/>
  <c r="N607" i="2"/>
  <c r="R607" i="2" s="1"/>
  <c r="O607" i="2"/>
  <c r="P607" i="2"/>
  <c r="Q607" i="2"/>
  <c r="N604" i="2"/>
  <c r="R604" i="2" s="1"/>
  <c r="N606" i="2"/>
  <c r="R606" i="2" s="1"/>
  <c r="O604" i="2"/>
  <c r="O606" i="2"/>
  <c r="P604" i="2"/>
  <c r="P606" i="2"/>
  <c r="Q604" i="2"/>
  <c r="Q606" i="2"/>
  <c r="I42" i="1" l="1"/>
  <c r="K42" i="1"/>
  <c r="L42" i="1"/>
  <c r="J42" i="1"/>
  <c r="U617" i="2"/>
  <c r="R617" i="2"/>
  <c r="T612" i="2"/>
  <c r="S617" i="2"/>
  <c r="S616" i="2"/>
  <c r="U616" i="2"/>
  <c r="R612" i="2"/>
  <c r="U612" i="2"/>
  <c r="T616" i="2"/>
  <c r="U618" i="2"/>
  <c r="S613" i="2"/>
  <c r="R613" i="2"/>
  <c r="U613" i="2"/>
  <c r="R618" i="2"/>
  <c r="T618" i="2"/>
  <c r="T614" i="2"/>
  <c r="R614" i="2"/>
  <c r="U614" i="2"/>
  <c r="S614" i="2"/>
  <c r="U605" i="2"/>
  <c r="T605" i="2"/>
  <c r="S605" i="2"/>
  <c r="U611" i="2"/>
  <c r="T611" i="2"/>
  <c r="S611" i="2"/>
  <c r="U610" i="2"/>
  <c r="T610" i="2"/>
  <c r="S610" i="2"/>
  <c r="U607" i="2"/>
  <c r="T607" i="2"/>
  <c r="S607" i="2"/>
  <c r="S606" i="2"/>
  <c r="U606" i="2"/>
  <c r="U604" i="2"/>
  <c r="T606" i="2"/>
  <c r="T604" i="2"/>
  <c r="S604" i="2"/>
  <c r="N603" i="2"/>
  <c r="R603" i="2" s="1"/>
  <c r="O603" i="2"/>
  <c r="P603" i="2"/>
  <c r="Q603" i="2"/>
  <c r="N562" i="2"/>
  <c r="T562" i="2" s="1"/>
  <c r="N563" i="2"/>
  <c r="S563" i="2" s="1"/>
  <c r="N564" i="2"/>
  <c r="N565" i="2"/>
  <c r="R565" i="2" s="1"/>
  <c r="N566" i="2"/>
  <c r="S566" i="2" s="1"/>
  <c r="N567" i="2"/>
  <c r="S567" i="2" s="1"/>
  <c r="N568" i="2"/>
  <c r="R568" i="2" s="1"/>
  <c r="N569" i="2"/>
  <c r="S569" i="2" s="1"/>
  <c r="N570" i="2"/>
  <c r="R570" i="2" s="1"/>
  <c r="N571" i="2"/>
  <c r="S571" i="2" s="1"/>
  <c r="N572" i="2"/>
  <c r="S572" i="2" s="1"/>
  <c r="N573" i="2"/>
  <c r="T573" i="2" s="1"/>
  <c r="N574" i="2"/>
  <c r="S574" i="2" s="1"/>
  <c r="N575" i="2"/>
  <c r="S575" i="2" s="1"/>
  <c r="N576" i="2"/>
  <c r="U576" i="2" s="1"/>
  <c r="N584" i="2"/>
  <c r="U584" i="2" s="1"/>
  <c r="N585" i="2"/>
  <c r="T585" i="2" s="1"/>
  <c r="N586" i="2"/>
  <c r="T586" i="2" s="1"/>
  <c r="N587" i="2"/>
  <c r="R587" i="2" s="1"/>
  <c r="N588" i="2"/>
  <c r="R588" i="2" s="1"/>
  <c r="N589" i="2"/>
  <c r="U589" i="2" s="1"/>
  <c r="N590" i="2"/>
  <c r="R590" i="2" s="1"/>
  <c r="N591" i="2"/>
  <c r="S591" i="2" s="1"/>
  <c r="N592" i="2"/>
  <c r="S592" i="2" s="1"/>
  <c r="N593" i="2"/>
  <c r="T593" i="2" s="1"/>
  <c r="N594" i="2"/>
  <c r="U594" i="2" s="1"/>
  <c r="N595" i="2"/>
  <c r="U595" i="2" s="1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N561" i="2"/>
  <c r="R561" i="2" s="1"/>
  <c r="O561" i="2"/>
  <c r="P561" i="2"/>
  <c r="Q561" i="2"/>
  <c r="I40" i="1" l="1"/>
  <c r="J41" i="1"/>
  <c r="I41" i="1"/>
  <c r="L41" i="1"/>
  <c r="K41" i="1"/>
  <c r="S585" i="2"/>
  <c r="S584" i="2"/>
  <c r="V585" i="2"/>
  <c r="R585" i="2"/>
  <c r="R566" i="2"/>
  <c r="T566" i="2"/>
  <c r="R584" i="2"/>
  <c r="V566" i="2"/>
  <c r="U566" i="2"/>
  <c r="U585" i="2"/>
  <c r="T584" i="2"/>
  <c r="R586" i="2"/>
  <c r="U567" i="2"/>
  <c r="T587" i="2"/>
  <c r="R567" i="2"/>
  <c r="T567" i="2"/>
  <c r="S586" i="2"/>
  <c r="U587" i="2"/>
  <c r="U586" i="2"/>
  <c r="S568" i="2"/>
  <c r="V586" i="2"/>
  <c r="V567" i="2"/>
  <c r="U568" i="2"/>
  <c r="T568" i="2"/>
  <c r="V568" i="2"/>
  <c r="T574" i="2"/>
  <c r="U562" i="2"/>
  <c r="R562" i="2"/>
  <c r="S562" i="2"/>
  <c r="V574" i="2"/>
  <c r="U574" i="2"/>
  <c r="R574" i="2"/>
  <c r="V562" i="2"/>
  <c r="S589" i="2"/>
  <c r="U571" i="2"/>
  <c r="R571" i="2"/>
  <c r="V590" i="2"/>
  <c r="S570" i="2"/>
  <c r="U570" i="2"/>
  <c r="V571" i="2"/>
  <c r="V589" i="2"/>
  <c r="V570" i="2"/>
  <c r="V564" i="2"/>
  <c r="T564" i="2"/>
  <c r="S564" i="2"/>
  <c r="R564" i="2"/>
  <c r="V576" i="2"/>
  <c r="U564" i="2"/>
  <c r="S595" i="2"/>
  <c r="U603" i="2"/>
  <c r="L40" i="1" s="1"/>
  <c r="R576" i="2"/>
  <c r="T603" i="2"/>
  <c r="K40" i="1" s="1"/>
  <c r="S603" i="2"/>
  <c r="J40" i="1" s="1"/>
  <c r="T576" i="2"/>
  <c r="S576" i="2"/>
  <c r="T570" i="2"/>
  <c r="R563" i="2"/>
  <c r="V575" i="2"/>
  <c r="V563" i="2"/>
  <c r="U563" i="2"/>
  <c r="T589" i="2"/>
  <c r="V565" i="2"/>
  <c r="T575" i="2"/>
  <c r="T563" i="2"/>
  <c r="U575" i="2"/>
  <c r="U565" i="2"/>
  <c r="T565" i="2"/>
  <c r="V584" i="2"/>
  <c r="S565" i="2"/>
  <c r="T595" i="2"/>
  <c r="S587" i="2"/>
  <c r="R575" i="2"/>
  <c r="V588" i="2"/>
  <c r="T594" i="2"/>
  <c r="V587" i="2"/>
  <c r="R595" i="2"/>
  <c r="T588" i="2"/>
  <c r="R593" i="2"/>
  <c r="S593" i="2"/>
  <c r="V594" i="2"/>
  <c r="V595" i="2"/>
  <c r="V593" i="2"/>
  <c r="U593" i="2"/>
  <c r="R589" i="2"/>
  <c r="S594" i="2"/>
  <c r="R594" i="2"/>
  <c r="V569" i="2"/>
  <c r="U569" i="2"/>
  <c r="U588" i="2"/>
  <c r="V592" i="2"/>
  <c r="R569" i="2"/>
  <c r="T569" i="2"/>
  <c r="S588" i="2"/>
  <c r="S573" i="2"/>
  <c r="U573" i="2"/>
  <c r="U592" i="2"/>
  <c r="T592" i="2"/>
  <c r="V572" i="2"/>
  <c r="V573" i="2"/>
  <c r="U590" i="2"/>
  <c r="T571" i="2"/>
  <c r="T590" i="2"/>
  <c r="S590" i="2"/>
  <c r="R592" i="2"/>
  <c r="R573" i="2"/>
  <c r="R591" i="2"/>
  <c r="V591" i="2"/>
  <c r="R572" i="2"/>
  <c r="U591" i="2"/>
  <c r="U572" i="2"/>
  <c r="T591" i="2"/>
  <c r="T572" i="2"/>
  <c r="V561" i="2"/>
  <c r="U561" i="2"/>
  <c r="T561" i="2"/>
  <c r="S561" i="2"/>
  <c r="X572" i="2" l="1"/>
  <c r="X590" i="2"/>
  <c r="X587" i="2"/>
  <c r="X567" i="2"/>
  <c r="X584" i="2"/>
  <c r="X592" i="2"/>
  <c r="X594" i="2"/>
  <c r="X564" i="2"/>
  <c r="X570" i="2"/>
  <c r="X588" i="2"/>
  <c r="X565" i="2"/>
  <c r="X561" i="2"/>
  <c r="A291" i="19" s="1"/>
  <c r="X568" i="2"/>
  <c r="X585" i="2"/>
  <c r="X566" i="2"/>
  <c r="X569" i="2"/>
  <c r="X576" i="2"/>
  <c r="X571" i="2"/>
  <c r="X591" i="2"/>
  <c r="X595" i="2"/>
  <c r="X562" i="2"/>
  <c r="X586" i="2"/>
  <c r="X573" i="2"/>
  <c r="X563" i="2"/>
  <c r="X593" i="2"/>
  <c r="X589" i="2"/>
  <c r="X575" i="2"/>
  <c r="X574" i="2"/>
  <c r="H73" i="1"/>
  <c r="K67" i="1"/>
  <c r="J67" i="1"/>
  <c r="I67" i="1"/>
  <c r="H67" i="1"/>
  <c r="H66" i="1" s="1"/>
  <c r="K62" i="1"/>
  <c r="K61" i="1" s="1"/>
  <c r="J62" i="1"/>
  <c r="J61" i="1" s="1"/>
  <c r="I62" i="1"/>
  <c r="I61" i="1" s="1"/>
  <c r="K60" i="1"/>
  <c r="K59" i="1" s="1"/>
  <c r="J60" i="1"/>
  <c r="J59" i="1" s="1"/>
  <c r="I60" i="1"/>
  <c r="I59" i="1" s="1"/>
  <c r="H59" i="1"/>
  <c r="K37" i="1"/>
  <c r="K36" i="1" s="1"/>
  <c r="J37" i="1"/>
  <c r="J36" i="1" s="1"/>
  <c r="I37" i="1"/>
  <c r="I36" i="1" s="1"/>
  <c r="H37" i="1"/>
  <c r="H36" i="1" s="1"/>
  <c r="A293" i="19" l="1"/>
  <c r="A295" i="19"/>
  <c r="A294" i="19"/>
  <c r="A299" i="19"/>
  <c r="I35" i="1"/>
  <c r="I34" i="1" s="1"/>
  <c r="J35" i="1"/>
  <c r="J34" i="1" s="1"/>
  <c r="K35" i="1"/>
  <c r="K34" i="1" s="1"/>
  <c r="H35" i="1"/>
  <c r="H34" i="1" s="1"/>
  <c r="O269" i="2"/>
  <c r="O270" i="2"/>
  <c r="O257" i="2"/>
  <c r="O262" i="2"/>
  <c r="O258" i="2"/>
  <c r="N273" i="2"/>
  <c r="U273" i="2" s="1"/>
  <c r="N274" i="2"/>
  <c r="S274" i="2" s="1"/>
  <c r="P273" i="2"/>
  <c r="P274" i="2"/>
  <c r="Q273" i="2"/>
  <c r="Q274" i="2"/>
  <c r="N257" i="2"/>
  <c r="V257" i="2" s="1"/>
  <c r="N258" i="2"/>
  <c r="N261" i="2"/>
  <c r="V261" i="2" s="1"/>
  <c r="N262" i="2"/>
  <c r="V262" i="2" s="1"/>
  <c r="N264" i="2"/>
  <c r="N265" i="2"/>
  <c r="T265" i="2" s="1"/>
  <c r="N266" i="2"/>
  <c r="V266" i="2" s="1"/>
  <c r="N267" i="2"/>
  <c r="N268" i="2"/>
  <c r="V268" i="2" s="1"/>
  <c r="N269" i="2"/>
  <c r="V269" i="2" s="1"/>
  <c r="N270" i="2"/>
  <c r="N271" i="2"/>
  <c r="N272" i="2"/>
  <c r="U272" i="2" s="1"/>
  <c r="P257" i="2"/>
  <c r="P258" i="2"/>
  <c r="P261" i="2"/>
  <c r="P262" i="2"/>
  <c r="P264" i="2"/>
  <c r="P265" i="2"/>
  <c r="P266" i="2"/>
  <c r="P267" i="2"/>
  <c r="P268" i="2"/>
  <c r="P269" i="2"/>
  <c r="P270" i="2"/>
  <c r="P271" i="2"/>
  <c r="P272" i="2"/>
  <c r="Q257" i="2"/>
  <c r="Q258" i="2"/>
  <c r="Q261" i="2"/>
  <c r="Q262" i="2"/>
  <c r="Q264" i="2"/>
  <c r="Q265" i="2"/>
  <c r="Q266" i="2"/>
  <c r="Q267" i="2"/>
  <c r="Q268" i="2"/>
  <c r="Q269" i="2"/>
  <c r="Q270" i="2"/>
  <c r="Q271" i="2"/>
  <c r="Q272" i="2"/>
  <c r="N192" i="2"/>
  <c r="T192" i="2" s="1"/>
  <c r="N193" i="2"/>
  <c r="R193" i="2" s="1"/>
  <c r="N194" i="2"/>
  <c r="U194" i="2" s="1"/>
  <c r="P192" i="2"/>
  <c r="P193" i="2"/>
  <c r="P194" i="2"/>
  <c r="Q192" i="2"/>
  <c r="Q193" i="2"/>
  <c r="Q194" i="2"/>
  <c r="A307" i="19" l="1"/>
  <c r="A325" i="19"/>
  <c r="A315" i="19"/>
  <c r="A303" i="19"/>
  <c r="A305" i="19"/>
  <c r="A327" i="19"/>
  <c r="A287" i="19"/>
  <c r="A285" i="19"/>
  <c r="A281" i="19"/>
  <c r="A417" i="19"/>
  <c r="A435" i="19"/>
  <c r="A331" i="19"/>
  <c r="A438" i="19"/>
  <c r="A431" i="19"/>
  <c r="A330" i="19"/>
  <c r="A326" i="19"/>
  <c r="A434" i="19"/>
  <c r="A322" i="19"/>
  <c r="A437" i="19"/>
  <c r="A433" i="19"/>
  <c r="A425" i="19"/>
  <c r="A319" i="19"/>
  <c r="A306" i="19"/>
  <c r="A311" i="19"/>
  <c r="A440" i="19"/>
  <c r="A321" i="19"/>
  <c r="A329" i="19"/>
  <c r="A439" i="19"/>
  <c r="A436" i="19"/>
  <c r="A450" i="19"/>
  <c r="A323" i="19"/>
  <c r="O659" i="2"/>
  <c r="R659" i="2" s="1"/>
  <c r="X659" i="2" s="1"/>
  <c r="O261" i="2"/>
  <c r="O259" i="2"/>
  <c r="O272" i="2"/>
  <c r="O267" i="2"/>
  <c r="O265" i="2"/>
  <c r="O271" i="2"/>
  <c r="O268" i="2"/>
  <c r="O266" i="2"/>
  <c r="O264" i="2"/>
  <c r="R258" i="2"/>
  <c r="T274" i="2"/>
  <c r="U274" i="2"/>
  <c r="V274" i="2"/>
  <c r="V273" i="2"/>
  <c r="S257" i="2"/>
  <c r="S264" i="2"/>
  <c r="U269" i="2"/>
  <c r="T268" i="2"/>
  <c r="S268" i="2"/>
  <c r="U268" i="2"/>
  <c r="U266" i="2"/>
  <c r="S266" i="2"/>
  <c r="V265" i="2"/>
  <c r="S265" i="2"/>
  <c r="U265" i="2"/>
  <c r="U264" i="2"/>
  <c r="T264" i="2"/>
  <c r="V264" i="2"/>
  <c r="U262" i="2"/>
  <c r="T262" i="2"/>
  <c r="S262" i="2"/>
  <c r="T261" i="2"/>
  <c r="V272" i="2"/>
  <c r="T257" i="2"/>
  <c r="U258" i="2"/>
  <c r="U257" i="2"/>
  <c r="S269" i="2"/>
  <c r="T270" i="2"/>
  <c r="U270" i="2"/>
  <c r="V258" i="2"/>
  <c r="T272" i="2"/>
  <c r="T266" i="2"/>
  <c r="S258" i="2"/>
  <c r="T269" i="2"/>
  <c r="T271" i="2"/>
  <c r="S261" i="2"/>
  <c r="S273" i="2"/>
  <c r="U261" i="2"/>
  <c r="T273" i="2"/>
  <c r="U267" i="2"/>
  <c r="S267" i="2"/>
  <c r="V267" i="2"/>
  <c r="T258" i="2"/>
  <c r="S272" i="2"/>
  <c r="T267" i="2"/>
  <c r="V271" i="2"/>
  <c r="S271" i="2"/>
  <c r="V270" i="2"/>
  <c r="S270" i="2"/>
  <c r="U271" i="2"/>
  <c r="V193" i="2"/>
  <c r="R194" i="2"/>
  <c r="V194" i="2"/>
  <c r="V192" i="2"/>
  <c r="U192" i="2"/>
  <c r="S192" i="2"/>
  <c r="S194" i="2"/>
  <c r="U193" i="2"/>
  <c r="T193" i="2"/>
  <c r="A300" i="19" l="1"/>
  <c r="W258" i="2"/>
  <c r="X258" i="2" l="1"/>
  <c r="N245" i="2"/>
  <c r="V245" i="2" s="1"/>
  <c r="N246" i="2"/>
  <c r="T246" i="2" s="1"/>
  <c r="N247" i="2"/>
  <c r="V247" i="2" s="1"/>
  <c r="N248" i="2"/>
  <c r="U248" i="2" s="1"/>
  <c r="N249" i="2"/>
  <c r="T249" i="2" s="1"/>
  <c r="N250" i="2"/>
  <c r="S250" i="2" s="1"/>
  <c r="N251" i="2"/>
  <c r="V251" i="2" s="1"/>
  <c r="N252" i="2"/>
  <c r="R252" i="2" s="1"/>
  <c r="N253" i="2"/>
  <c r="N254" i="2"/>
  <c r="S254" i="2" s="1"/>
  <c r="N255" i="2"/>
  <c r="T255" i="2" s="1"/>
  <c r="N256" i="2"/>
  <c r="S256" i="2" s="1"/>
  <c r="O246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J115" i="2" a="1"/>
  <c r="J115" i="2" s="1"/>
  <c r="J114" i="2" a="1"/>
  <c r="J114" i="2" s="1"/>
  <c r="N200" i="2"/>
  <c r="V200" i="2" s="1"/>
  <c r="N201" i="2"/>
  <c r="T201" i="2" s="1"/>
  <c r="N202" i="2"/>
  <c r="S202" i="2" s="1"/>
  <c r="N224" i="2"/>
  <c r="T224" i="2" s="1"/>
  <c r="N225" i="2"/>
  <c r="N226" i="2"/>
  <c r="S226" i="2" s="1"/>
  <c r="N230" i="2"/>
  <c r="T230" i="2" s="1"/>
  <c r="N231" i="2"/>
  <c r="T231" i="2" s="1"/>
  <c r="N232" i="2"/>
  <c r="U232" i="2" s="1"/>
  <c r="N233" i="2"/>
  <c r="S233" i="2" s="1"/>
  <c r="N234" i="2"/>
  <c r="T234" i="2" s="1"/>
  <c r="N235" i="2"/>
  <c r="N236" i="2"/>
  <c r="S236" i="2" s="1"/>
  <c r="P200" i="2"/>
  <c r="P201" i="2"/>
  <c r="P202" i="2"/>
  <c r="P224" i="2"/>
  <c r="P225" i="2"/>
  <c r="P226" i="2"/>
  <c r="P230" i="2"/>
  <c r="P231" i="2"/>
  <c r="P232" i="2"/>
  <c r="P233" i="2"/>
  <c r="P234" i="2"/>
  <c r="P235" i="2"/>
  <c r="P236" i="2"/>
  <c r="Q200" i="2"/>
  <c r="Q201" i="2"/>
  <c r="Q202" i="2"/>
  <c r="Q224" i="2"/>
  <c r="Q225" i="2"/>
  <c r="Q226" i="2"/>
  <c r="Q230" i="2"/>
  <c r="Q231" i="2"/>
  <c r="Q232" i="2"/>
  <c r="Q233" i="2"/>
  <c r="Q234" i="2"/>
  <c r="Q235" i="2"/>
  <c r="Q236" i="2"/>
  <c r="N242" i="2"/>
  <c r="N243" i="2"/>
  <c r="T243" i="2" s="1"/>
  <c r="N244" i="2"/>
  <c r="V244" i="2" s="1"/>
  <c r="P242" i="2"/>
  <c r="P243" i="2"/>
  <c r="P244" i="2"/>
  <c r="Q242" i="2"/>
  <c r="Q243" i="2"/>
  <c r="Q244" i="2"/>
  <c r="N237" i="2"/>
  <c r="N238" i="2"/>
  <c r="U238" i="2" s="1"/>
  <c r="N239" i="2"/>
  <c r="N240" i="2"/>
  <c r="T240" i="2" s="1"/>
  <c r="N241" i="2"/>
  <c r="V241" i="2" s="1"/>
  <c r="P237" i="2"/>
  <c r="P238" i="2"/>
  <c r="P239" i="2"/>
  <c r="P240" i="2"/>
  <c r="P241" i="2"/>
  <c r="Q237" i="2"/>
  <c r="Q238" i="2"/>
  <c r="Q239" i="2"/>
  <c r="Q240" i="2"/>
  <c r="Q241" i="2"/>
  <c r="V629" i="2" l="1"/>
  <c r="X629" i="2" s="1"/>
  <c r="V630" i="2"/>
  <c r="X630" i="2" s="1"/>
  <c r="J626" i="2"/>
  <c r="V250" i="2"/>
  <c r="U250" i="2"/>
  <c r="T254" i="2"/>
  <c r="U200" i="2"/>
  <c r="R245" i="2"/>
  <c r="U252" i="2"/>
  <c r="U251" i="2"/>
  <c r="R250" i="2"/>
  <c r="T251" i="2"/>
  <c r="S200" i="2"/>
  <c r="S251" i="2"/>
  <c r="U249" i="2"/>
  <c r="R249" i="2"/>
  <c r="V249" i="2"/>
  <c r="T252" i="2"/>
  <c r="V252" i="2"/>
  <c r="S248" i="2"/>
  <c r="T248" i="2"/>
  <c r="V248" i="2"/>
  <c r="R256" i="2"/>
  <c r="U247" i="2"/>
  <c r="T247" i="2"/>
  <c r="S247" i="2"/>
  <c r="U254" i="2"/>
  <c r="U255" i="2"/>
  <c r="R255" i="2"/>
  <c r="V255" i="2"/>
  <c r="V246" i="2"/>
  <c r="S246" i="2"/>
  <c r="R246" i="2"/>
  <c r="U246" i="2"/>
  <c r="V254" i="2"/>
  <c r="R253" i="2"/>
  <c r="S253" i="2"/>
  <c r="V253" i="2"/>
  <c r="U245" i="2"/>
  <c r="S245" i="2"/>
  <c r="V201" i="2"/>
  <c r="U201" i="2"/>
  <c r="T200" i="2"/>
  <c r="S234" i="2"/>
  <c r="V234" i="2"/>
  <c r="U234" i="2"/>
  <c r="V256" i="2"/>
  <c r="U256" i="2"/>
  <c r="U253" i="2"/>
  <c r="U224" i="2"/>
  <c r="V224" i="2"/>
  <c r="S224" i="2"/>
  <c r="V202" i="2"/>
  <c r="V235" i="2"/>
  <c r="T235" i="2"/>
  <c r="U242" i="2"/>
  <c r="V242" i="2"/>
  <c r="S242" i="2"/>
  <c r="U235" i="2"/>
  <c r="R235" i="2"/>
  <c r="U236" i="2"/>
  <c r="R236" i="2"/>
  <c r="R201" i="2"/>
  <c r="V236" i="2"/>
  <c r="U202" i="2"/>
  <c r="V232" i="2"/>
  <c r="T232" i="2"/>
  <c r="R232" i="2"/>
  <c r="R202" i="2"/>
  <c r="R242" i="2"/>
  <c r="R225" i="2"/>
  <c r="S230" i="2"/>
  <c r="V230" i="2"/>
  <c r="U230" i="2"/>
  <c r="V226" i="2"/>
  <c r="U226" i="2"/>
  <c r="V225" i="2"/>
  <c r="U225" i="2"/>
  <c r="T225" i="2"/>
  <c r="U241" i="2"/>
  <c r="T241" i="2"/>
  <c r="R241" i="2"/>
  <c r="R226" i="2"/>
  <c r="S239" i="2"/>
  <c r="U239" i="2"/>
  <c r="V233" i="2"/>
  <c r="R233" i="2"/>
  <c r="R239" i="2"/>
  <c r="V239" i="2"/>
  <c r="R244" i="2"/>
  <c r="S231" i="2"/>
  <c r="V231" i="2"/>
  <c r="U231" i="2"/>
  <c r="U237" i="2"/>
  <c r="R238" i="2"/>
  <c r="V243" i="2"/>
  <c r="U233" i="2"/>
  <c r="T238" i="2"/>
  <c r="S243" i="2"/>
  <c r="T237" i="2"/>
  <c r="U244" i="2"/>
  <c r="U243" i="2"/>
  <c r="V240" i="2"/>
  <c r="S240" i="2"/>
  <c r="V237" i="2"/>
  <c r="S237" i="2"/>
  <c r="T244" i="2"/>
  <c r="U240" i="2"/>
  <c r="V238" i="2"/>
  <c r="X246" i="2" l="1"/>
  <c r="H46" i="1"/>
  <c r="H45" i="1"/>
  <c r="H44" i="1"/>
  <c r="N152" i="2" l="1"/>
  <c r="P152" i="2"/>
  <c r="Q152" i="2"/>
  <c r="N150" i="2"/>
  <c r="R150" i="2" s="1"/>
  <c r="P150" i="2"/>
  <c r="Q150" i="2"/>
  <c r="N148" i="2"/>
  <c r="P148" i="2"/>
  <c r="Q148" i="2"/>
  <c r="J109" i="2" a="1"/>
  <c r="J109" i="2" s="1"/>
  <c r="J108" i="2" a="1"/>
  <c r="J108" i="2" s="1"/>
  <c r="J106" i="2" a="1"/>
  <c r="J106" i="2" s="1"/>
  <c r="J105" i="2" a="1"/>
  <c r="J105" i="2" s="1"/>
  <c r="N107" i="2"/>
  <c r="S107" i="2" s="1"/>
  <c r="N108" i="2"/>
  <c r="V108" i="2" s="1"/>
  <c r="N109" i="2"/>
  <c r="S109" i="2" s="1"/>
  <c r="P107" i="2"/>
  <c r="P108" i="2"/>
  <c r="P109" i="2"/>
  <c r="Q107" i="2"/>
  <c r="Q108" i="2"/>
  <c r="Q109" i="2"/>
  <c r="N104" i="2"/>
  <c r="S104" i="2" s="1"/>
  <c r="N105" i="2"/>
  <c r="U105" i="2" s="1"/>
  <c r="N106" i="2"/>
  <c r="S106" i="2" s="1"/>
  <c r="P104" i="2"/>
  <c r="P105" i="2"/>
  <c r="P106" i="2"/>
  <c r="Q104" i="2"/>
  <c r="Q105" i="2"/>
  <c r="Q106" i="2"/>
  <c r="J94" i="2" a="1"/>
  <c r="J94" i="2" s="1"/>
  <c r="J93" i="2" a="1"/>
  <c r="J93" i="2" s="1"/>
  <c r="J100" i="2" a="1"/>
  <c r="J100" i="2" s="1"/>
  <c r="J99" i="2" a="1"/>
  <c r="J99" i="2" s="1"/>
  <c r="J97" i="2" a="1"/>
  <c r="J97" i="2" s="1"/>
  <c r="J96" i="2" a="1"/>
  <c r="J96" i="2" s="1"/>
  <c r="N94" i="2"/>
  <c r="R94" i="2" s="1"/>
  <c r="P94" i="2"/>
  <c r="Q94" i="2"/>
  <c r="N92" i="2"/>
  <c r="V92" i="2" s="1"/>
  <c r="N93" i="2"/>
  <c r="T93" i="2" s="1"/>
  <c r="N95" i="2"/>
  <c r="V95" i="2" s="1"/>
  <c r="N96" i="2"/>
  <c r="R96" i="2" s="1"/>
  <c r="N97" i="2"/>
  <c r="R97" i="2" s="1"/>
  <c r="N98" i="2"/>
  <c r="U98" i="2" s="1"/>
  <c r="N99" i="2"/>
  <c r="R99" i="2" s="1"/>
  <c r="N100" i="2"/>
  <c r="S100" i="2" s="1"/>
  <c r="P92" i="2"/>
  <c r="P93" i="2"/>
  <c r="P95" i="2"/>
  <c r="P96" i="2"/>
  <c r="P97" i="2"/>
  <c r="P98" i="2"/>
  <c r="P99" i="2"/>
  <c r="P100" i="2"/>
  <c r="Q92" i="2"/>
  <c r="Q93" i="2"/>
  <c r="Q95" i="2"/>
  <c r="Q96" i="2"/>
  <c r="Q97" i="2"/>
  <c r="Q98" i="2"/>
  <c r="Q99" i="2"/>
  <c r="Q100" i="2"/>
  <c r="J91" i="2" a="1"/>
  <c r="J91" i="2" s="1"/>
  <c r="J90" i="2" a="1"/>
  <c r="J90" i="2" s="1"/>
  <c r="J88" i="2" a="1"/>
  <c r="J88" i="2" s="1"/>
  <c r="J87" i="2" a="1"/>
  <c r="J87" i="2" s="1"/>
  <c r="N87" i="2"/>
  <c r="R87" i="2" s="1"/>
  <c r="P87" i="2"/>
  <c r="Q87" i="2"/>
  <c r="N83" i="2"/>
  <c r="T83" i="2" s="1"/>
  <c r="N84" i="2"/>
  <c r="N85" i="2"/>
  <c r="N86" i="2"/>
  <c r="N88" i="2"/>
  <c r="U88" i="2" s="1"/>
  <c r="P83" i="2"/>
  <c r="P84" i="2"/>
  <c r="P85" i="2"/>
  <c r="P86" i="2"/>
  <c r="P88" i="2"/>
  <c r="Q83" i="2"/>
  <c r="Q84" i="2"/>
  <c r="Q85" i="2"/>
  <c r="Q86" i="2"/>
  <c r="Q88" i="2"/>
  <c r="J79" i="2" a="1"/>
  <c r="J79" i="2" s="1"/>
  <c r="J78" i="2" a="1"/>
  <c r="J78" i="2" s="1"/>
  <c r="J73" i="2" a="1"/>
  <c r="J73" i="2" s="1"/>
  <c r="J72" i="2" a="1"/>
  <c r="J72" i="2" s="1"/>
  <c r="J70" i="2" a="1"/>
  <c r="J70" i="2" s="1"/>
  <c r="J69" i="2" a="1"/>
  <c r="J69" i="2" s="1"/>
  <c r="J67" i="2" a="1"/>
  <c r="J67" i="2" s="1"/>
  <c r="J66" i="2" a="1"/>
  <c r="J66" i="2" s="1"/>
  <c r="J58" i="2" a="1"/>
  <c r="J58" i="2" s="1"/>
  <c r="J57" i="2" a="1"/>
  <c r="J57" i="2" s="1"/>
  <c r="N53" i="2"/>
  <c r="V53" i="2" s="1"/>
  <c r="N54" i="2"/>
  <c r="R54" i="2" s="1"/>
  <c r="N55" i="2"/>
  <c r="V55" i="2" s="1"/>
  <c r="N56" i="2"/>
  <c r="U56" i="2" s="1"/>
  <c r="N57" i="2"/>
  <c r="U57" i="2" s="1"/>
  <c r="N58" i="2"/>
  <c r="U58" i="2" s="1"/>
  <c r="N65" i="2"/>
  <c r="T65" i="2" s="1"/>
  <c r="N66" i="2"/>
  <c r="R66" i="2" s="1"/>
  <c r="N67" i="2"/>
  <c r="V67" i="2" s="1"/>
  <c r="N68" i="2"/>
  <c r="U68" i="2" s="1"/>
  <c r="N69" i="2"/>
  <c r="U69" i="2" s="1"/>
  <c r="N70" i="2"/>
  <c r="R70" i="2" s="1"/>
  <c r="N71" i="2"/>
  <c r="T71" i="2" s="1"/>
  <c r="N72" i="2"/>
  <c r="R72" i="2" s="1"/>
  <c r="N73" i="2"/>
  <c r="V73" i="2" s="1"/>
  <c r="N74" i="2"/>
  <c r="U74" i="2" s="1"/>
  <c r="N75" i="2"/>
  <c r="R75" i="2" s="1"/>
  <c r="N76" i="2"/>
  <c r="R76" i="2" s="1"/>
  <c r="N77" i="2"/>
  <c r="U77" i="2" s="1"/>
  <c r="N78" i="2"/>
  <c r="T78" i="2" s="1"/>
  <c r="N79" i="2"/>
  <c r="V79" i="2" s="1"/>
  <c r="P53" i="2"/>
  <c r="P54" i="2"/>
  <c r="P55" i="2"/>
  <c r="P56" i="2"/>
  <c r="P57" i="2"/>
  <c r="P58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Q53" i="2"/>
  <c r="Q54" i="2"/>
  <c r="Q55" i="2"/>
  <c r="Q56" i="2"/>
  <c r="Q57" i="2"/>
  <c r="Q58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J43" i="2" a="1"/>
  <c r="J43" i="2" s="1"/>
  <c r="J34" i="2" a="1"/>
  <c r="J34" i="2" s="1"/>
  <c r="J33" i="2" a="1"/>
  <c r="J33" i="2" s="1"/>
  <c r="N20" i="2"/>
  <c r="P20" i="2"/>
  <c r="Q20" i="2"/>
  <c r="N21" i="2"/>
  <c r="R21" i="2" s="1"/>
  <c r="P21" i="2"/>
  <c r="Q21" i="2"/>
  <c r="N22" i="2"/>
  <c r="R22" i="2" s="1"/>
  <c r="P22" i="2"/>
  <c r="Q22" i="2"/>
  <c r="N29" i="2"/>
  <c r="P29" i="2"/>
  <c r="Q29" i="2"/>
  <c r="N30" i="2"/>
  <c r="R30" i="2" s="1"/>
  <c r="P30" i="2"/>
  <c r="Q30" i="2"/>
  <c r="N31" i="2"/>
  <c r="R31" i="2" s="1"/>
  <c r="P31" i="2"/>
  <c r="Q31" i="2"/>
  <c r="N52" i="2"/>
  <c r="R52" i="2" s="1"/>
  <c r="P52" i="2"/>
  <c r="Q52" i="2"/>
  <c r="N51" i="2"/>
  <c r="R51" i="2" s="1"/>
  <c r="P51" i="2"/>
  <c r="Q51" i="2"/>
  <c r="N32" i="2"/>
  <c r="V32" i="2" s="1"/>
  <c r="N33" i="2"/>
  <c r="R33" i="2" s="1"/>
  <c r="N34" i="2"/>
  <c r="R34" i="2" s="1"/>
  <c r="N38" i="2"/>
  <c r="V38" i="2" s="1"/>
  <c r="N39" i="2"/>
  <c r="U39" i="2" s="1"/>
  <c r="N40" i="2"/>
  <c r="S40" i="2" s="1"/>
  <c r="N41" i="2"/>
  <c r="S41" i="2" s="1"/>
  <c r="N42" i="2"/>
  <c r="R42" i="2" s="1"/>
  <c r="N43" i="2"/>
  <c r="S43" i="2" s="1"/>
  <c r="N50" i="2"/>
  <c r="V50" i="2" s="1"/>
  <c r="P32" i="2"/>
  <c r="P33" i="2"/>
  <c r="P34" i="2"/>
  <c r="P38" i="2"/>
  <c r="P39" i="2"/>
  <c r="P40" i="2"/>
  <c r="P41" i="2"/>
  <c r="P42" i="2"/>
  <c r="P43" i="2"/>
  <c r="P50" i="2"/>
  <c r="Q32" i="2"/>
  <c r="Q33" i="2"/>
  <c r="Q34" i="2"/>
  <c r="Q38" i="2"/>
  <c r="Q39" i="2"/>
  <c r="Q40" i="2"/>
  <c r="Q41" i="2"/>
  <c r="Q42" i="2"/>
  <c r="Q43" i="2"/>
  <c r="Q50" i="2"/>
  <c r="J19" i="2" a="1"/>
  <c r="J19" i="2" s="1"/>
  <c r="J18" i="2" a="1"/>
  <c r="J18" i="2" s="1"/>
  <c r="J16" i="2" a="1"/>
  <c r="J16" i="2" s="1"/>
  <c r="J15" i="2" a="1"/>
  <c r="J15" i="2" s="1"/>
  <c r="J13" i="2" a="1"/>
  <c r="J13" i="2" s="1"/>
  <c r="J12" i="2" a="1"/>
  <c r="J12" i="2" s="1"/>
  <c r="J7" i="2" a="1"/>
  <c r="J7" i="2" s="1"/>
  <c r="J6" i="2" a="1"/>
  <c r="J6" i="2" s="1"/>
  <c r="N15" i="2"/>
  <c r="R15" i="2" s="1"/>
  <c r="N16" i="2"/>
  <c r="R16" i="2" s="1"/>
  <c r="P15" i="2"/>
  <c r="P16" i="2"/>
  <c r="Q15" i="2"/>
  <c r="Q16" i="2"/>
  <c r="N12" i="2"/>
  <c r="R12" i="2" s="1"/>
  <c r="N13" i="2"/>
  <c r="R13" i="2" s="1"/>
  <c r="P12" i="2"/>
  <c r="P13" i="2"/>
  <c r="Q12" i="2"/>
  <c r="Q13" i="2"/>
  <c r="N6" i="2"/>
  <c r="V6" i="2" s="1"/>
  <c r="N7" i="2"/>
  <c r="U7" i="2" s="1"/>
  <c r="P6" i="2"/>
  <c r="P7" i="2"/>
  <c r="Q6" i="2"/>
  <c r="Q7" i="2"/>
  <c r="N5" i="2"/>
  <c r="T5" i="2" s="1"/>
  <c r="N11" i="2"/>
  <c r="S11" i="2" s="1"/>
  <c r="N14" i="2"/>
  <c r="S14" i="2" s="1"/>
  <c r="P5" i="2"/>
  <c r="P11" i="2"/>
  <c r="P14" i="2"/>
  <c r="Q5" i="2"/>
  <c r="Q11" i="2"/>
  <c r="Q14" i="2"/>
  <c r="J197" i="2" a="1"/>
  <c r="J197" i="2" s="1"/>
  <c r="J196" i="2" a="1"/>
  <c r="J196" i="2" s="1"/>
  <c r="J137" i="2" a="1"/>
  <c r="J137" i="2" s="1"/>
  <c r="J136" i="2" a="1"/>
  <c r="J136" i="2" s="1"/>
  <c r="J134" i="2" a="1"/>
  <c r="J134" i="2" s="1"/>
  <c r="J133" i="2" a="1"/>
  <c r="J133" i="2" s="1"/>
  <c r="J170" i="2" a="1"/>
  <c r="J170" i="2" s="1"/>
  <c r="J169" i="2" a="1"/>
  <c r="J169" i="2" s="1"/>
  <c r="J161" i="2" a="1"/>
  <c r="J161" i="2" s="1"/>
  <c r="N120" i="2"/>
  <c r="N121" i="2"/>
  <c r="R121" i="2" s="1"/>
  <c r="N122" i="2"/>
  <c r="R122" i="2" s="1"/>
  <c r="N126" i="2"/>
  <c r="S126" i="2" s="1"/>
  <c r="N127" i="2"/>
  <c r="T127" i="2" s="1"/>
  <c r="N128" i="2"/>
  <c r="S128" i="2" s="1"/>
  <c r="N129" i="2"/>
  <c r="V129" i="2" s="1"/>
  <c r="N130" i="2"/>
  <c r="U130" i="2" s="1"/>
  <c r="N131" i="2"/>
  <c r="S131" i="2" s="1"/>
  <c r="N132" i="2"/>
  <c r="T132" i="2" s="1"/>
  <c r="N133" i="2"/>
  <c r="R133" i="2" s="1"/>
  <c r="N134" i="2"/>
  <c r="R134" i="2" s="1"/>
  <c r="N135" i="2"/>
  <c r="S135" i="2" s="1"/>
  <c r="N136" i="2"/>
  <c r="R136" i="2" s="1"/>
  <c r="N137" i="2"/>
  <c r="S137" i="2" s="1"/>
  <c r="P120" i="2"/>
  <c r="P121" i="2"/>
  <c r="P122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Q120" i="2"/>
  <c r="Q121" i="2"/>
  <c r="Q122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N180" i="2"/>
  <c r="S180" i="2" s="1"/>
  <c r="N181" i="2"/>
  <c r="V181" i="2" s="1"/>
  <c r="N182" i="2"/>
  <c r="S182" i="2" s="1"/>
  <c r="P180" i="2"/>
  <c r="P181" i="2"/>
  <c r="P182" i="2"/>
  <c r="Q180" i="2"/>
  <c r="Q181" i="2"/>
  <c r="Q182" i="2"/>
  <c r="N171" i="2"/>
  <c r="V171" i="2" s="1"/>
  <c r="N172" i="2"/>
  <c r="U172" i="2" s="1"/>
  <c r="N173" i="2"/>
  <c r="S173" i="2" s="1"/>
  <c r="N174" i="2"/>
  <c r="S174" i="2" s="1"/>
  <c r="N175" i="2"/>
  <c r="T175" i="2" s="1"/>
  <c r="N176" i="2"/>
  <c r="U176" i="2" s="1"/>
  <c r="P171" i="2"/>
  <c r="P172" i="2"/>
  <c r="P173" i="2"/>
  <c r="P174" i="2"/>
  <c r="P175" i="2"/>
  <c r="P176" i="2"/>
  <c r="Q171" i="2"/>
  <c r="Q172" i="2"/>
  <c r="Q173" i="2"/>
  <c r="Q174" i="2"/>
  <c r="Q175" i="2"/>
  <c r="Q176" i="2"/>
  <c r="N177" i="2"/>
  <c r="S177" i="2" s="1"/>
  <c r="N178" i="2"/>
  <c r="N179" i="2"/>
  <c r="S179" i="2" s="1"/>
  <c r="P177" i="2"/>
  <c r="P178" i="2"/>
  <c r="P179" i="2"/>
  <c r="Q177" i="2"/>
  <c r="Q178" i="2"/>
  <c r="Q179" i="2"/>
  <c r="J604" i="2" l="1"/>
  <c r="V604" i="2" s="1"/>
  <c r="X604" i="2" s="1"/>
  <c r="J609" i="2"/>
  <c r="V609" i="2" s="1"/>
  <c r="X609" i="2" s="1"/>
  <c r="V617" i="2"/>
  <c r="X617" i="2" s="1"/>
  <c r="J610" i="2"/>
  <c r="J620" i="2"/>
  <c r="V620" i="2" s="1"/>
  <c r="X620" i="2" s="1"/>
  <c r="V603" i="2"/>
  <c r="X603" i="2" s="1"/>
  <c r="R148" i="2"/>
  <c r="T148" i="2"/>
  <c r="R152" i="2"/>
  <c r="U152" i="2"/>
  <c r="V626" i="2"/>
  <c r="V618" i="2"/>
  <c r="X618" i="2" s="1"/>
  <c r="V605" i="2"/>
  <c r="X605" i="2" s="1"/>
  <c r="V611" i="2"/>
  <c r="X611" i="2" s="1"/>
  <c r="J606" i="2"/>
  <c r="V606" i="2" s="1"/>
  <c r="X606" i="2" s="1"/>
  <c r="V104" i="2"/>
  <c r="U109" i="2"/>
  <c r="R109" i="2"/>
  <c r="R105" i="2"/>
  <c r="V152" i="2"/>
  <c r="T152" i="2"/>
  <c r="S152" i="2"/>
  <c r="R106" i="2"/>
  <c r="U148" i="2"/>
  <c r="U97" i="2"/>
  <c r="V150" i="2"/>
  <c r="U150" i="2"/>
  <c r="R108" i="2"/>
  <c r="T150" i="2"/>
  <c r="U67" i="2"/>
  <c r="S150" i="2"/>
  <c r="V106" i="2"/>
  <c r="V148" i="2"/>
  <c r="S148" i="2"/>
  <c r="V65" i="2"/>
  <c r="U65" i="2"/>
  <c r="V107" i="2"/>
  <c r="S65" i="2"/>
  <c r="V77" i="2"/>
  <c r="V105" i="2"/>
  <c r="V109" i="2"/>
  <c r="U104" i="2"/>
  <c r="T105" i="2"/>
  <c r="U108" i="2"/>
  <c r="T104" i="2"/>
  <c r="U107" i="2"/>
  <c r="T108" i="2"/>
  <c r="T77" i="2"/>
  <c r="T107" i="2"/>
  <c r="T66" i="2"/>
  <c r="V100" i="2"/>
  <c r="V99" i="2"/>
  <c r="S77" i="2"/>
  <c r="U99" i="2"/>
  <c r="U106" i="2"/>
  <c r="U96" i="2"/>
  <c r="V72" i="2"/>
  <c r="U95" i="2"/>
  <c r="V71" i="2"/>
  <c r="T99" i="2"/>
  <c r="V66" i="2"/>
  <c r="T96" i="2"/>
  <c r="T95" i="2"/>
  <c r="S98" i="2"/>
  <c r="V98" i="2"/>
  <c r="S97" i="2"/>
  <c r="V97" i="2"/>
  <c r="S95" i="2"/>
  <c r="V83" i="2"/>
  <c r="V96" i="2"/>
  <c r="U71" i="2"/>
  <c r="S83" i="2"/>
  <c r="T53" i="2"/>
  <c r="U92" i="2"/>
  <c r="S92" i="2"/>
  <c r="T92" i="2"/>
  <c r="T98" i="2"/>
  <c r="R100" i="2"/>
  <c r="U100" i="2"/>
  <c r="T68" i="2"/>
  <c r="U83" i="2"/>
  <c r="V94" i="2"/>
  <c r="U78" i="2"/>
  <c r="U93" i="2"/>
  <c r="R93" i="2"/>
  <c r="U94" i="2"/>
  <c r="U76" i="2"/>
  <c r="S68" i="2"/>
  <c r="S94" i="2"/>
  <c r="R78" i="2"/>
  <c r="V93" i="2"/>
  <c r="U66" i="2"/>
  <c r="V78" i="2"/>
  <c r="V74" i="2"/>
  <c r="T72" i="2"/>
  <c r="V54" i="2"/>
  <c r="S88" i="2"/>
  <c r="U72" i="2"/>
  <c r="R69" i="2"/>
  <c r="V57" i="2"/>
  <c r="R57" i="2"/>
  <c r="V56" i="2"/>
  <c r="R55" i="2"/>
  <c r="U55" i="2"/>
  <c r="S74" i="2"/>
  <c r="S73" i="2"/>
  <c r="T75" i="2"/>
  <c r="V75" i="2"/>
  <c r="U75" i="2"/>
  <c r="T74" i="2"/>
  <c r="S56" i="2"/>
  <c r="U73" i="2"/>
  <c r="R73" i="2"/>
  <c r="V88" i="2"/>
  <c r="V86" i="2"/>
  <c r="U86" i="2"/>
  <c r="T86" i="2"/>
  <c r="S86" i="2"/>
  <c r="S79" i="2"/>
  <c r="V85" i="2"/>
  <c r="S85" i="2"/>
  <c r="U79" i="2"/>
  <c r="V84" i="2"/>
  <c r="V87" i="2"/>
  <c r="R67" i="2"/>
  <c r="R88" i="2"/>
  <c r="U87" i="2"/>
  <c r="T87" i="2"/>
  <c r="S67" i="2"/>
  <c r="U85" i="2"/>
  <c r="U84" i="2"/>
  <c r="R79" i="2"/>
  <c r="R85" i="2"/>
  <c r="R84" i="2"/>
  <c r="T84" i="2"/>
  <c r="V76" i="2"/>
  <c r="S76" i="2"/>
  <c r="R58" i="2"/>
  <c r="V58" i="2"/>
  <c r="T69" i="2"/>
  <c r="V69" i="2"/>
  <c r="U54" i="2"/>
  <c r="U53" i="2"/>
  <c r="T57" i="2"/>
  <c r="S58" i="2"/>
  <c r="T56" i="2"/>
  <c r="S55" i="2"/>
  <c r="T54" i="2"/>
  <c r="U41" i="2"/>
  <c r="V70" i="2"/>
  <c r="U70" i="2"/>
  <c r="V68" i="2"/>
  <c r="S71" i="2"/>
  <c r="S53" i="2"/>
  <c r="S70" i="2"/>
  <c r="U43" i="2"/>
  <c r="V34" i="2"/>
  <c r="U34" i="2"/>
  <c r="V22" i="2"/>
  <c r="V21" i="2"/>
  <c r="V20" i="2"/>
  <c r="U22" i="2"/>
  <c r="U21" i="2"/>
  <c r="U20" i="2"/>
  <c r="V31" i="2"/>
  <c r="V30" i="2"/>
  <c r="V29" i="2"/>
  <c r="T21" i="2"/>
  <c r="T20" i="2"/>
  <c r="U31" i="2"/>
  <c r="U30" i="2"/>
  <c r="U29" i="2"/>
  <c r="S22" i="2"/>
  <c r="S20" i="2"/>
  <c r="T30" i="2"/>
  <c r="T29" i="2"/>
  <c r="S31" i="2"/>
  <c r="S29" i="2"/>
  <c r="V42" i="2"/>
  <c r="R39" i="2"/>
  <c r="U38" i="2"/>
  <c r="T38" i="2"/>
  <c r="S38" i="2"/>
  <c r="U33" i="2"/>
  <c r="T33" i="2"/>
  <c r="S34" i="2"/>
  <c r="V40" i="2"/>
  <c r="T42" i="2"/>
  <c r="V39" i="2"/>
  <c r="T41" i="2"/>
  <c r="T39" i="2"/>
  <c r="V52" i="2"/>
  <c r="U52" i="2"/>
  <c r="U42" i="2"/>
  <c r="T32" i="2"/>
  <c r="S52" i="2"/>
  <c r="U40" i="2"/>
  <c r="S32" i="2"/>
  <c r="V51" i="2"/>
  <c r="U32" i="2"/>
  <c r="U51" i="2"/>
  <c r="T51" i="2"/>
  <c r="V33" i="2"/>
  <c r="U50" i="2"/>
  <c r="R43" i="2"/>
  <c r="V43" i="2"/>
  <c r="V41" i="2"/>
  <c r="S50" i="2"/>
  <c r="T50" i="2"/>
  <c r="R40" i="2"/>
  <c r="V16" i="2"/>
  <c r="V13" i="2"/>
  <c r="V15" i="2"/>
  <c r="S5" i="2"/>
  <c r="V12" i="2"/>
  <c r="U16" i="2"/>
  <c r="T12" i="2"/>
  <c r="S13" i="2"/>
  <c r="U15" i="2"/>
  <c r="S16" i="2"/>
  <c r="U13" i="2"/>
  <c r="T15" i="2"/>
  <c r="U12" i="2"/>
  <c r="T6" i="2"/>
  <c r="S7" i="2"/>
  <c r="V11" i="2"/>
  <c r="V5" i="2"/>
  <c r="U5" i="2"/>
  <c r="U6" i="2"/>
  <c r="T11" i="2"/>
  <c r="R7" i="2"/>
  <c r="R6" i="2"/>
  <c r="V14" i="2"/>
  <c r="V7" i="2"/>
  <c r="U14" i="2"/>
  <c r="T14" i="2"/>
  <c r="U11" i="2"/>
  <c r="V127" i="2"/>
  <c r="R127" i="2"/>
  <c r="R130" i="2"/>
  <c r="U128" i="2"/>
  <c r="V130" i="2"/>
  <c r="R131" i="2"/>
  <c r="T130" i="2"/>
  <c r="T129" i="2"/>
  <c r="S129" i="2"/>
  <c r="U127" i="2"/>
  <c r="T126" i="2"/>
  <c r="V135" i="2"/>
  <c r="V137" i="2"/>
  <c r="T135" i="2"/>
  <c r="V136" i="2"/>
  <c r="R137" i="2"/>
  <c r="U137" i="2"/>
  <c r="U135" i="2"/>
  <c r="U132" i="2"/>
  <c r="S132" i="2"/>
  <c r="V132" i="2"/>
  <c r="V131" i="2"/>
  <c r="U131" i="2"/>
  <c r="U129" i="2"/>
  <c r="V128" i="2"/>
  <c r="U126" i="2"/>
  <c r="V126" i="2"/>
  <c r="R128" i="2"/>
  <c r="V122" i="2"/>
  <c r="V121" i="2"/>
  <c r="U122" i="2"/>
  <c r="S122" i="2"/>
  <c r="V120" i="2"/>
  <c r="U120" i="2"/>
  <c r="T120" i="2"/>
  <c r="S120" i="2"/>
  <c r="U173" i="2"/>
  <c r="U136" i="2"/>
  <c r="T121" i="2"/>
  <c r="U121" i="2"/>
  <c r="T136" i="2"/>
  <c r="R182" i="2"/>
  <c r="S176" i="2"/>
  <c r="R176" i="2"/>
  <c r="R181" i="2"/>
  <c r="T133" i="2"/>
  <c r="R173" i="2"/>
  <c r="V134" i="2"/>
  <c r="S134" i="2"/>
  <c r="V133" i="2"/>
  <c r="U134" i="2"/>
  <c r="U133" i="2"/>
  <c r="V176" i="2"/>
  <c r="R175" i="2"/>
  <c r="R172" i="2"/>
  <c r="V172" i="2"/>
  <c r="V182" i="2"/>
  <c r="V175" i="2"/>
  <c r="V174" i="2"/>
  <c r="U175" i="2"/>
  <c r="V180" i="2"/>
  <c r="T174" i="2"/>
  <c r="T172" i="2"/>
  <c r="T171" i="2"/>
  <c r="U182" i="2"/>
  <c r="T180" i="2"/>
  <c r="V173" i="2"/>
  <c r="U171" i="2"/>
  <c r="S171" i="2"/>
  <c r="U180" i="2"/>
  <c r="U181" i="2"/>
  <c r="T181" i="2"/>
  <c r="V178" i="2"/>
  <c r="T178" i="2"/>
  <c r="R178" i="2"/>
  <c r="U174" i="2"/>
  <c r="V179" i="2"/>
  <c r="U179" i="2"/>
  <c r="R179" i="2"/>
  <c r="V177" i="2"/>
  <c r="U177" i="2"/>
  <c r="T177" i="2"/>
  <c r="U178" i="2"/>
  <c r="N160" i="2"/>
  <c r="U160" i="2" s="1"/>
  <c r="N161" i="2"/>
  <c r="R161" i="2" s="1"/>
  <c r="P160" i="2"/>
  <c r="P161" i="2"/>
  <c r="Q160" i="2"/>
  <c r="Q161" i="2"/>
  <c r="N169" i="2"/>
  <c r="R169" i="2" s="1"/>
  <c r="P169" i="2"/>
  <c r="Q169" i="2"/>
  <c r="A335" i="19" l="1"/>
  <c r="X626" i="2"/>
  <c r="H43" i="1"/>
  <c r="V161" i="2"/>
  <c r="U161" i="2"/>
  <c r="S161" i="2"/>
  <c r="T160" i="2"/>
  <c r="V160" i="2"/>
  <c r="R160" i="2"/>
  <c r="V169" i="2"/>
  <c r="U169" i="2"/>
  <c r="T169" i="2"/>
  <c r="O274" i="2" l="1"/>
  <c r="O273" i="2"/>
  <c r="D11" i="16" l="1"/>
  <c r="O3" i="2" s="1"/>
  <c r="D10" i="16"/>
  <c r="D13" i="16" s="1"/>
  <c r="O141" i="2" s="1"/>
  <c r="D9" i="16"/>
  <c r="D12" i="16" s="1"/>
  <c r="O140" i="2" s="1"/>
  <c r="N3" i="2"/>
  <c r="P3" i="2"/>
  <c r="Q3" i="2"/>
  <c r="N140" i="2"/>
  <c r="R140" i="2" s="1"/>
  <c r="P140" i="2"/>
  <c r="Q140" i="2"/>
  <c r="N141" i="2"/>
  <c r="R141" i="2" s="1"/>
  <c r="P141" i="2"/>
  <c r="Q141" i="2"/>
  <c r="I12" i="1" l="1"/>
  <c r="R3" i="2"/>
  <c r="V3" i="2"/>
  <c r="U140" i="2"/>
  <c r="T140" i="2"/>
  <c r="U3" i="2"/>
  <c r="T3" i="2"/>
  <c r="S3" i="2"/>
  <c r="V140" i="2"/>
  <c r="U141" i="2"/>
  <c r="V141" i="2"/>
  <c r="S141" i="2"/>
  <c r="L12" i="1" l="1"/>
  <c r="X3" i="2"/>
  <c r="H12" i="1"/>
  <c r="H16" i="1" l="1"/>
  <c r="I25" i="1"/>
  <c r="H21" i="1"/>
  <c r="D5" i="16"/>
  <c r="D4" i="16"/>
  <c r="D7" i="16" s="1"/>
  <c r="O139" i="2" s="1"/>
  <c r="D3" i="16"/>
  <c r="D6" i="16" s="1"/>
  <c r="O138" i="2" s="1"/>
  <c r="N138" i="2"/>
  <c r="P138" i="2"/>
  <c r="Q138" i="2"/>
  <c r="N139" i="2"/>
  <c r="R139" i="2" s="1"/>
  <c r="P139" i="2"/>
  <c r="Q139" i="2"/>
  <c r="T138" i="2" l="1"/>
  <c r="R138" i="2"/>
  <c r="V138" i="2"/>
  <c r="U138" i="2"/>
  <c r="V139" i="2"/>
  <c r="U139" i="2"/>
  <c r="S139" i="2"/>
  <c r="I16" i="1" l="1"/>
  <c r="L16" i="1"/>
  <c r="Q143" i="2" l="1"/>
  <c r="P143" i="2"/>
  <c r="N143" i="2"/>
  <c r="V143" i="2" s="1"/>
  <c r="Q142" i="2"/>
  <c r="P142" i="2"/>
  <c r="N142" i="2"/>
  <c r="V142" i="2" s="1"/>
  <c r="Q4" i="2"/>
  <c r="P4" i="2"/>
  <c r="N4" i="2"/>
  <c r="S4" i="2" s="1"/>
  <c r="J80" i="1" s="1"/>
  <c r="D429" i="16"/>
  <c r="O143" i="2" s="1"/>
  <c r="D428" i="16"/>
  <c r="O142" i="2" s="1"/>
  <c r="D427" i="16"/>
  <c r="O4" i="2" s="1"/>
  <c r="H7" i="1" l="1"/>
  <c r="S143" i="2"/>
  <c r="T4" i="2"/>
  <c r="K80" i="1" s="1"/>
  <c r="T142" i="2"/>
  <c r="R142" i="2"/>
  <c r="R143" i="2"/>
  <c r="U4" i="2"/>
  <c r="L80" i="1" s="1"/>
  <c r="U142" i="2"/>
  <c r="U143" i="2"/>
  <c r="R4" i="2"/>
  <c r="V4" i="2"/>
  <c r="H80" i="1" s="1"/>
  <c r="D364" i="16"/>
  <c r="O152" i="2" s="1"/>
  <c r="H22" i="1"/>
  <c r="X4" i="2" l="1"/>
  <c r="I80" i="1"/>
  <c r="L7" i="1"/>
  <c r="L4" i="1" s="1"/>
  <c r="I7" i="1"/>
  <c r="N170" i="2"/>
  <c r="Q159" i="2"/>
  <c r="Q168" i="2"/>
  <c r="Q170" i="2"/>
  <c r="Q183" i="2"/>
  <c r="Q184" i="2"/>
  <c r="Q185" i="2"/>
  <c r="Q186" i="2"/>
  <c r="Q187" i="2"/>
  <c r="Q188" i="2"/>
  <c r="Q195" i="2"/>
  <c r="Q196" i="2"/>
  <c r="Q197" i="2"/>
  <c r="Q17" i="2"/>
  <c r="Q18" i="2"/>
  <c r="Q19" i="2"/>
  <c r="Q89" i="2"/>
  <c r="Q90" i="2"/>
  <c r="Q91" i="2"/>
  <c r="Q113" i="2"/>
  <c r="Q114" i="2"/>
  <c r="Q115" i="2"/>
  <c r="Q146" i="2"/>
  <c r="Q147" i="2"/>
  <c r="Q149" i="2"/>
  <c r="Q151" i="2"/>
  <c r="Q119" i="2"/>
  <c r="Q198" i="2"/>
  <c r="Q2" i="2"/>
  <c r="P159" i="2"/>
  <c r="P168" i="2"/>
  <c r="P170" i="2"/>
  <c r="P183" i="2"/>
  <c r="P184" i="2"/>
  <c r="P185" i="2"/>
  <c r="P186" i="2"/>
  <c r="P187" i="2"/>
  <c r="P188" i="2"/>
  <c r="P195" i="2"/>
  <c r="P196" i="2"/>
  <c r="P197" i="2"/>
  <c r="P17" i="2"/>
  <c r="P18" i="2"/>
  <c r="P19" i="2"/>
  <c r="P89" i="2"/>
  <c r="P90" i="2"/>
  <c r="P91" i="2"/>
  <c r="P113" i="2"/>
  <c r="P114" i="2"/>
  <c r="P115" i="2"/>
  <c r="P146" i="2"/>
  <c r="P147" i="2"/>
  <c r="P149" i="2"/>
  <c r="P151" i="2"/>
  <c r="P119" i="2"/>
  <c r="P198" i="2"/>
  <c r="P2" i="2"/>
  <c r="O146" i="2"/>
  <c r="O119" i="2"/>
  <c r="O198" i="2"/>
  <c r="O2" i="2"/>
  <c r="N159" i="2"/>
  <c r="U159" i="2" s="1"/>
  <c r="N168" i="2"/>
  <c r="N183" i="2"/>
  <c r="S183" i="2" s="1"/>
  <c r="N184" i="2"/>
  <c r="R184" i="2" s="1"/>
  <c r="N185" i="2"/>
  <c r="R185" i="2" s="1"/>
  <c r="N186" i="2"/>
  <c r="U186" i="2" s="1"/>
  <c r="N187" i="2"/>
  <c r="R187" i="2" s="1"/>
  <c r="N188" i="2"/>
  <c r="R188" i="2" s="1"/>
  <c r="N195" i="2"/>
  <c r="V195" i="2" s="1"/>
  <c r="N196" i="2"/>
  <c r="V196" i="2" s="1"/>
  <c r="N197" i="2"/>
  <c r="S197" i="2" s="1"/>
  <c r="N17" i="2"/>
  <c r="U17" i="2" s="1"/>
  <c r="N18" i="2"/>
  <c r="R18" i="2" s="1"/>
  <c r="N19" i="2"/>
  <c r="R19" i="2" s="1"/>
  <c r="N89" i="2"/>
  <c r="U89" i="2" s="1"/>
  <c r="N90" i="2"/>
  <c r="R90" i="2" s="1"/>
  <c r="N91" i="2"/>
  <c r="R91" i="2" s="1"/>
  <c r="N113" i="2"/>
  <c r="V113" i="2" s="1"/>
  <c r="N114" i="2"/>
  <c r="R114" i="2" s="1"/>
  <c r="N115" i="2"/>
  <c r="R115" i="2" s="1"/>
  <c r="N146" i="2"/>
  <c r="U146" i="2" s="1"/>
  <c r="N147" i="2"/>
  <c r="N149" i="2"/>
  <c r="R149" i="2" s="1"/>
  <c r="N151" i="2"/>
  <c r="R151" i="2" s="1"/>
  <c r="N119" i="2"/>
  <c r="V119" i="2" s="1"/>
  <c r="H28" i="1" s="1"/>
  <c r="N198" i="2"/>
  <c r="T198" i="2" s="1"/>
  <c r="N2" i="2"/>
  <c r="T2" i="2" s="1"/>
  <c r="K79" i="1" s="1"/>
  <c r="K78" i="1" s="1"/>
  <c r="D300" i="16"/>
  <c r="D317" i="16"/>
  <c r="D57" i="16"/>
  <c r="D302" i="16"/>
  <c r="D304" i="16" s="1"/>
  <c r="D315" i="16"/>
  <c r="D43" i="16"/>
  <c r="D301" i="16"/>
  <c r="D303" i="16" s="1"/>
  <c r="D50" i="16"/>
  <c r="O549" i="2" l="1"/>
  <c r="S549" i="2" s="1"/>
  <c r="X549" i="2" s="1"/>
  <c r="O548" i="2"/>
  <c r="R548" i="2" s="1"/>
  <c r="X548" i="2" s="1"/>
  <c r="O550" i="2"/>
  <c r="T550" i="2" s="1"/>
  <c r="X550" i="2" s="1"/>
  <c r="O532" i="2"/>
  <c r="O229" i="2"/>
  <c r="O531" i="2"/>
  <c r="O228" i="2"/>
  <c r="S228" i="2" s="1"/>
  <c r="R147" i="2"/>
  <c r="S147" i="2"/>
  <c r="T146" i="2"/>
  <c r="R146" i="2"/>
  <c r="D268" i="16"/>
  <c r="O679" i="2"/>
  <c r="R679" i="2" s="1"/>
  <c r="D269" i="16"/>
  <c r="O529" i="2"/>
  <c r="O526" i="2"/>
  <c r="O528" i="2"/>
  <c r="O525" i="2"/>
  <c r="O250" i="2"/>
  <c r="O233" i="2"/>
  <c r="O253" i="2"/>
  <c r="O242" i="2"/>
  <c r="O202" i="2"/>
  <c r="O236" i="2"/>
  <c r="T236" i="2" s="1"/>
  <c r="O256" i="2"/>
  <c r="O245" i="2"/>
  <c r="O239" i="2"/>
  <c r="O226" i="2"/>
  <c r="T226" i="2" s="1"/>
  <c r="O241" i="2"/>
  <c r="O249" i="2"/>
  <c r="O232" i="2"/>
  <c r="O244" i="2"/>
  <c r="O252" i="2"/>
  <c r="O201" i="2"/>
  <c r="O235" i="2"/>
  <c r="S235" i="2" s="1"/>
  <c r="O255" i="2"/>
  <c r="O238" i="2"/>
  <c r="O225" i="2"/>
  <c r="S225" i="2" s="1"/>
  <c r="O184" i="2"/>
  <c r="O175" i="2"/>
  <c r="O178" i="2"/>
  <c r="O181" i="2"/>
  <c r="O172" i="2"/>
  <c r="O185" i="2"/>
  <c r="O176" i="2"/>
  <c r="O182" i="2"/>
  <c r="O179" i="2"/>
  <c r="O173" i="2"/>
  <c r="O183" i="2"/>
  <c r="R183" i="2" s="1"/>
  <c r="O180" i="2"/>
  <c r="R180" i="2" s="1"/>
  <c r="O177" i="2"/>
  <c r="R177" i="2" s="1"/>
  <c r="O171" i="2"/>
  <c r="R171" i="2" s="1"/>
  <c r="O174" i="2"/>
  <c r="R174" i="2" s="1"/>
  <c r="T196" i="2"/>
  <c r="T184" i="2"/>
  <c r="T183" i="2"/>
  <c r="T119" i="2"/>
  <c r="T195" i="2"/>
  <c r="T168" i="2"/>
  <c r="T151" i="2"/>
  <c r="T114" i="2"/>
  <c r="T159" i="2"/>
  <c r="T149" i="2"/>
  <c r="T113" i="2"/>
  <c r="T187" i="2"/>
  <c r="S159" i="2"/>
  <c r="T147" i="2"/>
  <c r="T18" i="2"/>
  <c r="T186" i="2"/>
  <c r="T17" i="2"/>
  <c r="R2" i="2"/>
  <c r="R198" i="2"/>
  <c r="S170" i="2"/>
  <c r="U119" i="2"/>
  <c r="U115" i="2"/>
  <c r="U195" i="2"/>
  <c r="U168" i="2"/>
  <c r="U197" i="2"/>
  <c r="U183" i="2"/>
  <c r="V115" i="2"/>
  <c r="V168" i="2"/>
  <c r="U196" i="2"/>
  <c r="U170" i="2"/>
  <c r="V2" i="2"/>
  <c r="H79" i="1" s="1"/>
  <c r="H78" i="1" s="1"/>
  <c r="V151" i="2"/>
  <c r="V114" i="2"/>
  <c r="V91" i="2"/>
  <c r="V188" i="2"/>
  <c r="V159" i="2"/>
  <c r="U2" i="2"/>
  <c r="L79" i="1" s="1"/>
  <c r="U151" i="2"/>
  <c r="U114" i="2"/>
  <c r="U91" i="2"/>
  <c r="U188" i="2"/>
  <c r="V147" i="2"/>
  <c r="V89" i="2"/>
  <c r="V18" i="2"/>
  <c r="V186" i="2"/>
  <c r="V149" i="2"/>
  <c r="V90" i="2"/>
  <c r="R119" i="2"/>
  <c r="U149" i="2"/>
  <c r="U113" i="2"/>
  <c r="U90" i="2"/>
  <c r="U19" i="2"/>
  <c r="U187" i="2"/>
  <c r="V146" i="2"/>
  <c r="V17" i="2"/>
  <c r="V185" i="2"/>
  <c r="V19" i="2"/>
  <c r="V187" i="2"/>
  <c r="U147" i="2"/>
  <c r="U18" i="2"/>
  <c r="V198" i="2"/>
  <c r="V184" i="2"/>
  <c r="U185" i="2"/>
  <c r="V197" i="2"/>
  <c r="H10" i="1" s="1"/>
  <c r="V183" i="2"/>
  <c r="U198" i="2"/>
  <c r="U184" i="2"/>
  <c r="V170" i="2"/>
  <c r="S119" i="2"/>
  <c r="R196" i="2"/>
  <c r="R170" i="2"/>
  <c r="S2" i="2"/>
  <c r="J79" i="1" s="1"/>
  <c r="J78" i="1" s="1"/>
  <c r="S151" i="2"/>
  <c r="S91" i="2"/>
  <c r="S188" i="2"/>
  <c r="R197" i="2"/>
  <c r="S115" i="2"/>
  <c r="S195" i="2"/>
  <c r="S149" i="2"/>
  <c r="S113" i="2"/>
  <c r="S19" i="2"/>
  <c r="S89" i="2"/>
  <c r="S186" i="2"/>
  <c r="S146" i="2"/>
  <c r="S17" i="2"/>
  <c r="S185" i="2"/>
  <c r="S198" i="2"/>
  <c r="D297" i="16"/>
  <c r="O113" i="2" s="1"/>
  <c r="R113" i="2" s="1"/>
  <c r="D299" i="16"/>
  <c r="O115" i="2" s="1"/>
  <c r="T115" i="2" s="1"/>
  <c r="D298" i="16"/>
  <c r="O114" i="2" s="1"/>
  <c r="S114" i="2" s="1"/>
  <c r="H6" i="1" l="1"/>
  <c r="O673" i="2"/>
  <c r="T673" i="2" s="1"/>
  <c r="X673" i="2" s="1"/>
  <c r="A314" i="19" s="1"/>
  <c r="O657" i="2"/>
  <c r="T657" i="2" s="1"/>
  <c r="X657" i="2" s="1"/>
  <c r="A298" i="19" s="1"/>
  <c r="O639" i="2"/>
  <c r="T639" i="2" s="1"/>
  <c r="X639" i="2" s="1"/>
  <c r="A280" i="19" s="1"/>
  <c r="O669" i="2"/>
  <c r="T669" i="2" s="1"/>
  <c r="X669" i="2" s="1"/>
  <c r="A310" i="19" s="1"/>
  <c r="O649" i="2"/>
  <c r="T649" i="2" s="1"/>
  <c r="X649" i="2" s="1"/>
  <c r="A290" i="19" s="1"/>
  <c r="O693" i="2"/>
  <c r="T693" i="2" s="1"/>
  <c r="X693" i="2" s="1"/>
  <c r="A334" i="19" s="1"/>
  <c r="O661" i="2"/>
  <c r="T661" i="2" s="1"/>
  <c r="X661" i="2" s="1"/>
  <c r="A302" i="19" s="1"/>
  <c r="O677" i="2"/>
  <c r="T677" i="2" s="1"/>
  <c r="X677" i="2" s="1"/>
  <c r="A318" i="19" s="1"/>
  <c r="O643" i="2"/>
  <c r="T643" i="2" s="1"/>
  <c r="X643" i="2" s="1"/>
  <c r="A284" i="19" s="1"/>
  <c r="O701" i="2"/>
  <c r="R701" i="2" s="1"/>
  <c r="O672" i="2"/>
  <c r="S672" i="2" s="1"/>
  <c r="X672" i="2" s="1"/>
  <c r="A313" i="19" s="1"/>
  <c r="O656" i="2"/>
  <c r="S656" i="2" s="1"/>
  <c r="X656" i="2" s="1"/>
  <c r="A297" i="19" s="1"/>
  <c r="O638" i="2"/>
  <c r="S638" i="2" s="1"/>
  <c r="X638" i="2" s="1"/>
  <c r="O668" i="2"/>
  <c r="S668" i="2" s="1"/>
  <c r="X668" i="2" s="1"/>
  <c r="A309" i="19" s="1"/>
  <c r="O648" i="2"/>
  <c r="S648" i="2" s="1"/>
  <c r="X648" i="2" s="1"/>
  <c r="A289" i="19" s="1"/>
  <c r="O692" i="2"/>
  <c r="S692" i="2" s="1"/>
  <c r="X692" i="2" s="1"/>
  <c r="A333" i="19" s="1"/>
  <c r="O676" i="2"/>
  <c r="S676" i="2" s="1"/>
  <c r="X676" i="2" s="1"/>
  <c r="A317" i="19" s="1"/>
  <c r="O660" i="2"/>
  <c r="S660" i="2" s="1"/>
  <c r="X660" i="2" s="1"/>
  <c r="O642" i="2"/>
  <c r="S642" i="2" s="1"/>
  <c r="X642" i="2" s="1"/>
  <c r="A283" i="19" s="1"/>
  <c r="L24" i="1"/>
  <c r="X114" i="2"/>
  <c r="X115" i="2"/>
  <c r="X119" i="2"/>
  <c r="X174" i="2"/>
  <c r="X171" i="2"/>
  <c r="X2" i="2"/>
  <c r="A2" i="19" s="1"/>
  <c r="X180" i="2"/>
  <c r="X183" i="2"/>
  <c r="X236" i="2"/>
  <c r="X225" i="2"/>
  <c r="A963" i="19" s="1"/>
  <c r="X198" i="2"/>
  <c r="X235" i="2"/>
  <c r="X177" i="2"/>
  <c r="X113" i="2"/>
  <c r="X226" i="2"/>
  <c r="X228" i="2"/>
  <c r="O691" i="2"/>
  <c r="O699" i="2"/>
  <c r="R699" i="2" s="1"/>
  <c r="O695" i="2"/>
  <c r="O687" i="2"/>
  <c r="R687" i="2" s="1"/>
  <c r="O683" i="2"/>
  <c r="R683" i="2" s="1"/>
  <c r="I79" i="1"/>
  <c r="I78" i="1" s="1"/>
  <c r="I21" i="1"/>
  <c r="I11" i="1"/>
  <c r="H32" i="1"/>
  <c r="H31" i="1" s="1"/>
  <c r="H29" i="1"/>
  <c r="H27" i="1" s="1"/>
  <c r="H11" i="1"/>
  <c r="K22" i="1"/>
  <c r="H14" i="1"/>
  <c r="H20" i="1"/>
  <c r="H9" i="1"/>
  <c r="J22" i="1"/>
  <c r="J21" i="1"/>
  <c r="I22" i="1"/>
  <c r="H19" i="1"/>
  <c r="H15" i="1"/>
  <c r="K21" i="1"/>
  <c r="A966" i="19" l="1"/>
  <c r="A911" i="19"/>
  <c r="A301" i="19"/>
  <c r="A390" i="19"/>
  <c r="A421" i="19"/>
  <c r="H17" i="1"/>
  <c r="H4" i="1"/>
  <c r="O151" i="2"/>
  <c r="D366" i="16"/>
  <c r="O149" i="2" l="1"/>
  <c r="O150" i="2"/>
  <c r="O147" i="2"/>
  <c r="O148" i="2"/>
  <c r="D361" i="16"/>
  <c r="D105" i="16"/>
  <c r="D358" i="16" l="1"/>
  <c r="O111" i="2" s="1"/>
  <c r="S111" i="2" s="1"/>
  <c r="X111" i="2" s="1"/>
  <c r="D360" i="16"/>
  <c r="O112" i="2" s="1"/>
  <c r="T112" i="2" s="1"/>
  <c r="X112" i="2" s="1"/>
  <c r="D359" i="16"/>
  <c r="O110" i="2" s="1"/>
  <c r="R110" i="2" s="1"/>
  <c r="X110" i="2" s="1"/>
  <c r="D104" i="16"/>
  <c r="D357" i="16"/>
  <c r="O790" i="2" s="1"/>
  <c r="T790" i="2" s="1"/>
  <c r="X790" i="2" s="1"/>
  <c r="D355" i="16"/>
  <c r="O789" i="2" s="1"/>
  <c r="S789" i="2" s="1"/>
  <c r="X789" i="2" s="1"/>
  <c r="A409" i="19" s="1"/>
  <c r="D356" i="16"/>
  <c r="O788" i="2" s="1"/>
  <c r="R788" i="2" s="1"/>
  <c r="X788" i="2" s="1"/>
  <c r="D103" i="16"/>
  <c r="D102" i="16"/>
  <c r="D98" i="16"/>
  <c r="O191" i="2" s="1"/>
  <c r="T191" i="2" s="1"/>
  <c r="X191" i="2" s="1"/>
  <c r="D342" i="16"/>
  <c r="O796" i="2" s="1"/>
  <c r="T796" i="2" s="1"/>
  <c r="D340" i="16"/>
  <c r="O795" i="2" s="1"/>
  <c r="S795" i="2" s="1"/>
  <c r="X795" i="2" s="1"/>
  <c r="D341" i="16"/>
  <c r="O794" i="2" s="1"/>
  <c r="R794" i="2" s="1"/>
  <c r="X794" i="2" s="1"/>
  <c r="D354" i="16"/>
  <c r="O19" i="2" s="1"/>
  <c r="T19" i="2" s="1"/>
  <c r="D97" i="16"/>
  <c r="O190" i="2" s="1"/>
  <c r="S190" i="2" s="1"/>
  <c r="X190" i="2" s="1"/>
  <c r="D96" i="16"/>
  <c r="O189" i="2" s="1"/>
  <c r="R189" i="2" s="1"/>
  <c r="X189" i="2" s="1"/>
  <c r="D92" i="16"/>
  <c r="D91" i="16"/>
  <c r="D90" i="16"/>
  <c r="D83" i="16"/>
  <c r="D352" i="16"/>
  <c r="O18" i="2" s="1"/>
  <c r="S18" i="2" s="1"/>
  <c r="D353" i="16"/>
  <c r="O17" i="2" s="1"/>
  <c r="R17" i="2" s="1"/>
  <c r="D339" i="16"/>
  <c r="D82" i="16"/>
  <c r="D81" i="16"/>
  <c r="D338" i="16"/>
  <c r="D337" i="16"/>
  <c r="D76" i="16"/>
  <c r="D77" i="16"/>
  <c r="D75" i="16"/>
  <c r="D345" i="16"/>
  <c r="D68" i="16"/>
  <c r="O37" i="2" s="1"/>
  <c r="T37" i="2" s="1"/>
  <c r="X37" i="2" s="1"/>
  <c r="D344" i="16"/>
  <c r="D343" i="16"/>
  <c r="D67" i="16"/>
  <c r="O36" i="2" s="1"/>
  <c r="S36" i="2" s="1"/>
  <c r="X36" i="2" s="1"/>
  <c r="D66" i="16"/>
  <c r="O35" i="2" s="1"/>
  <c r="R35" i="2" s="1"/>
  <c r="X35" i="2" s="1"/>
  <c r="O774" i="2" l="1"/>
  <c r="S774" i="2" s="1"/>
  <c r="X774" i="2" s="1"/>
  <c r="O775" i="2"/>
  <c r="T775" i="2" s="1"/>
  <c r="X775" i="2" s="1"/>
  <c r="O82" i="2"/>
  <c r="T82" i="2" s="1"/>
  <c r="X82" i="2" s="1"/>
  <c r="O61" i="2"/>
  <c r="T61" i="2" s="1"/>
  <c r="X61" i="2" s="1"/>
  <c r="O64" i="2"/>
  <c r="T64" i="2" s="1"/>
  <c r="X64" i="2" s="1"/>
  <c r="O751" i="2"/>
  <c r="T751" i="2" s="1"/>
  <c r="X751" i="2" s="1"/>
  <c r="A371" i="19" s="1"/>
  <c r="O745" i="2"/>
  <c r="T745" i="2" s="1"/>
  <c r="X745" i="2" s="1"/>
  <c r="O754" i="2"/>
  <c r="T754" i="2" s="1"/>
  <c r="X754" i="2" s="1"/>
  <c r="O748" i="2"/>
  <c r="T748" i="2" s="1"/>
  <c r="X748" i="2" s="1"/>
  <c r="O783" i="2"/>
  <c r="S783" i="2" s="1"/>
  <c r="X783" i="2" s="1"/>
  <c r="O786" i="2"/>
  <c r="S786" i="2" s="1"/>
  <c r="X786" i="2" s="1"/>
  <c r="O166" i="2"/>
  <c r="S166" i="2" s="1"/>
  <c r="X166" i="2" s="1"/>
  <c r="A906" i="19" s="1"/>
  <c r="O163" i="2"/>
  <c r="S163" i="2" s="1"/>
  <c r="X163" i="2" s="1"/>
  <c r="O23" i="2"/>
  <c r="R23" i="2" s="1"/>
  <c r="X23" i="2" s="1"/>
  <c r="O26" i="2"/>
  <c r="O734" i="2"/>
  <c r="R734" i="2" s="1"/>
  <c r="X734" i="2" s="1"/>
  <c r="A465" i="19" s="1"/>
  <c r="O737" i="2"/>
  <c r="R737" i="2" s="1"/>
  <c r="X737" i="2" s="1"/>
  <c r="A357" i="19" s="1"/>
  <c r="O731" i="2"/>
  <c r="R731" i="2" s="1"/>
  <c r="X731" i="2" s="1"/>
  <c r="O740" i="2"/>
  <c r="R740" i="2" s="1"/>
  <c r="X740" i="2" s="1"/>
  <c r="A360" i="19" s="1"/>
  <c r="O124" i="2"/>
  <c r="S124" i="2" s="1"/>
  <c r="X124" i="2" s="1"/>
  <c r="O759" i="2"/>
  <c r="S759" i="2" s="1"/>
  <c r="X759" i="2" s="1"/>
  <c r="O167" i="2"/>
  <c r="T167" i="2" s="1"/>
  <c r="X167" i="2" s="1"/>
  <c r="A907" i="19" s="1"/>
  <c r="O164" i="2"/>
  <c r="T164" i="2" s="1"/>
  <c r="X164" i="2" s="1"/>
  <c r="O784" i="2"/>
  <c r="T784" i="2" s="1"/>
  <c r="X784" i="2" s="1"/>
  <c r="O787" i="2"/>
  <c r="T787" i="2" s="1"/>
  <c r="X787" i="2" s="1"/>
  <c r="O25" i="2"/>
  <c r="O28" i="2"/>
  <c r="T28" i="2" s="1"/>
  <c r="X28" i="2" s="1"/>
  <c r="O736" i="2"/>
  <c r="T736" i="2" s="1"/>
  <c r="X736" i="2" s="1"/>
  <c r="O739" i="2"/>
  <c r="T739" i="2" s="1"/>
  <c r="X739" i="2" s="1"/>
  <c r="A359" i="19" s="1"/>
  <c r="O742" i="2"/>
  <c r="T742" i="2" s="1"/>
  <c r="X742" i="2" s="1"/>
  <c r="O733" i="2"/>
  <c r="T733" i="2" s="1"/>
  <c r="X733" i="2" s="1"/>
  <c r="O123" i="2"/>
  <c r="R123" i="2" s="1"/>
  <c r="X123" i="2" s="1"/>
  <c r="O758" i="2"/>
  <c r="R758" i="2" s="1"/>
  <c r="X758" i="2" s="1"/>
  <c r="O9" i="2"/>
  <c r="S9" i="2" s="1"/>
  <c r="X9" i="2" s="1"/>
  <c r="O777" i="2"/>
  <c r="S777" i="2" s="1"/>
  <c r="X777" i="2" s="1"/>
  <c r="A397" i="19" s="1"/>
  <c r="O780" i="2"/>
  <c r="S780" i="2" s="1"/>
  <c r="X780" i="2" s="1"/>
  <c r="O125" i="2"/>
  <c r="T125" i="2" s="1"/>
  <c r="X125" i="2" s="1"/>
  <c r="O760" i="2"/>
  <c r="T760" i="2" s="1"/>
  <c r="X760" i="2" s="1"/>
  <c r="O27" i="2"/>
  <c r="S27" i="2" s="1"/>
  <c r="X27" i="2" s="1"/>
  <c r="O24" i="2"/>
  <c r="O732" i="2"/>
  <c r="S732" i="2" s="1"/>
  <c r="X732" i="2" s="1"/>
  <c r="O741" i="2"/>
  <c r="S741" i="2" s="1"/>
  <c r="X741" i="2" s="1"/>
  <c r="O738" i="2"/>
  <c r="S738" i="2" s="1"/>
  <c r="X738" i="2" s="1"/>
  <c r="A358" i="19" s="1"/>
  <c r="O735" i="2"/>
  <c r="S735" i="2" s="1"/>
  <c r="X735" i="2" s="1"/>
  <c r="O8" i="2"/>
  <c r="R8" i="2" s="1"/>
  <c r="X8" i="2" s="1"/>
  <c r="O776" i="2"/>
  <c r="R776" i="2" s="1"/>
  <c r="X776" i="2" s="1"/>
  <c r="O779" i="2"/>
  <c r="R779" i="2" s="1"/>
  <c r="X779" i="2" s="1"/>
  <c r="A514" i="19" s="1"/>
  <c r="O81" i="2"/>
  <c r="S81" i="2" s="1"/>
  <c r="X81" i="2" s="1"/>
  <c r="O60" i="2"/>
  <c r="S60" i="2" s="1"/>
  <c r="X60" i="2" s="1"/>
  <c r="O63" i="2"/>
  <c r="S63" i="2" s="1"/>
  <c r="X63" i="2" s="1"/>
  <c r="O744" i="2"/>
  <c r="S744" i="2" s="1"/>
  <c r="X744" i="2" s="1"/>
  <c r="O753" i="2"/>
  <c r="S753" i="2" s="1"/>
  <c r="X753" i="2" s="1"/>
  <c r="O750" i="2"/>
  <c r="S750" i="2" s="1"/>
  <c r="X750" i="2" s="1"/>
  <c r="O747" i="2"/>
  <c r="S747" i="2" s="1"/>
  <c r="X747" i="2" s="1"/>
  <c r="A367" i="19" s="1"/>
  <c r="O80" i="2"/>
  <c r="R80" i="2" s="1"/>
  <c r="X80" i="2" s="1"/>
  <c r="O62" i="2"/>
  <c r="R62" i="2" s="1"/>
  <c r="X62" i="2" s="1"/>
  <c r="O59" i="2"/>
  <c r="R59" i="2" s="1"/>
  <c r="X59" i="2" s="1"/>
  <c r="O749" i="2"/>
  <c r="R749" i="2" s="1"/>
  <c r="X749" i="2" s="1"/>
  <c r="O752" i="2"/>
  <c r="R752" i="2" s="1"/>
  <c r="X752" i="2" s="1"/>
  <c r="O746" i="2"/>
  <c r="R746" i="2" s="1"/>
  <c r="X746" i="2" s="1"/>
  <c r="A484" i="19" s="1"/>
  <c r="O743" i="2"/>
  <c r="R743" i="2" s="1"/>
  <c r="X743" i="2" s="1"/>
  <c r="O165" i="2"/>
  <c r="R165" i="2" s="1"/>
  <c r="X165" i="2" s="1"/>
  <c r="O162" i="2"/>
  <c r="R162" i="2" s="1"/>
  <c r="X162" i="2" s="1"/>
  <c r="O10" i="2"/>
  <c r="T10" i="2" s="1"/>
  <c r="X10" i="2" s="1"/>
  <c r="O778" i="2"/>
  <c r="T778" i="2" s="1"/>
  <c r="X778" i="2" s="1"/>
  <c r="O781" i="2"/>
  <c r="T781" i="2" s="1"/>
  <c r="X781" i="2" s="1"/>
  <c r="O785" i="2"/>
  <c r="R785" i="2" s="1"/>
  <c r="X785" i="2" s="1"/>
  <c r="A405" i="19" s="1"/>
  <c r="O782" i="2"/>
  <c r="R782" i="2" s="1"/>
  <c r="X782" i="2" s="1"/>
  <c r="O49" i="2"/>
  <c r="T49" i="2" s="1"/>
  <c r="X49" i="2" s="1"/>
  <c r="O46" i="2"/>
  <c r="T46" i="2" s="1"/>
  <c r="X46" i="2" s="1"/>
  <c r="O102" i="2"/>
  <c r="S102" i="2" s="1"/>
  <c r="X102" i="2" s="1"/>
  <c r="O103" i="2"/>
  <c r="T103" i="2" s="1"/>
  <c r="X103" i="2" s="1"/>
  <c r="O47" i="2"/>
  <c r="R47" i="2" s="1"/>
  <c r="X47" i="2" s="1"/>
  <c r="O44" i="2"/>
  <c r="R44" i="2" s="1"/>
  <c r="X44" i="2" s="1"/>
  <c r="O773" i="2"/>
  <c r="R773" i="2" s="1"/>
  <c r="X773" i="2" s="1"/>
  <c r="A393" i="19" s="1"/>
  <c r="O101" i="2"/>
  <c r="R101" i="2" s="1"/>
  <c r="X101" i="2" s="1"/>
  <c r="O48" i="2"/>
  <c r="S48" i="2" s="1"/>
  <c r="X48" i="2" s="1"/>
  <c r="O45" i="2"/>
  <c r="S45" i="2" s="1"/>
  <c r="X45" i="2" s="1"/>
  <c r="O545" i="2"/>
  <c r="R545" i="2" s="1"/>
  <c r="X545" i="2" s="1"/>
  <c r="A462" i="19" s="1"/>
  <c r="O539" i="2"/>
  <c r="R539" i="2" s="1"/>
  <c r="X539" i="2" s="1"/>
  <c r="O546" i="2"/>
  <c r="S546" i="2" s="1"/>
  <c r="X546" i="2" s="1"/>
  <c r="A463" i="19" s="1"/>
  <c r="O540" i="2"/>
  <c r="S540" i="2" s="1"/>
  <c r="X540" i="2" s="1"/>
  <c r="O538" i="2"/>
  <c r="T538" i="2" s="1"/>
  <c r="X538" i="2" s="1"/>
  <c r="O544" i="2"/>
  <c r="T544" i="2" s="1"/>
  <c r="X544" i="2" s="1"/>
  <c r="O537" i="2"/>
  <c r="S537" i="2" s="1"/>
  <c r="X537" i="2" s="1"/>
  <c r="O543" i="2"/>
  <c r="S543" i="2" s="1"/>
  <c r="X543" i="2" s="1"/>
  <c r="O536" i="2"/>
  <c r="R536" i="2" s="1"/>
  <c r="X536" i="2" s="1"/>
  <c r="O542" i="2"/>
  <c r="R542" i="2" s="1"/>
  <c r="X542" i="2" s="1"/>
  <c r="O547" i="2"/>
  <c r="T547" i="2" s="1"/>
  <c r="X547" i="2" s="1"/>
  <c r="O541" i="2"/>
  <c r="T541" i="2" s="1"/>
  <c r="X541" i="2" s="1"/>
  <c r="X19" i="2"/>
  <c r="X796" i="2"/>
  <c r="X17" i="2"/>
  <c r="X18" i="2"/>
  <c r="O530" i="2"/>
  <c r="R530" i="2" s="1"/>
  <c r="X530" i="2" s="1"/>
  <c r="A447" i="19" s="1"/>
  <c r="R227" i="2"/>
  <c r="O637" i="2"/>
  <c r="R637" i="2" s="1"/>
  <c r="X637" i="2" s="1"/>
  <c r="A366" i="19" s="1"/>
  <c r="O527" i="2"/>
  <c r="O524" i="2"/>
  <c r="R524" i="2" s="1"/>
  <c r="X524" i="2" s="1"/>
  <c r="A441" i="19" s="1"/>
  <c r="O765" i="2"/>
  <c r="S765" i="2" s="1"/>
  <c r="X765" i="2" s="1"/>
  <c r="A385" i="19" s="1"/>
  <c r="O729" i="2"/>
  <c r="O194" i="2"/>
  <c r="O793" i="2"/>
  <c r="T793" i="2" s="1"/>
  <c r="O764" i="2"/>
  <c r="R764" i="2" s="1"/>
  <c r="X764" i="2" s="1"/>
  <c r="O728" i="2"/>
  <c r="R728" i="2" s="1"/>
  <c r="X728" i="2" s="1"/>
  <c r="O766" i="2"/>
  <c r="T766" i="2" s="1"/>
  <c r="X766" i="2" s="1"/>
  <c r="O730" i="2"/>
  <c r="O761" i="2"/>
  <c r="R761" i="2" s="1"/>
  <c r="X761" i="2" s="1"/>
  <c r="O762" i="2"/>
  <c r="S762" i="2" s="1"/>
  <c r="X762" i="2" s="1"/>
  <c r="O755" i="2"/>
  <c r="R755" i="2" s="1"/>
  <c r="X755" i="2" s="1"/>
  <c r="O767" i="2"/>
  <c r="R767" i="2" s="1"/>
  <c r="X767" i="2" s="1"/>
  <c r="O757" i="2"/>
  <c r="T757" i="2" s="1"/>
  <c r="X757" i="2" s="1"/>
  <c r="O769" i="2"/>
  <c r="T769" i="2" s="1"/>
  <c r="O763" i="2"/>
  <c r="T763" i="2" s="1"/>
  <c r="X763" i="2" s="1"/>
  <c r="O756" i="2"/>
  <c r="S756" i="2" s="1"/>
  <c r="X756" i="2" s="1"/>
  <c r="O768" i="2"/>
  <c r="S768" i="2" s="1"/>
  <c r="X768" i="2" s="1"/>
  <c r="A388" i="19" s="1"/>
  <c r="O192" i="2"/>
  <c r="R192" i="2" s="1"/>
  <c r="O791" i="2"/>
  <c r="R791" i="2" s="1"/>
  <c r="X791" i="2" s="1"/>
  <c r="O193" i="2"/>
  <c r="O792" i="2"/>
  <c r="S792" i="2" s="1"/>
  <c r="X792" i="2" s="1"/>
  <c r="O230" i="2"/>
  <c r="R230" i="2" s="1"/>
  <c r="O240" i="2"/>
  <c r="R240" i="2" s="1"/>
  <c r="O248" i="2"/>
  <c r="O237" i="2"/>
  <c r="R237" i="2" s="1"/>
  <c r="O231" i="2"/>
  <c r="R231" i="2" s="1"/>
  <c r="O251" i="2"/>
  <c r="R251" i="2" s="1"/>
  <c r="O200" i="2"/>
  <c r="R200" i="2" s="1"/>
  <c r="O234" i="2"/>
  <c r="R234" i="2" s="1"/>
  <c r="O254" i="2"/>
  <c r="R254" i="2" s="1"/>
  <c r="O243" i="2"/>
  <c r="R243" i="2" s="1"/>
  <c r="O224" i="2"/>
  <c r="R224" i="2" s="1"/>
  <c r="O42" i="2"/>
  <c r="O39" i="2"/>
  <c r="O21" i="2"/>
  <c r="O30" i="2"/>
  <c r="O33" i="2"/>
  <c r="O51" i="2"/>
  <c r="S51" i="2" s="1"/>
  <c r="O134" i="2"/>
  <c r="T134" i="2" s="1"/>
  <c r="O137" i="2"/>
  <c r="T137" i="2" s="1"/>
  <c r="O168" i="2"/>
  <c r="R168" i="2" s="1"/>
  <c r="O169" i="2"/>
  <c r="S169" i="2" s="1"/>
  <c r="O160" i="2"/>
  <c r="S160" i="2" s="1"/>
  <c r="O83" i="2"/>
  <c r="R83" i="2" s="1"/>
  <c r="O86" i="2"/>
  <c r="R86" i="2" s="1"/>
  <c r="O40" i="2"/>
  <c r="O43" i="2"/>
  <c r="O52" i="2"/>
  <c r="T52" i="2" s="1"/>
  <c r="O34" i="2"/>
  <c r="O22" i="2"/>
  <c r="O31" i="2"/>
  <c r="O170" i="2"/>
  <c r="T170" i="2" s="1"/>
  <c r="O161" i="2"/>
  <c r="T161" i="2" s="1"/>
  <c r="O84" i="2"/>
  <c r="S84" i="2" s="1"/>
  <c r="O87" i="2"/>
  <c r="S87" i="2" s="1"/>
  <c r="O57" i="2"/>
  <c r="S57" i="2" s="1"/>
  <c r="O75" i="2"/>
  <c r="O66" i="2"/>
  <c r="S66" i="2" s="1"/>
  <c r="O78" i="2"/>
  <c r="S78" i="2" s="1"/>
  <c r="O69" i="2"/>
  <c r="S69" i="2" s="1"/>
  <c r="O54" i="2"/>
  <c r="O72" i="2"/>
  <c r="S72" i="2" s="1"/>
  <c r="O65" i="2"/>
  <c r="R65" i="2" s="1"/>
  <c r="O77" i="2"/>
  <c r="R77" i="2" s="1"/>
  <c r="O68" i="2"/>
  <c r="R68" i="2" s="1"/>
  <c r="O74" i="2"/>
  <c r="R74" i="2" s="1"/>
  <c r="O53" i="2"/>
  <c r="R53" i="2" s="1"/>
  <c r="O71" i="2"/>
  <c r="R71" i="2" s="1"/>
  <c r="O56" i="2"/>
  <c r="R56" i="2" s="1"/>
  <c r="O58" i="2"/>
  <c r="T58" i="2" s="1"/>
  <c r="O76" i="2"/>
  <c r="O67" i="2"/>
  <c r="T67" i="2" s="1"/>
  <c r="O79" i="2"/>
  <c r="T79" i="2" s="1"/>
  <c r="O70" i="2"/>
  <c r="T70" i="2" s="1"/>
  <c r="O55" i="2"/>
  <c r="O73" i="2"/>
  <c r="T73" i="2" s="1"/>
  <c r="O5" i="2"/>
  <c r="R5" i="2" s="1"/>
  <c r="X5" i="2" s="1"/>
  <c r="O11" i="2"/>
  <c r="R11" i="2" s="1"/>
  <c r="O14" i="2"/>
  <c r="R14" i="2" s="1"/>
  <c r="O92" i="2"/>
  <c r="R92" i="2" s="1"/>
  <c r="O95" i="2"/>
  <c r="R95" i="2" s="1"/>
  <c r="O98" i="2"/>
  <c r="R98" i="2" s="1"/>
  <c r="O120" i="2"/>
  <c r="R120" i="2" s="1"/>
  <c r="O129" i="2"/>
  <c r="R129" i="2" s="1"/>
  <c r="O126" i="2"/>
  <c r="R126" i="2" s="1"/>
  <c r="O6" i="2"/>
  <c r="S6" i="2" s="1"/>
  <c r="O12" i="2"/>
  <c r="S12" i="2" s="1"/>
  <c r="O15" i="2"/>
  <c r="S15" i="2" s="1"/>
  <c r="O93" i="2"/>
  <c r="S93" i="2" s="1"/>
  <c r="O96" i="2"/>
  <c r="S96" i="2" s="1"/>
  <c r="O99" i="2"/>
  <c r="S99" i="2" s="1"/>
  <c r="O131" i="2"/>
  <c r="O128" i="2"/>
  <c r="O122" i="2"/>
  <c r="O16" i="2"/>
  <c r="T16" i="2" s="1"/>
  <c r="O7" i="2"/>
  <c r="T7" i="2" s="1"/>
  <c r="O13" i="2"/>
  <c r="T13" i="2" s="1"/>
  <c r="O94" i="2"/>
  <c r="T94" i="2" s="1"/>
  <c r="O97" i="2"/>
  <c r="T97" i="2" s="1"/>
  <c r="O100" i="2"/>
  <c r="T100" i="2" s="1"/>
  <c r="O130" i="2"/>
  <c r="O121" i="2"/>
  <c r="O127" i="2"/>
  <c r="O85" i="2"/>
  <c r="T85" i="2" s="1"/>
  <c r="O88" i="2"/>
  <c r="T88" i="2" s="1"/>
  <c r="O133" i="2"/>
  <c r="S133" i="2" s="1"/>
  <c r="O136" i="2"/>
  <c r="S136" i="2" s="1"/>
  <c r="O107" i="2"/>
  <c r="R107" i="2" s="1"/>
  <c r="O104" i="2"/>
  <c r="R104" i="2" s="1"/>
  <c r="O41" i="2"/>
  <c r="R41" i="2" s="1"/>
  <c r="O20" i="2"/>
  <c r="R20" i="2" s="1"/>
  <c r="O29" i="2"/>
  <c r="R29" i="2" s="1"/>
  <c r="O50" i="2"/>
  <c r="R50" i="2" s="1"/>
  <c r="O32" i="2"/>
  <c r="R32" i="2" s="1"/>
  <c r="O38" i="2"/>
  <c r="R38" i="2" s="1"/>
  <c r="O109" i="2"/>
  <c r="T109" i="2" s="1"/>
  <c r="O106" i="2"/>
  <c r="T106" i="2" s="1"/>
  <c r="O132" i="2"/>
  <c r="R132" i="2" s="1"/>
  <c r="O135" i="2"/>
  <c r="R135" i="2" s="1"/>
  <c r="O159" i="2"/>
  <c r="O108" i="2"/>
  <c r="S108" i="2" s="1"/>
  <c r="O105" i="2"/>
  <c r="S105" i="2" s="1"/>
  <c r="S168" i="2"/>
  <c r="O89" i="2"/>
  <c r="O195" i="2"/>
  <c r="R195" i="2" s="1"/>
  <c r="O90" i="2"/>
  <c r="O187" i="2"/>
  <c r="O196" i="2"/>
  <c r="S196" i="2" s="1"/>
  <c r="O91" i="2"/>
  <c r="T91" i="2" s="1"/>
  <c r="O186" i="2"/>
  <c r="R186" i="2" s="1"/>
  <c r="O197" i="2"/>
  <c r="T197" i="2" s="1"/>
  <c r="O188" i="2"/>
  <c r="A17" i="19" l="1"/>
  <c r="A511" i="19"/>
  <c r="A470" i="19"/>
  <c r="A479" i="19"/>
  <c r="A464" i="19"/>
  <c r="A487" i="19"/>
  <c r="A510" i="19"/>
  <c r="A368" i="19"/>
  <c r="A459" i="19"/>
  <c r="A488" i="19"/>
  <c r="A466" i="19"/>
  <c r="A348" i="19"/>
  <c r="A505" i="19"/>
  <c r="A387" i="19"/>
  <c r="A513" i="19"/>
  <c r="A495" i="19"/>
  <c r="A377" i="19"/>
  <c r="A481" i="19"/>
  <c r="A363" i="19"/>
  <c r="A381" i="19"/>
  <c r="A494" i="19"/>
  <c r="A516" i="19"/>
  <c r="A401" i="19"/>
  <c r="A509" i="19"/>
  <c r="A523" i="19"/>
  <c r="A506" i="19"/>
  <c r="A502" i="19"/>
  <c r="A480" i="19"/>
  <c r="A472" i="19"/>
  <c r="A493" i="19"/>
  <c r="A477" i="19"/>
  <c r="A497" i="19"/>
  <c r="A473" i="19"/>
  <c r="A475" i="19"/>
  <c r="A471" i="19"/>
  <c r="A483" i="19"/>
  <c r="A485" i="19"/>
  <c r="A503" i="19"/>
  <c r="A517" i="19"/>
  <c r="A515" i="19"/>
  <c r="A474" i="19"/>
  <c r="A482" i="19"/>
  <c r="A476" i="19"/>
  <c r="A512" i="19"/>
  <c r="A478" i="19"/>
  <c r="A501" i="19"/>
  <c r="A504" i="19"/>
  <c r="A518" i="19"/>
  <c r="A496" i="19"/>
  <c r="A486" i="19"/>
  <c r="A492" i="19"/>
  <c r="A775" i="19"/>
  <c r="A519" i="19"/>
  <c r="A776" i="19"/>
  <c r="A365" i="19"/>
  <c r="S24" i="2"/>
  <c r="R24" i="2"/>
  <c r="T25" i="2"/>
  <c r="S25" i="2"/>
  <c r="R26" i="2"/>
  <c r="T26" i="2"/>
  <c r="X196" i="2"/>
  <c r="A936" i="19" s="1"/>
  <c r="X50" i="2"/>
  <c r="X98" i="2"/>
  <c r="X83" i="2"/>
  <c r="X231" i="2"/>
  <c r="X13" i="2"/>
  <c r="X68" i="2"/>
  <c r="A864" i="19" s="1"/>
  <c r="X243" i="2"/>
  <c r="X85" i="2"/>
  <c r="X67" i="2"/>
  <c r="A863" i="19" s="1"/>
  <c r="X132" i="2"/>
  <c r="X87" i="2"/>
  <c r="X52" i="2"/>
  <c r="X254" i="2"/>
  <c r="X106" i="2"/>
  <c r="A902" i="19" s="1"/>
  <c r="X41" i="2"/>
  <c r="X6" i="2"/>
  <c r="X11" i="2"/>
  <c r="X58" i="2"/>
  <c r="X72" i="2"/>
  <c r="X84" i="2"/>
  <c r="X168" i="2"/>
  <c r="A908" i="19" s="1"/>
  <c r="X234" i="2"/>
  <c r="X240" i="2"/>
  <c r="X94" i="2"/>
  <c r="X70" i="2"/>
  <c r="X95" i="2"/>
  <c r="X237" i="2"/>
  <c r="A975" i="19" s="1"/>
  <c r="X7" i="2"/>
  <c r="X77" i="2"/>
  <c r="X20" i="2"/>
  <c r="X16" i="2"/>
  <c r="X14" i="2"/>
  <c r="X197" i="2"/>
  <c r="X109" i="2"/>
  <c r="A905" i="19" s="1"/>
  <c r="X104" i="2"/>
  <c r="X126" i="2"/>
  <c r="A739" i="19" s="1"/>
  <c r="X56" i="2"/>
  <c r="X161" i="2"/>
  <c r="X137" i="2"/>
  <c r="A877" i="19" s="1"/>
  <c r="X200" i="2"/>
  <c r="A938" i="19" s="1"/>
  <c r="X230" i="2"/>
  <c r="A968" i="19" s="1"/>
  <c r="X793" i="2"/>
  <c r="A413" i="19" s="1"/>
  <c r="X133" i="2"/>
  <c r="X74" i="2"/>
  <c r="X224" i="2"/>
  <c r="X93" i="2"/>
  <c r="X135" i="2"/>
  <c r="A786" i="19" s="1"/>
  <c r="X92" i="2"/>
  <c r="X169" i="2"/>
  <c r="X12" i="2"/>
  <c r="X105" i="2"/>
  <c r="X38" i="2"/>
  <c r="X107" i="2"/>
  <c r="A903" i="19" s="1"/>
  <c r="X100" i="2"/>
  <c r="X129" i="2"/>
  <c r="X73" i="2"/>
  <c r="X71" i="2"/>
  <c r="X69" i="2"/>
  <c r="A865" i="19" s="1"/>
  <c r="X134" i="2"/>
  <c r="A785" i="19" s="1"/>
  <c r="X769" i="2"/>
  <c r="A389" i="19" s="1"/>
  <c r="X96" i="2"/>
  <c r="X66" i="2"/>
  <c r="X88" i="2"/>
  <c r="A884" i="19" s="1"/>
  <c r="X79" i="2"/>
  <c r="X160" i="2"/>
  <c r="A3" i="19" s="1"/>
  <c r="X192" i="2"/>
  <c r="X29" i="2"/>
  <c r="X15" i="2"/>
  <c r="X57" i="2"/>
  <c r="X195" i="2"/>
  <c r="A935" i="19" s="1"/>
  <c r="X65" i="2"/>
  <c r="X186" i="2"/>
  <c r="A926" i="19" s="1"/>
  <c r="X91" i="2"/>
  <c r="X108" i="2"/>
  <c r="A904" i="19" s="1"/>
  <c r="X32" i="2"/>
  <c r="X136" i="2"/>
  <c r="A876" i="19" s="1"/>
  <c r="X97" i="2"/>
  <c r="X99" i="2"/>
  <c r="X120" i="2"/>
  <c r="X53" i="2"/>
  <c r="X78" i="2"/>
  <c r="X170" i="2"/>
  <c r="X86" i="2"/>
  <c r="X51" i="2"/>
  <c r="X251" i="2"/>
  <c r="X227" i="2"/>
  <c r="A965" i="19" s="1"/>
  <c r="R159" i="2"/>
  <c r="O641" i="2"/>
  <c r="R641" i="2" s="1"/>
  <c r="O647" i="2"/>
  <c r="R647" i="2" s="1"/>
  <c r="X647" i="2" s="1"/>
  <c r="A288" i="19" s="1"/>
  <c r="O651" i="2"/>
  <c r="R651" i="2" s="1"/>
  <c r="X651" i="2" s="1"/>
  <c r="A382" i="19" s="1"/>
  <c r="O667" i="2"/>
  <c r="R667" i="2" s="1"/>
  <c r="X667" i="2" s="1"/>
  <c r="A308" i="19" s="1"/>
  <c r="O675" i="2"/>
  <c r="O633" i="2"/>
  <c r="R633" i="2" s="1"/>
  <c r="X633" i="2" s="1"/>
  <c r="A362" i="19" s="1"/>
  <c r="O645" i="2"/>
  <c r="R645" i="2" s="1"/>
  <c r="X645" i="2" s="1"/>
  <c r="O671" i="2"/>
  <c r="R671" i="2" s="1"/>
  <c r="X671" i="2" s="1"/>
  <c r="A312" i="19" s="1"/>
  <c r="O655" i="2"/>
  <c r="R655" i="2" s="1"/>
  <c r="I56" i="1"/>
  <c r="K56" i="1"/>
  <c r="I55" i="1"/>
  <c r="J56" i="1"/>
  <c r="K15" i="1"/>
  <c r="I15" i="1"/>
  <c r="I9" i="1"/>
  <c r="K6" i="1"/>
  <c r="J6" i="1"/>
  <c r="S90" i="2"/>
  <c r="T90" i="2"/>
  <c r="R89" i="2"/>
  <c r="T89" i="2"/>
  <c r="I20" i="1"/>
  <c r="J10" i="1"/>
  <c r="I14" i="1"/>
  <c r="K10" i="1"/>
  <c r="J15" i="1"/>
  <c r="I10" i="1"/>
  <c r="A793" i="19" l="1"/>
  <c r="A874" i="19"/>
  <c r="A875" i="19"/>
  <c r="A901" i="19"/>
  <c r="A866" i="19"/>
  <c r="A9" i="19"/>
  <c r="A909" i="19"/>
  <c r="A869" i="19"/>
  <c r="A402" i="19"/>
  <c r="A974" i="19"/>
  <c r="A962" i="19"/>
  <c r="A964" i="19"/>
  <c r="A814" i="19"/>
  <c r="A873" i="19"/>
  <c r="A398" i="19"/>
  <c r="A860" i="19"/>
  <c r="A900" i="19"/>
  <c r="A10" i="19"/>
  <c r="A910" i="19"/>
  <c r="A378" i="19"/>
  <c r="A364" i="19"/>
  <c r="A4" i="19"/>
  <c r="A14" i="19"/>
  <c r="A490" i="19"/>
  <c r="A380" i="19"/>
  <c r="A292" i="19"/>
  <c r="A498" i="19"/>
  <c r="A500" i="19"/>
  <c r="A499" i="19"/>
  <c r="A374" i="19"/>
  <c r="A286" i="19"/>
  <c r="A491" i="19"/>
  <c r="A395" i="19"/>
  <c r="A396" i="19"/>
  <c r="A787" i="19"/>
  <c r="A375" i="19"/>
  <c r="A376" i="19"/>
  <c r="A849" i="19"/>
  <c r="A508" i="19"/>
  <c r="A399" i="19"/>
  <c r="A400" i="19"/>
  <c r="A777" i="19"/>
  <c r="A7" i="19"/>
  <c r="A6" i="19"/>
  <c r="A361" i="19"/>
  <c r="A373" i="19"/>
  <c r="A507" i="19"/>
  <c r="A379" i="19"/>
  <c r="A737" i="19"/>
  <c r="A747" i="19"/>
  <c r="A745" i="19"/>
  <c r="A721" i="19"/>
  <c r="A717" i="19"/>
  <c r="A715" i="19"/>
  <c r="A711" i="19"/>
  <c r="A709" i="19"/>
  <c r="A708" i="19"/>
  <c r="A712" i="19"/>
  <c r="A710" i="19"/>
  <c r="X26" i="2"/>
  <c r="A822" i="19" s="1"/>
  <c r="X24" i="2"/>
  <c r="X25" i="2"/>
  <c r="A68" i="19"/>
  <c r="A65" i="19"/>
  <c r="A823" i="19"/>
  <c r="A47" i="19"/>
  <c r="A56" i="19"/>
  <c r="A35" i="19"/>
  <c r="A8" i="19"/>
  <c r="A11" i="19"/>
  <c r="A44" i="19"/>
  <c r="A62" i="19"/>
  <c r="A77" i="19"/>
  <c r="A50" i="19"/>
  <c r="A59" i="19"/>
  <c r="A136" i="19"/>
  <c r="A60" i="19"/>
  <c r="A61" i="19"/>
  <c r="A124" i="19"/>
  <c r="A71" i="19"/>
  <c r="A86" i="19"/>
  <c r="A104" i="19"/>
  <c r="A101" i="19"/>
  <c r="A107" i="19"/>
  <c r="A95" i="19"/>
  <c r="A92" i="19"/>
  <c r="A110" i="19"/>
  <c r="A98" i="19"/>
  <c r="X90" i="2"/>
  <c r="X159" i="2"/>
  <c r="A899" i="19" s="1"/>
  <c r="I19" i="1"/>
  <c r="I17" i="1" s="1"/>
  <c r="X89" i="2"/>
  <c r="A89" i="19" s="1"/>
  <c r="X655" i="2"/>
  <c r="X641" i="2"/>
  <c r="I6" i="1"/>
  <c r="I4" i="1" s="1"/>
  <c r="I66" i="1"/>
  <c r="I51" i="1"/>
  <c r="A26" i="19" l="1"/>
  <c r="A282" i="19"/>
  <c r="A372" i="19"/>
  <c r="A296" i="19"/>
  <c r="A386" i="19"/>
  <c r="A706" i="19"/>
  <c r="A489" i="19"/>
  <c r="A23" i="19"/>
  <c r="A383" i="19"/>
  <c r="A384" i="19"/>
  <c r="A113" i="19"/>
  <c r="A885" i="19"/>
  <c r="A820" i="19"/>
  <c r="A369" i="19"/>
  <c r="A370" i="19"/>
  <c r="A80" i="19"/>
  <c r="A784" i="19"/>
  <c r="A5" i="19"/>
  <c r="A83" i="19"/>
  <c r="A134" i="19"/>
  <c r="A135" i="19"/>
  <c r="A123" i="19"/>
  <c r="A119" i="19"/>
  <c r="A116" i="19"/>
  <c r="A819" i="19"/>
  <c r="O663" i="2" l="1"/>
  <c r="R663" i="2" s="1"/>
  <c r="X663" i="2" s="1"/>
  <c r="O247" i="2"/>
  <c r="A304" i="19" l="1"/>
  <c r="A394" i="19"/>
  <c r="A391" i="19"/>
  <c r="A392" i="19"/>
  <c r="A821" i="19"/>
  <c r="L25" i="1" l="1"/>
  <c r="K25" i="1"/>
  <c r="J25" i="1"/>
  <c r="L28" i="1"/>
  <c r="K28" i="1"/>
  <c r="J28" i="1"/>
  <c r="I28" i="1"/>
  <c r="I24" i="1" l="1"/>
  <c r="I23" i="1" s="1"/>
  <c r="K24" i="1"/>
  <c r="K23" i="1" s="1"/>
  <c r="J24" i="1" l="1"/>
  <c r="J23" i="1" s="1"/>
  <c r="L29" i="1" l="1"/>
  <c r="J29" i="1"/>
  <c r="I29" i="1"/>
  <c r="K29" i="1"/>
  <c r="K27" i="1" l="1"/>
  <c r="J27" i="1"/>
  <c r="I27" i="1"/>
  <c r="T43" i="2" l="1"/>
  <c r="S42" i="2"/>
  <c r="X43" i="2" l="1"/>
  <c r="X42" i="2"/>
  <c r="A41" i="19" l="1"/>
  <c r="A783" i="19"/>
  <c r="S33" i="2"/>
  <c r="S39" i="2"/>
  <c r="T40" i="2"/>
  <c r="T34" i="2"/>
  <c r="X34" i="2" l="1"/>
  <c r="A774" i="19" s="1"/>
  <c r="X40" i="2"/>
  <c r="A38" i="19" s="1"/>
  <c r="X39" i="2"/>
  <c r="X33" i="2"/>
  <c r="T31" i="2"/>
  <c r="S30" i="2"/>
  <c r="A792" i="19" l="1"/>
  <c r="A32" i="19"/>
  <c r="X30" i="2"/>
  <c r="A788" i="19" s="1"/>
  <c r="X31" i="2"/>
  <c r="A771" i="19" s="1"/>
  <c r="R248" i="2"/>
  <c r="R247" i="2"/>
  <c r="J128" i="2" a="1"/>
  <c r="J128" i="2" s="1"/>
  <c r="T128" i="2" s="1"/>
  <c r="J130" i="2" a="1"/>
  <c r="J130" i="2" s="1"/>
  <c r="J131" i="2" a="1"/>
  <c r="J131" i="2" s="1"/>
  <c r="T131" i="2" s="1"/>
  <c r="J127" i="2" a="1"/>
  <c r="J127" i="2" s="1"/>
  <c r="A789" i="19" l="1"/>
  <c r="A29" i="19"/>
  <c r="J614" i="2"/>
  <c r="V614" i="2" s="1"/>
  <c r="X614" i="2" s="1"/>
  <c r="A805" i="19"/>
  <c r="A84" i="19"/>
  <c r="A81" i="19"/>
  <c r="A82" i="19"/>
  <c r="I32" i="1"/>
  <c r="I31" i="1" s="1"/>
  <c r="X247" i="2"/>
  <c r="X128" i="2"/>
  <c r="A868" i="19" s="1"/>
  <c r="X248" i="2"/>
  <c r="A986" i="19" s="1"/>
  <c r="X131" i="2"/>
  <c r="S130" i="2"/>
  <c r="S127" i="2"/>
  <c r="J122" i="2" a="1"/>
  <c r="J122" i="2" s="1"/>
  <c r="T122" i="2" s="1"/>
  <c r="X122" i="2" s="1"/>
  <c r="J121" i="2" a="1"/>
  <c r="J121" i="2" s="1"/>
  <c r="A862" i="19" l="1"/>
  <c r="A122" i="19"/>
  <c r="A782" i="19"/>
  <c r="A131" i="19"/>
  <c r="A345" i="19"/>
  <c r="A735" i="19"/>
  <c r="A773" i="19"/>
  <c r="A40" i="19"/>
  <c r="A34" i="19"/>
  <c r="A37" i="19"/>
  <c r="A800" i="19"/>
  <c r="X127" i="2"/>
  <c r="X130" i="2"/>
  <c r="K14" i="1"/>
  <c r="S121" i="2"/>
  <c r="X121" i="2" s="1"/>
  <c r="A772" i="19" l="1"/>
  <c r="A861" i="19"/>
  <c r="A781" i="19"/>
  <c r="A870" i="19"/>
  <c r="A778" i="19"/>
  <c r="A867" i="19"/>
  <c r="A39" i="19"/>
  <c r="A33" i="19"/>
  <c r="A36" i="19"/>
  <c r="J14" i="1"/>
  <c r="J187" i="2" a="1"/>
  <c r="J187" i="2" s="1"/>
  <c r="S187" i="2" l="1"/>
  <c r="X187" i="2" l="1"/>
  <c r="A927" i="19" s="1"/>
  <c r="J193" i="2" a="1"/>
  <c r="J193" i="2" s="1"/>
  <c r="J188" i="2" a="1"/>
  <c r="J188" i="2" s="1"/>
  <c r="J194" i="2" a="1"/>
  <c r="J194" i="2" s="1"/>
  <c r="T194" i="2" s="1"/>
  <c r="A42" i="19" l="1"/>
  <c r="A790" i="19"/>
  <c r="J613" i="2"/>
  <c r="X194" i="2"/>
  <c r="S193" i="2"/>
  <c r="T188" i="2"/>
  <c r="A58" i="19" l="1"/>
  <c r="A934" i="19"/>
  <c r="A804" i="19"/>
  <c r="X188" i="2"/>
  <c r="X193" i="2"/>
  <c r="J9" i="1"/>
  <c r="V613" i="2"/>
  <c r="K9" i="1"/>
  <c r="A43" i="19" l="1"/>
  <c r="A791" i="19"/>
  <c r="A57" i="19"/>
  <c r="A796" i="19"/>
  <c r="A51" i="19"/>
  <c r="A49" i="19"/>
  <c r="A45" i="19"/>
  <c r="A48" i="19"/>
  <c r="A46" i="19"/>
  <c r="A797" i="19"/>
  <c r="X613" i="2"/>
  <c r="A344" i="19" l="1"/>
  <c r="A798" i="19"/>
  <c r="G61" i="1" l="1"/>
  <c r="Q7" i="20" s="1"/>
  <c r="G36" i="1"/>
  <c r="Q3" i="20" s="1"/>
  <c r="G34" i="1"/>
  <c r="Q2" i="20" s="1"/>
  <c r="G59" i="1"/>
  <c r="Q6" i="20" l="1"/>
  <c r="Q59" i="1"/>
  <c r="K66" i="1"/>
  <c r="J66" i="1" l="1"/>
  <c r="G66" i="1" s="1"/>
  <c r="Q8" i="20" s="1"/>
  <c r="J22" i="2" l="1" a="1"/>
  <c r="J22" i="2" s="1"/>
  <c r="T22" i="2" s="1"/>
  <c r="X22" i="2" s="1"/>
  <c r="J21" i="2" a="1"/>
  <c r="J21" i="2" s="1"/>
  <c r="A818" i="19" l="1"/>
  <c r="A20" i="19"/>
  <c r="A79" i="19"/>
  <c r="A780" i="19"/>
  <c r="J616" i="2"/>
  <c r="V616" i="2" s="1"/>
  <c r="X616" i="2" s="1"/>
  <c r="A67" i="19"/>
  <c r="A70" i="19"/>
  <c r="S21" i="2"/>
  <c r="X21" i="2" s="1"/>
  <c r="A817" i="19" s="1"/>
  <c r="A64" i="19"/>
  <c r="K19" i="1"/>
  <c r="A346" i="19" l="1"/>
  <c r="A347" i="19"/>
  <c r="A78" i="19"/>
  <c r="A779" i="19"/>
  <c r="A576" i="19"/>
  <c r="A72" i="19"/>
  <c r="A66" i="19"/>
  <c r="A69" i="19"/>
  <c r="A801" i="19"/>
  <c r="A555" i="19"/>
  <c r="A63" i="19"/>
  <c r="J19" i="1"/>
  <c r="A16" i="19" l="1"/>
  <c r="A13" i="19"/>
  <c r="A15" i="19" l="1"/>
  <c r="A582" i="19"/>
  <c r="A579" i="19"/>
  <c r="A562" i="19"/>
  <c r="A549" i="19"/>
  <c r="A806" i="19"/>
  <c r="A546" i="19"/>
  <c r="A12" i="19"/>
  <c r="R675" i="2"/>
  <c r="X675" i="2" s="1"/>
  <c r="A406" i="19" s="1"/>
  <c r="A404" i="19" l="1"/>
  <c r="A316" i="19"/>
  <c r="A583" i="19"/>
  <c r="A403" i="19"/>
  <c r="A577" i="19"/>
  <c r="A580" i="19"/>
  <c r="A574" i="19"/>
  <c r="A558" i="19"/>
  <c r="A552" i="19"/>
  <c r="A563" i="19"/>
  <c r="A824" i="19"/>
  <c r="A581" i="19"/>
  <c r="A578" i="19"/>
  <c r="A561" i="19"/>
  <c r="A543" i="19"/>
  <c r="A584" i="19" l="1"/>
  <c r="T202" i="2" l="1"/>
  <c r="X202" i="2" l="1"/>
  <c r="A940" i="19" s="1"/>
  <c r="S201" i="2"/>
  <c r="X201" i="2" l="1"/>
  <c r="A941" i="19" s="1"/>
  <c r="A939" i="19" l="1"/>
  <c r="A125" i="19"/>
  <c r="S204" i="2"/>
  <c r="X204" i="2" l="1"/>
  <c r="A944" i="19" s="1"/>
  <c r="A942" i="19" l="1"/>
  <c r="A128" i="19"/>
  <c r="T205" i="2"/>
  <c r="X205" i="2" l="1"/>
  <c r="A943" i="19" l="1"/>
  <c r="A945" i="19"/>
  <c r="S232" i="2"/>
  <c r="X232" i="2" l="1"/>
  <c r="A970" i="19" l="1"/>
  <c r="A972" i="19"/>
  <c r="T242" i="2"/>
  <c r="X242" i="2" s="1"/>
  <c r="A980" i="19" s="1"/>
  <c r="S241" i="2"/>
  <c r="X241" i="2" s="1"/>
  <c r="J239" i="2" a="1"/>
  <c r="J239" i="2" s="1"/>
  <c r="T239" i="2" s="1"/>
  <c r="J238" i="2" a="1"/>
  <c r="J238" i="2" s="1"/>
  <c r="A981" i="19" l="1"/>
  <c r="S238" i="2"/>
  <c r="X239" i="2"/>
  <c r="A977" i="19" s="1"/>
  <c r="A979" i="19" l="1"/>
  <c r="X238" i="2"/>
  <c r="A978" i="19" s="1"/>
  <c r="A976" i="19" l="1"/>
  <c r="T245" i="2" l="1"/>
  <c r="S244" i="2" l="1"/>
  <c r="X245" i="2"/>
  <c r="A985" i="19" s="1"/>
  <c r="A206" i="19" l="1"/>
  <c r="A983" i="19"/>
  <c r="A203" i="19"/>
  <c r="X244" i="2"/>
  <c r="A984" i="19" s="1"/>
  <c r="T250" i="2"/>
  <c r="A205" i="19" l="1"/>
  <c r="A982" i="19"/>
  <c r="A204" i="19"/>
  <c r="A202" i="19"/>
  <c r="S249" i="2"/>
  <c r="X250" i="2"/>
  <c r="A988" i="19" s="1"/>
  <c r="A208" i="19" l="1"/>
  <c r="X249" i="2"/>
  <c r="T253" i="2"/>
  <c r="J252" i="2" a="1"/>
  <c r="J252" i="2" s="1"/>
  <c r="A987" i="19" l="1"/>
  <c r="A989" i="19"/>
  <c r="A209" i="19"/>
  <c r="A207" i="19"/>
  <c r="S252" i="2"/>
  <c r="X253" i="2"/>
  <c r="A991" i="19" s="1"/>
  <c r="A211" i="19" l="1"/>
  <c r="X252" i="2"/>
  <c r="T256" i="2"/>
  <c r="A990" i="19" l="1"/>
  <c r="A992" i="19"/>
  <c r="A212" i="19"/>
  <c r="A210" i="19"/>
  <c r="X256" i="2"/>
  <c r="S255" i="2"/>
  <c r="A994" i="19" l="1"/>
  <c r="A996" i="19"/>
  <c r="A214" i="19"/>
  <c r="X255" i="2"/>
  <c r="J32" i="1"/>
  <c r="J31" i="1" s="1"/>
  <c r="A216" i="19" l="1"/>
  <c r="A993" i="19"/>
  <c r="A213" i="19"/>
  <c r="R262" i="2" l="1"/>
  <c r="W262" i="2" l="1"/>
  <c r="X262" i="2" s="1"/>
  <c r="V726" i="2" l="1"/>
  <c r="X726" i="2" s="1"/>
  <c r="A220" i="19"/>
  <c r="A521" i="19" l="1"/>
  <c r="A457" i="19"/>
  <c r="A585" i="19"/>
  <c r="A588" i="19" l="1"/>
  <c r="J264" i="2" a="1"/>
  <c r="J264" i="2" s="1"/>
  <c r="R264" i="2" s="1"/>
  <c r="W264" i="2" s="1"/>
  <c r="X264" i="2" s="1"/>
  <c r="A1002" i="19" s="1"/>
  <c r="J265" i="2" a="1"/>
  <c r="J265" i="2" s="1"/>
  <c r="R265" i="2" s="1"/>
  <c r="J266" i="2" a="1"/>
  <c r="J266" i="2" s="1"/>
  <c r="R266" i="2" s="1"/>
  <c r="W266" i="2" s="1"/>
  <c r="X266" i="2" s="1"/>
  <c r="A1004" i="19" l="1"/>
  <c r="W265" i="2"/>
  <c r="X265" i="2" s="1"/>
  <c r="A1003" i="19" s="1"/>
  <c r="A221" i="19" l="1"/>
  <c r="A218" i="19"/>
  <c r="A219" i="19"/>
  <c r="A591" i="19" l="1"/>
  <c r="J270" i="2" a="1"/>
  <c r="J270" i="2" s="1"/>
  <c r="R270" i="2" s="1"/>
  <c r="W270" i="2" s="1"/>
  <c r="X270" i="2" s="1"/>
  <c r="J269" i="2" a="1"/>
  <c r="J269" i="2" s="1"/>
  <c r="R269" i="2" s="1"/>
  <c r="W269" i="2" s="1"/>
  <c r="X269" i="2" s="1"/>
  <c r="A226" i="19" l="1"/>
  <c r="J272" i="2" l="1" a="1"/>
  <c r="J272" i="2" s="1"/>
  <c r="R272" i="2" s="1"/>
  <c r="J271" i="2" a="1"/>
  <c r="J271" i="2" s="1"/>
  <c r="R271" i="2" s="1"/>
  <c r="W271" i="2" s="1"/>
  <c r="A592" i="19" l="1"/>
  <c r="X271" i="2"/>
  <c r="W272" i="2"/>
  <c r="X272" i="2" s="1"/>
  <c r="A1010" i="19" s="1"/>
  <c r="A1009" i="19" l="1"/>
  <c r="A595" i="19" l="1"/>
  <c r="A589" i="19"/>
  <c r="A590" i="19"/>
  <c r="J275" i="2" l="1" a="1"/>
  <c r="J275" i="2" s="1"/>
  <c r="J277" i="2" a="1"/>
  <c r="J277" i="2" s="1"/>
  <c r="R277" i="2" s="1"/>
  <c r="J276" i="2" a="1"/>
  <c r="J276" i="2" s="1"/>
  <c r="R276" i="2" s="1"/>
  <c r="V725" i="2" l="1"/>
  <c r="X725" i="2" s="1"/>
  <c r="A520" i="19" s="1"/>
  <c r="V727" i="2"/>
  <c r="X727" i="2" s="1"/>
  <c r="A458" i="19" s="1"/>
  <c r="W276" i="2"/>
  <c r="X276" i="2" s="1"/>
  <c r="W277" i="2"/>
  <c r="X277" i="2" s="1"/>
  <c r="A279" i="19" s="1"/>
  <c r="R275" i="2"/>
  <c r="A456" i="19" l="1"/>
  <c r="A522" i="19"/>
  <c r="A727" i="19"/>
  <c r="A454" i="19"/>
  <c r="A587" i="19"/>
  <c r="A455" i="19"/>
  <c r="A586" i="19"/>
  <c r="A453" i="19"/>
  <c r="A278" i="19"/>
  <c r="W275" i="2"/>
  <c r="A594" i="19" l="1"/>
  <c r="A593" i="19"/>
  <c r="X275" i="2"/>
  <c r="A277" i="19" l="1"/>
  <c r="A246" i="19"/>
  <c r="A826" i="19" l="1"/>
  <c r="A825" i="19" l="1"/>
  <c r="R527" i="2"/>
  <c r="X527" i="2" s="1"/>
  <c r="A444" i="19" s="1"/>
  <c r="I74" i="1"/>
  <c r="I73" i="1" s="1"/>
  <c r="T529" i="2"/>
  <c r="X529" i="2" s="1"/>
  <c r="A446" i="19" s="1"/>
  <c r="S528" i="2"/>
  <c r="X528" i="2" s="1"/>
  <c r="A445" i="19" s="1"/>
  <c r="T532" i="2"/>
  <c r="A853" i="19" l="1"/>
  <c r="A854" i="19"/>
  <c r="A529" i="19"/>
  <c r="A855" i="19"/>
  <c r="A858" i="19"/>
  <c r="A846" i="19"/>
  <c r="A852" i="19"/>
  <c r="A829" i="19"/>
  <c r="A827" i="19"/>
  <c r="A828" i="19"/>
  <c r="S531" i="2"/>
  <c r="X532" i="2"/>
  <c r="A449" i="19" s="1"/>
  <c r="A857" i="19" l="1"/>
  <c r="A845" i="19"/>
  <c r="A848" i="19"/>
  <c r="A841" i="19"/>
  <c r="A832" i="19"/>
  <c r="A835" i="19"/>
  <c r="X531" i="2"/>
  <c r="A448" i="19" s="1"/>
  <c r="A859" i="19" l="1"/>
  <c r="A856" i="19"/>
  <c r="A847" i="19"/>
  <c r="A844" i="19"/>
  <c r="A838" i="19"/>
  <c r="A137" i="19"/>
  <c r="A85" i="19" l="1"/>
  <c r="J54" i="2" a="1"/>
  <c r="J54" i="2" s="1"/>
  <c r="J55" i="2" a="1"/>
  <c r="J55" i="2" s="1"/>
  <c r="T55" i="2" s="1"/>
  <c r="J607" i="2" l="1"/>
  <c r="V607" i="2" s="1"/>
  <c r="X607" i="2" s="1"/>
  <c r="A337" i="19" s="1"/>
  <c r="S54" i="2"/>
  <c r="X55" i="2"/>
  <c r="A795" i="19" l="1"/>
  <c r="A55" i="19"/>
  <c r="A851" i="19"/>
  <c r="A53" i="19"/>
  <c r="A100" i="19"/>
  <c r="A564" i="19"/>
  <c r="A567" i="19"/>
  <c r="A94" i="19"/>
  <c r="A97" i="19"/>
  <c r="A88" i="19"/>
  <c r="A91" i="19"/>
  <c r="X54" i="2"/>
  <c r="A794" i="19" l="1"/>
  <c r="A54" i="19"/>
  <c r="A850" i="19"/>
  <c r="A52" i="19"/>
  <c r="A96" i="19"/>
  <c r="A99" i="19"/>
  <c r="A90" i="19"/>
  <c r="A93" i="19"/>
  <c r="A87" i="19"/>
  <c r="A556" i="19" l="1"/>
  <c r="A559" i="19"/>
  <c r="A550" i="19"/>
  <c r="A553" i="19"/>
  <c r="A544" i="19"/>
  <c r="A547" i="19"/>
  <c r="A539" i="19"/>
  <c r="A531" i="19"/>
  <c r="J76" i="2" a="1"/>
  <c r="J76" i="2" s="1"/>
  <c r="T76" i="2" s="1"/>
  <c r="J75" i="2" a="1"/>
  <c r="J75" i="2" s="1"/>
  <c r="J608" i="2" l="1"/>
  <c r="V608" i="2" s="1"/>
  <c r="X608" i="2" s="1"/>
  <c r="V610" i="2"/>
  <c r="X610" i="2" s="1"/>
  <c r="A341" i="19" s="1"/>
  <c r="S75" i="2"/>
  <c r="K20" i="1"/>
  <c r="K17" i="1" s="1"/>
  <c r="X76" i="2"/>
  <c r="A76" i="19" s="1"/>
  <c r="A74" i="19" l="1"/>
  <c r="A816" i="19"/>
  <c r="A339" i="19"/>
  <c r="A249" i="19"/>
  <c r="A872" i="19"/>
  <c r="A573" i="19"/>
  <c r="A565" i="19"/>
  <c r="A338" i="19"/>
  <c r="A130" i="19"/>
  <c r="A133" i="19"/>
  <c r="A569" i="19"/>
  <c r="A570" i="19"/>
  <c r="H40" i="1"/>
  <c r="A121" i="19"/>
  <c r="A127" i="19"/>
  <c r="A560" i="19"/>
  <c r="A566" i="19"/>
  <c r="A115" i="19"/>
  <c r="A118" i="19"/>
  <c r="A554" i="19"/>
  <c r="A557" i="19"/>
  <c r="A109" i="19"/>
  <c r="A112" i="19"/>
  <c r="A548" i="19"/>
  <c r="A551" i="19"/>
  <c r="A542" i="19"/>
  <c r="A545" i="19"/>
  <c r="A540" i="19"/>
  <c r="A541" i="19"/>
  <c r="A106" i="19"/>
  <c r="A103" i="19"/>
  <c r="A532" i="19"/>
  <c r="X75" i="2"/>
  <c r="J20" i="1"/>
  <c r="J17" i="1" s="1"/>
  <c r="G17" i="1" s="1"/>
  <c r="Q17" i="1" s="1"/>
  <c r="A815" i="19" l="1"/>
  <c r="A75" i="19"/>
  <c r="A871" i="19"/>
  <c r="A73" i="19"/>
  <c r="A132" i="19"/>
  <c r="A126" i="19"/>
  <c r="A129" i="19"/>
  <c r="A117" i="19"/>
  <c r="A120" i="19"/>
  <c r="A111" i="19"/>
  <c r="A114" i="19"/>
  <c r="A102" i="19"/>
  <c r="A108" i="19"/>
  <c r="A105" i="19"/>
  <c r="J3" i="20"/>
  <c r="A707" i="19" l="1"/>
  <c r="A245" i="19" l="1"/>
  <c r="A244" i="19"/>
  <c r="A145" i="19"/>
  <c r="A144" i="19"/>
  <c r="A248" i="19"/>
  <c r="A247" i="19"/>
  <c r="A250" i="19"/>
  <c r="A251" i="19"/>
  <c r="A159" i="19"/>
  <c r="A160" i="19"/>
  <c r="A162" i="19"/>
  <c r="A164" i="19"/>
  <c r="A165" i="19"/>
  <c r="A163" i="19"/>
  <c r="A166" i="19"/>
  <c r="A161" i="19"/>
  <c r="J729" i="2" l="1" a="1"/>
  <c r="J729" i="2" s="1"/>
  <c r="S729" i="2" l="1"/>
  <c r="X729" i="2" l="1"/>
  <c r="J55" i="1"/>
  <c r="J51" i="1" s="1"/>
  <c r="J730" i="2" a="1"/>
  <c r="J730" i="2" s="1"/>
  <c r="A349" i="19" l="1"/>
  <c r="A460" i="19"/>
  <c r="A467" i="19"/>
  <c r="T730" i="2"/>
  <c r="J799" i="2"/>
  <c r="V799" i="2" l="1"/>
  <c r="X799" i="2" s="1"/>
  <c r="X730" i="2"/>
  <c r="A733" i="19" s="1"/>
  <c r="K55" i="1"/>
  <c r="K51" i="1" s="1"/>
  <c r="A802" i="19" l="1"/>
  <c r="A799" i="19"/>
  <c r="H57" i="1"/>
  <c r="H51" i="1" s="1"/>
  <c r="G51" i="1" s="1"/>
  <c r="Q5" i="20" s="1"/>
  <c r="A530" i="19"/>
  <c r="A803" i="19"/>
  <c r="A350" i="19"/>
  <c r="A461" i="19"/>
  <c r="A810" i="19"/>
  <c r="A811" i="19"/>
  <c r="A469" i="19"/>
  <c r="A741" i="19"/>
  <c r="A813" i="19"/>
  <c r="A538" i="19"/>
  <c r="A809" i="19"/>
  <c r="A812" i="19"/>
  <c r="A468" i="19"/>
  <c r="A768" i="19"/>
  <c r="A743" i="19"/>
  <c r="A765" i="19"/>
  <c r="A762" i="19"/>
  <c r="A759" i="19"/>
  <c r="A756" i="19"/>
  <c r="A754" i="19"/>
  <c r="A755" i="19"/>
  <c r="A752" i="19"/>
  <c r="A753" i="19"/>
  <c r="A749" i="19"/>
  <c r="A751" i="19"/>
  <c r="A748" i="19"/>
  <c r="A750" i="19"/>
  <c r="A744" i="19"/>
  <c r="A746" i="19"/>
  <c r="A740" i="19"/>
  <c r="A742" i="19"/>
  <c r="A736" i="19"/>
  <c r="A738" i="19"/>
  <c r="A734" i="19"/>
  <c r="A730" i="19"/>
  <c r="A724" i="19"/>
  <c r="A716" i="19"/>
  <c r="A718" i="19"/>
  <c r="A713" i="19"/>
  <c r="A714" i="19"/>
  <c r="A215" i="19"/>
  <c r="J257" i="2" a="1"/>
  <c r="J257" i="2" s="1"/>
  <c r="R257" i="2" l="1"/>
  <c r="W257" i="2" l="1"/>
  <c r="X257" i="2" s="1"/>
  <c r="A995" i="19" s="1"/>
  <c r="J534" i="2" a="1"/>
  <c r="J534" i="2" s="1"/>
  <c r="S534" i="2" s="1"/>
  <c r="X534" i="2" l="1"/>
  <c r="A451" i="19" s="1"/>
  <c r="J535" i="2" a="1"/>
  <c r="J535" i="2" s="1"/>
  <c r="A533" i="19" l="1"/>
  <c r="V612" i="2"/>
  <c r="T535" i="2"/>
  <c r="X612" i="2" l="1"/>
  <c r="H41" i="1"/>
  <c r="X535" i="2"/>
  <c r="A452" i="19" s="1"/>
  <c r="A537" i="19" l="1"/>
  <c r="A534" i="19"/>
  <c r="A343" i="19"/>
  <c r="A535" i="19"/>
  <c r="A536" i="19"/>
  <c r="A572" i="19"/>
  <c r="A575" i="19"/>
  <c r="A571" i="19"/>
  <c r="A568" i="19"/>
  <c r="S683" i="2"/>
  <c r="X683" i="2" s="1"/>
  <c r="A414" i="19" s="1"/>
  <c r="S679" i="2"/>
  <c r="X679" i="2" s="1"/>
  <c r="A410" i="19" s="1"/>
  <c r="S687" i="2"/>
  <c r="A408" i="19" l="1"/>
  <c r="A320" i="19"/>
  <c r="A412" i="19"/>
  <c r="A324" i="19"/>
  <c r="A596" i="19"/>
  <c r="A407" i="19"/>
  <c r="A597" i="19"/>
  <c r="A411" i="19"/>
  <c r="X687" i="2"/>
  <c r="A418" i="19" s="1"/>
  <c r="S691" i="2"/>
  <c r="S695" i="2"/>
  <c r="R691" i="2"/>
  <c r="R695" i="2"/>
  <c r="S699" i="2"/>
  <c r="X699" i="2" s="1"/>
  <c r="S701" i="2"/>
  <c r="X701" i="2" s="1"/>
  <c r="A342" i="19" l="1"/>
  <c r="A432" i="19"/>
  <c r="A700" i="19"/>
  <c r="A340" i="19"/>
  <c r="A416" i="19"/>
  <c r="A328" i="19"/>
  <c r="A702" i="19"/>
  <c r="A428" i="19"/>
  <c r="A705" i="19"/>
  <c r="A430" i="19"/>
  <c r="A690" i="19"/>
  <c r="A703" i="19"/>
  <c r="A704" i="19"/>
  <c r="A427" i="19"/>
  <c r="A701" i="19"/>
  <c r="A598" i="19"/>
  <c r="A415" i="19"/>
  <c r="A602" i="19"/>
  <c r="A429" i="19"/>
  <c r="I48" i="1"/>
  <c r="I38" i="1" s="1"/>
  <c r="X695" i="2"/>
  <c r="A426" i="19" s="1"/>
  <c r="A604" i="19"/>
  <c r="X691" i="2"/>
  <c r="A422" i="19" s="1"/>
  <c r="A608" i="19"/>
  <c r="A691" i="19" l="1"/>
  <c r="A692" i="19"/>
  <c r="A332" i="19"/>
  <c r="A696" i="19"/>
  <c r="A336" i="19"/>
  <c r="A695" i="19"/>
  <c r="A420" i="19"/>
  <c r="A699" i="19"/>
  <c r="A424" i="19"/>
  <c r="A693" i="19"/>
  <c r="A694" i="19"/>
  <c r="A697" i="19"/>
  <c r="A698" i="19"/>
  <c r="A599" i="19"/>
  <c r="A419" i="19"/>
  <c r="A600" i="19"/>
  <c r="A423" i="19"/>
  <c r="A607" i="19"/>
  <c r="A606" i="19"/>
  <c r="A605" i="19"/>
  <c r="A603" i="19"/>
  <c r="A601" i="19"/>
  <c r="A610" i="19"/>
  <c r="A609" i="19"/>
  <c r="A611" i="19"/>
  <c r="A612" i="19"/>
  <c r="A613" i="19"/>
  <c r="A614" i="19"/>
  <c r="A616" i="19"/>
  <c r="A615" i="19"/>
  <c r="A618" i="19"/>
  <c r="A617" i="19"/>
  <c r="A619" i="19"/>
  <c r="A620" i="19"/>
  <c r="A632" i="19"/>
  <c r="A633" i="19"/>
  <c r="A634" i="19"/>
  <c r="A636" i="19"/>
  <c r="A635" i="19"/>
  <c r="A638" i="19"/>
  <c r="A637" i="19"/>
  <c r="A639" i="19"/>
  <c r="A640" i="19"/>
  <c r="A642" i="19"/>
  <c r="H48" i="1"/>
  <c r="A650" i="19" l="1"/>
  <c r="A665" i="19"/>
  <c r="A662" i="19"/>
  <c r="A649" i="19"/>
  <c r="A656" i="19"/>
  <c r="A643" i="19"/>
  <c r="A646" i="19"/>
  <c r="A644" i="19"/>
  <c r="A660" i="19"/>
  <c r="A641" i="19"/>
  <c r="A647" i="19"/>
  <c r="A648" i="19"/>
  <c r="A645" i="19"/>
  <c r="J48" i="1"/>
  <c r="J38" i="1" s="1"/>
  <c r="A651" i="19"/>
  <c r="K48" i="1"/>
  <c r="K38" i="1" s="1"/>
  <c r="A668" i="19" l="1"/>
  <c r="A667" i="19"/>
  <c r="A666" i="19"/>
  <c r="A661" i="19"/>
  <c r="A659" i="19"/>
  <c r="A658" i="19"/>
  <c r="A657" i="19"/>
  <c r="A655" i="19"/>
  <c r="A654" i="19"/>
  <c r="A653" i="19"/>
  <c r="A652" i="19"/>
  <c r="A669" i="19"/>
  <c r="A670" i="19"/>
  <c r="A671" i="19"/>
  <c r="A674" i="19"/>
  <c r="A675" i="19"/>
  <c r="A676" i="19"/>
  <c r="A677" i="19"/>
  <c r="A678" i="19"/>
  <c r="A679" i="19"/>
  <c r="A680" i="19"/>
  <c r="A683" i="19"/>
  <c r="A684" i="19"/>
  <c r="A685" i="19"/>
  <c r="A686" i="19"/>
  <c r="A687" i="19"/>
  <c r="A688" i="19"/>
  <c r="A689" i="19"/>
  <c r="J273" i="2" a="1"/>
  <c r="J273" i="2" s="1"/>
  <c r="R273" i="2" l="1"/>
  <c r="A681" i="19" l="1"/>
  <c r="W273" i="2"/>
  <c r="X273" i="2" s="1"/>
  <c r="A1013" i="19" s="1"/>
  <c r="J274" i="2" a="1"/>
  <c r="J274" i="2" s="1"/>
  <c r="A1011" i="19" l="1"/>
  <c r="A271" i="19"/>
  <c r="A663" i="19"/>
  <c r="A672" i="19"/>
  <c r="R274" i="2"/>
  <c r="W274" i="2" l="1"/>
  <c r="A682" i="19"/>
  <c r="H50" i="1"/>
  <c r="A664" i="19" l="1"/>
  <c r="A673" i="19"/>
  <c r="X274" i="2"/>
  <c r="A274" i="19" s="1"/>
  <c r="A1012" i="19" l="1"/>
  <c r="A273" i="19"/>
  <c r="A275" i="19"/>
  <c r="A276" i="19"/>
  <c r="A272" i="19"/>
  <c r="J233" i="2" l="1" a="1"/>
  <c r="J233" i="2" s="1"/>
  <c r="T233" i="2" s="1"/>
  <c r="X233" i="2" l="1"/>
  <c r="A973" i="19" s="1"/>
  <c r="J267" i="2" a="1"/>
  <c r="J267" i="2" s="1"/>
  <c r="R267" i="2" s="1"/>
  <c r="A971" i="19" l="1"/>
  <c r="W267" i="2"/>
  <c r="X267" i="2" l="1"/>
  <c r="A1007" i="19" s="1"/>
  <c r="J268" i="2" a="1"/>
  <c r="J268" i="2" s="1"/>
  <c r="R268" i="2" s="1"/>
  <c r="A1005" i="19" l="1"/>
  <c r="W268" i="2"/>
  <c r="X268" i="2" l="1"/>
  <c r="A217" i="19"/>
  <c r="J229" i="2" a="1"/>
  <c r="J229" i="2" s="1"/>
  <c r="T229" i="2" s="1"/>
  <c r="A268" i="19" l="1"/>
  <c r="A1008" i="19"/>
  <c r="A1006" i="19"/>
  <c r="A267" i="19"/>
  <c r="A269" i="19"/>
  <c r="A270" i="19"/>
  <c r="K32" i="1"/>
  <c r="K31" i="1" s="1"/>
  <c r="G31" i="1" s="1"/>
  <c r="G30" i="1" s="1"/>
  <c r="Q30" i="1" s="1"/>
  <c r="X229" i="2"/>
  <c r="A969" i="19" s="1"/>
  <c r="J259" i="2" a="1"/>
  <c r="J259" i="2" s="1"/>
  <c r="R259" i="2" s="1"/>
  <c r="A229" i="19" l="1"/>
  <c r="A967" i="19"/>
  <c r="A230" i="19"/>
  <c r="B3" i="20"/>
  <c r="W259" i="2"/>
  <c r="X259" i="2" s="1"/>
  <c r="J260" i="2" a="1"/>
  <c r="J260" i="2" s="1"/>
  <c r="R260" i="2" s="1"/>
  <c r="A997" i="19" l="1"/>
  <c r="A254" i="19"/>
  <c r="A257" i="19"/>
  <c r="W260" i="2"/>
  <c r="X260" i="2" l="1"/>
  <c r="A1000" i="19" s="1"/>
  <c r="J261" i="2" a="1"/>
  <c r="J261" i="2" s="1"/>
  <c r="R261" i="2" s="1"/>
  <c r="A998" i="19" l="1"/>
  <c r="A255" i="19"/>
  <c r="A258" i="19"/>
  <c r="W261" i="2"/>
  <c r="N31" i="1" s="1"/>
  <c r="X261" i="2" l="1"/>
  <c r="A261" i="19" l="1"/>
  <c r="A1001" i="19"/>
  <c r="A999" i="19"/>
  <c r="A260" i="19"/>
  <c r="A256" i="19"/>
  <c r="A259" i="19"/>
  <c r="A186" i="19"/>
  <c r="A187" i="19"/>
  <c r="A188" i="19"/>
  <c r="A169" i="19"/>
  <c r="A168" i="19"/>
  <c r="A167" i="19"/>
  <c r="J139" i="2" a="1"/>
  <c r="J139" i="2" s="1"/>
  <c r="T139" i="2" s="1"/>
  <c r="A171" i="19"/>
  <c r="J140" i="2" a="1"/>
  <c r="J140" i="2" s="1"/>
  <c r="S140" i="2" s="1"/>
  <c r="J141" i="2" a="1"/>
  <c r="J141" i="2" s="1"/>
  <c r="T141" i="2" s="1"/>
  <c r="K12" i="1" s="1"/>
  <c r="J143" i="2" a="1"/>
  <c r="J143" i="2" s="1"/>
  <c r="T143" i="2" s="1"/>
  <c r="A170" i="19"/>
  <c r="J142" i="2" a="1"/>
  <c r="J142" i="2" s="1"/>
  <c r="S142" i="2" s="1"/>
  <c r="J138" i="2" a="1"/>
  <c r="J138" i="2" s="1"/>
  <c r="S138" i="2" s="1"/>
  <c r="J7" i="1" l="1"/>
  <c r="X142" i="2"/>
  <c r="X143" i="2"/>
  <c r="K7" i="1"/>
  <c r="X141" i="2"/>
  <c r="X139" i="2"/>
  <c r="A139" i="19" s="1"/>
  <c r="K16" i="1"/>
  <c r="X138" i="2"/>
  <c r="J16" i="1"/>
  <c r="J12" i="1"/>
  <c r="X140" i="2"/>
  <c r="A140" i="19" s="1"/>
  <c r="A808" i="19"/>
  <c r="A807" i="19"/>
  <c r="A728" i="19"/>
  <c r="A723" i="19"/>
  <c r="A731" i="19"/>
  <c r="A726" i="19"/>
  <c r="A720" i="19"/>
  <c r="A732" i="19"/>
  <c r="A725" i="19"/>
  <c r="A722" i="19"/>
  <c r="A719" i="19"/>
  <c r="A729" i="19"/>
  <c r="A351" i="19"/>
  <c r="A878" i="19" l="1"/>
  <c r="A138" i="19"/>
  <c r="A881" i="19"/>
  <c r="A141" i="19"/>
  <c r="A883" i="19"/>
  <c r="A143" i="19"/>
  <c r="A882" i="19"/>
  <c r="A142" i="19"/>
  <c r="A223" i="19"/>
  <c r="A879" i="19"/>
  <c r="A224" i="19"/>
  <c r="A880" i="19"/>
  <c r="A931" i="19"/>
  <c r="A225" i="19"/>
  <c r="A933" i="19"/>
  <c r="A228" i="19"/>
  <c r="A932" i="19"/>
  <c r="A227" i="19"/>
  <c r="A189" i="19"/>
  <c r="A222" i="19"/>
  <c r="A929" i="19"/>
  <c r="A190" i="19"/>
  <c r="A193" i="19"/>
  <c r="A930" i="19"/>
  <c r="A191" i="19"/>
  <c r="A928" i="19"/>
  <c r="A192" i="19"/>
  <c r="A194" i="19"/>
  <c r="A196" i="19"/>
  <c r="A197" i="19"/>
  <c r="A195" i="19"/>
  <c r="A630" i="19" l="1"/>
  <c r="T526" i="2" l="1"/>
  <c r="J525" i="2" a="1"/>
  <c r="J525" i="2" s="1"/>
  <c r="S525" i="2" l="1"/>
  <c r="X526" i="2"/>
  <c r="A443" i="19" s="1"/>
  <c r="K74" i="1"/>
  <c r="K73" i="1" s="1"/>
  <c r="A253" i="19" l="1"/>
  <c r="A528" i="19"/>
  <c r="X525" i="2"/>
  <c r="J74" i="1"/>
  <c r="J73" i="1" s="1"/>
  <c r="G73" i="1" s="1"/>
  <c r="A524" i="19" l="1"/>
  <c r="A442" i="19"/>
  <c r="A525" i="19"/>
  <c r="A527" i="19"/>
  <c r="A252" i="19"/>
  <c r="A200" i="19"/>
  <c r="A201" i="19"/>
  <c r="Q9" i="20"/>
  <c r="A526" i="19"/>
  <c r="A631" i="19" l="1"/>
  <c r="A920" i="19" l="1"/>
  <c r="A763" i="19"/>
  <c r="A767" i="19"/>
  <c r="A760" i="19"/>
  <c r="A758" i="19"/>
  <c r="A770" i="19"/>
  <c r="A923" i="19"/>
  <c r="A914" i="19"/>
  <c r="A766" i="19"/>
  <c r="A917" i="19"/>
  <c r="A937" i="19"/>
  <c r="A764" i="19"/>
  <c r="A757" i="19"/>
  <c r="A761" i="19"/>
  <c r="A769" i="19"/>
  <c r="A18" i="19" l="1"/>
  <c r="A198" i="19" l="1"/>
  <c r="A199" i="19"/>
  <c r="A19" i="19" l="1"/>
  <c r="A21" i="19"/>
  <c r="A22" i="19"/>
  <c r="A24" i="19"/>
  <c r="A25" i="19"/>
  <c r="A27" i="19"/>
  <c r="A28" i="19"/>
  <c r="A30" i="19"/>
  <c r="A31" i="19"/>
  <c r="A174" i="19"/>
  <c r="A177" i="19"/>
  <c r="A180" i="19"/>
  <c r="A183" i="19"/>
  <c r="A262" i="19" l="1"/>
  <c r="A242" i="19"/>
  <c r="A232" i="19"/>
  <c r="A240" i="19"/>
  <c r="A235" i="19"/>
  <c r="A233" i="19"/>
  <c r="A837" i="19"/>
  <c r="A840" i="19"/>
  <c r="A264" i="19"/>
  <c r="A831" i="19"/>
  <c r="A236" i="19"/>
  <c r="A243" i="19"/>
  <c r="A238" i="19"/>
  <c r="A836" i="19"/>
  <c r="A239" i="19"/>
  <c r="A237" i="19"/>
  <c r="A830" i="19"/>
  <c r="A263" i="19"/>
  <c r="A842" i="19"/>
  <c r="A843" i="19"/>
  <c r="A266" i="19"/>
  <c r="A839" i="19"/>
  <c r="A234" i="19"/>
  <c r="A833" i="19"/>
  <c r="A834" i="19"/>
  <c r="A231" i="19"/>
  <c r="A265" i="19"/>
  <c r="A241" i="19"/>
  <c r="A918" i="19" l="1"/>
  <c r="A916" i="19"/>
  <c r="J176" i="2" a="1"/>
  <c r="J176" i="2" s="1"/>
  <c r="T176" i="2" s="1"/>
  <c r="X176" i="2" s="1"/>
  <c r="A176" i="19" s="1"/>
  <c r="A889" i="19"/>
  <c r="A897" i="19"/>
  <c r="A894" i="19"/>
  <c r="A912" i="19"/>
  <c r="A896" i="19"/>
  <c r="A356" i="19"/>
  <c r="A913" i="19"/>
  <c r="J185" i="2" a="1"/>
  <c r="J185" i="2" s="1"/>
  <c r="T185" i="2" s="1"/>
  <c r="X185" i="2" s="1"/>
  <c r="A185" i="19" s="1"/>
  <c r="A925" i="19"/>
  <c r="A888" i="19"/>
  <c r="A919" i="19"/>
  <c r="J179" i="2" a="1"/>
  <c r="J179" i="2" s="1"/>
  <c r="T179" i="2" s="1"/>
  <c r="X179" i="2" s="1"/>
  <c r="A179" i="19" s="1"/>
  <c r="A915" i="19"/>
  <c r="A898" i="19"/>
  <c r="A892" i="19"/>
  <c r="A353" i="19"/>
  <c r="J175" i="2" a="1"/>
  <c r="J175" i="2" s="1"/>
  <c r="A924" i="19"/>
  <c r="J184" i="2" a="1"/>
  <c r="J184" i="2" s="1"/>
  <c r="A893" i="19"/>
  <c r="A355" i="19"/>
  <c r="A922" i="19"/>
  <c r="J182" i="2" a="1"/>
  <c r="J182" i="2" s="1"/>
  <c r="T182" i="2" s="1"/>
  <c r="X182" i="2" s="1"/>
  <c r="A182" i="19" s="1"/>
  <c r="A921" i="19"/>
  <c r="J181" i="2" a="1"/>
  <c r="J181" i="2" s="1"/>
  <c r="A887" i="19"/>
  <c r="A890" i="19"/>
  <c r="A891" i="19"/>
  <c r="J173" i="2" a="1"/>
  <c r="J173" i="2" s="1"/>
  <c r="T173" i="2" s="1"/>
  <c r="A895" i="19"/>
  <c r="A886" i="19"/>
  <c r="J178" i="2" a="1"/>
  <c r="J178" i="2" s="1"/>
  <c r="A354" i="19"/>
  <c r="A352" i="19"/>
  <c r="J172" i="2" a="1"/>
  <c r="J172" i="2" s="1"/>
  <c r="X173" i="2" l="1"/>
  <c r="A173" i="19" s="1"/>
  <c r="K11" i="1"/>
  <c r="K4" i="1" s="1"/>
  <c r="J621" i="2"/>
  <c r="V621" i="2" s="1"/>
  <c r="S172" i="2"/>
  <c r="J625" i="2"/>
  <c r="V625" i="2" s="1"/>
  <c r="X625" i="2" s="1"/>
  <c r="A629" i="19" s="1"/>
  <c r="S184" i="2"/>
  <c r="X184" i="2" s="1"/>
  <c r="A184" i="19" s="1"/>
  <c r="J624" i="2"/>
  <c r="V624" i="2" s="1"/>
  <c r="X624" i="2" s="1"/>
  <c r="S181" i="2"/>
  <c r="X181" i="2" s="1"/>
  <c r="A181" i="19" s="1"/>
  <c r="S178" i="2"/>
  <c r="X178" i="2" s="1"/>
  <c r="A178" i="19" s="1"/>
  <c r="J623" i="2"/>
  <c r="V623" i="2" s="1"/>
  <c r="X623" i="2" s="1"/>
  <c r="A623" i="19" s="1"/>
  <c r="J622" i="2"/>
  <c r="V622" i="2" s="1"/>
  <c r="X622" i="2" s="1"/>
  <c r="A622" i="19" s="1"/>
  <c r="S175" i="2"/>
  <c r="X175" i="2" s="1"/>
  <c r="A175" i="19" s="1"/>
  <c r="A628" i="19" l="1"/>
  <c r="A627" i="19"/>
  <c r="A626" i="19"/>
  <c r="L2" i="1" a="1"/>
  <c r="L2" i="1" s="1"/>
  <c r="X172" i="2"/>
  <c r="A172" i="19" s="1"/>
  <c r="J11" i="1"/>
  <c r="J4" i="1" s="1"/>
  <c r="G4" i="1" s="1"/>
  <c r="H42" i="1"/>
  <c r="H38" i="1" s="1"/>
  <c r="G38" i="1" s="1"/>
  <c r="X621" i="2"/>
  <c r="A621" i="19" s="1"/>
  <c r="A625" i="19" l="1"/>
  <c r="A624" i="19"/>
  <c r="X149" i="2"/>
  <c r="A149" i="19" s="1"/>
  <c r="L23" i="1"/>
  <c r="G23" i="1" s="1"/>
  <c r="L78" i="1"/>
  <c r="G78" i="1" s="1"/>
  <c r="Q78" i="1" s="1"/>
  <c r="X156" i="2"/>
  <c r="A156" i="19" s="1"/>
  <c r="X153" i="2"/>
  <c r="A153" i="19" s="1"/>
  <c r="X158" i="2"/>
  <c r="A158" i="19" s="1"/>
  <c r="X151" i="2"/>
  <c r="A151" i="19" s="1"/>
  <c r="X150" i="2"/>
  <c r="A150" i="19" s="1"/>
  <c r="X152" i="2"/>
  <c r="A152" i="19" s="1"/>
  <c r="X147" i="2"/>
  <c r="A147" i="19" s="1"/>
  <c r="X146" i="2"/>
  <c r="A146" i="19" s="1"/>
  <c r="X155" i="2"/>
  <c r="A155" i="19" s="1"/>
  <c r="L27" i="1"/>
  <c r="G27" i="1" s="1"/>
  <c r="Q27" i="1" s="1"/>
  <c r="X154" i="2"/>
  <c r="A154" i="19" s="1"/>
  <c r="X157" i="2"/>
  <c r="A157" i="19" s="1"/>
  <c r="X148" i="2"/>
  <c r="A148" i="19" s="1"/>
  <c r="Q4" i="20"/>
  <c r="G33" i="1"/>
  <c r="X1014" i="2"/>
  <c r="J2" i="20"/>
  <c r="Q4" i="1"/>
  <c r="B5" i="20" l="1"/>
  <c r="J4" i="20"/>
  <c r="Q23" i="1"/>
  <c r="G3" i="1"/>
  <c r="Q3" i="1" s="1"/>
  <c r="J5" i="20"/>
  <c r="Q33" i="1"/>
  <c r="B4" i="20"/>
  <c r="F3" i="19"/>
  <c r="E14" i="19"/>
  <c r="F14" i="19"/>
  <c r="I15" i="19" s="1"/>
  <c r="D14" i="19"/>
  <c r="Q11" i="20"/>
  <c r="R4" i="20" s="1"/>
  <c r="J6" i="20" l="1"/>
  <c r="K3" i="20" s="1"/>
  <c r="G81" i="1"/>
  <c r="Q81" i="1" s="1"/>
  <c r="B2" i="20"/>
  <c r="B8" i="20" s="1"/>
  <c r="L15" i="19"/>
  <c r="M15" i="19"/>
  <c r="K15" i="19"/>
  <c r="F4" i="19"/>
  <c r="R10" i="20"/>
  <c r="R5" i="20"/>
  <c r="R8" i="20"/>
  <c r="R2" i="20"/>
  <c r="R7" i="20"/>
  <c r="R9" i="20"/>
  <c r="R6" i="20"/>
  <c r="R3" i="20"/>
  <c r="K5" i="20" l="1"/>
  <c r="K2" i="20"/>
  <c r="K4" i="20"/>
  <c r="B6" i="20"/>
  <c r="C2" i="20" s="1"/>
  <c r="D3" i="20"/>
  <c r="D5" i="20"/>
  <c r="F5" i="19"/>
  <c r="D2" i="20"/>
  <c r="D4" i="20"/>
  <c r="C3" i="20" l="1"/>
  <c r="C6" i="20"/>
  <c r="C4" i="20"/>
  <c r="F6" i="19"/>
  <c r="F7" i="19" l="1"/>
  <c r="F8" i="19" l="1"/>
  <c r="E3" i="19" l="1"/>
  <c r="E4" i="19"/>
  <c r="E5" i="19"/>
  <c r="E6" i="19"/>
  <c r="E7" i="19"/>
  <c r="E8" i="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tc={6934A33F-E4C7-441A-B65A-5B9BB25ECCFA}</author>
    <author>tc={F941CBF0-444F-4485-990E-E4889C7F99EA}</author>
    <author>tc={11979B35-2C7A-4D51-A89A-E1E027C1E24F}</author>
    <author>tc={2638E077-43CB-4EBE-AB52-FB5A7023E859}</author>
    <author>tc={F1D7E65C-6D8D-47FB-8BB2-6A51133CF488}</author>
    <author>tc={5C02C951-E296-495B-878E-CA6D6C5A6AD5}</author>
    <author>tc={4081D250-6196-4381-AD97-A5F7B9A4952B}</author>
    <author>tc={04737946-B781-45C0-936A-D48D43C17FC0}</author>
    <author>tc={8D989019-71FB-4E97-99FA-EF831A3B4362}</author>
    <author>tc={73547635-5AAB-42A2-8057-1D1EC6752872}</author>
    <author>tc={3BB1E57A-54FB-492B-9D0D-A1E83E19C979}</author>
    <author>tc={87540C5B-73FD-4907-8622-99BA2BCBAEDE}</author>
    <author>tc={4C5FA127-5407-4EDC-A864-457DF24DD1E5}</author>
    <author>tc={E29B83E8-9A34-4261-ADE4-1CD3DCBAE727}</author>
    <author>tc={861D8330-F11B-4322-9193-C239AB7DAA0F}</author>
    <author>tc={1B66A9B5-ECE0-47C0-B01F-AAF259127134}</author>
  </authors>
  <commentList>
    <comment ref="J71" authorId="0" shapeId="0" xr:uid="{6934A33F-E4C7-441A-B65A-5B9BB25ECCF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Including MOREAS ΣΕΑ</t>
      </text>
    </comment>
    <comment ref="J542" authorId="1" shapeId="0" xr:uid="{F941CBF0-444F-4485-990E-E4889C7F99EA}">
      <text>
        <t>[Threaded comment]
Your version of Excel allows you to read this threaded comment; however, any edits to it will get removed if the file is opened in a newer version of Excel. Learn more: https://go.microsoft.com/fwlink/?linkid=870924
Comment:
    ΜΟΡΕΑΣ ΣΕΑ</t>
      </text>
    </comment>
    <comment ref="J545" authorId="2" shapeId="0" xr:uid="{11979B35-2C7A-4D51-A89A-E1E027C1E24F}">
      <text>
        <t>[Threaded comment]
Your version of Excel allows you to read this threaded comment; however, any edits to it will get removed if the file is opened in a newer version of Excel. Learn more: https://go.microsoft.com/fwlink/?linkid=870924
Comment:
    ΜΟΡΕΑΣ ΣΕΑ</t>
      </text>
    </comment>
    <comment ref="J551" authorId="3" shapeId="0" xr:uid="{2638E077-43CB-4EBE-AB52-FB5A7023E859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2" authorId="4" shapeId="0" xr:uid="{F1D7E65C-6D8D-47FB-8BB2-6A51133CF488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3" authorId="5" shapeId="0" xr:uid="{5C02C951-E296-495B-878E-CA6D6C5A6AD5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4" authorId="6" shapeId="0" xr:uid="{4081D250-6196-4381-AD97-A5F7B9A4952B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5" authorId="7" shapeId="0" xr:uid="{04737946-B781-45C0-936A-D48D43C17FC0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6" authorId="8" shapeId="0" xr:uid="{8D989019-71FB-4E97-99FA-EF831A3B4362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7" authorId="9" shapeId="0" xr:uid="{73547635-5AAB-42A2-8057-1D1EC6752872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8" authorId="10" shapeId="0" xr:uid="{3BB1E57A-54FB-492B-9D0D-A1E83E19C979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9" authorId="11" shapeId="0" xr:uid="{87540C5B-73FD-4907-8622-99BA2BCBAEDE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60" authorId="12" shapeId="0" xr:uid="{4C5FA127-5407-4EDC-A864-457DF24DD1E5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Κερδων - mail 7/04</t>
      </text>
    </comment>
    <comment ref="J746" authorId="13" shapeId="0" xr:uid="{E29B83E8-9A34-4261-ADE4-1CD3DCBAE727}">
      <text>
        <t>[Threaded comment]
Your version of Excel allows you to read this threaded comment; however, any edits to it will get removed if the file is opened in a newer version of Excel. Learn more: https://go.microsoft.com/fwlink/?linkid=870924
Comment:
    +ΜΟΡΕΑΣ ΣΕΑ</t>
      </text>
    </comment>
    <comment ref="J776" authorId="14" shapeId="0" xr:uid="{861D8330-F11B-4322-9193-C239AB7DAA0F}">
      <text>
        <t>[Threaded comment]
Your version of Excel allows you to read this threaded comment; however, any edits to it will get removed if the file is opened in a newer version of Excel. Learn more: https://go.microsoft.com/fwlink/?linkid=870924
Comment:
    + ΜΟΡΕΑΣ ΣΕΑ</t>
      </text>
    </comment>
    <comment ref="J782" authorId="15" shapeId="0" xr:uid="{1B66A9B5-ECE0-47C0-B01F-AAF259127134}">
      <text>
        <t>[Threaded comment]
Your version of Excel allows you to read this threaded comment; however, any edits to it will get removed if the file is opened in a newer version of Excel. Learn more: https://go.microsoft.com/fwlink/?linkid=870924
Comment:
    + ΜΟΡΕΑΣ ΣΕΑ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tc={4D083601-A620-4CE4-9E32-5310B4C3EA92}</author>
    <author>tc={3591338A-51F1-49E8-8A0C-804D5C1F4E03}</author>
    <author>tc={294A81A4-325D-4C69-8B96-6BA3AD2AC67A}</author>
    <author>tc={10F117C9-A387-4DC5-843D-3BA6B178FDC1}</author>
    <author>tc={C9338526-B52E-46B9-9C81-570BC662E1D7}</author>
    <author>tc={1725B7AA-F27A-4542-ABAD-885EB15DFCCA}</author>
    <author>Magdalini Theologiti</author>
  </authors>
  <commentList>
    <comment ref="D34" authorId="0" shapeId="0" xr:uid="{4D083601-A620-4CE4-9E32-5310B4C3E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 </t>
      </text>
    </comment>
    <comment ref="D35" authorId="1" shapeId="0" xr:uid="{3591338A-51F1-49E8-8A0C-804D5C1F4E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 </t>
      </text>
    </comment>
    <comment ref="D36" authorId="2" shapeId="0" xr:uid="{294A81A4-325D-4C69-8B96-6BA3AD2AC67A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7" authorId="3" shapeId="0" xr:uid="{10F117C9-A387-4DC5-843D-3BA6B178FDC1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8" authorId="4" shapeId="0" xr:uid="{C9338526-B52E-46B9-9C81-570BC662E1D7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9" authorId="5" shapeId="0" xr:uid="{1725B7AA-F27A-4542-ABAD-885EB15DFCCA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F287" authorId="6" shapeId="0" xr:uid="{605B0A59-0DB7-4EBF-98E1-5A2B25756413}">
      <text>
        <r>
          <rPr>
            <b/>
            <sz val="9"/>
            <color indexed="81"/>
            <rFont val="Tahoma"/>
            <family val="2"/>
            <charset val="161"/>
          </rPr>
          <t>Magdalini Theologiti:</t>
        </r>
        <r>
          <rPr>
            <sz val="9"/>
            <color indexed="81"/>
            <rFont val="Tahoma"/>
            <family val="2"/>
            <charset val="161"/>
          </rPr>
          <t xml:space="preserve">
p56/31 pdf
network losses in TWh /
(Total net generaiton (including electricity not fed into general supply networks in TWh)-Network losses(TWh)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Chara Sakellari</author>
    <author>Gregory Siskos</author>
  </authors>
  <commentList>
    <comment ref="A5" authorId="0" shapeId="0" xr:uid="{DBEA6DFD-B7E7-4BFD-AC48-25DD7342D490}">
      <text>
        <r>
          <rPr>
            <b/>
            <sz val="9"/>
            <color indexed="81"/>
            <rFont val="Tahoma"/>
            <family val="2"/>
          </rPr>
          <t>Chara Sakellari:</t>
        </r>
        <r>
          <rPr>
            <sz val="9"/>
            <color indexed="81"/>
            <rFont val="Tahoma"/>
            <family val="2"/>
          </rPr>
          <t xml:space="preserve">
Πηγή: ΕΙΒ Project CF Methodologies - p.41 of 60</t>
        </r>
      </text>
    </comment>
    <comment ref="K5" authorId="0" shapeId="0" xr:uid="{24AC0816-70A9-46B4-92C8-06F35B61B065}">
      <text>
        <r>
          <rPr>
            <b/>
            <sz val="9"/>
            <color indexed="81"/>
            <rFont val="Tahoma"/>
            <family val="2"/>
          </rPr>
          <t>Chara Sakellari:</t>
        </r>
        <r>
          <rPr>
            <sz val="9"/>
            <color indexed="81"/>
            <rFont val="Tahoma"/>
            <family val="2"/>
          </rPr>
          <t xml:space="preserve">
http://www.cres.gr/energy-saving/images/pdf/biomass_guide.pdf</t>
        </r>
      </text>
    </comment>
    <comment ref="A6" authorId="0" shapeId="0" xr:uid="{335D529E-DC0F-4AF6-913C-103CC5375088}">
      <text>
        <r>
          <rPr>
            <b/>
            <sz val="9"/>
            <color indexed="81"/>
            <rFont val="Tahoma"/>
            <family val="2"/>
          </rPr>
          <t>Chara Sakellari:</t>
        </r>
        <r>
          <rPr>
            <sz val="9"/>
            <color indexed="81"/>
            <rFont val="Tahoma"/>
            <family val="2"/>
          </rPr>
          <t xml:space="preserve">
https://eplca.jrc.ec.europa.eu/uploads/LCIA-characterization-factors-of-the-ILCD.pdf</t>
        </r>
      </text>
    </comment>
    <comment ref="A7" authorId="0" shapeId="0" xr:uid="{628F74A3-8206-4926-8920-5F0E7DDF3C7A}">
      <text>
        <r>
          <rPr>
            <b/>
            <sz val="9"/>
            <color indexed="81"/>
            <rFont val="Tahoma"/>
            <family val="2"/>
          </rPr>
          <t>Chara Sakellari:</t>
        </r>
        <r>
          <rPr>
            <sz val="9"/>
            <color indexed="81"/>
            <rFont val="Tahoma"/>
            <family val="2"/>
          </rPr>
          <t xml:space="preserve">
missions associated with extraction, refining and transportation of the raw fuel sources to an organisation’s site (or asset), prior to combustion.      </t>
        </r>
      </text>
    </comment>
    <comment ref="K7" authorId="0" shapeId="0" xr:uid="{DC652FA5-9665-43AD-8727-55692DC68355}">
      <text>
        <r>
          <rPr>
            <b/>
            <sz val="9"/>
            <color indexed="81"/>
            <rFont val="Tahoma"/>
            <family val="2"/>
          </rPr>
          <t>Chara Sakellari:</t>
        </r>
        <r>
          <rPr>
            <sz val="9"/>
            <color indexed="81"/>
            <rFont val="Tahoma"/>
            <family val="2"/>
          </rPr>
          <t xml:space="preserve">
μέσος όρος των τεσσάρων ειδών πρώτων υλών για καύση</t>
        </r>
      </text>
    </comment>
    <comment ref="C9" authorId="0" shapeId="0" xr:uid="{D5ACA19F-AAC9-4A9F-973A-186526D389BC}">
      <text>
        <r>
          <rPr>
            <b/>
            <sz val="9"/>
            <color indexed="81"/>
            <rFont val="Tahoma"/>
            <family val="2"/>
          </rPr>
          <t>Chara Sakellari:</t>
        </r>
        <r>
          <rPr>
            <sz val="9"/>
            <color indexed="81"/>
            <rFont val="Tahoma"/>
            <family val="2"/>
          </rPr>
          <t xml:space="preserve">
trasporation included</t>
        </r>
      </text>
    </comment>
    <comment ref="G9" authorId="0" shapeId="0" xr:uid="{75C8984E-6A03-4257-A16B-C5FDFFCF6204}">
      <text>
        <r>
          <rPr>
            <b/>
            <sz val="9"/>
            <color indexed="81"/>
            <rFont val="Tahoma"/>
            <family val="2"/>
          </rPr>
          <t>Chara Sakellari:</t>
        </r>
        <r>
          <rPr>
            <sz val="9"/>
            <color indexed="81"/>
            <rFont val="Tahoma"/>
            <family val="2"/>
          </rPr>
          <t xml:space="preserve">
Δεν διευκρινίζει εάν περιλαμβάνει μεταφοεα - λέει upstream activities</t>
        </r>
      </text>
    </comment>
    <comment ref="E21" authorId="1" shapeId="0" xr:uid="{810D50B7-06A5-4E45-96E9-39532A441173}">
      <text>
        <r>
          <rPr>
            <b/>
            <sz val="9"/>
            <color indexed="81"/>
            <rFont val="Tahoma"/>
            <family val="2"/>
          </rPr>
          <t>Gregory Siskos:</t>
        </r>
        <r>
          <rPr>
            <sz val="9"/>
            <color indexed="81"/>
            <rFont val="Tahoma"/>
            <family val="2"/>
          </rPr>
          <t xml:space="preserve">
Είναι μέσα και ΣΗΘΥΑ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<sst xmlns="http://schemas.openxmlformats.org/spreadsheetml/2006/main" count="14975" uniqueCount="1409">
  <si>
    <t>Scope 1</t>
  </si>
  <si>
    <t>GHG Scope</t>
  </si>
  <si>
    <t>Ομάδα πηγών εκπομπών</t>
  </si>
  <si>
    <t>Κατηγορία πηγών εκπομπών</t>
  </si>
  <si>
    <t>Πηγή εκπομπών</t>
  </si>
  <si>
    <t>Μονάδες</t>
  </si>
  <si>
    <t>Πληροφορίες</t>
  </si>
  <si>
    <t>lt</t>
  </si>
  <si>
    <r>
      <t>TOTAL (t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eq)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</si>
  <si>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eq</t>
    </r>
  </si>
  <si>
    <r>
      <t>CO</t>
    </r>
    <r>
      <rPr>
        <sz val="11"/>
        <color theme="1"/>
        <rFont val="Calibri"/>
        <family val="2"/>
        <charset val="161"/>
      </rPr>
      <t>₂</t>
    </r>
  </si>
  <si>
    <r>
      <t>CH</t>
    </r>
    <r>
      <rPr>
        <sz val="11"/>
        <color theme="1"/>
        <rFont val="Calibri"/>
        <family val="2"/>
        <charset val="161"/>
      </rPr>
      <t>₄</t>
    </r>
  </si>
  <si>
    <r>
      <t>N</t>
    </r>
    <r>
      <rPr>
        <sz val="11"/>
        <color theme="1"/>
        <rFont val="Calibri"/>
        <family val="2"/>
        <charset val="161"/>
      </rPr>
      <t>₂</t>
    </r>
    <r>
      <rPr>
        <sz val="11"/>
        <color theme="1"/>
        <rFont val="Calibri"/>
        <family val="2"/>
        <scheme val="minor"/>
      </rPr>
      <t>O</t>
    </r>
  </si>
  <si>
    <t>GWP</t>
  </si>
  <si>
    <t>-</t>
  </si>
  <si>
    <t>Diesel</t>
  </si>
  <si>
    <t>Κατηγορία</t>
  </si>
  <si>
    <t>Factor</t>
  </si>
  <si>
    <t>Value</t>
  </si>
  <si>
    <t>Units</t>
  </si>
  <si>
    <t>Source</t>
  </si>
  <si>
    <t>Description</t>
  </si>
  <si>
    <t>For XLOOKUP</t>
  </si>
  <si>
    <t>NCV</t>
  </si>
  <si>
    <t>GJ/t</t>
  </si>
  <si>
    <t>Diesel_NCV</t>
  </si>
  <si>
    <t>ρ</t>
  </si>
  <si>
    <t>kg/lt</t>
  </si>
  <si>
    <t xml:space="preserve"> ΦΕΚ 241/Β/02.02.2017 </t>
  </si>
  <si>
    <t>Πετρέλαιο εσωτερικής καύσης (DIESEL) που χρησιμοποιείται ως καύσιμο κινητήρων</t>
  </si>
  <si>
    <t>Diesel_density</t>
  </si>
  <si>
    <t>Σ.Ε. CH₄ st.</t>
  </si>
  <si>
    <t>Σ.Ε. CH₄ m.</t>
  </si>
  <si>
    <t>Diesel_base</t>
  </si>
  <si>
    <t>NCV*ρ</t>
  </si>
  <si>
    <t>GJ/lt</t>
  </si>
  <si>
    <t>DIESEL_base</t>
  </si>
  <si>
    <t>ΕΛΟΤ 228:2014</t>
  </si>
  <si>
    <t>Σ.Ε. CO₂ m.</t>
  </si>
  <si>
    <t>Emission Factor</t>
  </si>
  <si>
    <t>t CO2</t>
  </si>
  <si>
    <t>t CH4</t>
  </si>
  <si>
    <t>t N2O</t>
  </si>
  <si>
    <t>Σ.Ε. CO₂ st.</t>
  </si>
  <si>
    <t>LPG</t>
  </si>
  <si>
    <t>ΦΕΚ 1257, 3-9-2003 (Παράρτημα 4)</t>
  </si>
  <si>
    <t>LPG_base</t>
  </si>
  <si>
    <t>LPG_NCV</t>
  </si>
  <si>
    <t>LPG_density</t>
  </si>
  <si>
    <t>Scope 2</t>
  </si>
  <si>
    <t>Σ.Ε. CO2 - Χώρας</t>
  </si>
  <si>
    <t>kWh</t>
  </si>
  <si>
    <t>HFCs</t>
  </si>
  <si>
    <t>R-407C</t>
  </si>
  <si>
    <t>GWP 100-year</t>
  </si>
  <si>
    <t>kg CO2 eq / kg HFC</t>
  </si>
  <si>
    <t>IPCC - AR5</t>
  </si>
  <si>
    <t>Composition : R-32(0,23)+R-125(0,25)+R-134A(0,52)</t>
  </si>
  <si>
    <t>R-407C_GWP</t>
  </si>
  <si>
    <t>R-32</t>
  </si>
  <si>
    <t>R-32_GWP</t>
  </si>
  <si>
    <t>R-125</t>
  </si>
  <si>
    <t>R-125_GWP</t>
  </si>
  <si>
    <t>R-134A</t>
  </si>
  <si>
    <t>R-134A_GWP</t>
  </si>
  <si>
    <t>t HFCs</t>
  </si>
  <si>
    <t>Χώρα</t>
  </si>
  <si>
    <t>R-410A</t>
  </si>
  <si>
    <t>Composition : R-32(0.5)+R-125(0.5)</t>
  </si>
  <si>
    <t>R-410Α_GWP</t>
  </si>
  <si>
    <t>t CO2 eq</t>
  </si>
  <si>
    <t>Natural Gas</t>
  </si>
  <si>
    <t>Σ.Ε. CH4 - Χώρας</t>
  </si>
  <si>
    <t>Incinerator</t>
  </si>
  <si>
    <t>CO₂</t>
  </si>
  <si>
    <t>Biogas</t>
  </si>
  <si>
    <t>Location based calculation</t>
  </si>
  <si>
    <t>Scope 1: Direct GHG emissions</t>
  </si>
  <si>
    <t>Direct emissions from stationary combustion</t>
  </si>
  <si>
    <t xml:space="preserve">Offices heating </t>
  </si>
  <si>
    <t>Direct emissions from mobile combustion</t>
  </si>
  <si>
    <t>Direct fugitive emissions arise from the release of greenhouse gases in anthropogenic systems</t>
  </si>
  <si>
    <t>HFCs from refrigeration / air conditioning equipment in office buildings and facilities</t>
  </si>
  <si>
    <t>Scope 2: Electricity indirect GHG emissions</t>
  </si>
  <si>
    <t xml:space="preserve"> Indirect GHG emissions from purchased electricity *</t>
  </si>
  <si>
    <t>Electricity consumed in office buildings and projects</t>
  </si>
  <si>
    <t>Total Emissions  (t CO2 eq)</t>
  </si>
  <si>
    <t>Emissions from Franchise (Category 14)</t>
  </si>
  <si>
    <t>Emissions from Invetments(Category 15)</t>
  </si>
  <si>
    <t>Combustion of Natural Gas</t>
  </si>
  <si>
    <t>Combustion of Diesel</t>
  </si>
  <si>
    <t>Stationary Equipment</t>
  </si>
  <si>
    <r>
      <t>SF</t>
    </r>
    <r>
      <rPr>
        <vertAlign val="subscript"/>
        <sz val="11"/>
        <rFont val="Calibri"/>
        <family val="2"/>
      </rPr>
      <t>6</t>
    </r>
    <r>
      <rPr>
        <sz val="1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emissions</t>
    </r>
  </si>
  <si>
    <t>Combustion of waste (Incinerator)</t>
  </si>
  <si>
    <t xml:space="preserve">Waste Processing </t>
  </si>
  <si>
    <t>Employee Commuting</t>
  </si>
  <si>
    <t>Direct Biogenic Emissions (Information separately from Scope 1 according to GHG Protocol)</t>
  </si>
  <si>
    <t>Emissions from Biogas Combustion</t>
  </si>
  <si>
    <t>Direct emissions arise from the release of greenhouse gases by chemical or physical processing</t>
  </si>
  <si>
    <t>Combustion of fuel in vehicles controlled by the group (owned or leasing)</t>
  </si>
  <si>
    <t>Combustion of diesel in group owned vehicles (owned or leasing)</t>
  </si>
  <si>
    <t>Combustion of LPG in group owned vehicles (owned or leasing)</t>
  </si>
  <si>
    <t xml:space="preserve">National Inventory Report Greece 2023 Submission for 2022 Reference Year p. 114 </t>
  </si>
  <si>
    <t>Electricity</t>
  </si>
  <si>
    <t>Greece. National Inventory Submissions 2023</t>
  </si>
  <si>
    <t>Petrol</t>
  </si>
  <si>
    <t xml:space="preserve">LPG </t>
  </si>
  <si>
    <t xml:space="preserve">CNG </t>
  </si>
  <si>
    <t>Mobile Equipment</t>
  </si>
  <si>
    <t>Nuclear</t>
  </si>
  <si>
    <t>Solar</t>
  </si>
  <si>
    <t>Wind</t>
  </si>
  <si>
    <t>Hydro</t>
  </si>
  <si>
    <t>Waste</t>
  </si>
  <si>
    <t>Geothermal</t>
  </si>
  <si>
    <t>NRG SUPPLY AND TRADING S.A. 1</t>
  </si>
  <si>
    <t>ΔΕΗ Α.Ε</t>
  </si>
  <si>
    <t>VOLTERRA Α.Ε</t>
  </si>
  <si>
    <t>ELPEDISON Α.Ε</t>
  </si>
  <si>
    <t>ΦΥΣΙΚΟ ΑΕΡΙΟ - ΕΛΛΗΝΙΚΗ ΕΤΑΙΡΕΙΑ ΕΝΕΡΓΕΙΑΣ</t>
  </si>
  <si>
    <t>Ε.Π.Α. ΘΕΣΣΑΛΟΝΙΚΗΣ - ΘΕΣΣΑΛΙΑΣ (ΖΕΝΙΘ) Α.Ε</t>
  </si>
  <si>
    <t>Density</t>
  </si>
  <si>
    <t xml:space="preserve"> Electricity GR_CH4</t>
  </si>
  <si>
    <t xml:space="preserve"> Electricity GR_CO2</t>
  </si>
  <si>
    <t>Electricity DE_CO2</t>
  </si>
  <si>
    <t>Electricity CY_CO2</t>
  </si>
  <si>
    <t xml:space="preserve"> Electricity GR_N2O</t>
  </si>
  <si>
    <t>Natural Gas_CO2_TJ</t>
  </si>
  <si>
    <t>Heating Oil_CO2_TJ</t>
  </si>
  <si>
    <t xml:space="preserve"> plant machinery_CO2_Diesel_TJ</t>
  </si>
  <si>
    <t>heavy duty vehicles_CO2_Diesel_TJ</t>
  </si>
  <si>
    <t>company vehicles_CO2_Diesel_TJ</t>
  </si>
  <si>
    <t xml:space="preserve"> generators_CO2_Diesel_TJ</t>
  </si>
  <si>
    <t>light duty trucks _CO2_Diesel_TJ</t>
  </si>
  <si>
    <t xml:space="preserve"> plant machinery_CO2_petrol_TJ</t>
  </si>
  <si>
    <t>heavy duty vehicles_CO2_petrol_TJ</t>
  </si>
  <si>
    <t>company vehicles_CO2_petrol_TJ</t>
  </si>
  <si>
    <t xml:space="preserve"> generators_CO2_petrol_TJ</t>
  </si>
  <si>
    <t>light duty trucks _CO2_petrol_TJ</t>
  </si>
  <si>
    <t>motorcycle_CO2_petrol_TJ</t>
  </si>
  <si>
    <t>LPG_CO2_TJ</t>
  </si>
  <si>
    <t>CNG_CO2_TJ</t>
  </si>
  <si>
    <t>Natural Gas_CH4_TJ</t>
  </si>
  <si>
    <t xml:space="preserve"> plant machinery_CH4_diesel_TJ</t>
  </si>
  <si>
    <t>heavy duty vehicles_CH4_diesel_TJ</t>
  </si>
  <si>
    <t>company vehicles_CH4_diesel_TJ</t>
  </si>
  <si>
    <t xml:space="preserve"> generators_CH4_diesel_TJ</t>
  </si>
  <si>
    <t>light duty trucks _CH4_diesel_TJ</t>
  </si>
  <si>
    <t xml:space="preserve"> plant machinery_CH4_petrol_TJ</t>
  </si>
  <si>
    <t>heavy duty vehicles_CH4_petrol_TJ</t>
  </si>
  <si>
    <t>company vehicles_CH4_petrol_TJ</t>
  </si>
  <si>
    <t xml:space="preserve"> generators_CH4_petrol_TJ</t>
  </si>
  <si>
    <t>light duty trucks _CH4_petrol_TJ</t>
  </si>
  <si>
    <t>LPG_CH4_TJ</t>
  </si>
  <si>
    <t>CNG_CH4_TJ</t>
  </si>
  <si>
    <t>Natural Gas_N2O_TJ</t>
  </si>
  <si>
    <t>Heating Oil_N2O_TJ</t>
  </si>
  <si>
    <t xml:space="preserve"> plant machinery_N2O_diesel_TJ</t>
  </si>
  <si>
    <t>heavy duty vehicles_N2O_diesel_TJ</t>
  </si>
  <si>
    <t>company vehicles_N2O_diesel_TJ</t>
  </si>
  <si>
    <t xml:space="preserve"> generators_N2O_diesel_TJ</t>
  </si>
  <si>
    <t>light duty trucks _N2O_diesel_TJ</t>
  </si>
  <si>
    <t xml:space="preserve"> plant machinery_N2O_petrol_TJ</t>
  </si>
  <si>
    <t>heavy duty vehicles_N2O_petrol_TJ</t>
  </si>
  <si>
    <t>company vehicles_N2O_petrol_TJ</t>
  </si>
  <si>
    <t xml:space="preserve"> generators_N2O_petrol_TJ</t>
  </si>
  <si>
    <t>light duty trucks _N2O_petrol_TJ</t>
  </si>
  <si>
    <t>LPG_N2O_TJ</t>
  </si>
  <si>
    <t>CNG_N2O_TJ</t>
  </si>
  <si>
    <t>Petrol_base</t>
  </si>
  <si>
    <t>petrol_base</t>
  </si>
  <si>
    <t>petrol_NCV</t>
  </si>
  <si>
    <t>petrol_density</t>
  </si>
  <si>
    <t>net calorific value</t>
  </si>
  <si>
    <t xml:space="preserve"> lt</t>
  </si>
  <si>
    <t>Market Based calculation</t>
  </si>
  <si>
    <t>tn CO2/kwh</t>
  </si>
  <si>
    <t xml:space="preserve">NRG </t>
  </si>
  <si>
    <t>VOLTERRA</t>
  </si>
  <si>
    <t>ELPEDISON</t>
  </si>
  <si>
    <t>FISIKO AERIO</t>
  </si>
  <si>
    <t>ZENITH</t>
  </si>
  <si>
    <t>DEI</t>
  </si>
  <si>
    <t>R-417A</t>
  </si>
  <si>
    <t>R-600</t>
  </si>
  <si>
    <t>Composition : R-134A(0,0,5)+R-125(0,466)+R-600(0,034)</t>
  </si>
  <si>
    <t>R-600_GWP</t>
  </si>
  <si>
    <t>Refrigerants</t>
  </si>
  <si>
    <t>Biogenic</t>
  </si>
  <si>
    <t>company vehicles_CO2_Diesel_lt</t>
  </si>
  <si>
    <t>company vehicles_CO2_petrol_lt</t>
  </si>
  <si>
    <t>company vehicles_CH4_diesel_lt</t>
  </si>
  <si>
    <t>company vehicles_CH4_petrol_lt</t>
  </si>
  <si>
    <t>company vehicles_N2O_diesel_lt</t>
  </si>
  <si>
    <t>company vehicles_N2O_petrol_lt</t>
  </si>
  <si>
    <t>tn CO2/TJ</t>
  </si>
  <si>
    <t>tn CH4/kWh</t>
  </si>
  <si>
    <t>tn CH4/TJ</t>
  </si>
  <si>
    <t>tn CO2</t>
  </si>
  <si>
    <t>tn CO2/lt</t>
  </si>
  <si>
    <t>tn CH₄/lt</t>
  </si>
  <si>
    <t>Σ.Ε. N2O - Χώρας</t>
  </si>
  <si>
    <t>tn N2O/kWh</t>
  </si>
  <si>
    <t>tn N2O/TJ</t>
  </si>
  <si>
    <t xml:space="preserve"> generators_CO2_Diesel_lt</t>
  </si>
  <si>
    <t xml:space="preserve"> generators_CO2_petrol_lt</t>
  </si>
  <si>
    <t xml:space="preserve"> generators_CH4_diesel_lt</t>
  </si>
  <si>
    <t xml:space="preserve"> generators_CH4_petrol_lt</t>
  </si>
  <si>
    <t xml:space="preserve"> generators_N2O_diesel_lt</t>
  </si>
  <si>
    <t xml:space="preserve"> generators_N2O_petrol_lt</t>
  </si>
  <si>
    <t>Heating Oil_CO2_lt</t>
  </si>
  <si>
    <t>Heating Oil_N2O_lt</t>
  </si>
  <si>
    <t>tn CH4/lt</t>
  </si>
  <si>
    <t>tn N2O/lt</t>
  </si>
  <si>
    <t>Heating Oil_CH4_TJ</t>
  </si>
  <si>
    <t>heavy duty vehicles_CO2_Diesel_lt</t>
  </si>
  <si>
    <t>heavy duty vehicles_CO2_petrol_lt</t>
  </si>
  <si>
    <t>heavy duty vehicles_CH4_diesel_lt</t>
  </si>
  <si>
    <t>heavy duty vehicles_CH4_petrol_lt</t>
  </si>
  <si>
    <t>heavy duty vehicles_N2O_diesel_lt</t>
  </si>
  <si>
    <t>heavy duty vehicles_N2O_petrol_lt</t>
  </si>
  <si>
    <t>light duty trucks _CO2_Diesel_lt</t>
  </si>
  <si>
    <t>light duty trucks _CO2_petrol_lt</t>
  </si>
  <si>
    <t>light duty trucks _CH4_diesel_lt</t>
  </si>
  <si>
    <t>light duty trucks _CH4_petrol_lt</t>
  </si>
  <si>
    <t>light duty trucks _N2O_diesel_lt</t>
  </si>
  <si>
    <t>light duty trucks _N2O_petrol_lt</t>
  </si>
  <si>
    <t>motorcycle_CO2_petrol_lt</t>
  </si>
  <si>
    <t>motorcycle_CH4_petrol_TJ</t>
  </si>
  <si>
    <t>motorcycle_N2O_petrol_TJ</t>
  </si>
  <si>
    <t>motorcycle_CH4_petrol_lt</t>
  </si>
  <si>
    <t>motorcycle_N2O_petrol_lt</t>
  </si>
  <si>
    <t>MJ/kg</t>
  </si>
  <si>
    <t>LPG_CO2_lt</t>
  </si>
  <si>
    <t>LPG_CH4_lt</t>
  </si>
  <si>
    <t>LPG_N2O_lt</t>
  </si>
  <si>
    <t>CNG_NCV</t>
  </si>
  <si>
    <t>CNG_CO2_kg</t>
  </si>
  <si>
    <t>CNG_CH4_kg</t>
  </si>
  <si>
    <t>CNG_N2O_kg</t>
  </si>
  <si>
    <t>tn CO2/kg</t>
  </si>
  <si>
    <t>tn CH4/kg</t>
  </si>
  <si>
    <t>tn N2O/kg</t>
  </si>
  <si>
    <t>Direct Biogenic Emission</t>
  </si>
  <si>
    <t>Waste Processing</t>
  </si>
  <si>
    <t>Heating Oil</t>
  </si>
  <si>
    <t>Diesel for plant machinery</t>
  </si>
  <si>
    <t>Diesel for heavy duty vehicles</t>
  </si>
  <si>
    <t>Diesel for company vehicles</t>
  </si>
  <si>
    <t>Diesel for generators</t>
  </si>
  <si>
    <t xml:space="preserve">Diesel for light duty trucks </t>
  </si>
  <si>
    <t>Petrol for plant machinery</t>
  </si>
  <si>
    <t>Petrol for heavy duty vehicles</t>
  </si>
  <si>
    <t>Petrol for company vehicles</t>
  </si>
  <si>
    <t>Petrol for generators</t>
  </si>
  <si>
    <t xml:space="preserve">Petrol for light duty trucks </t>
  </si>
  <si>
    <t>Petrol for motorcycles</t>
  </si>
  <si>
    <t>LPG for vehicles</t>
  </si>
  <si>
    <t>Electricity Generation</t>
  </si>
  <si>
    <t>Combustion of Petrol</t>
  </si>
  <si>
    <t>Combustion of Petrol in group owned vehicles (owned or leasing)</t>
  </si>
  <si>
    <t>Petrol για χρήση σε οχήματα με κινητήρες επιιβαλλόμενης ανάφλεξης</t>
  </si>
  <si>
    <t>Combustion of compressed natural gas CNG in group owned vehicles (owned or leasing)</t>
  </si>
  <si>
    <t>kg</t>
  </si>
  <si>
    <t>HFC-407 C</t>
  </si>
  <si>
    <t>HFC-32</t>
  </si>
  <si>
    <t>HFC-410 Α</t>
  </si>
  <si>
    <t xml:space="preserve"> plant machinery_CO2_Diesel_lt</t>
  </si>
  <si>
    <t xml:space="preserve"> plant machinery_CO2_petrol_lt</t>
  </si>
  <si>
    <t xml:space="preserve"> plant machinery_CH4_diesel_lt</t>
  </si>
  <si>
    <t xml:space="preserve"> plant machinery_CH4_petrol_lt</t>
  </si>
  <si>
    <t xml:space="preserve"> plant machinery_N2O_diesel_lt</t>
  </si>
  <si>
    <t xml:space="preserve"> plant machinery_N2O_petrol_lt</t>
  </si>
  <si>
    <t>tn CO2/KWh</t>
  </si>
  <si>
    <t>tn CH4/KWh</t>
  </si>
  <si>
    <t>Natural Gas_CO2_KWH</t>
  </si>
  <si>
    <t>Natural Gas_CH4_KWH</t>
  </si>
  <si>
    <t>Natural Gas_N2O_KWH</t>
  </si>
  <si>
    <t>Τιμή</t>
  </si>
  <si>
    <t>R-417Α_GWP</t>
  </si>
  <si>
    <t>tn</t>
  </si>
  <si>
    <t>Σ.Ε. N2O st.</t>
  </si>
  <si>
    <t>Σ.Ε. N2O m.</t>
  </si>
  <si>
    <t>Σ.Ε. CO₂ eq</t>
  </si>
  <si>
    <t>tn CO2 eq/ kg</t>
  </si>
  <si>
    <t xml:space="preserve">Compost Green Waste </t>
  </si>
  <si>
    <t>Wood pellets</t>
  </si>
  <si>
    <t>Wood Pellets_CO2</t>
  </si>
  <si>
    <t>Wood Pellets_CH4</t>
  </si>
  <si>
    <t>Wood Pellets_N2O</t>
  </si>
  <si>
    <t>Emissions from Wood Pellet Combustion</t>
  </si>
  <si>
    <t>KWh</t>
  </si>
  <si>
    <t>Combustion of Wood Pellets</t>
  </si>
  <si>
    <t>ELLAKTOR - EMISSION SOURCES 2023</t>
  </si>
  <si>
    <t>Biogas_CO2</t>
  </si>
  <si>
    <t>Biogas_CH4</t>
  </si>
  <si>
    <t>Biogas_CO2_MMBtu</t>
  </si>
  <si>
    <t>Biogas_CH4_MMBtu</t>
  </si>
  <si>
    <t>Biogas_N2O_MMBtu</t>
  </si>
  <si>
    <t>Biogas_N2O</t>
  </si>
  <si>
    <t>MMBtu</t>
  </si>
  <si>
    <t>Combustion of Biogas</t>
  </si>
  <si>
    <t>Combustion of Biogas Flared</t>
  </si>
  <si>
    <t>Electriity Gen</t>
  </si>
  <si>
    <t>Biogas_CO2_flared</t>
  </si>
  <si>
    <t>Biogas_CH4_flared</t>
  </si>
  <si>
    <t>Biogas_N2O_flared</t>
  </si>
  <si>
    <t>Biogas_CO2_MMBtu_flared</t>
  </si>
  <si>
    <t>Biogas_CH4_MMBtu_flared</t>
  </si>
  <si>
    <t>Biogas_N2O_MMBtu_flared</t>
  </si>
  <si>
    <t>Flared</t>
  </si>
  <si>
    <t>Employee commuting</t>
  </si>
  <si>
    <t>MOREAS</t>
  </si>
  <si>
    <t>Electricity DE_CO2_market</t>
  </si>
  <si>
    <t>Electricity CY_CO2_market</t>
  </si>
  <si>
    <t>Grass/Composted</t>
  </si>
  <si>
    <t>Εταιρεία</t>
  </si>
  <si>
    <t>HELECTOR &amp; Subsidiaries</t>
  </si>
  <si>
    <t>AD</t>
  </si>
  <si>
    <t>AKTOR CONCESSIONS</t>
  </si>
  <si>
    <t>REDS</t>
  </si>
  <si>
    <t>Sum t eCO2</t>
  </si>
  <si>
    <t>AO</t>
  </si>
  <si>
    <t>NRG</t>
  </si>
  <si>
    <t>ΖΕΝΙΘ</t>
  </si>
  <si>
    <t>ΦΥΣΙΚΟ ΑΕΡΙΟ</t>
  </si>
  <si>
    <t>ΔΕΗ</t>
  </si>
  <si>
    <t>Κύπρος</t>
  </si>
  <si>
    <t>Γερμανία</t>
  </si>
  <si>
    <t>Heating Oil_CH4_lt</t>
  </si>
  <si>
    <t>Electricity consumed in office buildings and projects - market based</t>
  </si>
  <si>
    <t>Έργο</t>
  </si>
  <si>
    <t xml:space="preserve">Scope 3: Other indirect GHG emissions  </t>
  </si>
  <si>
    <t>Indirect emissions from fuel production and transportation</t>
  </si>
  <si>
    <t>Production of Petrol (including trasportation)</t>
  </si>
  <si>
    <t>Production of LPG (including trasportation)</t>
  </si>
  <si>
    <t>Production of CNG (including trasportation)</t>
  </si>
  <si>
    <t>Indirect emissions from Purchased Electricity Losses from T&amp;D network  (Scope 2)</t>
  </si>
  <si>
    <t>Network losses</t>
  </si>
  <si>
    <t>Production and transport of fuel consumed for the production of Electricity purchased and consumed by the group in Scope 2</t>
  </si>
  <si>
    <t>Production and transportation of fuel consumed for the production of Electricity purchased and consumed by the Group</t>
  </si>
  <si>
    <t>Combustion of diesel in subcontractor vehicles</t>
  </si>
  <si>
    <t>Combustion of Petrol in subcontractor vehicles</t>
  </si>
  <si>
    <t>Treatment of waste by Third-Party</t>
  </si>
  <si>
    <t>Air Travel</t>
  </si>
  <si>
    <t>Upstream leased assets (Category 8)</t>
  </si>
  <si>
    <t>Emissions from Downsream leased assets</t>
  </si>
  <si>
    <t>Production of purchased goods and services</t>
  </si>
  <si>
    <t>Production of capital goods</t>
  </si>
  <si>
    <t>GHG Category</t>
  </si>
  <si>
    <t>Scope 3</t>
  </si>
  <si>
    <t>Category 1</t>
  </si>
  <si>
    <t>highway/street and bridge construction.</t>
  </si>
  <si>
    <t>Legal services</t>
  </si>
  <si>
    <t>Security and investigation services</t>
  </si>
  <si>
    <t>Janitorial services</t>
  </si>
  <si>
    <t>Architectural and engineering services/technical testing and analysis services</t>
  </si>
  <si>
    <t>Post and telecommunication</t>
  </si>
  <si>
    <t>Direct property and casualty insurance carriers</t>
  </si>
  <si>
    <t>office supplies and stationery stores</t>
  </si>
  <si>
    <t>advertising agencies</t>
  </si>
  <si>
    <t>Other business services</t>
  </si>
  <si>
    <t>sign manufacturing</t>
  </si>
  <si>
    <t>Accounting/bookkeeping and auditing services/tax consulting services</t>
  </si>
  <si>
    <t>Other professional/scientific and technical services</t>
  </si>
  <si>
    <t>air-conditioning and warm air heating equipment and commercial and industrial refrigeration equipment manufacturing</t>
  </si>
  <si>
    <t>Vehicle rental and leasing</t>
  </si>
  <si>
    <t>ship building and repairing</t>
  </si>
  <si>
    <t>Water supply and irrigation systems</t>
  </si>
  <si>
    <t>brick/stone and related construction material merchant wholesalers</t>
  </si>
  <si>
    <t>construction work</t>
  </si>
  <si>
    <t>Wearing apparel</t>
  </si>
  <si>
    <t>electrical apparatus and equipment/wiring supplies and related equipment merchant wholesalers</t>
  </si>
  <si>
    <t>Commercial and industrial machinery and equipment (except automotive and electronic) repair and maintenance</t>
  </si>
  <si>
    <t>other land transportation services</t>
  </si>
  <si>
    <t>environmental consulting services</t>
  </si>
  <si>
    <t>other grantmaking and giving services</t>
  </si>
  <si>
    <t>Computer and related services</t>
  </si>
  <si>
    <t>computer/electronic and optical products</t>
  </si>
  <si>
    <t>chemicals</t>
  </si>
  <si>
    <t>gas/distribution of gaseous fuels through mains/steam and air conditioning supply</t>
  </si>
  <si>
    <t>software publishers</t>
  </si>
  <si>
    <t>rubber and plastic products</t>
  </si>
  <si>
    <t>electrical machinery and apparatus</t>
  </si>
  <si>
    <t>cement/lime/plaster and articles of concrete/cement and plaster</t>
  </si>
  <si>
    <t>soap and detergents/cleaning and polishing preparations/perfumes and toilet preparations</t>
  </si>
  <si>
    <t>Wholesale trade and commission trade services (except of motor vehicles and motorcycles)</t>
  </si>
  <si>
    <t>lubricants</t>
  </si>
  <si>
    <t>other crushed and broken stone mining and quarrying</t>
  </si>
  <si>
    <t>paper and paper products</t>
  </si>
  <si>
    <t>commercial/industrial and institutional electric lighting fixture manufacturing</t>
  </si>
  <si>
    <t>office machinery and computers</t>
  </si>
  <si>
    <t>electronic connector manufacturing</t>
  </si>
  <si>
    <t>glass and glass products</t>
  </si>
  <si>
    <t>machinery and equipment</t>
  </si>
  <si>
    <t>industrial valve manufacturing</t>
  </si>
  <si>
    <t>fabricated metal products</t>
  </si>
  <si>
    <t>other metal container manufacturing</t>
  </si>
  <si>
    <t>industrial gas manufacturing</t>
  </si>
  <si>
    <t>industrial and commercial fan and blower and air purification equipment manufacturing</t>
  </si>
  <si>
    <t>air and gas compressor manufacturing</t>
  </si>
  <si>
    <t>Sale/maintenance/repair/parts/accessories of motor vehicles/motorcycles</t>
  </si>
  <si>
    <t>aluminium and aluminium products</t>
  </si>
  <si>
    <t>copper products</t>
  </si>
  <si>
    <t>chemical and fertilizer minerals/salt and other mining and quarrying products</t>
  </si>
  <si>
    <t>tire dealers</t>
  </si>
  <si>
    <t>sand and clay</t>
  </si>
  <si>
    <t>testing laboratories</t>
  </si>
  <si>
    <t>hydraulic pumps/motors/cylinders and actuators</t>
  </si>
  <si>
    <t>rubber and plastics hoses and belting manufacturing</t>
  </si>
  <si>
    <t>metal window and door manufacturing</t>
  </si>
  <si>
    <t>power-driven handtool manufacturing</t>
  </si>
  <si>
    <t>pharmacies and drug stores</t>
  </si>
  <si>
    <t>capacitor/resistor/coil/transformer and other inductor manufacturing</t>
  </si>
  <si>
    <t>Rental of machinery and equipment (without operator) and of personal and household goods (services)</t>
  </si>
  <si>
    <t>storage battery manufacturing</t>
  </si>
  <si>
    <t>motor vehicles/trailers and semitrailers</t>
  </si>
  <si>
    <t>paint/varnish and supplies merchant wholesalers</t>
  </si>
  <si>
    <t>bitumen</t>
  </si>
  <si>
    <t>bolt/nut/screw/rivet and washer manufacturing</t>
  </si>
  <si>
    <t>polystyrene foam product manufacturing</t>
  </si>
  <si>
    <t>Waste collection/treatment and disposal services/materials recovery services</t>
  </si>
  <si>
    <t>overhead traveling crane/hoist and monorail system manufacturing</t>
  </si>
  <si>
    <t>artificial and synthetic fibers and filaments manufacturing</t>
  </si>
  <si>
    <t>furniture/other manufactured goods</t>
  </si>
  <si>
    <t>fabricated pipe and pipe fitting manufacturing</t>
  </si>
  <si>
    <t>flower/nursery stock and florists' supplies merchant wholesalers</t>
  </si>
  <si>
    <t>security systems services</t>
  </si>
  <si>
    <t>roofing/siding and insulation material merchant wholesalers</t>
  </si>
  <si>
    <t>totalizing fluid meter and counting device manufacturing</t>
  </si>
  <si>
    <t>Human health services</t>
  </si>
  <si>
    <t>power boiler and heat exchanger manufacturing</t>
  </si>
  <si>
    <t>Rental and leasing services</t>
  </si>
  <si>
    <t>General warehousing and storage</t>
  </si>
  <si>
    <t>major household appliance manufacturing</t>
  </si>
  <si>
    <t>plastics packaging film and sheet (including laminated) manufacturing</t>
  </si>
  <si>
    <t>optical instrument and lens manufacturing</t>
  </si>
  <si>
    <t>electrical contractors and other wiring installation contractors</t>
  </si>
  <si>
    <t>wood and products of wood/cork/straw/plaiting materials</t>
  </si>
  <si>
    <t>basic iron and steel and of ferroalloys and first products thereof</t>
  </si>
  <si>
    <t>coffee and tea manufacturing</t>
  </si>
  <si>
    <t>nonspecified petroleum products</t>
  </si>
  <si>
    <t>adhesives</t>
  </si>
  <si>
    <t>curtain and linen mills</t>
  </si>
  <si>
    <t>textiles</t>
  </si>
  <si>
    <t>radio/television and communication equipment and apparatus</t>
  </si>
  <si>
    <t>printing ink manufacturing</t>
  </si>
  <si>
    <t>Translation and interpretation services</t>
  </si>
  <si>
    <t>hotel and restaurant (services)</t>
  </si>
  <si>
    <t>floor covering stores</t>
  </si>
  <si>
    <t>Education</t>
  </si>
  <si>
    <t>lawn and garden tractor and home lawn and garden equipment manufacturing</t>
  </si>
  <si>
    <t>steel wire drawing</t>
  </si>
  <si>
    <t>resin manufacturing</t>
  </si>
  <si>
    <t>professional organizations</t>
  </si>
  <si>
    <t>rope/cordage/twine/tire cord and tire fabric mills</t>
  </si>
  <si>
    <t>supermarkets and other grocery</t>
  </si>
  <si>
    <t>printed matter and recorded media</t>
  </si>
  <si>
    <t>mining support services</t>
  </si>
  <si>
    <t>hobby/toy and game stores</t>
  </si>
  <si>
    <t>advertising and market research services</t>
  </si>
  <si>
    <t>commercial banking</t>
  </si>
  <si>
    <t>€</t>
  </si>
  <si>
    <t>Production_highway/street and bridge construction.</t>
  </si>
  <si>
    <t>Production_Legal services</t>
  </si>
  <si>
    <t>Production_Security and investigation services</t>
  </si>
  <si>
    <t>Production_Janitorial services</t>
  </si>
  <si>
    <t>Production_Architectural and engineering services/technical testing and analysis services</t>
  </si>
  <si>
    <t>Production_Post and telecommunication</t>
  </si>
  <si>
    <t>Production_Direct property and casualty insurance carriers</t>
  </si>
  <si>
    <t>Production_office supplies and stationery stores</t>
  </si>
  <si>
    <t>Production_advertising agencies</t>
  </si>
  <si>
    <t>Production_Other business services</t>
  </si>
  <si>
    <t>Production_sign manufacturing</t>
  </si>
  <si>
    <t>Production_Accounting/bookkeeping and auditing services/tax consulting services</t>
  </si>
  <si>
    <t>Production_Other professional/scientific and technical services</t>
  </si>
  <si>
    <t>Production_air-conditioning and warm air heating equipment and commercial and industrial refrigeration equipment manufacturing</t>
  </si>
  <si>
    <t>Production_Vehicle rental and leasing</t>
  </si>
  <si>
    <t>Production_ship building and repairing</t>
  </si>
  <si>
    <t>Production_Water supply and irrigation systems</t>
  </si>
  <si>
    <t>Production_brick/stone and related construction material merchant wholesalers</t>
  </si>
  <si>
    <t>Production_construction work</t>
  </si>
  <si>
    <t>Production_Wearing apparel</t>
  </si>
  <si>
    <t>Production_electrical apparatus and equipment/wiring supplies and related equipment merchant wholesalers</t>
  </si>
  <si>
    <t>Production_Commercial and industrial machinery and equipment (except automotive and electronic) repair and maintenance</t>
  </si>
  <si>
    <t>Production_other land transportation services</t>
  </si>
  <si>
    <t>Production_environmental consulting services</t>
  </si>
  <si>
    <t>Production_other grantmaking and giving services</t>
  </si>
  <si>
    <t>Production_Computer and related services</t>
  </si>
  <si>
    <t>Production_computer/electronic and optical products</t>
  </si>
  <si>
    <t>Production_chemicals</t>
  </si>
  <si>
    <t>Production_gas/distribution of gaseous fuels through mains/steam and air conditioning supply</t>
  </si>
  <si>
    <t>Production_software publishers</t>
  </si>
  <si>
    <t>Production_rubber and plastic products</t>
  </si>
  <si>
    <t>Production_electrical machinery and apparatus</t>
  </si>
  <si>
    <t>Production_cement/lime/plaster and articles of concrete/cement and plaster</t>
  </si>
  <si>
    <t>Production_soap and detergents/cleaning and polishing preparations/perfumes and toilet preparations</t>
  </si>
  <si>
    <t>Production_Wholesale trade and commission trade services (except of motor vehicles and motorcycles)</t>
  </si>
  <si>
    <t>Production_lubricants</t>
  </si>
  <si>
    <t>Production_other crushed and broken stone mining and quarrying</t>
  </si>
  <si>
    <t>Production_paper and paper products</t>
  </si>
  <si>
    <t>Production_commercial/industrial and institutional electric lighting fixture manufacturing</t>
  </si>
  <si>
    <t>Production_office machinery and computers</t>
  </si>
  <si>
    <t>Production_electronic connector manufacturing</t>
  </si>
  <si>
    <t>Production_glass and glass products</t>
  </si>
  <si>
    <t>Production_machinery and equipment</t>
  </si>
  <si>
    <t>Production_industrial valve manufacturing</t>
  </si>
  <si>
    <t>Production_fabricated metal products</t>
  </si>
  <si>
    <t>Production_other metal container manufacturing</t>
  </si>
  <si>
    <t>Production_industrial gas manufacturing</t>
  </si>
  <si>
    <t>Production_industrial and commercial fan and blower and air purification equipment manufacturing</t>
  </si>
  <si>
    <t>Production_air and gas compressor manufacturing</t>
  </si>
  <si>
    <t>Production_Sale/maintenance/repair/parts/accessories of motor vehicles/motorcycles</t>
  </si>
  <si>
    <t>Production_aluminium and aluminium products</t>
  </si>
  <si>
    <t>Production_copper products</t>
  </si>
  <si>
    <t>Production_chemical and fertilizer minerals/salt and other mining and quarrying products</t>
  </si>
  <si>
    <t>Production_tire dealers</t>
  </si>
  <si>
    <t>Production_sand and clay</t>
  </si>
  <si>
    <t>Production_testing laboratories</t>
  </si>
  <si>
    <t>Production_hydraulic pumps/motors/cylinders and actuators</t>
  </si>
  <si>
    <t>Production_rubber and plastics hoses and belting manufacturing</t>
  </si>
  <si>
    <t>Production_metal window and door manufacturing</t>
  </si>
  <si>
    <t>Production_power-driven handtool manufacturing</t>
  </si>
  <si>
    <t>Production_pharmacies and drug stores</t>
  </si>
  <si>
    <t>Production_capacitor/resistor/coil/transformer and other inductor manufacturing</t>
  </si>
  <si>
    <t>Production_Rental of machinery and equipment (without operator) and of personal and household goods (services)</t>
  </si>
  <si>
    <t>Production_storage battery manufacturing</t>
  </si>
  <si>
    <t>Production_motor vehicles/trailers and semitrailers</t>
  </si>
  <si>
    <t>Production_paint/varnish and supplies merchant wholesalers</t>
  </si>
  <si>
    <t>Production_bitumen</t>
  </si>
  <si>
    <t>Production_bolt/nut/screw/rivet and washer manufacturing</t>
  </si>
  <si>
    <t>Production_polystyrene foam product manufacturing</t>
  </si>
  <si>
    <t>Production_Waste collection/treatment and disposal services/materials recovery services</t>
  </si>
  <si>
    <t>Production_overhead traveling crane/hoist and monorail system manufacturing</t>
  </si>
  <si>
    <t>Production_artificial and synthetic fibers and filaments manufacturing</t>
  </si>
  <si>
    <t>Production_furniture/other manufactured goods</t>
  </si>
  <si>
    <t>Production_fabricated pipe and pipe fitting manufacturing</t>
  </si>
  <si>
    <t>Production_flower/nursery stock and florists' supplies merchant wholesalers</t>
  </si>
  <si>
    <t>Production_security systems services</t>
  </si>
  <si>
    <t>Production_roofing/siding and insulation material merchant wholesalers</t>
  </si>
  <si>
    <t>Production_totalizing fluid meter and counting device manufacturing</t>
  </si>
  <si>
    <t>Production_Human health services</t>
  </si>
  <si>
    <t>Production_power boiler and heat exchanger manufacturing</t>
  </si>
  <si>
    <t>Production_Rental and leasing services</t>
  </si>
  <si>
    <t>Production_General warehousing and storage</t>
  </si>
  <si>
    <t>Production_major household appliance manufacturing</t>
  </si>
  <si>
    <t>Production_plastics packaging film and sheet (including laminated) manufacturing</t>
  </si>
  <si>
    <t>Production_optical instrument and lens manufacturing</t>
  </si>
  <si>
    <t>Production_electrical contractors and other wiring installation contractors</t>
  </si>
  <si>
    <t>Production_wood and products of wood/cork/straw/plaiting materials</t>
  </si>
  <si>
    <t>Production_basic iron and steel and of ferroalloys and first products thereof</t>
  </si>
  <si>
    <t>Production_coffee and tea manufacturing</t>
  </si>
  <si>
    <t>Production_nonspecified petroleum products</t>
  </si>
  <si>
    <t>Production_adhesives</t>
  </si>
  <si>
    <t>Production_curtain and linen mills</t>
  </si>
  <si>
    <t>Production_textiles</t>
  </si>
  <si>
    <t>Production_radio/television and communication equipment and apparatus</t>
  </si>
  <si>
    <t>Production_printing ink manufacturing</t>
  </si>
  <si>
    <t>Production_Translation and interpretation services</t>
  </si>
  <si>
    <t>Production_hotel and restaurant (services)</t>
  </si>
  <si>
    <t>Production_floor covering stores</t>
  </si>
  <si>
    <t>Production_Education</t>
  </si>
  <si>
    <t>Production_lawn and garden tractor and home lawn and garden equipment manufacturing</t>
  </si>
  <si>
    <t>Production_steel wire drawing</t>
  </si>
  <si>
    <t>Production_resin manufacturing</t>
  </si>
  <si>
    <t>Production_professional organizations</t>
  </si>
  <si>
    <t>Production_rope/cordage/twine/tire cord and tire fabric mills</t>
  </si>
  <si>
    <t>Production_supermarkets and other grocery</t>
  </si>
  <si>
    <t>Production_printed matter and recorded media</t>
  </si>
  <si>
    <t>Production_mining support services</t>
  </si>
  <si>
    <t>Production_hobby/toy and game stores</t>
  </si>
  <si>
    <t>Production_advertising and market research services</t>
  </si>
  <si>
    <t>Production_commercial banking</t>
  </si>
  <si>
    <t>Goods &amp; Services</t>
  </si>
  <si>
    <t>BEIS 2020</t>
  </si>
  <si>
    <t>EPA 2019</t>
  </si>
  <si>
    <t>EXIOBASE 2019 - GR</t>
  </si>
  <si>
    <t>EXIOBASE 2019 - CY</t>
  </si>
  <si>
    <t>EPA 2018</t>
  </si>
  <si>
    <r>
      <t xml:space="preserve">tn CO2 eq/ </t>
    </r>
    <r>
      <rPr>
        <sz val="11"/>
        <rFont val="Aptos Narrow"/>
        <family val="2"/>
      </rPr>
      <t>€</t>
    </r>
  </si>
  <si>
    <t>Category 2</t>
  </si>
  <si>
    <t>Production_services to buildings and landscape</t>
  </si>
  <si>
    <t>services to buildings and landscape</t>
  </si>
  <si>
    <t>Category 3</t>
  </si>
  <si>
    <t>Indirect GHG emissions from purchased electricity</t>
  </si>
  <si>
    <t>Indirect GHG emissions from Purchased Goods and Services</t>
  </si>
  <si>
    <t>Indirect GHG emissions from Capital goods</t>
  </si>
  <si>
    <t>Indirect GHG emissions from Purchased Goods and Services (Category 1)</t>
  </si>
  <si>
    <t>Indirect GHG emissions from Capital goods  (Category 2)</t>
  </si>
  <si>
    <t>Indirect GHG emissions from Fuel-and Energy-Related Activities (Category 3)</t>
  </si>
  <si>
    <t>Indirect GHG emissions from upstream transportation &amp; distribution (category 4)</t>
  </si>
  <si>
    <t>Indirect GHG emissions from third-party disposal and treatment of Waste Generated in Operations (Category 5)</t>
  </si>
  <si>
    <t>Indirect GHG emissions from Business Travel (Category 6)</t>
  </si>
  <si>
    <t>Indirect GHG emissions from Employee Commuting  (Category 7)</t>
  </si>
  <si>
    <t>Indirect GHG emissions from downstream transportation &amp; distribution (category 9)</t>
  </si>
  <si>
    <t>Indirect GHG emissions from Processing of Sold Products  (category 10)</t>
  </si>
  <si>
    <t>Indirect GHG emissions from Use of Sold Products (category 11)</t>
  </si>
  <si>
    <t>Indirect GHG emissions from End-of-Life Treatment of Sold Products (category 12)</t>
  </si>
  <si>
    <t>Production of Diesel (including trasportation)</t>
  </si>
  <si>
    <t>Fuel &amp; Energy</t>
  </si>
  <si>
    <t>Natural gas</t>
  </si>
  <si>
    <t>CNG</t>
  </si>
  <si>
    <t>tn CO2 eq/ lt</t>
  </si>
  <si>
    <t>Liquid fuels / Petrol (100% mineral petrol)</t>
  </si>
  <si>
    <t>Liquid fuels / Gas oil: Medium oil used in diesel engines and heating systems (also known as red diesel)</t>
  </si>
  <si>
    <t>Gaseous fuels / Natural gas (Gross CV)</t>
  </si>
  <si>
    <t>Production_Petrol</t>
  </si>
  <si>
    <t>Production_Diesel</t>
  </si>
  <si>
    <t>Production_Natural gas</t>
  </si>
  <si>
    <t>Production_LPG</t>
  </si>
  <si>
    <t>Production_CNG</t>
  </si>
  <si>
    <t>Production of Natural gas (including trasportation)</t>
  </si>
  <si>
    <t>Gaseous fuels / LPG</t>
  </si>
  <si>
    <t>Gaseous fuels / CNG</t>
  </si>
  <si>
    <t>Production of Wood Pellets (including trasportation)</t>
  </si>
  <si>
    <t>Production of Biogas (including trasportation)</t>
  </si>
  <si>
    <t>Wood Pellets</t>
  </si>
  <si>
    <t>Production_Wood Pellets</t>
  </si>
  <si>
    <t>Production_Biogas</t>
  </si>
  <si>
    <t>Production_Wood pellets</t>
  </si>
  <si>
    <t>tn CO2 eq/ kWh</t>
  </si>
  <si>
    <t>WTT-biomass / Wood pellets</t>
  </si>
  <si>
    <t>WTT-Biogas / Landfill gas</t>
  </si>
  <si>
    <t>Indirect emissions from Purchased Electricity Losses from T&amp;D network</t>
  </si>
  <si>
    <t>Ελλάδα</t>
  </si>
  <si>
    <t>Category 4</t>
  </si>
  <si>
    <t>km</t>
  </si>
  <si>
    <t>Low voltage</t>
  </si>
  <si>
    <t>Medium voltage</t>
  </si>
  <si>
    <t>Indirect emissions from transportation of goods</t>
  </si>
  <si>
    <t>Indirect emissions from subcontractors</t>
  </si>
  <si>
    <t>Transportation of goods</t>
  </si>
  <si>
    <t xml:space="preserve">Indirect GHG emissions from upstream transportation &amp; distribution </t>
  </si>
  <si>
    <t>Truck</t>
  </si>
  <si>
    <t>Airplane</t>
  </si>
  <si>
    <t>Diesel-Company vehicles</t>
  </si>
  <si>
    <t>Petrol-Company vehicles</t>
  </si>
  <si>
    <t>Diesel-Generators</t>
  </si>
  <si>
    <t>Diesel-Heavy duty</t>
  </si>
  <si>
    <t>Diesel-Light duty</t>
  </si>
  <si>
    <t>Petrol-Light duty</t>
  </si>
  <si>
    <t>Diesel-Machinery</t>
  </si>
  <si>
    <t>Petrol-Machinery</t>
  </si>
  <si>
    <t>Production of diesel in subcontractor vehicles</t>
  </si>
  <si>
    <t>Production of Petrol in subcontractor vehicles</t>
  </si>
  <si>
    <t>Category 5</t>
  </si>
  <si>
    <t>Indirect GHG emissions from third-party disposal and treatment of Waste Generated in Operations</t>
  </si>
  <si>
    <t>ELLAKTOR S.A.</t>
  </si>
  <si>
    <t>Aδρανή / Inert</t>
  </si>
  <si>
    <t>Compost από βιοαπόβλητα / Compost from bio-organic waste</t>
  </si>
  <si>
    <t>Compost τύπου Α / Compost CLO (Compost like Output)</t>
  </si>
  <si>
    <t>Oργανικά απόβλητα / Οrganic waste</t>
  </si>
  <si>
    <t>Scrap Mετάλλων (mix)  / Scrap metal (mix)</t>
  </si>
  <si>
    <t>Scrap Mετάλλων (ανάμεικτο)  / Scrap metal (mix)</t>
  </si>
  <si>
    <t>Scrap αλουμινίου / Scrap Aluminium</t>
  </si>
  <si>
    <t>Scrap αλουμινίου/aluminium scrap</t>
  </si>
  <si>
    <t>Scrap σιδήρου / Scrap Metal</t>
  </si>
  <si>
    <t>Scrap σιδήρου/metal scrap</t>
  </si>
  <si>
    <t>Tetrapack</t>
  </si>
  <si>
    <t>Toner</t>
  </si>
  <si>
    <t>Yπολλείματα (για ΧΥΤΑ) /  Residues (for landfil)</t>
  </si>
  <si>
    <t>ΑΗΗΕ (απόβλητα ηλεκτρικού και ηλεκτρονικού εξοπλισμού) / Waste from electrical and
electronic equipment</t>
  </si>
  <si>
    <t>ΑΗΗΕ * (απόβλητα ηλεκτρικού και ηλεκτρονικού εξοπλισμού) / Waste from electrical and
electronic equipment*</t>
  </si>
  <si>
    <t>Άλλα επικίνδυνα απόβλητα/Other hazardous waste</t>
  </si>
  <si>
    <t>Άλλα μη επικίνδυνα (προσδιορίστε) / Other non hazardous waste (please specify)</t>
  </si>
  <si>
    <t>Ανάμεικτο Χαρτί (Mixed Paper)</t>
  </si>
  <si>
    <t>Απόβλητα Λιπαντικά Έλαια /  Used mineral oils</t>
  </si>
  <si>
    <t>Γυαλί</t>
  </si>
  <si>
    <t>Γυαλί / Glass</t>
  </si>
  <si>
    <t>Εκσκαφές / Excavations</t>
  </si>
  <si>
    <t>Ελαστικά / Tyres</t>
  </si>
  <si>
    <t>Εναλλακτικό Καύσιμο RDF/ RDF Waste</t>
  </si>
  <si>
    <t>Εναλλακτικό Καύσιμο SRF/ SRF Waste</t>
  </si>
  <si>
    <t>Εργαστηριακά χημικά / Laboratory waste</t>
  </si>
  <si>
    <t>Ιπτάμενη τέφρα / Fly ash</t>
  </si>
  <si>
    <t>Καλώδια/ Cables</t>
  </si>
  <si>
    <t>Κατεδαφίσεις / Demolitions</t>
  </si>
  <si>
    <t>Λάσπες / Sludges</t>
  </si>
  <si>
    <t>Μπαταρίες (ΑΦΗΣ) / Small Batteries</t>
  </si>
  <si>
    <t>Ξύλινη συσκευασία /  Wood packaging</t>
  </si>
  <si>
    <t>Οικιακά απορρίμματα/Municipal waste</t>
  </si>
  <si>
    <t>Πλαστικά και Πλαστικές συσκευασίες (mix) / Plastics and Plastic Packaging (mix)</t>
  </si>
  <si>
    <t>Πλαστικό film / Plastic Film</t>
  </si>
  <si>
    <t>Πλαστικό PE / Plastics PE</t>
  </si>
  <si>
    <t>Πλαστικό PET / Plastics PET</t>
  </si>
  <si>
    <t>Πλαστικό PP / Plastics PP</t>
  </si>
  <si>
    <t>Ρυπασμένες συσκευασίες (π.χ λιπαντικών, χημικών) / Contaminated packaging (from lubricants, chemicals, etc.)</t>
  </si>
  <si>
    <t>Σύμμεικτα μη επικ. Απόβλητα / Mixed non hazardous waste</t>
  </si>
  <si>
    <t>Σύμμεικτες συσκευασίες / Mixed Packaging</t>
  </si>
  <si>
    <t>Συσσωρευτές μολύβδου   (Pb-οξέος) / Lead-acid accumulators</t>
  </si>
  <si>
    <t>Σωλήνες φθορισμού / Lighting bulbs</t>
  </si>
  <si>
    <t>Τέφρα Πυθμένα / Bottom Ash</t>
  </si>
  <si>
    <t>Χαρτί (Paper)</t>
  </si>
  <si>
    <t>Χαρτόνι (Cardboard)</t>
  </si>
  <si>
    <t>Recycling</t>
  </si>
  <si>
    <t>Composting</t>
  </si>
  <si>
    <t>Landfill</t>
  </si>
  <si>
    <t>Other disposal operations</t>
  </si>
  <si>
    <t>Incineration</t>
  </si>
  <si>
    <t>Incineration with energy recovery</t>
  </si>
  <si>
    <t>Other recovery operations</t>
  </si>
  <si>
    <t>Waste_Aggregates</t>
  </si>
  <si>
    <t>Waste_Mixed Organics_Composted</t>
  </si>
  <si>
    <t>Waste_Mixed Organics_Landfilled</t>
  </si>
  <si>
    <t>Waste_Metal: mixed cans</t>
  </si>
  <si>
    <t>Waste_Metal: aluminium cans and foil (excl. forming)</t>
  </si>
  <si>
    <t>Waste_Metal: scrap metal</t>
  </si>
  <si>
    <t>Waste_Mixed Paper (general)_Recycling</t>
  </si>
  <si>
    <t>Waste_Mixed Recycables_Recycling</t>
  </si>
  <si>
    <t>Waste_Residues_landfill</t>
  </si>
  <si>
    <t>Waste_WEEE-mixed</t>
  </si>
  <si>
    <t>Waste_Mixed Recycables_Landfilled</t>
  </si>
  <si>
    <t>Waste_Mineral Oil</t>
  </si>
  <si>
    <t>Waste_Grass_Composted</t>
  </si>
  <si>
    <t>Waste_Commercial and Industrial Waste_Landfill</t>
  </si>
  <si>
    <t>Waste_Glass_Recycling</t>
  </si>
  <si>
    <t>Waste_Glass_Combusted</t>
  </si>
  <si>
    <t>Waste_Glass_Lanfilled</t>
  </si>
  <si>
    <t>Waste_Tires_Recycling</t>
  </si>
  <si>
    <t>Waste_Mixed Organics_Combusted</t>
  </si>
  <si>
    <t>Waste_Fly Ash_Recycled</t>
  </si>
  <si>
    <t>Waste_Copper Wire_Recycling</t>
  </si>
  <si>
    <t>Waste_Batteries</t>
  </si>
  <si>
    <t>Waste_Wood_Recycling</t>
  </si>
  <si>
    <t>Waste_Mixed MSW_Landfilled</t>
  </si>
  <si>
    <t>Waste_Mixed Plastics_Recycling</t>
  </si>
  <si>
    <t>Waste_Mixed Plastics_Landfilled</t>
  </si>
  <si>
    <t>Waste_HDPE_Recycling</t>
  </si>
  <si>
    <t>Waste_Yarn and textile_Recycling</t>
  </si>
  <si>
    <t>Mixed Organics/Composted</t>
  </si>
  <si>
    <t>Mixed Paper (general)/Recycling</t>
  </si>
  <si>
    <t>Mixed Recycables/Recycling</t>
  </si>
  <si>
    <t>market for waste mineral oil | waste mineral oil | Europe without Switzerland</t>
  </si>
  <si>
    <t>Waste Disposal/Commercial and industrial waste</t>
  </si>
  <si>
    <t>Glass/Recycling</t>
  </si>
  <si>
    <t>Glass/Combusted</t>
  </si>
  <si>
    <t>Glass/Lanfilled</t>
  </si>
  <si>
    <t>Tires/Recycling</t>
  </si>
  <si>
    <t>Mixed Organics/Combusted</t>
  </si>
  <si>
    <t>Fly Ash/Recycled</t>
  </si>
  <si>
    <t>Copper Wire/Recycling</t>
  </si>
  <si>
    <t>market for sewage sludge, 97% water, WWT, condensate from light oil boiler | sewage sludge, 97% water, WWT, condensate from light oil boiler | Row</t>
  </si>
  <si>
    <t>Mixed MSW/Landfilled</t>
  </si>
  <si>
    <t>Mixed Plastics/Recycling</t>
  </si>
  <si>
    <t>Mixed Plastics/Landfilled</t>
  </si>
  <si>
    <t>HDPE/Recycling</t>
  </si>
  <si>
    <t>market for waste yarn and waste textile | waste yarn and waste textile | Global</t>
  </si>
  <si>
    <t>tn CO2 eq/ tn</t>
  </si>
  <si>
    <t>Category 6</t>
  </si>
  <si>
    <t>Overnights</t>
  </si>
  <si>
    <t>Indirect GHG emissions from Business Travel</t>
  </si>
  <si>
    <t>Car travel</t>
  </si>
  <si>
    <t>Ship Travel</t>
  </si>
  <si>
    <t>Car Travel</t>
  </si>
  <si>
    <t>tn eCO2</t>
  </si>
  <si>
    <t>passenger.km</t>
  </si>
  <si>
    <t>Euro</t>
  </si>
  <si>
    <t>Icao carbon calculator</t>
  </si>
  <si>
    <t>HotelFootprint</t>
  </si>
  <si>
    <t>Travel</t>
  </si>
  <si>
    <t>CO₂ eq</t>
  </si>
  <si>
    <t xml:space="preserve">CO₂ </t>
  </si>
  <si>
    <t>Car_Travel</t>
  </si>
  <si>
    <t>Ship_Travel</t>
  </si>
  <si>
    <t>Car_Travel_Euro</t>
  </si>
  <si>
    <t>t CO2 eq/km</t>
  </si>
  <si>
    <t>full set / Scope 3 / Business travel - land / Cars / Average Car / Petrol + WTT - pass vehs &amp; travel - land / Cars / Average Car / Petrol</t>
  </si>
  <si>
    <t>Average-Petrol</t>
  </si>
  <si>
    <t>t CO2 eq/passenger.km</t>
  </si>
  <si>
    <t>Business travel - sea / Ferry / Average (all passenger) + WTT - business travel - sea / Ferry / Average (all passenger)</t>
  </si>
  <si>
    <t>Average-Ship</t>
  </si>
  <si>
    <t>Passenger car rental</t>
  </si>
  <si>
    <t>Category 7</t>
  </si>
  <si>
    <t>Survey</t>
  </si>
  <si>
    <t>Indirect GHG emissions from Employee Commuting</t>
  </si>
  <si>
    <t>Employee Commuting-Survey</t>
  </si>
  <si>
    <t>Petrol-WTT</t>
  </si>
  <si>
    <t>Diesel-WTT</t>
  </si>
  <si>
    <t>Category 13</t>
  </si>
  <si>
    <t>Indirect GHG emissions from Downsream leased assets</t>
  </si>
  <si>
    <t>Total</t>
  </si>
  <si>
    <t>Σ.Ε. CO₂</t>
  </si>
  <si>
    <t>location based method</t>
  </si>
  <si>
    <t>t CO2 eq/kWh</t>
  </si>
  <si>
    <t>Απόφαση ΡΑΕ 163/2022</t>
  </si>
  <si>
    <t>Συντελεστής προσαύξησης καταναλώσεων υπό ΜΤ λόγω απωλειών Δικτύου Διανομής</t>
  </si>
  <si>
    <t>Συντελεστής προσαύξησης καταναλώσεων υπό YΤ λόγω απωλειών Δικτύου Μεταφοράς</t>
  </si>
  <si>
    <t>Losses Electricity Combustion (L.V.)</t>
  </si>
  <si>
    <t>t CO2/kWh</t>
  </si>
  <si>
    <t>Losses_combustion L.V.</t>
  </si>
  <si>
    <t>Losses_upstream emissions L.V.</t>
  </si>
  <si>
    <t>Losses_combustion M.V.</t>
  </si>
  <si>
    <t>Losses_upstream emissions M.V.</t>
  </si>
  <si>
    <t>Factor L.V.</t>
  </si>
  <si>
    <t>Factor M.V.</t>
  </si>
  <si>
    <t>Losses Electricity  Combustion (M.V.)</t>
  </si>
  <si>
    <t>Losses Electricity  Upstream (M.V.)</t>
  </si>
  <si>
    <t>Factor H.V.</t>
  </si>
  <si>
    <t>Losses</t>
  </si>
  <si>
    <t>Description in Sources</t>
  </si>
  <si>
    <t>Coal (electricity generation)</t>
  </si>
  <si>
    <t>Diesel (100% mineral diesel)</t>
  </si>
  <si>
    <t>Natural gas (100% mineral blend)</t>
  </si>
  <si>
    <t>nuclear fuel element production, for boiling water reactor, UO2 4.0% &amp; MOX | nuclear fuel element, for boiling water reactor, UO2 4.0% &amp; MOX  - RoW</t>
  </si>
  <si>
    <t>biomass (average wood logs, wood chips, wood pelletsm grass/straw)</t>
  </si>
  <si>
    <t>MJ</t>
  </si>
  <si>
    <t>=</t>
  </si>
  <si>
    <t>J</t>
  </si>
  <si>
    <t xml:space="preserve">
Emissions from the production and transport of fuels for the production of electricity</t>
  </si>
  <si>
    <t>Factors - to calculate emissions from fuel production &amp; transport - Base Table</t>
  </si>
  <si>
    <t>Hard coal</t>
  </si>
  <si>
    <t>Coal</t>
  </si>
  <si>
    <t>Biomass</t>
  </si>
  <si>
    <t>Fossil fuels of unspecified origin</t>
  </si>
  <si>
    <t>RES of Unspecified Origin</t>
  </si>
  <si>
    <t>net calorific value (kWh/kg)</t>
  </si>
  <si>
    <t>unit efficiency</t>
  </si>
  <si>
    <t>Weighted E.F. for fuel production &amp; transport (kg CO2 eq / KWh)</t>
  </si>
  <si>
    <t>E.F. for fuel production &amp; transport (kg CO2 eq / KWh)</t>
  </si>
  <si>
    <t>Electricity consumption_losses_upstream_source allocation_CO2</t>
  </si>
  <si>
    <t>Sheet "Scope 3_Scope 2 Upstream CO2eq"</t>
  </si>
  <si>
    <t>Transportation</t>
  </si>
  <si>
    <t>Van</t>
  </si>
  <si>
    <t>Freighting goods / Vans / Average / Diesel + WTT- delivery vehs &amp; freight / WTT - Vans/ Average / Diesel</t>
  </si>
  <si>
    <t>Freighting goods / HGV / All HGVs / Average load + WTT- delivery vehs &amp; freight / WTT - HGV/ All HGVs / Average load</t>
  </si>
  <si>
    <t>Transportation_Van</t>
  </si>
  <si>
    <t>Transportation_Truck</t>
  </si>
  <si>
    <t>Sum t eCO2-market</t>
  </si>
  <si>
    <t>Indirect GHG emissions from Downsream leased assets (category 13)</t>
  </si>
  <si>
    <t>Row Labels</t>
  </si>
  <si>
    <t>Grand Total</t>
  </si>
  <si>
    <t>Sum of Sum t eCO2</t>
  </si>
  <si>
    <t>Sum of Sum t eCO2-market</t>
  </si>
  <si>
    <t>Activity data for Electricity consumption - Origin and allocation to primary sources of origin based on the PRODUCTION ENERGY MIX of the Country-Greece</t>
  </si>
  <si>
    <t>Activity data for Electricity consumption - Origin and allocation to primary sources of origin based on the PRODUCTION ENERGY MIX of the Country-Germany</t>
  </si>
  <si>
    <t>Upstream emissions from purchased electricity consumed ενεργειακό μείγμα Χώρας</t>
  </si>
  <si>
    <t>Greece</t>
  </si>
  <si>
    <t>Germany</t>
  </si>
  <si>
    <t>Cyprus</t>
  </si>
  <si>
    <t>Losses_combustion M.V._CH4</t>
  </si>
  <si>
    <t>Losses Electricity  Combustion (M.V.) CH4</t>
  </si>
  <si>
    <t>t CH4/kWh</t>
  </si>
  <si>
    <t>Losses Electricity  Combustion (M.V.) N2O</t>
  </si>
  <si>
    <t>t N2O/kWh</t>
  </si>
  <si>
    <t>Losses_combustion M.V._N2O</t>
  </si>
  <si>
    <t>Losses Electricity Combustion (L.V.) CH4</t>
  </si>
  <si>
    <t>Σ.Ε. CH₄</t>
  </si>
  <si>
    <t>Σ.Ε. N2O</t>
  </si>
  <si>
    <t>Losses Electricity Combustion (L.V.) N2O</t>
  </si>
  <si>
    <t>Losses_combustion L.V._CH4</t>
  </si>
  <si>
    <t>Losses_combustion L.V._N2O</t>
  </si>
  <si>
    <t>ΡΑΕ Κύπρου</t>
  </si>
  <si>
    <t>Συντελεστής απωλειών για Μ.Τ. (2022)</t>
  </si>
  <si>
    <t>Συντελεστής απωλειών για Χ.Τ. (2022)</t>
  </si>
  <si>
    <t>ΔΣΜΚ</t>
  </si>
  <si>
    <t>Συντελεστής απωλειών για Υ.Τ. (2018)</t>
  </si>
  <si>
    <t>Factor L.V._CY</t>
  </si>
  <si>
    <t>Factor M.V._CY</t>
  </si>
  <si>
    <t>Factor H.V._CY</t>
  </si>
  <si>
    <t>Losses Electricity Combustion (L.V.) - Cyprus</t>
  </si>
  <si>
    <t>Losses Electricity Upstream (L.V.)</t>
  </si>
  <si>
    <t>Losses Electricity Upstream (L.V.) - Cyprus</t>
  </si>
  <si>
    <t>Losses_combustion L.V._CY</t>
  </si>
  <si>
    <t>Losses_upstream emissions L.V._CY</t>
  </si>
  <si>
    <t>Losses Electricity Combustion (L.V.) - Germany</t>
  </si>
  <si>
    <t>Losses Electricity Upstream (L.V.) - Germany</t>
  </si>
  <si>
    <t>Losses_combustion L.V._DE</t>
  </si>
  <si>
    <t>Losses_upstream emissions L.V._DE</t>
  </si>
  <si>
    <t>Factor L.V._DE</t>
  </si>
  <si>
    <t>Electricity consumption_losses_upstream_source allocation_CO2_DE</t>
  </si>
  <si>
    <t>Electricity consumption_losses_upstream_source allocation_CO2_CY</t>
  </si>
  <si>
    <t>Factor for losses in final (L.V.)</t>
  </si>
  <si>
    <t>direct life insurance carriers</t>
  </si>
  <si>
    <t>Advertising and public relations</t>
  </si>
  <si>
    <t>publishing services</t>
  </si>
  <si>
    <t>convention and trade show organizers</t>
  </si>
  <si>
    <t>all other business support services</t>
  </si>
  <si>
    <t>Production_direct life insurance carriers</t>
  </si>
  <si>
    <t>Production_Advertising and public relations</t>
  </si>
  <si>
    <t>Production_publishing services</t>
  </si>
  <si>
    <t>Production_convention and trade show organizers</t>
  </si>
  <si>
    <t>Production_all other business support services</t>
  </si>
  <si>
    <t>tn CO2 eq/ €</t>
  </si>
  <si>
    <t>scheduled passenger air transportation</t>
  </si>
  <si>
    <t>Air_Travel_Euro</t>
  </si>
  <si>
    <t>Air transportation</t>
  </si>
  <si>
    <t>Production_supporting and auxiliary transport services/travel agency services</t>
  </si>
  <si>
    <t>supporting and auxiliary transport services/travel agency services</t>
  </si>
  <si>
    <t>Editorial deadline: 29 November 2023</t>
  </si>
  <si>
    <t>Monitoring report 2023 in accordance with section 63(3) in conjunction with section 35 EnWG and section 48(3) in conjunction with section 53(3) GWB</t>
  </si>
  <si>
    <t>tn*km</t>
  </si>
  <si>
    <t>Transportation_Airplane</t>
  </si>
  <si>
    <t>Freighting goods / Freight flights / International, to/from non-UK / With RF + WTT- delivery vehs &amp; freight / WTT - Freight flights/ All HGVs / International, to/from non-UK / With RF</t>
  </si>
  <si>
    <t>Airplane-Assumption 500 kg</t>
  </si>
  <si>
    <t xml:space="preserve">ENVIRONMENT </t>
  </si>
  <si>
    <t>CONCESSIONS</t>
  </si>
  <si>
    <t>Sector</t>
  </si>
  <si>
    <t>REAL ESTATE DEVELOPMENT</t>
  </si>
  <si>
    <t>real estate services</t>
  </si>
  <si>
    <t>Production_real estate services</t>
  </si>
  <si>
    <t>sum</t>
  </si>
  <si>
    <t xml:space="preserve">Δεν απορρίπτεται </t>
  </si>
  <si>
    <t>p-value &gt;0.05</t>
  </si>
  <si>
    <t>p-value</t>
  </si>
  <si>
    <t>JB-Test</t>
  </si>
  <si>
    <t>Ελεγχος κανονικής κατανομής</t>
  </si>
  <si>
    <t>Confidence Level(95,0%)</t>
  </si>
  <si>
    <t>Count</t>
  </si>
  <si>
    <t>Sum</t>
  </si>
  <si>
    <t>Maximum</t>
  </si>
  <si>
    <t>Minimum</t>
  </si>
  <si>
    <t>Range</t>
  </si>
  <si>
    <t>Skewness</t>
  </si>
  <si>
    <t>Kurtosis</t>
  </si>
  <si>
    <t>Sample Variance</t>
  </si>
  <si>
    <t>Standard Deviation</t>
  </si>
  <si>
    <t>Mode</t>
  </si>
  <si>
    <t>Median</t>
  </si>
  <si>
    <t>Standard Error</t>
  </si>
  <si>
    <t>Mean</t>
  </si>
  <si>
    <t>Αβεβαιότητα</t>
  </si>
  <si>
    <t>Max</t>
  </si>
  <si>
    <t>Min</t>
  </si>
  <si>
    <t>Εύρος</t>
  </si>
  <si>
    <t>Σύνολο</t>
  </si>
  <si>
    <t>max</t>
  </si>
  <si>
    <t>min</t>
  </si>
  <si>
    <t>1000≤x&lt;10000</t>
  </si>
  <si>
    <t>100≤x&lt;1000</t>
  </si>
  <si>
    <t>10≤x&lt;100</t>
  </si>
  <si>
    <t>Percentage</t>
  </si>
  <si>
    <t>Rand gen 100</t>
  </si>
  <si>
    <t>Rand gen 99</t>
  </si>
  <si>
    <t>Rand gen 98</t>
  </si>
  <si>
    <t>Rand gen 97</t>
  </si>
  <si>
    <t>Rand gen 96</t>
  </si>
  <si>
    <t>Rand gen 95</t>
  </si>
  <si>
    <t>Rand gen 94</t>
  </si>
  <si>
    <t>Rand gen 93</t>
  </si>
  <si>
    <t>Rand gen 92</t>
  </si>
  <si>
    <t>Rand gen 91</t>
  </si>
  <si>
    <t>Rand gen 90</t>
  </si>
  <si>
    <t>Rand gen 89</t>
  </si>
  <si>
    <t>Rand gen 88</t>
  </si>
  <si>
    <t>Rand gen 87</t>
  </si>
  <si>
    <t>Rand gen 86</t>
  </si>
  <si>
    <t>Rand gen 85</t>
  </si>
  <si>
    <t>Rand gen 84</t>
  </si>
  <si>
    <t>Rand gen 83</t>
  </si>
  <si>
    <t>Rand gen 82</t>
  </si>
  <si>
    <t>Rand gen 81</t>
  </si>
  <si>
    <t>Rand gen 80</t>
  </si>
  <si>
    <t>Rand gen 79</t>
  </si>
  <si>
    <t>Rand gen 78</t>
  </si>
  <si>
    <t>Rand gen 77</t>
  </si>
  <si>
    <t>Rand gen 76</t>
  </si>
  <si>
    <t>Rand gen 75</t>
  </si>
  <si>
    <t>Rand gen 74</t>
  </si>
  <si>
    <t>Rand gen 73</t>
  </si>
  <si>
    <t>Rand gen 72</t>
  </si>
  <si>
    <t>Rand gen 71</t>
  </si>
  <si>
    <t>Rand gen 70</t>
  </si>
  <si>
    <t>Rand gen 69</t>
  </si>
  <si>
    <t>Rand gen 68</t>
  </si>
  <si>
    <t>Rand gen 67</t>
  </si>
  <si>
    <t>Rand gen 66</t>
  </si>
  <si>
    <t>Rand gen 65</t>
  </si>
  <si>
    <t>Rand gen 64</t>
  </si>
  <si>
    <t>Rand gen 63</t>
  </si>
  <si>
    <t>Rand gen 62</t>
  </si>
  <si>
    <t>Rand gen 61</t>
  </si>
  <si>
    <t>Rand gen 60</t>
  </si>
  <si>
    <t>Rand gen 59</t>
  </si>
  <si>
    <t>Rand gen 58</t>
  </si>
  <si>
    <t>Rand gen 57</t>
  </si>
  <si>
    <t>Rand gen 56</t>
  </si>
  <si>
    <t>Rand gen 55</t>
  </si>
  <si>
    <t>Rand gen 54</t>
  </si>
  <si>
    <t>Rand gen 53</t>
  </si>
  <si>
    <t>Rand gen 52</t>
  </si>
  <si>
    <t>Rand gen 51</t>
  </si>
  <si>
    <t>Rand gen 50</t>
  </si>
  <si>
    <t>Rand gen 49</t>
  </si>
  <si>
    <t>Rand gen 48</t>
  </si>
  <si>
    <t>Rand gen 47</t>
  </si>
  <si>
    <t>Rand gen 46</t>
  </si>
  <si>
    <t>Rand gen 45</t>
  </si>
  <si>
    <t>Rand gen 44</t>
  </si>
  <si>
    <t>Rand gen 43</t>
  </si>
  <si>
    <t>Rand gen 42</t>
  </si>
  <si>
    <t>Rand gen 41</t>
  </si>
  <si>
    <t>Rand gen 40</t>
  </si>
  <si>
    <t>Rand gen 39</t>
  </si>
  <si>
    <t>Rand gen 38</t>
  </si>
  <si>
    <t>Rand gen 37</t>
  </si>
  <si>
    <t>Rand gen 36</t>
  </si>
  <si>
    <t>Rand gen 35</t>
  </si>
  <si>
    <t>Rand gen 34</t>
  </si>
  <si>
    <t>Rand gen 33</t>
  </si>
  <si>
    <t>Rand gen 32</t>
  </si>
  <si>
    <t>Rand gen 31</t>
  </si>
  <si>
    <t>Rand gen 30</t>
  </si>
  <si>
    <t>Rand gen 29</t>
  </si>
  <si>
    <t>Rand gen 28</t>
  </si>
  <si>
    <t>Rand gen 27</t>
  </si>
  <si>
    <t>Rand gen 26</t>
  </si>
  <si>
    <t>Rand gen 25</t>
  </si>
  <si>
    <t>Rand gen 24</t>
  </si>
  <si>
    <t>Rand gen 23</t>
  </si>
  <si>
    <t>Rand gen 22</t>
  </si>
  <si>
    <t>Rand gen 21</t>
  </si>
  <si>
    <t>Rand gen 20</t>
  </si>
  <si>
    <t>Rand gen 19</t>
  </si>
  <si>
    <t>Rand gen 18</t>
  </si>
  <si>
    <t>Rand gen 17</t>
  </si>
  <si>
    <t>Rand gen 16</t>
  </si>
  <si>
    <t>Rand gen 15</t>
  </si>
  <si>
    <t>Rand gen 14</t>
  </si>
  <si>
    <t>Rand gen 13</t>
  </si>
  <si>
    <t>Rand gen 12</t>
  </si>
  <si>
    <t>Rand gen 11</t>
  </si>
  <si>
    <t>Rand gen 10</t>
  </si>
  <si>
    <t>Rand gen 9</t>
  </si>
  <si>
    <t>Rand gen 8</t>
  </si>
  <si>
    <t>Rand gen 7</t>
  </si>
  <si>
    <t>Rand gen 6</t>
  </si>
  <si>
    <t>Rand gen 5</t>
  </si>
  <si>
    <t>Rand gen 4</t>
  </si>
  <si>
    <t>Rand gen 3</t>
  </si>
  <si>
    <t>Rand gen 2</t>
  </si>
  <si>
    <t>Rand gen 1</t>
  </si>
  <si>
    <t>e tCO2</t>
  </si>
  <si>
    <t>Transportation_Truck_tn*km</t>
  </si>
  <si>
    <t>t CO2 eq/tonne.km</t>
  </si>
  <si>
    <t>Freighting goods / HGV (all diesel) / Average laden + WTT - delivery vehs &amp; freight / WTT - HGV (all diesel) / Average laden</t>
  </si>
  <si>
    <r>
      <t>0&lt;</t>
    </r>
    <r>
      <rPr>
        <sz val="11"/>
        <color theme="1"/>
        <rFont val="Calibri"/>
        <family val="2"/>
        <scheme val="minor"/>
      </rPr>
      <t>x&lt;10</t>
    </r>
  </si>
  <si>
    <t>tn CO2/MMBtu</t>
  </si>
  <si>
    <t>tn CH4/MMBtu</t>
  </si>
  <si>
    <t>tn N2O/MMBtu</t>
  </si>
  <si>
    <t>Mixed Recycables/Landfilled</t>
  </si>
  <si>
    <t>Activity data for Electricity consumption - Origin and allocation to primary sources of origin based on the PRODUCTION ENERGY MIX of the Country-Cyprus</t>
  </si>
  <si>
    <t>AIB 2023</t>
  </si>
  <si>
    <t>Έκθεση ΔΑΠΕΕΠ 2022 και NIR 2022</t>
  </si>
  <si>
    <t>Waste_Mixed Plastics_Combusted</t>
  </si>
  <si>
    <t>Waste_Waste Food_Landfilled</t>
  </si>
  <si>
    <t>Waste_sludge</t>
  </si>
  <si>
    <t>Waste_Plastic Film_Landfilled</t>
  </si>
  <si>
    <t>Waste_PET_Recycling</t>
  </si>
  <si>
    <t>Mixed Organics/Landfilled</t>
  </si>
  <si>
    <t>treatment of residues, MSWI-WWT, WW, average, residual material landfill | residues, MSWI-WWT, WW, average | Cutoff, S</t>
  </si>
  <si>
    <t>Mixed Plastics/Combusted</t>
  </si>
  <si>
    <t>Food Waste/Landfilled</t>
  </si>
  <si>
    <t>Plastic Film/Landfilled</t>
  </si>
  <si>
    <t>PET/Recycling</t>
  </si>
  <si>
    <t>Waste Disposal/Paper Board</t>
  </si>
  <si>
    <t>Waste_Paper Board_Recycling</t>
  </si>
  <si>
    <t>Waste_Commercial and Industrial Waste_Recycling</t>
  </si>
  <si>
    <t>Investments</t>
  </si>
  <si>
    <t>highway/street and bridge construction</t>
  </si>
  <si>
    <t>Investments_bridge</t>
  </si>
  <si>
    <t>parking lots and garages</t>
  </si>
  <si>
    <t>Investments_parking lots</t>
  </si>
  <si>
    <t>waste collection/treatment and disposal services/materials recovery services</t>
  </si>
  <si>
    <t>Investments_waste collection</t>
  </si>
  <si>
    <t>electricity generated from biomass and waste</t>
  </si>
  <si>
    <t>Investments_biogas</t>
  </si>
  <si>
    <t>collected and purified water/distribution of water (services)</t>
  </si>
  <si>
    <t>Investments_water supply</t>
  </si>
  <si>
    <t xml:space="preserve">ΓΕΦΥΡΑ ΑΕ </t>
  </si>
  <si>
    <t>ΑΘΗΝΑΪΚΟΙ ΣΤΑΘΜΟΙ ΑΥΤΟΚΙΝΗΤΩΝ ΑΕ</t>
  </si>
  <si>
    <t>ΓΕΦΥΡΑ ΛΕΙΤΟΥΡΓΙΑ ΑΕ</t>
  </si>
  <si>
    <t>POLISPARK AE</t>
  </si>
  <si>
    <t>SALONICA PARK ΑΕ</t>
  </si>
  <si>
    <t>ΠΑΣΙΦΑΗ ΟΔΟΣ ΑΕ</t>
  </si>
  <si>
    <t>ΑΥΤΟΚΙΝΗΤΟΔΡΟΜΟΣ ΑΙΓΑΙΟΥ ΑΕ</t>
  </si>
  <si>
    <t>ΗΛΕΚΤΩΡ ΑΕ ΜΕΣΟΓΕΙΟΣ ΑΕ -ΚΞ ΜΕΤΑΒΑΤΙΚΗΣ ΔΙΑΧ ΟΡΓ.ΑΠΟΒΛ.ΠΚΜ ΗΛΕΚΤΩΡ ΑΕ ΜΕΣΟΓΕΙΟΣ ΑΕ</t>
  </si>
  <si>
    <t>ΚΞ ΗΛΕΚΤΩΡ ΑΕ ΜΗΧ ΠΕΡ ΑΕ-ΛΕΙΤΟΥΡΓΙΑ ΧΥΤΑ ΑΡΝΑΙΑΣ</t>
  </si>
  <si>
    <t>Category 15</t>
  </si>
  <si>
    <t>Emissions from Investments</t>
  </si>
  <si>
    <t>Indirect GHG emissions from Investments</t>
  </si>
  <si>
    <t>Including Biogenic</t>
  </si>
  <si>
    <t xml:space="preserve"> Purchased Goods and Services </t>
  </si>
  <si>
    <t xml:space="preserve"> Capital goods  </t>
  </si>
  <si>
    <t xml:space="preserve"> Fuel-and Energy-Related Activities </t>
  </si>
  <si>
    <t xml:space="preserve">Upstream transportation &amp; distribution </t>
  </si>
  <si>
    <t xml:space="preserve">Third-party disposal and treatment of Waste Generated in Operations </t>
  </si>
  <si>
    <t xml:space="preserve">Business Travel </t>
  </si>
  <si>
    <t xml:space="preserve">Employee Commuting  </t>
  </si>
  <si>
    <t xml:space="preserve">Downsream leased assets </t>
  </si>
  <si>
    <t xml:space="preserve"> Investments</t>
  </si>
  <si>
    <t>Percentage 2022 (%)</t>
  </si>
  <si>
    <t>DEFRA 2024/ Fuel Properties/ Other Fuels/ CNG/ NCV</t>
  </si>
  <si>
    <t>DEFRA 2024</t>
  </si>
  <si>
    <t>Greece 2024 Common Reporting Format (CRF) Table / Table1.A(a)s3 / 1.A.3 Transport / b.Road transportation/Gaseous Fuels</t>
  </si>
  <si>
    <t>ΔΑΠΕΕΠ 2024</t>
  </si>
  <si>
    <t xml:space="preserve"> Ενεργειακό Μείγμα 2023</t>
  </si>
  <si>
    <t>Emission Factors Proposed by National Climate Law 2024</t>
  </si>
  <si>
    <t>ΙΕΑ 2022</t>
  </si>
  <si>
    <t>ΙΕΑ 2022/"Scope 2 Calculations"</t>
  </si>
  <si>
    <t>Electricity RO_CO2</t>
  </si>
  <si>
    <t>European Residual Mixes 2023/TABLE 2.Residual Mixes 2023 /DE</t>
  </si>
  <si>
    <t>European Residual Mixes 2023/TABLE 2.Residual Mixes 2023/CY</t>
  </si>
  <si>
    <t>European Residual Mixes 2023/TABLE 2.Residual Mixes 2023/RO</t>
  </si>
  <si>
    <t>Electricity RO_CO2_market</t>
  </si>
  <si>
    <t>Greece 2024 Common Reporting Format (CRF) Table / Table1.A(a)s3 / 1.A.3 Transport / b.Road transportation / i.Cars / LPG</t>
  </si>
  <si>
    <t>Greece. 2024 National Inventory Report / Table 3.13 / LPG</t>
  </si>
  <si>
    <t>Greece. 2024 Common Reporting Format (CRF) Table / Table1.A(a)s4 / 1.A.4 Other sectors / b. Residential / 1.A.4.b.i Stationary combustion / Gaseous Fuels</t>
  </si>
  <si>
    <t>National Inventory Report Greece 2024 Submission p. 114</t>
  </si>
  <si>
    <t>Greece. 2024 Common Reporting Format (CRF) Table / Table1.A(a)s4 / 1.A.4 Other sectors / b. Residential / 1.A.4.b.i Stationary combustion / Liquid Fuels</t>
  </si>
  <si>
    <t>Greece. National Inventory Submissions 2024</t>
  </si>
  <si>
    <t>Greece 2024 Common Reporting Format (CRF) Table / Table1.A(a)s3 / 1.A.3 Transport / b.Road transportation / i.Cars / Diesel oil</t>
  </si>
  <si>
    <t>Greece 2024 Common Reporting Format (CRF) Table / Table1.A(a)s3 / 1.A.3 Transport / b.Road transportation / ii. Light Duty Trucks / Diesel Oil</t>
  </si>
  <si>
    <t>Greece 2024 Common Reporting Format (CRF) Table / Table1.A(a)s1 / 1.A.1 Energy Industries/ 1.A.1.a.i Electricity Generation/ Liquid Fuels</t>
  </si>
  <si>
    <t>Greece. 2024 National Inventory Report / Table 3.13 / Gasoline</t>
  </si>
  <si>
    <t>Greece. 2024 Common Reporting Format (CRF) Table / Table1.A(a)s3 / 1.A.3 Transport / b.Road transportation / i.Cars / Petrol</t>
  </si>
  <si>
    <t>Greece. 2024 Common Reporting Format (CRF) Table / Table1.A(a)s4 / 1.A.4 Other sectors / Liquid Fuels</t>
  </si>
  <si>
    <t xml:space="preserve">National Inventory Report Greece 2024 Submission for 2023 Reference Year p. 114 </t>
  </si>
  <si>
    <t>Greece 2024 Common Reporting Format (CRF) Table / Table1.A(a)s3 / 1.A.3 Transport / b.Road transportation / i.Cars / Petrol</t>
  </si>
  <si>
    <t>Greece 2024 Common Reporting Format (CRF) Table / Table1.A(a)s3 / 1.A.3 Transport / b.Road transportation / ii. Light Duty Trucks  Petrol</t>
  </si>
  <si>
    <t>Greece 2023\4 Common Reporting Format (CRF) Table / Table1.A(a)s3 / 1.A.3 Transport / b.Road transportation / ii. Light Duty Trucks  Petrol</t>
  </si>
  <si>
    <t>Greece 2024 Common Reporting Format (CRF) Table / Table1.A(a)s3 / 1.A.3 Transport / b.Road transportation / iv. Motorcycles/ Petrol</t>
  </si>
  <si>
    <t>Greece 2024 Common Reporting Format (CRF) Table / Table1.A(a)s3 / 1.A.3 Transport / b.Road transportation/Petrol</t>
  </si>
  <si>
    <t>Greece. 2024 Common Reporting Format (CRF) Table.
 Table1.A(a)s1 /1.A.a.i Electricity Generation/Biomass</t>
  </si>
  <si>
    <t>Greece. 2024 National Inventory Report / Table 3.13 / Diesel oil</t>
  </si>
  <si>
    <t>Activity data for Electricity consumption - Origin and allocation to primary sources of origin based on the PRODUCTION ENERGY MIX of the Country-Romania</t>
  </si>
  <si>
    <t>market for hard coal | hard coal | ROW</t>
  </si>
  <si>
    <t>E.F. for fuel production &amp; transport - Ecoivent 3.11 (kg CO2 eq / kg)</t>
  </si>
  <si>
    <t>E.F. for fuel production &amp; transport -DEFRA 2024 (kg CO2 eq / kWh - θερμική ενέργεια καυσίμου) - net CV</t>
  </si>
  <si>
    <t>Percentage 2023 (%)</t>
  </si>
  <si>
    <t>Electricity consumption_losses_upstream_source allocation_CO2_RO</t>
  </si>
  <si>
    <t>t CO2 eq/lt</t>
  </si>
  <si>
    <t>t CO₂ eq/lt</t>
  </si>
  <si>
    <t>Romania</t>
  </si>
  <si>
    <t>EPA 2022</t>
  </si>
  <si>
    <t>ΠΑΡΚΙΝΓΚ ΧΑΝΘ Α.Ε.</t>
  </si>
  <si>
    <t>HERON</t>
  </si>
  <si>
    <t>Κεντρικά Γραφεία/ΑΚΤΩΡ ΠΑΡΑΧΩΡΗΣΕΙΣ</t>
  </si>
  <si>
    <t>ΝΕΑ ΜΑΡΙΝΑ ΑΛΙΜΟΥ (ΑΚΤΩΡ ΠΑΡΑΧΩΡΗΣΕΙΣ) (01.01.2024-16.09.2024)</t>
  </si>
  <si>
    <t>ΣΤΑΘΜΟΙ ΠΑΝΤΕΧΝΙΚΗ ΑΕ</t>
  </si>
  <si>
    <t>Π &amp; Π ΣΤΑΘΜΕΥΣΗ ΑΕ</t>
  </si>
  <si>
    <t>ΑΤΤΙΚΗ ΟΔΟΣ ΑΕ</t>
  </si>
  <si>
    <t>ΜΟΡΕΑΣ ΑΕ</t>
  </si>
  <si>
    <t>ΜΟΡΕΑΣ/Κεντρικά Γραφεία</t>
  </si>
  <si>
    <t>IOANNA PROPERTIES SRL</t>
  </si>
  <si>
    <t>ELLAKTOR HOLDINGS</t>
  </si>
  <si>
    <t>WERK ENERGY SRL</t>
  </si>
  <si>
    <t>ΕΛΛΑΚΤΩΡ Α.Ε. (Κεντρικά Γραφεία)</t>
  </si>
  <si>
    <t>EAC</t>
  </si>
  <si>
    <t>EAM</t>
  </si>
  <si>
    <t>ΚΑΝΤΖΑ ΕΜΠΟΡΙΚΗ ΑΕ</t>
  </si>
  <si>
    <t>Κεντρικά Γραφεία/REDS</t>
  </si>
  <si>
    <t>ΝΕΑ ΜΑΡΙΝΑ ΑΛΙΜΟΥ (ΠΑΡΟΧΗ ΥΠΗΡΕΣΙΩΝ)-REDS (17.09.2024-31.12.2024)</t>
  </si>
  <si>
    <t>Ρουμανία</t>
  </si>
  <si>
    <t>ΔΑΠΕΕΠ 2025</t>
  </si>
  <si>
    <t>ΗΡΩΝ ΕΝΕΡΓΕΙΑΚΗ Α.Ε.</t>
  </si>
  <si>
    <t>(Multiple Items)</t>
  </si>
  <si>
    <t>ΠΥΛΙΑ ΟΔΟΣ</t>
  </si>
  <si>
    <t>EURO</t>
  </si>
  <si>
    <t>ΑΕΙΦΟΡΙΚΗ ΚΟΥΝΟΥ</t>
  </si>
  <si>
    <t>ΠΑΝΤΕΧΝΙΚΗ</t>
  </si>
  <si>
    <t>Production_bottled water manufacturing</t>
  </si>
  <si>
    <t>Production_septic tank and related services</t>
  </si>
  <si>
    <t>Production_sugar</t>
  </si>
  <si>
    <t>bottled water manufacturing</t>
  </si>
  <si>
    <t>septic tank and related services</t>
  </si>
  <si>
    <t>sugar</t>
  </si>
  <si>
    <t>ΝΕΑ ΜΑΡΙΝΑ ΑΛΙΜΟΥ</t>
  </si>
  <si>
    <t>BEIS 2021</t>
  </si>
  <si>
    <t>Μετατροπή</t>
  </si>
  <si>
    <t>USD/EUR</t>
  </si>
  <si>
    <t>GBP/EUR</t>
  </si>
  <si>
    <t>LPG_CO2_kg</t>
  </si>
  <si>
    <t>LPG_CH4_kg</t>
  </si>
  <si>
    <t>LPG_N2O_kg</t>
  </si>
  <si>
    <t>LPG in kg</t>
  </si>
  <si>
    <t>Truck_tn.km</t>
  </si>
  <si>
    <t>Van_tn.km</t>
  </si>
  <si>
    <t>Van_km</t>
  </si>
  <si>
    <t>Transportation_Van_tn*km</t>
  </si>
  <si>
    <t>ΑΤΤΙΚΕΣ ΔΙΑΔΡΟΜΕΣ ΑΕ</t>
  </si>
  <si>
    <t>ΜΟΡΕΑΣ ΣΕΑ ΑΕ</t>
  </si>
  <si>
    <t>HFC-134a</t>
  </si>
  <si>
    <t>Ρ-134</t>
  </si>
  <si>
    <t>HFC-134</t>
  </si>
  <si>
    <t>R-134_GWP</t>
  </si>
  <si>
    <t>Fire extinguishers</t>
  </si>
  <si>
    <t>CO2</t>
  </si>
  <si>
    <t>ΚΞ ΗΛΕΚΤΩΡ-ΕΛΛΑΚΤΩΡ-CYBARCO</t>
  </si>
  <si>
    <t>HERHOF GMBH</t>
  </si>
  <si>
    <t xml:space="preserve"> generators_CH4_diesel_TJ_CU</t>
  </si>
  <si>
    <t xml:space="preserve"> generators_N2O_diesel_TJ_CU</t>
  </si>
  <si>
    <t>Heating Oil_CH4_TJ_CU</t>
  </si>
  <si>
    <t>Heating Oil_N2O_TJ_CU</t>
  </si>
  <si>
    <t>Germany. National Inventory Document (NID) 2024</t>
  </si>
  <si>
    <t>Germany 2024 Common Reporting Table  (CRT)/ Table1.A(a)s3 / 1.A.3 Transport / b.Road transportation / i.Cars / Diesel oil</t>
  </si>
  <si>
    <t>company vehicles_CH4_diesel_TJ_DE</t>
  </si>
  <si>
    <t>company vehicles_N2O_diesel_TJ_DE</t>
  </si>
  <si>
    <t>company vehicles_CO2_diesel_TJ_DE</t>
  </si>
  <si>
    <t>company vehicles_CO2_diesel_lt_DE</t>
  </si>
  <si>
    <t>company vehicles_CH4_diesel_lt_DE</t>
  </si>
  <si>
    <t>company vehicles_N2O_diesel_lt_DE</t>
  </si>
  <si>
    <t>Diesel_NCV_DE</t>
  </si>
  <si>
    <t>Diesel_density_DE</t>
  </si>
  <si>
    <t>Energy Statistics Manual - Gas/Diesel Oil</t>
  </si>
  <si>
    <t>DIESEL_base_DE</t>
  </si>
  <si>
    <t>DIESEL_base_CU</t>
  </si>
  <si>
    <t>petrol_NCV_CU</t>
  </si>
  <si>
    <t>petrol_density_CU</t>
  </si>
  <si>
    <t>company vehicles_CH4_petrol_lt_CU</t>
  </si>
  <si>
    <t>company vehicles_CO2_petrol_lt_CU</t>
  </si>
  <si>
    <t>company vehicles_N2O_petrol_lt_CU</t>
  </si>
  <si>
    <t>Cyprus. 2024 Common Reporting Table (CRT)  / Table1.A(a)s3 / 1.A.3 Transport / b.Road transportation / i.Cars / Petrol</t>
  </si>
  <si>
    <t>Cyprus. National Inventory Table (CRF) 2024</t>
  </si>
  <si>
    <t>company vehicles_N2O_petrol_TJ_CU</t>
  </si>
  <si>
    <t>company vehicles_CH4_petrol_TJ_CU</t>
  </si>
  <si>
    <t>Ο περί Προδιαγραφών Πετρελαιοειδών και Καυσίμων Νόμος </t>
  </si>
  <si>
    <t>Cyprus. National Inventory Report (NIR) 2024</t>
  </si>
  <si>
    <t>Cyprus. National Inventory Report (NIR) 2024/ Table 3.30/ Gasoline</t>
  </si>
  <si>
    <t>company vehicles_CO2_petrol_TJ_CU</t>
  </si>
  <si>
    <t>petrol_base_CU</t>
  </si>
  <si>
    <t>Diesel_NCV_CU</t>
  </si>
  <si>
    <t>Diesel_density_CU</t>
  </si>
  <si>
    <t>Cyprus. National Inventory Report (NIR) 2024/ Table 3.28/ Diesel</t>
  </si>
  <si>
    <t>Cyprus. National Inventory Table (CRT) 2024</t>
  </si>
  <si>
    <t>Cyprus 2024 Common Reporting Table  (CRT) / Table1.A(a)s1 / 1.A.1 Energy Industries/ 1.A.1.a.i Electricity Generation/ Liquid Fuels</t>
  </si>
  <si>
    <t xml:space="preserve"> generators_CO2_Diesel_lt_CU</t>
  </si>
  <si>
    <t xml:space="preserve"> generators_CH4_diesel_lt_CU</t>
  </si>
  <si>
    <t xml:space="preserve"> generators_N2O_diesel_lt_CU</t>
  </si>
  <si>
    <t>generators_CO2_Diesel_TJ_CU</t>
  </si>
  <si>
    <t>Heating Oil_CO2_TJ_CU</t>
  </si>
  <si>
    <t>Heating Oil_CO2_lt_CU</t>
  </si>
  <si>
    <t>Heating Oil_CH4_lt_CU</t>
  </si>
  <si>
    <t>Heating Oil_N2O_lt_CU</t>
  </si>
  <si>
    <t xml:space="preserve"> plant machinery_CO2_Diesel_TJ_CU</t>
  </si>
  <si>
    <t xml:space="preserve"> plant machinery_CH4_diesel_TJ_CU</t>
  </si>
  <si>
    <t>Cyprus. National Inventory Report (NIR) 2025</t>
  </si>
  <si>
    <t xml:space="preserve"> plant machinery_N2O_diesel_TJ_CU</t>
  </si>
  <si>
    <t xml:space="preserve"> plant machinery_CO2_Diesel_lt_CU</t>
  </si>
  <si>
    <t xml:space="preserve"> plant machinery_CH4_diesel_lt_CU</t>
  </si>
  <si>
    <t xml:space="preserve"> plant machinery_N2O_diesel_lt_CU</t>
  </si>
  <si>
    <t>heavy duty vehicles_CH4_diesel_TJ_CU</t>
  </si>
  <si>
    <t>heavy duty vehicles_CO2_Diesel_TJ_CU</t>
  </si>
  <si>
    <t>heavy duty vehicles_N2O_diesel_TJ_CU</t>
  </si>
  <si>
    <t>Cyprus 2024 Common Reporting  Table  (CRT) / Table1.A(a)s3 / 1.A.3 Transport / b.Road transportation / ii. Heavy Duty Trucks / Diesel Oil</t>
  </si>
  <si>
    <t>heavy duty vehicles_CO2_Diesel_lt_CU</t>
  </si>
  <si>
    <t>heavy duty vehicles_CH4_diesel_lt_CU</t>
  </si>
  <si>
    <t>heavy duty vehicles_N2O_diesel_lt_CU</t>
  </si>
  <si>
    <t>company vehicles_CO2_Diesel_lt_CU</t>
  </si>
  <si>
    <t>company vehicles_CH4_diesel_lt_CU</t>
  </si>
  <si>
    <t>company vehicles_N2O_diesel_lt_CU</t>
  </si>
  <si>
    <t>Cyprus 2024 Common Reporting Table (CRT) / Table1.A(a)s3 / 1.A.3 Transport / b.Road transportation / i.Cars / Diesel oil</t>
  </si>
  <si>
    <t>company vehicles_CO2_diesel_TJ_CU</t>
  </si>
  <si>
    <t>company vehicles_N2O_diesel_TJ_Cu</t>
  </si>
  <si>
    <t>company vehicles_CH4_diesel_TJ_CU</t>
  </si>
  <si>
    <t>Project</t>
  </si>
  <si>
    <t xml:space="preserve"> ΑΝΑΠΤΥΞΗ &amp; ΔΙΑΧΕΙΡΙΣΗ ΑΚΙΝΗΤΩΝ</t>
  </si>
  <si>
    <t>ANΔΡΟΜΑΧΗ ΑΕ</t>
  </si>
  <si>
    <t>P.M.S. PARKING SYSTEMS ΑΕ</t>
  </si>
  <si>
    <t>PROFIT CONSTRUCT SRL</t>
  </si>
  <si>
    <t>REDS-ΝΕΑ ΕΡΓΑ</t>
  </si>
  <si>
    <t>SC CLH ESTATE SRL</t>
  </si>
  <si>
    <t>ΒΙΛΑ ΚΑΜΠΑ</t>
  </si>
  <si>
    <t>ΓΟΥΡΝΕΣ ΑΕ</t>
  </si>
  <si>
    <t>ΓΟΥΡΝΕΣ ΚΡΗΤΗΣ</t>
  </si>
  <si>
    <t>ΓΥΑΛΟΥ ΑΝΑΠΤΥΞΙΑΚΗ ΑΕ</t>
  </si>
  <si>
    <t>ΔΙΕΘΝΗΣ ΑΛΚΗ ΑΕ</t>
  </si>
  <si>
    <t>ΚΑΝΤΖΑ ΑΕ</t>
  </si>
  <si>
    <t>ΞΕΝΟΔΟΧΕΙΟ ΚΗΦΙΣΙΑΣ</t>
  </si>
  <si>
    <t xml:space="preserve"> ΕΛΛΑΚΤΩΡ HOLDINGS</t>
  </si>
  <si>
    <t>ELLAKTOR Group</t>
  </si>
  <si>
    <t>REA ΑΙΟΛΙΚΗ ΑΕ</t>
  </si>
  <si>
    <t>ΑΕΙΦΟΡΙΚΗ ΚΟΥΝΟΥ ΑΕ</t>
  </si>
  <si>
    <t>ΠΑΝΤΕΧΝΙΚΗ ΑΕ</t>
  </si>
  <si>
    <t>ΠΑΡΑΧΩΡΗΣΕΙΣ</t>
  </si>
  <si>
    <t>ΑΤΤΙΚΑ ΔΙΟΔΙΑ ΑΕ</t>
  </si>
  <si>
    <t>ΟΔΙΚΕΣ ΤΗΛΕΠΙΚΟΙΝΩΝΙΕΣ ΑΕ</t>
  </si>
  <si>
    <t>ΠΕΡΙΒΑΛΛΟΝ</t>
  </si>
  <si>
    <t>ΑΕΙΦΟΡΙΚΗ ΔΩΔΕΚΑΝΗΣΟΥ ΑΕ</t>
  </si>
  <si>
    <t>ΑΝΑΒ &amp; ΠΕΡ/ΚΗ ΑΠΟΚ/ΣΗ ΧΥΤΑ ΠΟΛΥΓΥΡΟΥ</t>
  </si>
  <si>
    <t>ΑΝΑΚΥΚΛΩΣΗ ΣΤΕΡΕΩΝ ΑΠΟΒΛΗΤΩΝ ΑΕ - ASA RECYCLE - Θεσσαλονίκη</t>
  </si>
  <si>
    <t>ΑΝΑΚΥΚΛΩΣΗ ΣΤΕΡΕΩΝ ΑΠΟΒΛΗΤΩΝ ΑΕ - ASA RECYCLE - Λαμία</t>
  </si>
  <si>
    <t>ΑΝΑΚΥΚΛΩΣΗ ΣΤΕΡΕΩΝ ΑΠΟΒΛΗΤΩΝ ΑΕ - ASA RECYCLE (ΚΔΑΥ ΑΣΠΡΟΠΥΡΓΟΣ)</t>
  </si>
  <si>
    <t>ΑΝΑΚΥΚΛΩΣΗ ΣΤΕΡΕΩΝ ΑΠΟΒΛΗΤΩΝ ΑΕ - ASA RECYCLE -ΓΥΑΛΙ Ασπρόπυργος</t>
  </si>
  <si>
    <t>ΑΠΟΣΤΕΙΡΩΣΗ ΑΕ</t>
  </si>
  <si>
    <t>ΑΠΟΤΕΦΡΩΤΗΡΑΣ Α.Ε</t>
  </si>
  <si>
    <t>ΒΕΑΛ ΑΕ</t>
  </si>
  <si>
    <t>ΒΙΟΑΕΡΙΟ ΔΥΤΙΚΗΣ ΜΑΚΕΔΟΝΙΑΣ (ΚΞΙΑ ΗΛΕΚΤΩΡ-THALIS ΒΙΟΑΕΡΙΟ ΚΟΖΑΝΗΣ)</t>
  </si>
  <si>
    <t>ΓΕΩΕΝΕΡΓΕΙΑ ΑΙΓΑΙΟΥ MΑΕ</t>
  </si>
  <si>
    <t>ΕΔΑΔΥΜ ΑΕ</t>
  </si>
  <si>
    <t>ΕΚΜΙΣΘΩΣΗ ΤΟΥ ΔΙΚΑΙΩΜΑΤΟΣ ΕΚΜΕΤΑΛΛΕΥΣΗΣ ΤΟΥ ΠΑΡΑΓΟΜΕΝΟΥ ΒΙΟΑΕΡΙΟΥ ΣΤΟΝ ΧΥΤΑ ΦΥΛΗΣ</t>
  </si>
  <si>
    <t>ΕΠΑΛΘΕΑ ΑΕ</t>
  </si>
  <si>
    <t>ΕΠΕΚΤΑΣΗ - ΑΝΑΒΑΘΜΙΣΗ ΧΥΤ ΕΛΛΗΝΙΚΟΥ (Β' ΦΑΣΗ) ΠΕΡΙΦΕΡΕΙΑ ΙΩΑΝΝΙΝΩΝ</t>
  </si>
  <si>
    <t>ΗΛΕΚΤΩΡ – ΑΕΙΦΟΡΙΚΗ ΔΩΔΕΚΑΝΗΣΟΥ Ο.Ε.</t>
  </si>
  <si>
    <t>ΗΛΕΚΤΩΡ/Κεντρικά Γραφεία</t>
  </si>
  <si>
    <t>Κ/Ξ THALIS ES SA ΗΛΕΚΤΩΡ ΑΕ (ΕΠΕΞΕΡΓΑΣΙΑ ΙΛΥΩΝ ΕΕΛ ΦΟΔΙΣΑ Β ΠΕΔΙΑΔΑΣ)</t>
  </si>
  <si>
    <t>Κ/ΞΙΑ ΑΚΤΩΡ ΑΤΕ-ΗΛΕΚΤΩΡ ΑΕ (ΚΑΤΑΣΚΕΥΗ Ε.Ε.Ν.Θ. ΦΑΣΗ 2)1-ΚΑΤΑΣΚ.ΕΠΕΚΤΑΣΗΣ ΕΓΚ/ΣΗΣ ΕΠΕΞΕΡΓΑΣΙΑΣ ΝΕΡΟΥ ΘΕΣ/ΝΙΚΗΣ</t>
  </si>
  <si>
    <t>Κ/ΞΙΑ ΑΚΤΩΡ ΑΤΕ-ΗΛΕΚΤΩΡ ΑΕ ΑΕ (ΑΙΝΕΙΑ 18/2021)-ΕΓΚΑΤΑΣΤΑΣΕΙΣ ΕΠΕΞΕΡΓΑΣΙΑΣ ΛΥΜΑΤΩΝ ΑΙΝΕΙΑ</t>
  </si>
  <si>
    <t>Κ/ΞΙΑ ΑΝΑΒΑΘΜΙΣΗΣ ΥΠΟΔ. ΛΥΜΑΤΩΝ Δ. ΠΟΡΟΥ (ΑΝΑΒΑΘΜΙΣΗ ΥΠΟΔΟΜΩΝ ΔΙΑΧΕΙΡΙΣΗΣ ΛΥΜΑΤΩΝ ΔΗΜΟΥ ΠΟΡΟΥ)</t>
  </si>
  <si>
    <t>Κ/ΞΙΑ ΗΛΕΚΤΩΡ WATT ΜΕΣ ΟΕΔΑ Δ. ΑΤΤΙΚΗΣ-ΜΟΝΑΔΑ ΕΠΕΞΕΡΓ ΣΤΡΑΓΓΙΣΜΑΤΩΝ ΟΕΔΑ</t>
  </si>
  <si>
    <t>Κ/ΞΙΑ ΗΛΕΚΤΩΡ Α.Ε. - WATT Α.Ε. - Α' ΦΑΣΗ ΑΠΟΚΑΤΑΣΤΑΣΗΣ ΟΕΔΑ ΔΥΤ. ΑΤΤΙΚΗΣ</t>
  </si>
  <si>
    <t>ΚΑΤΑΣΚΕΥΗ ΕΓΚΑΤΑΣΤΑΣΗΣ ΕΠΕΞΕΡΓΑΣΙΑΣ ΚΑΙ ΑΓΩΓΟΥ ΛΥΜΑΤΩΝ (ΝΙΣΥΡΟΣ)((ΗΛΕΚΤΩΡ ΑΕ))</t>
  </si>
  <si>
    <t>Κατασκευή Κελιού Υγειονομικής Ταφής Αλατώδους Σκωρίας (ΚΥΤΑΣ)</t>
  </si>
  <si>
    <t>ΚΑΤΑΣΚΕΥΗ ΜΟΝΑΔΑΣ ΜΗΧΑΝΙΚΗΣ ΔΙΑΛΟΓΗΣ ΚΑΙ ΚΟΜΠΟΣΤΟΠΟΙΗΣΗ ΟΡΓΑΝΙΚΟΥ ΚΛΑΣΜΑΤΟΣ – ΛΕΙΤΟΥΡΓΙΑ ΜΟΝΑΔΑΣ</t>
  </si>
  <si>
    <t>Κατασκευή μονάδας προεπεξεργασίας υπολειπόμενων σύμμεικτων αστικών αποβλήτων και κομποστοποίησης προδιαλεγμένου οργανικού κλάσματος και χώρου υγειονομικής ταφής υπολειμμάτων Άνδρου</t>
  </si>
  <si>
    <t>ΚΑΤΑΣΚΕΥΗ ΜΟΠΑΚ ΛΕΥΚΑΔΑΣ</t>
  </si>
  <si>
    <t>ΚΑΤΑΣΚΕΥΗ ΧΥΤΥ ΜΗΛΟΥ ΚΑΙ ΜΟΝΑΔΑΣ ΚΟΜΠΟΣΤΟΠΟΙΗΣΗΣ ΒΙΟΑΠΟΒΛΗΤΩΝ ΜΗΛΟΥ (ΗΛΕΚΤΩΡ ΑΕ)</t>
  </si>
  <si>
    <t>ΚΞ ΠΡΑΣΙΝΟ ΕΜΑ</t>
  </si>
  <si>
    <t>ΚΞΙΑ ΗΛΕΚΤΩΡ ΑΕ ΤΟΜΗ ΑΒΕΤΕ ΕΔΕΣΣΑ-Κ/ΞΙΑ ΗΛΕΚΤΩΡ ΑΕ-ΤΟΜΗ ΑΒΕΤΕ (ΕΔΕΣΣΑ)</t>
  </si>
  <si>
    <t>Κομποστοποίηση προδιαλεγμένων οργανικών αποβλήτων</t>
  </si>
  <si>
    <t>ΛΕΙΤ.ΜΟΝ ΕΝΕΡΓ. ΑΞΙΟΠ.ΒΙΟΑΕΡΙΟΥ ΜΑΥΡΟΡΑΧΗ</t>
  </si>
  <si>
    <t>ΛΕΙΤ/ΓΙΑ ΣΤΑΘΜΟΥ ΣΥΜΠΑΡΑΓΩΓΗΣ ΤΑΓΑΡΑΔΕΣ</t>
  </si>
  <si>
    <t>ΛΕΙΤΟΥΡΓΙΑ ΜΕΣ ΜΑΥΡΟΡΑΧΗ</t>
  </si>
  <si>
    <t>ΛΕΙΤΟΥΡΓΙΑ ΧΥΤΑ ΚΑΡΒΟΥΝΑΡΙΟΥ (ΧΥΤΑ ΠΑΡΑΜΥΘΙΑΣ)</t>
  </si>
  <si>
    <t>ΞΗΡΑΝΣΗ ΙΛΥΟΣ ΕΕΛ ΧΑΝΙΩΝ</t>
  </si>
  <si>
    <t>ΣΜΑ ΕΛΑΙΩΝΑ (ΗΛΕΚΤΩΡ ΑΕ)</t>
  </si>
  <si>
    <t>Company</t>
  </si>
  <si>
    <t>COUNTRY</t>
  </si>
  <si>
    <t>GERMANY</t>
  </si>
  <si>
    <t>ROMANIA</t>
  </si>
  <si>
    <t>CYPRUS</t>
  </si>
  <si>
    <t>GREECE</t>
  </si>
  <si>
    <t>ΑΟ</t>
  </si>
  <si>
    <t>High voltage</t>
  </si>
  <si>
    <t>Losses_combustion H.V.</t>
  </si>
  <si>
    <t>Losses_combustion H.V._CH4</t>
  </si>
  <si>
    <t>Losses_combustion H.V._N2O</t>
  </si>
  <si>
    <t>Losses_upstream emissions H.V.</t>
  </si>
  <si>
    <t>Cyprus 2024 Common Reporting  Table  (CRT) / Table1.A(a)s3 / 1.A.3 Transport / b.Road transportation / ii. Light Duty Trucks / Diesel Oil</t>
  </si>
  <si>
    <t>light duty trucks _CH4_diesel_TJ_CU</t>
  </si>
  <si>
    <t>light duty trucks _CO2_Diesel_TJ_CU</t>
  </si>
  <si>
    <t>light duty trucks _N2O_diesel_TJ_CU</t>
  </si>
  <si>
    <t>light duty trucks _CO2_Diesel_lt_CU</t>
  </si>
  <si>
    <t>light duty trucks _CH4_diesel_lt_CU</t>
  </si>
  <si>
    <t>light duty trucks _N2O_diesel_lt_CU</t>
  </si>
  <si>
    <t>Electric power transmission and distribution losses (% of output) | Data</t>
  </si>
  <si>
    <t>Losses Electricity Combustion (L.V.) - Romania</t>
  </si>
  <si>
    <t>Losses Electricity Upstream (L.V.) - Romania</t>
  </si>
  <si>
    <t>Losses_combustion L.V._RO</t>
  </si>
  <si>
    <t>Losses_upstream emissions L.V._RO</t>
  </si>
  <si>
    <t>Factor L.V._RO</t>
  </si>
  <si>
    <t>ΑΤΤΙΚΑ ΔΙΟΔΙΑ Α.Ε.</t>
  </si>
  <si>
    <t>Market Based  (tn CO2)</t>
  </si>
  <si>
    <t>Μηνιαίο Δελτίο Ενέργειας, ΑΔΜΗΕ, Δεκέμβριος 2024 (Energy_Report_202412_v2_gr).pdf</t>
  </si>
  <si>
    <t>(blank)</t>
  </si>
  <si>
    <t>Waste_Grass_Disposed</t>
  </si>
  <si>
    <t>Waste_Aggregates_Landfilled</t>
  </si>
  <si>
    <t>Waste_Fly Ash_Landfilled</t>
  </si>
  <si>
    <t>Waste_Hazardous_Incineration</t>
  </si>
  <si>
    <t>Waste_Waste Food_Recycled</t>
  </si>
  <si>
    <t>Waste Disposal/Electrical items/Batteries</t>
  </si>
  <si>
    <t>Grass/ Landfilled</t>
  </si>
  <si>
    <t>Waste Disposal/Metal/Metal: mixed cans</t>
  </si>
  <si>
    <t>Waste Disposal/Electrical items/WEEE-mixed</t>
  </si>
  <si>
    <t>Waste Disposal/Construction/Wood</t>
  </si>
  <si>
    <t>Waste Disposal/Construction/Aggregates/open loop</t>
  </si>
  <si>
    <t>Waste Disposal/Metal/Metal: aluminium cans and foil (excl. forming)</t>
  </si>
  <si>
    <t>Waste Disposal/Metal/Metal: scrap metal</t>
  </si>
  <si>
    <t>Waste Disposal/Construction/Aggregates/landfill</t>
  </si>
  <si>
    <t>Waste Disposal/Refuse/Commercial and Industrial Waste/Landfill</t>
  </si>
  <si>
    <t>Fly ash/ Landfilled</t>
  </si>
  <si>
    <t>market for hazardous waste, for incineration</t>
  </si>
  <si>
    <t>Food Waste/Combusted</t>
  </si>
  <si>
    <t>EPA 2024</t>
  </si>
  <si>
    <t>Ecoinvent 3.11</t>
  </si>
  <si>
    <t>Απόβλητα πρασίνου /Green Waste</t>
  </si>
  <si>
    <t>Ρυπασμ. Απορροφητικά υλικά / Contaminated Absorbent Materials</t>
  </si>
  <si>
    <t>Φίλτρα λαδιού / Oil Filters</t>
  </si>
  <si>
    <t>Οχήματα στο τέλος του κύκλου ζωής (ΟΤΚΖ)/Εnd-of-life vehicles (ELVs)</t>
  </si>
  <si>
    <t>ΑΗΗΕ (απόβλητα ηλεκτρικού και ηλεκτρονικού εξοπλισμού) / Waste from electrical and electronic equipment</t>
  </si>
  <si>
    <t>ΑΗΗΕ * (απόβλητα ηλεκτρικού και ηλεκτρονικού εξοπλισμού) / Waste from electrical and electronic equipment*</t>
  </si>
  <si>
    <t>Άμμος/Sand</t>
  </si>
  <si>
    <t>Απορριπτόμενα ανόργανα χημικά υλικά / Inorganic chemical waste</t>
  </si>
  <si>
    <t>Αποστειρωμένα Απόβλητα/ Sterilized Waste</t>
  </si>
  <si>
    <t>Αφυδατωμένη ιλύς/Dehydrated sludge</t>
  </si>
  <si>
    <t>Εσχαρίσματα/Screenings</t>
  </si>
  <si>
    <t>Ιατρικά απόβλητα /  Medical Waste</t>
  </si>
  <si>
    <t>Ιατρικά απόβλητα μολυσματικά και τοξικά / Hazardous Medical Waste  (Biological &amp; Toxical hazard)</t>
  </si>
  <si>
    <t>Παλέτες / Pallets</t>
  </si>
  <si>
    <t>Πλαστικό HDPE /  Plastics HDPE</t>
  </si>
  <si>
    <t>Σακκόφιλτρα / Baghouse filters</t>
  </si>
  <si>
    <t>10000≤x&lt;116333,53</t>
  </si>
  <si>
    <t>SUM</t>
  </si>
  <si>
    <t>Row1</t>
  </si>
  <si>
    <t>Waste_Mixed Paper (general)_Lanfilled</t>
  </si>
  <si>
    <t>Waste_Grass_Landfilled</t>
  </si>
  <si>
    <t>Waste_Grass_Combusted</t>
  </si>
  <si>
    <t>Mixed Paper (general)/Lanfilled</t>
  </si>
  <si>
    <t>tn CO2e/kg</t>
  </si>
  <si>
    <t>Grass/Combusted</t>
  </si>
  <si>
    <t>company vehicles_CH4_petrol_lt_DE</t>
  </si>
  <si>
    <t>company vehicles_CO2_petrol_lt_DE</t>
  </si>
  <si>
    <t>company vehicles_N2O_petrol_lt_DE</t>
  </si>
  <si>
    <t>petrol_base_DE</t>
  </si>
  <si>
    <t>petrol_density_DE</t>
  </si>
  <si>
    <t>petrol_NCV_DE</t>
  </si>
  <si>
    <t>Germany. 2024 Common Reporting Table (CRT)  / Table1.A(a)s3 / 1.A.3 Transport / b.Road transportation / i.Cars / Petrol</t>
  </si>
  <si>
    <t>Germany. National Inventory Table (CRF) 2024</t>
  </si>
  <si>
    <t>company vehicles_CO2_petrol_TJ_DE</t>
  </si>
  <si>
    <t>company vehicles_N2O_petrol_TJ_DE</t>
  </si>
  <si>
    <t>company vehicles_CH4_petrol_TJ_DE</t>
  </si>
  <si>
    <t>Energy Statistics Manual</t>
  </si>
  <si>
    <t>Sugar</t>
  </si>
  <si>
    <t>Germany. National Inventory Submissions 2024</t>
  </si>
  <si>
    <t>Germany. 2024 Common Reporting Format (CRF) Table / Table1.A(a)s4 / 1.A.4 Other sectors / b. Residential / 1.A.4.b.i Stationary combustion / Biomass</t>
  </si>
  <si>
    <t>ΟΛΥΜΠΙΑ ΟΔΟΣ ΑΥΤΟΚΙΝΗΤΟΔΡΟΜΟΣ ΑΕ - Συγγενής 12/24</t>
  </si>
  <si>
    <t>ΟΛΥΜΠΙΑ ΟΔΟΣ ΛΕΙΤΟΥΡΓΙΑ ΑΥΤΟΚΙΝΗΤΟΔΡΟΜΟΥ ΑΕ - Συγγενής 12/24</t>
  </si>
  <si>
    <t>ΑΝΕΜΟΣ RES - Πωλήθηκε 01/24</t>
  </si>
  <si>
    <t>Electricity generated from wind</t>
  </si>
  <si>
    <t>Investments_RES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</si>
</sst>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* #,##0.00_);_(* \(#,##0.00\);_(* &quot;-&quot;??_);_(@_)"/>
    <numFmt numFmtId="165" formatCode="0.000"/>
    <numFmt numFmtId="166" formatCode="#,##0.000"/>
    <numFmt numFmtId="167" formatCode="#,##0.0000"/>
    <numFmt numFmtId="168" formatCode="_-* #,##0.00\ _€_-;\-* #,##0.00\ _€_-;_-* &quot;-&quot;??\ _€_-;_-@_-"/>
    <numFmt numFmtId="169" formatCode="0.00000000E+00"/>
    <numFmt numFmtId="170" formatCode="0.0000%"/>
    <numFmt numFmtId="171" formatCode="0.000%"/>
    <numFmt numFmtId="172" formatCode="0.0%"/>
    <numFmt numFmtId="173" formatCode="0.0000000"/>
    <numFmt numFmtId="174" formatCode="#,##0.00000000"/>
    <numFmt numFmtId="175" formatCode="#,##0.000000000"/>
    <numFmt numFmtId="176" formatCode="#,##0.0000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</font>
    <font>
      <b/>
      <sz val="14"/>
      <color theme="1"/>
      <name val="Calibri"/>
      <family val="2"/>
      <charset val="161"/>
      <scheme val="minor"/>
    </font>
    <font>
      <vertAlign val="subscript"/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161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</font>
    <font>
      <vertAlign val="subscript"/>
      <sz val="11"/>
      <name val="Calibri"/>
      <family val="2"/>
    </font>
    <font>
      <sz val="11"/>
      <name val="Calibri"/>
      <family val="2"/>
      <charset val="161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5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"/>
      <charset val="161"/>
    </font>
    <font>
      <b/>
      <sz val="1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charset val="16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79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ck">
        <color theme="2" tint="-0.499984740745262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2" fillId="0" borderId="0"/>
    <xf numFmtId="168" fontId="12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380">
    <xf numFmtId="0" fontId="0" fillId="0" borderId="0" xfId="0"/>
    <xf numFmtId="4" fontId="0" fillId="5" borderId="5" xfId="0" applyNumberFormat="1" applyFill="1" applyBorder="1" applyAlignment="1">
      <alignment horizontal="center" vertical="center"/>
    </xf>
    <xf numFmtId="4" fontId="0" fillId="6" borderId="8" xfId="0" applyNumberFormat="1" applyFill="1" applyBorder="1" applyAlignment="1">
      <alignment horizontal="center" vertical="center"/>
    </xf>
    <xf numFmtId="4" fontId="0" fillId="6" borderId="6" xfId="0" applyNumberFormat="1" applyFill="1" applyBorder="1" applyAlignment="1">
      <alignment horizontal="center" vertical="center"/>
    </xf>
    <xf numFmtId="4" fontId="0" fillId="5" borderId="8" xfId="0" applyNumberFormat="1" applyFill="1" applyBorder="1" applyAlignment="1">
      <alignment horizontal="center" vertical="center"/>
    </xf>
    <xf numFmtId="4" fontId="0" fillId="5" borderId="6" xfId="0" applyNumberFormat="1" applyFill="1" applyBorder="1" applyAlignment="1">
      <alignment horizontal="center" vertical="center"/>
    </xf>
    <xf numFmtId="4" fontId="0" fillId="6" borderId="12" xfId="0" applyNumberFormat="1" applyFill="1" applyBorder="1" applyAlignment="1">
      <alignment horizontal="center" vertical="center"/>
    </xf>
    <xf numFmtId="4" fontId="12" fillId="0" borderId="5" xfId="0" applyNumberFormat="1" applyFont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9" fillId="7" borderId="18" xfId="0" applyFont="1" applyFill="1" applyBorder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7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49" fontId="19" fillId="7" borderId="18" xfId="0" applyNumberFormat="1" applyFont="1" applyFill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4" fontId="0" fillId="0" borderId="0" xfId="0" applyNumberFormat="1"/>
    <xf numFmtId="49" fontId="19" fillId="7" borderId="20" xfId="0" applyNumberFormat="1" applyFont="1" applyFill="1" applyBorder="1" applyAlignment="1">
      <alignment horizontal="center" vertical="center" wrapText="1"/>
    </xf>
    <xf numFmtId="4" fontId="0" fillId="6" borderId="7" xfId="0" applyNumberFormat="1" applyFill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5" borderId="7" xfId="0" applyNumberForma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 wrapText="1"/>
    </xf>
    <xf numFmtId="4" fontId="0" fillId="5" borderId="13" xfId="0" applyNumberFormat="1" applyFill="1" applyBorder="1" applyAlignment="1">
      <alignment horizontal="center" vertical="center"/>
    </xf>
    <xf numFmtId="4" fontId="0" fillId="6" borderId="13" xfId="0" applyNumberFormat="1" applyFill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  <xf numFmtId="4" fontId="0" fillId="5" borderId="0" xfId="0" applyNumberFormat="1" applyFill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4" fontId="17" fillId="4" borderId="12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" fontId="17" fillId="4" borderId="8" xfId="0" applyNumberFormat="1" applyFont="1" applyFill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4" fontId="0" fillId="5" borderId="14" xfId="0" applyNumberForma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19" fillId="7" borderId="33" xfId="0" applyFont="1" applyFill="1" applyBorder="1" applyAlignment="1">
      <alignment horizontal="center" vertical="center" wrapText="1"/>
    </xf>
    <xf numFmtId="0" fontId="19" fillId="7" borderId="36" xfId="0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0" fontId="19" fillId="7" borderId="43" xfId="0" applyFont="1" applyFill="1" applyBorder="1" applyAlignment="1">
      <alignment horizontal="center" vertical="center" wrapText="1"/>
    </xf>
    <xf numFmtId="167" fontId="0" fillId="0" borderId="6" xfId="0" applyNumberFormat="1" applyBorder="1" applyAlignment="1">
      <alignment horizontal="center" vertical="center"/>
    </xf>
    <xf numFmtId="9" fontId="0" fillId="0" borderId="0" xfId="4" applyFont="1"/>
    <xf numFmtId="4" fontId="19" fillId="5" borderId="8" xfId="0" applyNumberFormat="1" applyFont="1" applyFill="1" applyBorder="1" applyAlignment="1">
      <alignment horizontal="center" vertical="center"/>
    </xf>
    <xf numFmtId="4" fontId="0" fillId="4" borderId="46" xfId="0" applyNumberFormat="1" applyFill="1" applyBorder="1" applyAlignment="1">
      <alignment horizontal="center" vertical="center"/>
    </xf>
    <xf numFmtId="4" fontId="0" fillId="4" borderId="4" xfId="0" applyNumberFormat="1" applyFill="1" applyBorder="1" applyAlignment="1">
      <alignment horizontal="center" vertical="center"/>
    </xf>
    <xf numFmtId="4" fontId="0" fillId="4" borderId="47" xfId="0" applyNumberFormat="1" applyFill="1" applyBorder="1" applyAlignment="1">
      <alignment horizontal="center" vertical="center"/>
    </xf>
    <xf numFmtId="4" fontId="0" fillId="5" borderId="15" xfId="0" applyNumberFormat="1" applyFill="1" applyBorder="1" applyAlignment="1">
      <alignment horizontal="center" vertical="center"/>
    </xf>
    <xf numFmtId="4" fontId="0" fillId="6" borderId="15" xfId="0" applyNumberFormat="1" applyFill="1" applyBorder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4" fontId="0" fillId="6" borderId="11" xfId="0" applyNumberFormat="1" applyFill="1" applyBorder="1" applyAlignment="1">
      <alignment horizontal="center" vertical="center"/>
    </xf>
    <xf numFmtId="4" fontId="0" fillId="6" borderId="0" xfId="0" applyNumberFormat="1" applyFill="1" applyAlignment="1">
      <alignment horizontal="center" vertical="center"/>
    </xf>
    <xf numFmtId="4" fontId="0" fillId="5" borderId="11" xfId="0" applyNumberFormat="1" applyFill="1" applyBorder="1" applyAlignment="1">
      <alignment horizontal="center" vertical="center"/>
    </xf>
    <xf numFmtId="4" fontId="0" fillId="4" borderId="11" xfId="0" applyNumberFormat="1" applyFill="1" applyBorder="1" applyAlignment="1">
      <alignment horizontal="center" vertical="center"/>
    </xf>
    <xf numFmtId="4" fontId="0" fillId="4" borderId="0" xfId="0" applyNumberFormat="1" applyFill="1" applyAlignment="1">
      <alignment horizontal="center" vertical="center"/>
    </xf>
    <xf numFmtId="4" fontId="0" fillId="8" borderId="11" xfId="0" applyNumberFormat="1" applyFill="1" applyBorder="1" applyAlignment="1">
      <alignment horizontal="center" vertical="center"/>
    </xf>
    <xf numFmtId="4" fontId="0" fillId="8" borderId="0" xfId="0" applyNumberFormat="1" applyFill="1" applyAlignment="1">
      <alignment horizontal="center" vertical="center"/>
    </xf>
    <xf numFmtId="4" fontId="0" fillId="8" borderId="13" xfId="0" applyNumberFormat="1" applyFill="1" applyBorder="1" applyAlignment="1">
      <alignment horizontal="center" vertical="center"/>
    </xf>
    <xf numFmtId="4" fontId="0" fillId="0" borderId="48" xfId="0" applyNumberFormat="1" applyBorder="1" applyAlignment="1">
      <alignment horizontal="center" vertical="center"/>
    </xf>
    <xf numFmtId="4" fontId="0" fillId="0" borderId="28" xfId="0" applyNumberFormat="1" applyBorder="1" applyAlignment="1">
      <alignment horizontal="center" vertical="center"/>
    </xf>
    <xf numFmtId="166" fontId="0" fillId="0" borderId="28" xfId="0" applyNumberFormat="1" applyBorder="1" applyAlignment="1">
      <alignment horizontal="center" vertical="center"/>
    </xf>
    <xf numFmtId="4" fontId="0" fillId="0" borderId="29" xfId="0" applyNumberFormat="1" applyBorder="1" applyAlignment="1">
      <alignment horizontal="center" vertical="center"/>
    </xf>
    <xf numFmtId="4" fontId="22" fillId="9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2" xfId="0" applyNumberFormat="1" applyBorder="1" applyAlignment="1">
      <alignment horizontal="center" vertical="center"/>
    </xf>
    <xf numFmtId="4" fontId="0" fillId="7" borderId="2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8" borderId="0" xfId="0" applyFill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3" fontId="0" fillId="0" borderId="18" xfId="0" applyNumberFormat="1" applyBorder="1" applyAlignment="1">
      <alignment horizontal="center" vertical="center" wrapText="1"/>
    </xf>
    <xf numFmtId="11" fontId="19" fillId="0" borderId="18" xfId="0" applyNumberFormat="1" applyFont="1" applyBorder="1" applyAlignment="1">
      <alignment horizontal="center" vertical="center" wrapText="1"/>
    </xf>
    <xf numFmtId="3" fontId="19" fillId="0" borderId="18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4" fontId="19" fillId="5" borderId="15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26" fillId="0" borderId="2" xfId="0" applyFont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0" fillId="2" borderId="49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51" xfId="0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8" borderId="2" xfId="0" applyFill="1" applyBorder="1" applyAlignment="1">
      <alignment vertical="center"/>
    </xf>
    <xf numFmtId="0" fontId="5" fillId="0" borderId="0" xfId="12"/>
    <xf numFmtId="0" fontId="29" fillId="0" borderId="0" xfId="12" applyFont="1" applyAlignment="1">
      <alignment vertical="center" wrapText="1"/>
    </xf>
    <xf numFmtId="0" fontId="30" fillId="0" borderId="0" xfId="12" applyFont="1"/>
    <xf numFmtId="0" fontId="5" fillId="0" borderId="55" xfId="12" applyBorder="1"/>
    <xf numFmtId="0" fontId="12" fillId="0" borderId="50" xfId="12" applyFont="1" applyBorder="1" applyAlignment="1">
      <alignment horizontal="center" vertical="center"/>
    </xf>
    <xf numFmtId="3" fontId="32" fillId="0" borderId="28" xfId="12" applyNumberFormat="1" applyFont="1" applyBorder="1" applyAlignment="1">
      <alignment horizontal="center" vertical="center"/>
    </xf>
    <xf numFmtId="0" fontId="12" fillId="0" borderId="28" xfId="12" applyFont="1" applyBorder="1" applyAlignment="1">
      <alignment horizontal="center" vertical="center"/>
    </xf>
    <xf numFmtId="0" fontId="12" fillId="0" borderId="28" xfId="12" applyFont="1" applyBorder="1" applyAlignment="1">
      <alignment horizontal="center" vertical="center" wrapText="1"/>
    </xf>
    <xf numFmtId="0" fontId="12" fillId="0" borderId="56" xfId="12" applyFont="1" applyBorder="1" applyAlignment="1">
      <alignment horizontal="center" vertical="center" wrapText="1"/>
    </xf>
    <xf numFmtId="0" fontId="5" fillId="6" borderId="57" xfId="12" applyFill="1" applyBorder="1" applyAlignment="1">
      <alignment horizontal="center" vertical="center"/>
    </xf>
    <xf numFmtId="4" fontId="33" fillId="0" borderId="0" xfId="12" applyNumberFormat="1" applyFont="1" applyAlignment="1">
      <alignment horizontal="center" vertical="center"/>
    </xf>
    <xf numFmtId="2" fontId="5" fillId="0" borderId="0" xfId="12" applyNumberFormat="1" applyAlignment="1">
      <alignment horizontal="center" vertical="center"/>
    </xf>
    <xf numFmtId="0" fontId="5" fillId="14" borderId="0" xfId="12" applyFill="1" applyAlignment="1">
      <alignment horizontal="center" vertical="center" wrapText="1"/>
    </xf>
    <xf numFmtId="2" fontId="5" fillId="0" borderId="30" xfId="12" applyNumberFormat="1" applyBorder="1" applyAlignment="1">
      <alignment horizontal="center" vertical="center"/>
    </xf>
    <xf numFmtId="0" fontId="5" fillId="6" borderId="58" xfId="12" applyFill="1" applyBorder="1" applyAlignment="1">
      <alignment horizontal="center" vertical="center" wrapText="1"/>
    </xf>
    <xf numFmtId="4" fontId="33" fillId="0" borderId="9" xfId="12" applyNumberFormat="1" applyFont="1" applyBorder="1" applyAlignment="1">
      <alignment horizontal="center" vertical="center"/>
    </xf>
    <xf numFmtId="4" fontId="5" fillId="0" borderId="9" xfId="12" applyNumberFormat="1" applyBorder="1" applyAlignment="1">
      <alignment horizontal="center" vertical="center"/>
    </xf>
    <xf numFmtId="2" fontId="5" fillId="0" borderId="9" xfId="12" applyNumberFormat="1" applyBorder="1" applyAlignment="1">
      <alignment horizontal="center" vertical="center"/>
    </xf>
    <xf numFmtId="0" fontId="5" fillId="0" borderId="9" xfId="12" applyBorder="1" applyAlignment="1">
      <alignment horizontal="center" vertical="center" wrapText="1"/>
    </xf>
    <xf numFmtId="2" fontId="5" fillId="0" borderId="19" xfId="12" applyNumberFormat="1" applyBorder="1" applyAlignment="1">
      <alignment horizontal="center" vertical="center"/>
    </xf>
    <xf numFmtId="165" fontId="5" fillId="0" borderId="9" xfId="12" applyNumberFormat="1" applyBorder="1" applyAlignment="1">
      <alignment horizontal="center" vertical="center"/>
    </xf>
    <xf numFmtId="165" fontId="5" fillId="0" borderId="19" xfId="12" applyNumberFormat="1" applyBorder="1" applyAlignment="1">
      <alignment horizontal="center" vertical="center"/>
    </xf>
    <xf numFmtId="0" fontId="5" fillId="0" borderId="0" xfId="12" applyAlignment="1">
      <alignment horizontal="center" vertical="center"/>
    </xf>
    <xf numFmtId="165" fontId="5" fillId="0" borderId="0" xfId="12" applyNumberFormat="1" applyAlignment="1">
      <alignment horizontal="center" vertical="center"/>
    </xf>
    <xf numFmtId="0" fontId="5" fillId="0" borderId="0" xfId="12" applyAlignment="1">
      <alignment horizontal="center" vertical="center" wrapText="1"/>
    </xf>
    <xf numFmtId="4" fontId="5" fillId="0" borderId="0" xfId="12" applyNumberFormat="1" applyAlignment="1">
      <alignment horizontal="center" vertical="center"/>
    </xf>
    <xf numFmtId="0" fontId="5" fillId="0" borderId="30" xfId="12" applyBorder="1" applyAlignment="1">
      <alignment horizontal="center" vertical="center"/>
    </xf>
    <xf numFmtId="0" fontId="5" fillId="0" borderId="58" xfId="12" applyBorder="1" applyAlignment="1">
      <alignment horizontal="center" vertical="center"/>
    </xf>
    <xf numFmtId="0" fontId="5" fillId="0" borderId="9" xfId="12" applyBorder="1" applyAlignment="1">
      <alignment horizontal="center" vertical="center"/>
    </xf>
    <xf numFmtId="0" fontId="5" fillId="14" borderId="9" xfId="12" applyFill="1" applyBorder="1" applyAlignment="1">
      <alignment horizontal="center" vertical="center" wrapText="1"/>
    </xf>
    <xf numFmtId="0" fontId="5" fillId="0" borderId="19" xfId="12" applyBorder="1" applyAlignment="1">
      <alignment horizontal="center" vertical="center"/>
    </xf>
    <xf numFmtId="0" fontId="31" fillId="0" borderId="0" xfId="12" applyFont="1"/>
    <xf numFmtId="4" fontId="31" fillId="0" borderId="0" xfId="12" applyNumberFormat="1" applyFont="1"/>
    <xf numFmtId="0" fontId="5" fillId="0" borderId="62" xfId="12" applyBorder="1"/>
    <xf numFmtId="0" fontId="12" fillId="0" borderId="31" xfId="12" applyFont="1" applyBorder="1" applyAlignment="1">
      <alignment horizontal="center" vertical="center"/>
    </xf>
    <xf numFmtId="3" fontId="32" fillId="0" borderId="6" xfId="12" applyNumberFormat="1" applyFont="1" applyBorder="1" applyAlignment="1">
      <alignment horizontal="center" vertical="center"/>
    </xf>
    <xf numFmtId="0" fontId="12" fillId="0" borderId="6" xfId="12" applyFont="1" applyBorder="1" applyAlignment="1">
      <alignment horizontal="center" vertical="center"/>
    </xf>
    <xf numFmtId="0" fontId="12" fillId="0" borderId="18" xfId="12" applyFont="1" applyBorder="1" applyAlignment="1">
      <alignment horizontal="center" vertical="center" wrapText="1"/>
    </xf>
    <xf numFmtId="0" fontId="12" fillId="0" borderId="18" xfId="12" applyFont="1" applyBorder="1" applyAlignment="1">
      <alignment horizontal="center" vertical="center"/>
    </xf>
    <xf numFmtId="10" fontId="33" fillId="0" borderId="60" xfId="13" applyNumberFormat="1" applyFont="1" applyBorder="1" applyAlignment="1">
      <alignment horizontal="center" vertical="center"/>
    </xf>
    <xf numFmtId="10" fontId="33" fillId="0" borderId="63" xfId="13" applyNumberFormat="1" applyFont="1" applyBorder="1" applyAlignment="1">
      <alignment horizontal="center" vertical="center"/>
    </xf>
    <xf numFmtId="10" fontId="33" fillId="0" borderId="63" xfId="13" applyNumberFormat="1" applyFont="1" applyFill="1" applyBorder="1" applyAlignment="1">
      <alignment horizontal="center" vertical="center"/>
    </xf>
    <xf numFmtId="0" fontId="18" fillId="10" borderId="64" xfId="12" applyFont="1" applyFill="1" applyBorder="1" applyAlignment="1">
      <alignment horizontal="center" vertical="center" wrapText="1"/>
    </xf>
    <xf numFmtId="165" fontId="34" fillId="10" borderId="65" xfId="12" applyNumberFormat="1" applyFont="1" applyFill="1" applyBorder="1" applyAlignment="1">
      <alignment horizontal="center" vertical="center"/>
    </xf>
    <xf numFmtId="10" fontId="33" fillId="0" borderId="0" xfId="13" applyNumberFormat="1" applyFont="1" applyBorder="1" applyAlignment="1">
      <alignment horizontal="center" vertical="center"/>
    </xf>
    <xf numFmtId="10" fontId="33" fillId="0" borderId="0" xfId="13" applyNumberFormat="1" applyFont="1" applyFill="1" applyBorder="1" applyAlignment="1">
      <alignment horizontal="center" vertical="center"/>
    </xf>
    <xf numFmtId="10" fontId="33" fillId="0" borderId="60" xfId="13" applyNumberFormat="1" applyFont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left" vertical="center"/>
    </xf>
    <xf numFmtId="0" fontId="0" fillId="0" borderId="0" xfId="0" pivotButton="1"/>
    <xf numFmtId="0" fontId="0" fillId="7" borderId="18" xfId="0" applyFill="1" applyBorder="1" applyAlignment="1">
      <alignment vertical="center" wrapText="1"/>
    </xf>
    <xf numFmtId="0" fontId="0" fillId="7" borderId="18" xfId="0" applyFill="1" applyBorder="1" applyAlignment="1">
      <alignment vertical="center"/>
    </xf>
    <xf numFmtId="0" fontId="4" fillId="0" borderId="0" xfId="15"/>
    <xf numFmtId="0" fontId="4" fillId="0" borderId="0" xfId="15" applyAlignment="1">
      <alignment horizontal="center"/>
    </xf>
    <xf numFmtId="0" fontId="4" fillId="0" borderId="69" xfId="15" applyBorder="1"/>
    <xf numFmtId="0" fontId="0" fillId="0" borderId="0" xfId="15" applyFont="1"/>
    <xf numFmtId="170" fontId="4" fillId="0" borderId="0" xfId="4" applyNumberFormat="1" applyFont="1"/>
    <xf numFmtId="4" fontId="4" fillId="0" borderId="0" xfId="15" applyNumberFormat="1"/>
    <xf numFmtId="171" fontId="4" fillId="0" borderId="0" xfId="4" applyNumberFormat="1" applyFont="1"/>
    <xf numFmtId="10" fontId="34" fillId="0" borderId="36" xfId="16" applyNumberFormat="1" applyFont="1" applyBorder="1" applyAlignment="1">
      <alignment horizontal="center"/>
    </xf>
    <xf numFmtId="4" fontId="34" fillId="0" borderId="35" xfId="15" applyNumberFormat="1" applyFont="1" applyBorder="1" applyAlignment="1">
      <alignment horizontal="center"/>
    </xf>
    <xf numFmtId="4" fontId="34" fillId="0" borderId="34" xfId="15" applyNumberFormat="1" applyFont="1" applyBorder="1" applyAlignment="1">
      <alignment horizontal="center"/>
    </xf>
    <xf numFmtId="0" fontId="34" fillId="0" borderId="33" xfId="15" applyFont="1" applyBorder="1" applyAlignment="1">
      <alignment horizontal="center"/>
    </xf>
    <xf numFmtId="0" fontId="34" fillId="0" borderId="18" xfId="15" applyFont="1" applyBorder="1" applyAlignment="1">
      <alignment horizontal="center"/>
    </xf>
    <xf numFmtId="0" fontId="34" fillId="0" borderId="32" xfId="15" applyFont="1" applyBorder="1" applyAlignment="1">
      <alignment horizontal="center"/>
    </xf>
    <xf numFmtId="0" fontId="4" fillId="0" borderId="18" xfId="15" applyBorder="1" applyAlignment="1">
      <alignment horizontal="center"/>
    </xf>
    <xf numFmtId="172" fontId="34" fillId="0" borderId="0" xfId="16" applyNumberFormat="1" applyFont="1" applyFill="1" applyBorder="1" applyAlignment="1">
      <alignment horizontal="center"/>
    </xf>
    <xf numFmtId="0" fontId="34" fillId="0" borderId="0" xfId="15" applyFont="1" applyAlignment="1">
      <alignment horizontal="center"/>
    </xf>
    <xf numFmtId="0" fontId="34" fillId="0" borderId="0" xfId="15" applyFont="1"/>
    <xf numFmtId="1" fontId="4" fillId="0" borderId="18" xfId="15" applyNumberFormat="1" applyBorder="1" applyAlignment="1">
      <alignment horizontal="center"/>
    </xf>
    <xf numFmtId="9" fontId="0" fillId="0" borderId="18" xfId="16" applyFont="1" applyBorder="1" applyAlignment="1">
      <alignment horizontal="center"/>
    </xf>
    <xf numFmtId="0" fontId="0" fillId="7" borderId="18" xfId="0" applyFill="1" applyBorder="1" applyAlignment="1">
      <alignment horizontal="center" vertical="center" wrapText="1"/>
    </xf>
    <xf numFmtId="1" fontId="0" fillId="0" borderId="18" xfId="15" applyNumberFormat="1" applyFont="1" applyBorder="1" applyAlignment="1">
      <alignment horizontal="center"/>
    </xf>
    <xf numFmtId="4" fontId="4" fillId="0" borderId="18" xfId="15" applyNumberFormat="1" applyBorder="1" applyAlignment="1">
      <alignment horizontal="center"/>
    </xf>
    <xf numFmtId="4" fontId="0" fillId="0" borderId="18" xfId="17" applyNumberFormat="1" applyFont="1" applyBorder="1" applyAlignment="1">
      <alignment horizontal="center"/>
    </xf>
    <xf numFmtId="11" fontId="4" fillId="0" borderId="0" xfId="15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7" borderId="0" xfId="0" applyFill="1" applyAlignment="1">
      <alignment vertical="center"/>
    </xf>
    <xf numFmtId="4" fontId="0" fillId="0" borderId="3" xfId="0" applyNumberFormat="1" applyBorder="1" applyAlignment="1">
      <alignment horizontal="center" vertical="center"/>
    </xf>
    <xf numFmtId="4" fontId="14" fillId="8" borderId="75" xfId="0" applyNumberFormat="1" applyFont="1" applyFill="1" applyBorder="1" applyAlignment="1">
      <alignment horizontal="center" vertical="center"/>
    </xf>
    <xf numFmtId="0" fontId="0" fillId="0" borderId="22" xfId="0" applyBorder="1"/>
    <xf numFmtId="4" fontId="0" fillId="0" borderId="27" xfId="0" applyNumberFormat="1" applyBorder="1"/>
    <xf numFmtId="0" fontId="0" fillId="0" borderId="11" xfId="0" applyBorder="1"/>
    <xf numFmtId="0" fontId="0" fillId="0" borderId="23" xfId="0" applyBorder="1"/>
    <xf numFmtId="4" fontId="0" fillId="0" borderId="26" xfId="0" applyNumberFormat="1" applyBorder="1"/>
    <xf numFmtId="0" fontId="0" fillId="0" borderId="25" xfId="0" applyBorder="1"/>
    <xf numFmtId="4" fontId="0" fillId="0" borderId="76" xfId="0" applyNumberFormat="1" applyBorder="1"/>
    <xf numFmtId="4" fontId="0" fillId="0" borderId="30" xfId="0" applyNumberFormat="1" applyBorder="1"/>
    <xf numFmtId="4" fontId="0" fillId="0" borderId="77" xfId="0" applyNumberFormat="1" applyBorder="1"/>
    <xf numFmtId="172" fontId="0" fillId="0" borderId="24" xfId="4" applyNumberFormat="1" applyFont="1" applyBorder="1"/>
    <xf numFmtId="172" fontId="0" fillId="0" borderId="13" xfId="4" applyNumberFormat="1" applyFont="1" applyBorder="1"/>
    <xf numFmtId="172" fontId="0" fillId="0" borderId="25" xfId="4" applyNumberFormat="1" applyFont="1" applyBorder="1"/>
    <xf numFmtId="172" fontId="0" fillId="0" borderId="0" xfId="4" applyNumberFormat="1" applyFont="1"/>
    <xf numFmtId="10" fontId="0" fillId="0" borderId="0" xfId="4" applyNumberFormat="1" applyFont="1"/>
    <xf numFmtId="10" fontId="0" fillId="0" borderId="24" xfId="4" applyNumberFormat="1" applyFont="1" applyBorder="1"/>
    <xf numFmtId="10" fontId="0" fillId="0" borderId="13" xfId="4" applyNumberFormat="1" applyFont="1" applyBorder="1"/>
    <xf numFmtId="0" fontId="3" fillId="0" borderId="59" xfId="12" applyFont="1" applyBorder="1" applyAlignment="1">
      <alignment horizontal="center" vertical="center" wrapText="1"/>
    </xf>
    <xf numFmtId="0" fontId="2" fillId="0" borderId="57" xfId="12" applyFont="1" applyBorder="1" applyAlignment="1">
      <alignment horizontal="center" vertical="center" wrapText="1"/>
    </xf>
    <xf numFmtId="0" fontId="2" fillId="0" borderId="58" xfId="12" applyFont="1" applyBorder="1" applyAlignment="1">
      <alignment horizontal="center" vertical="center" wrapText="1"/>
    </xf>
    <xf numFmtId="0" fontId="2" fillId="0" borderId="59" xfId="12" applyFont="1" applyBorder="1" applyAlignment="1">
      <alignment horizontal="center" vertical="center" wrapText="1"/>
    </xf>
    <xf numFmtId="0" fontId="22" fillId="0" borderId="20" xfId="0" applyFont="1" applyBorder="1" applyAlignment="1">
      <alignment horizontal="left"/>
    </xf>
    <xf numFmtId="0" fontId="22" fillId="0" borderId="78" xfId="0" applyFont="1" applyBorder="1" applyAlignment="1">
      <alignment horizontal="left"/>
    </xf>
    <xf numFmtId="0" fontId="0" fillId="0" borderId="16" xfId="0" applyBorder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0" fontId="19" fillId="16" borderId="18" xfId="0" applyFont="1" applyFill="1" applyBorder="1" applyAlignment="1">
      <alignment horizontal="center" vertical="center" wrapText="1"/>
    </xf>
    <xf numFmtId="49" fontId="19" fillId="16" borderId="18" xfId="0" applyNumberFormat="1" applyFont="1" applyFill="1" applyBorder="1" applyAlignment="1">
      <alignment horizontal="center" vertical="center" wrapText="1"/>
    </xf>
    <xf numFmtId="0" fontId="19" fillId="16" borderId="20" xfId="0" applyFont="1" applyFill="1" applyBorder="1" applyAlignment="1">
      <alignment horizontal="center" vertical="center" wrapText="1"/>
    </xf>
    <xf numFmtId="49" fontId="19" fillId="16" borderId="20" xfId="0" applyNumberFormat="1" applyFont="1" applyFill="1" applyBorder="1" applyAlignment="1">
      <alignment horizontal="center" vertical="center" wrapText="1"/>
    </xf>
    <xf numFmtId="166" fontId="0" fillId="13" borderId="2" xfId="0" applyNumberFormat="1" applyFill="1" applyBorder="1" applyAlignment="1">
      <alignment horizontal="center" vertical="center"/>
    </xf>
    <xf numFmtId="166" fontId="0" fillId="13" borderId="0" xfId="0" applyNumberFormat="1" applyFill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4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left" wrapText="1"/>
    </xf>
    <xf numFmtId="4" fontId="0" fillId="8" borderId="2" xfId="0" applyNumberFormat="1" applyFill="1" applyBorder="1" applyAlignment="1">
      <alignment horizontal="center" vertical="center"/>
    </xf>
    <xf numFmtId="4" fontId="0" fillId="7" borderId="2" xfId="0" applyNumberFormat="1" applyFill="1" applyBorder="1" applyAlignment="1">
      <alignment horizontal="center"/>
    </xf>
    <xf numFmtId="171" fontId="0" fillId="0" borderId="0" xfId="4" applyNumberFormat="1" applyFont="1"/>
    <xf numFmtId="0" fontId="0" fillId="0" borderId="0" xfId="0" applyAlignment="1">
      <alignment horizontal="left" indent="1"/>
    </xf>
    <xf numFmtId="11" fontId="5" fillId="10" borderId="59" xfId="12" applyNumberFormat="1" applyFill="1" applyBorder="1" applyAlignment="1">
      <alignment horizontal="center" vertical="center" wrapText="1"/>
    </xf>
    <xf numFmtId="11" fontId="5" fillId="0" borderId="60" xfId="12" applyNumberFormat="1" applyBorder="1" applyAlignment="1">
      <alignment horizontal="center" vertical="center"/>
    </xf>
    <xf numFmtId="11" fontId="5" fillId="12" borderId="60" xfId="12" applyNumberFormat="1" applyFill="1" applyBorder="1" applyAlignment="1">
      <alignment horizontal="center" vertical="center"/>
    </xf>
    <xf numFmtId="11" fontId="5" fillId="0" borderId="60" xfId="12" applyNumberFormat="1" applyBorder="1" applyAlignment="1">
      <alignment horizontal="center" vertical="center" wrapText="1"/>
    </xf>
    <xf numFmtId="11" fontId="5" fillId="0" borderId="61" xfId="12" applyNumberFormat="1" applyBorder="1" applyAlignment="1">
      <alignment horizontal="center" vertical="center"/>
    </xf>
    <xf numFmtId="11" fontId="5" fillId="0" borderId="0" xfId="12" applyNumberFormat="1"/>
    <xf numFmtId="0" fontId="0" fillId="0" borderId="18" xfId="0" applyBorder="1"/>
    <xf numFmtId="171" fontId="0" fillId="0" borderId="18" xfId="4" applyNumberFormat="1" applyFont="1" applyBorder="1"/>
    <xf numFmtId="4" fontId="17" fillId="4" borderId="18" xfId="0" applyNumberFormat="1" applyFont="1" applyFill="1" applyBorder="1" applyAlignment="1">
      <alignment horizontal="center" vertical="center"/>
    </xf>
    <xf numFmtId="171" fontId="17" fillId="4" borderId="18" xfId="4" applyNumberFormat="1" applyFont="1" applyFill="1" applyBorder="1" applyAlignment="1">
      <alignment horizontal="center" vertical="center"/>
    </xf>
    <xf numFmtId="4" fontId="0" fillId="5" borderId="18" xfId="0" applyNumberFormat="1" applyFill="1" applyBorder="1" applyAlignment="1">
      <alignment horizontal="center" vertical="center"/>
    </xf>
    <xf numFmtId="171" fontId="22" fillId="0" borderId="18" xfId="4" applyNumberFormat="1" applyFont="1" applyBorder="1" applyAlignment="1">
      <alignment horizontal="center" vertical="center"/>
    </xf>
    <xf numFmtId="4" fontId="14" fillId="8" borderId="18" xfId="0" applyNumberFormat="1" applyFont="1" applyFill="1" applyBorder="1" applyAlignment="1">
      <alignment horizontal="center" vertical="center"/>
    </xf>
    <xf numFmtId="171" fontId="14" fillId="8" borderId="18" xfId="4" applyNumberFormat="1" applyFont="1" applyFill="1" applyBorder="1" applyAlignment="1">
      <alignment horizontal="center" vertical="center"/>
    </xf>
    <xf numFmtId="166" fontId="0" fillId="0" borderId="0" xfId="0" applyNumberFormat="1"/>
    <xf numFmtId="174" fontId="0" fillId="0" borderId="0" xfId="0" applyNumberFormat="1"/>
    <xf numFmtId="0" fontId="1" fillId="0" borderId="18" xfId="15" applyFont="1" applyBorder="1" applyAlignment="1">
      <alignment horizontal="center"/>
    </xf>
    <xf numFmtId="0" fontId="22" fillId="0" borderId="0" xfId="0" applyFont="1"/>
    <xf numFmtId="0" fontId="0" fillId="0" borderId="26" xfId="0" applyBorder="1"/>
    <xf numFmtId="0" fontId="38" fillId="0" borderId="4" xfId="0" applyFont="1" applyBorder="1" applyAlignment="1">
      <alignment horizontal="centerContinuous"/>
    </xf>
    <xf numFmtId="175" fontId="0" fillId="7" borderId="2" xfId="0" applyNumberFormat="1" applyFill="1" applyBorder="1" applyAlignment="1">
      <alignment horizontal="center" vertical="center"/>
    </xf>
    <xf numFmtId="49" fontId="42" fillId="2" borderId="1" xfId="0" applyNumberFormat="1" applyFont="1" applyFill="1" applyBorder="1" applyAlignment="1">
      <alignment horizontal="left" vertical="center" wrapText="1"/>
    </xf>
    <xf numFmtId="4" fontId="19" fillId="0" borderId="2" xfId="0" applyNumberFormat="1" applyFont="1" applyBorder="1" applyAlignment="1">
      <alignment horizontal="center" vertical="center"/>
    </xf>
    <xf numFmtId="3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0" xfId="0" applyFont="1"/>
    <xf numFmtId="167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" fontId="19" fillId="0" borderId="0" xfId="0" applyNumberFormat="1" applyFont="1"/>
    <xf numFmtId="4" fontId="19" fillId="7" borderId="2" xfId="0" applyNumberFormat="1" applyFont="1" applyFill="1" applyBorder="1" applyAlignment="1">
      <alignment horizontal="center" vertical="center"/>
    </xf>
    <xf numFmtId="164" fontId="19" fillId="0" borderId="0" xfId="18" applyFont="1"/>
    <xf numFmtId="2" fontId="0" fillId="8" borderId="0" xfId="0" applyNumberFormat="1" applyFill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4" fontId="10" fillId="2" borderId="1" xfId="0" applyNumberFormat="1" applyFont="1" applyFill="1" applyBorder="1" applyAlignment="1">
      <alignment horizontal="left" vertical="center" wrapText="1"/>
    </xf>
    <xf numFmtId="4" fontId="0" fillId="13" borderId="0" xfId="0" applyNumberFormat="1" applyFill="1" applyAlignment="1">
      <alignment horizontal="center" vertical="center"/>
    </xf>
    <xf numFmtId="166" fontId="0" fillId="7" borderId="2" xfId="0" applyNumberFormat="1" applyFill="1" applyBorder="1" applyAlignment="1">
      <alignment horizontal="center" vertical="center"/>
    </xf>
    <xf numFmtId="167" fontId="0" fillId="7" borderId="2" xfId="0" applyNumberFormat="1" applyFill="1" applyBorder="1" applyAlignment="1">
      <alignment horizontal="center" vertical="center"/>
    </xf>
    <xf numFmtId="0" fontId="37" fillId="0" borderId="18" xfId="14" applyFill="1" applyBorder="1" applyAlignment="1">
      <alignment horizontal="center" vertical="top" wrapText="1"/>
    </xf>
    <xf numFmtId="0" fontId="0" fillId="0" borderId="19" xfId="0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 wrapText="1"/>
    </xf>
    <xf numFmtId="11" fontId="19" fillId="0" borderId="19" xfId="0" applyNumberFormat="1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11" fontId="19" fillId="0" borderId="18" xfId="1" applyNumberFormat="1" applyFont="1" applyBorder="1" applyAlignment="1">
      <alignment horizontal="center" vertical="center" wrapText="1"/>
    </xf>
    <xf numFmtId="0" fontId="19" fillId="0" borderId="18" xfId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 wrapText="1"/>
    </xf>
    <xf numFmtId="11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9" fillId="0" borderId="18" xfId="1" applyBorder="1" applyAlignment="1">
      <alignment horizontal="center" vertical="center"/>
    </xf>
    <xf numFmtId="169" fontId="19" fillId="0" borderId="18" xfId="0" applyNumberFormat="1" applyFont="1" applyBorder="1" applyAlignment="1">
      <alignment horizontal="center" vertical="center" wrapText="1"/>
    </xf>
    <xf numFmtId="3" fontId="0" fillId="0" borderId="20" xfId="0" applyNumberFormat="1" applyBorder="1" applyAlignment="1">
      <alignment horizontal="center" vertical="center" wrapText="1"/>
    </xf>
    <xf numFmtId="11" fontId="32" fillId="0" borderId="18" xfId="0" applyNumberFormat="1" applyFont="1" applyBorder="1" applyAlignment="1">
      <alignment horizontal="center" vertical="center"/>
    </xf>
    <xf numFmtId="3" fontId="19" fillId="0" borderId="19" xfId="0" applyNumberFormat="1" applyFont="1" applyBorder="1" applyAlignment="1">
      <alignment horizontal="center" vertical="center" wrapText="1"/>
    </xf>
    <xf numFmtId="11" fontId="0" fillId="0" borderId="20" xfId="0" applyNumberFormat="1" applyBorder="1" applyAlignment="1">
      <alignment horizontal="center" vertical="center" wrapText="1"/>
    </xf>
    <xf numFmtId="11" fontId="19" fillId="0" borderId="20" xfId="0" applyNumberFormat="1" applyFont="1" applyBorder="1" applyAlignment="1">
      <alignment horizontal="center" vertical="center" wrapText="1"/>
    </xf>
    <xf numFmtId="3" fontId="19" fillId="0" borderId="20" xfId="0" applyNumberFormat="1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19" fillId="0" borderId="18" xfId="14" applyFont="1" applyFill="1" applyBorder="1" applyAlignment="1">
      <alignment horizontal="center" vertical="center" wrapText="1"/>
    </xf>
    <xf numFmtId="2" fontId="19" fillId="0" borderId="18" xfId="4" applyNumberFormat="1" applyFont="1" applyFill="1" applyBorder="1" applyAlignment="1">
      <alignment horizontal="center" vertical="center" wrapText="1"/>
    </xf>
    <xf numFmtId="0" fontId="37" fillId="0" borderId="18" xfId="14" applyFill="1" applyBorder="1" applyAlignment="1">
      <alignment horizontal="center" vertical="center" wrapText="1"/>
    </xf>
    <xf numFmtId="0" fontId="37" fillId="0" borderId="18" xfId="14" applyFill="1" applyBorder="1" applyAlignment="1">
      <alignment horizontal="center"/>
    </xf>
    <xf numFmtId="0" fontId="37" fillId="0" borderId="18" xfId="14" applyFill="1" applyBorder="1" applyAlignment="1" applyProtection="1">
      <alignment horizontal="center" wrapText="1"/>
      <protection locked="0"/>
    </xf>
    <xf numFmtId="11" fontId="19" fillId="0" borderId="17" xfId="0" applyNumberFormat="1" applyFont="1" applyBorder="1" applyAlignment="1">
      <alignment horizontal="center" vertical="center" wrapText="1"/>
    </xf>
    <xf numFmtId="0" fontId="37" fillId="0" borderId="18" xfId="14" applyFill="1" applyBorder="1" applyAlignment="1" applyProtection="1">
      <alignment horizontal="center" vertical="center" wrapText="1"/>
      <protection locked="0"/>
    </xf>
    <xf numFmtId="4" fontId="0" fillId="0" borderId="2" xfId="0" applyNumberFormat="1" applyBorder="1" applyAlignment="1">
      <alignment horizontal="left" vertical="center"/>
    </xf>
    <xf numFmtId="0" fontId="0" fillId="0" borderId="2" xfId="0" applyBorder="1"/>
    <xf numFmtId="4" fontId="0" fillId="0" borderId="0" xfId="0" applyNumberForma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7" borderId="0" xfId="0" applyNumberFormat="1" applyFill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7" borderId="2" xfId="0" applyFont="1" applyFill="1" applyBorder="1" applyAlignment="1">
      <alignment horizontal="left" vertical="center" wrapText="1"/>
    </xf>
    <xf numFmtId="0" fontId="19" fillId="7" borderId="18" xfId="0" applyFont="1" applyFill="1" applyBorder="1" applyAlignment="1">
      <alignment vertical="center" wrapText="1"/>
    </xf>
    <xf numFmtId="11" fontId="19" fillId="0" borderId="18" xfId="4" applyNumberFormat="1" applyFont="1" applyFill="1" applyBorder="1" applyAlignment="1">
      <alignment horizontal="center" vertical="center" wrapText="1"/>
    </xf>
    <xf numFmtId="2" fontId="19" fillId="0" borderId="0" xfId="0" applyNumberFormat="1" applyFont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173" fontId="39" fillId="0" borderId="18" xfId="1" applyNumberFormat="1" applyFont="1" applyBorder="1" applyAlignment="1">
      <alignment horizontal="center" vertical="center" wrapText="1"/>
    </xf>
    <xf numFmtId="11" fontId="19" fillId="0" borderId="0" xfId="0" applyNumberFormat="1" applyFont="1" applyAlignment="1">
      <alignment horizontal="center" vertical="center" wrapText="1"/>
    </xf>
    <xf numFmtId="165" fontId="19" fillId="0" borderId="20" xfId="0" applyNumberFormat="1" applyFont="1" applyBorder="1" applyAlignment="1">
      <alignment horizontal="center" vertical="center" wrapText="1"/>
    </xf>
    <xf numFmtId="0" fontId="37" fillId="0" borderId="20" xfId="14" applyFill="1" applyBorder="1" applyAlignment="1">
      <alignment horizontal="center"/>
    </xf>
    <xf numFmtId="0" fontId="19" fillId="0" borderId="0" xfId="14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7" fillId="0" borderId="20" xfId="14" applyFill="1" applyBorder="1" applyAlignment="1" applyProtection="1">
      <alignment horizontal="center" vertical="center" wrapText="1"/>
      <protection locked="0"/>
    </xf>
    <xf numFmtId="0" fontId="37" fillId="0" borderId="18" xfId="14" applyFill="1" applyBorder="1"/>
    <xf numFmtId="3" fontId="37" fillId="0" borderId="18" xfId="14" applyNumberFormat="1" applyFill="1" applyBorder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 wrapText="1"/>
    </xf>
    <xf numFmtId="11" fontId="19" fillId="17" borderId="18" xfId="0" applyNumberFormat="1" applyFont="1" applyFill="1" applyBorder="1" applyAlignment="1">
      <alignment horizontal="center" vertical="center" wrapText="1"/>
    </xf>
    <xf numFmtId="4" fontId="14" fillId="12" borderId="5" xfId="0" applyNumberFormat="1" applyFont="1" applyFill="1" applyBorder="1" applyAlignment="1">
      <alignment horizontal="center" vertical="center"/>
    </xf>
    <xf numFmtId="4" fontId="14" fillId="12" borderId="21" xfId="0" applyNumberFormat="1" applyFont="1" applyFill="1" applyBorder="1" applyAlignment="1">
      <alignment horizontal="center" vertical="center"/>
    </xf>
    <xf numFmtId="171" fontId="14" fillId="12" borderId="5" xfId="4" applyNumberFormat="1" applyFont="1" applyFill="1" applyBorder="1" applyAlignment="1">
      <alignment horizontal="center" vertical="center"/>
    </xf>
    <xf numFmtId="171" fontId="14" fillId="12" borderId="21" xfId="4" applyNumberFormat="1" applyFont="1" applyFill="1" applyBorder="1" applyAlignment="1">
      <alignment horizontal="center" vertical="center"/>
    </xf>
    <xf numFmtId="0" fontId="19" fillId="0" borderId="37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9" fillId="0" borderId="31" xfId="0" applyFont="1" applyBorder="1" applyAlignment="1">
      <alignment horizontal="left" vertical="center"/>
    </xf>
    <xf numFmtId="0" fontId="18" fillId="5" borderId="37" xfId="0" applyFont="1" applyFill="1" applyBorder="1" applyAlignment="1">
      <alignment horizontal="left" vertical="center"/>
    </xf>
    <xf numFmtId="0" fontId="18" fillId="5" borderId="18" xfId="0" applyFont="1" applyFill="1" applyBorder="1" applyAlignment="1">
      <alignment horizontal="left" vertical="center"/>
    </xf>
    <xf numFmtId="0" fontId="18" fillId="5" borderId="31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6" fillId="4" borderId="39" xfId="0" applyFont="1" applyFill="1" applyBorder="1" applyAlignment="1">
      <alignment horizontal="left" vertical="center"/>
    </xf>
    <xf numFmtId="0" fontId="16" fillId="4" borderId="40" xfId="0" applyFont="1" applyFill="1" applyBorder="1" applyAlignment="1">
      <alignment horizontal="left" vertical="center"/>
    </xf>
    <xf numFmtId="0" fontId="16" fillId="4" borderId="41" xfId="0" applyFont="1" applyFill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21" fillId="6" borderId="37" xfId="0" applyFont="1" applyFill="1" applyBorder="1" applyAlignment="1">
      <alignment horizontal="left" vertical="center"/>
    </xf>
    <xf numFmtId="0" fontId="21" fillId="6" borderId="18" xfId="0" applyFont="1" applyFill="1" applyBorder="1" applyAlignment="1">
      <alignment horizontal="left" vertical="center"/>
    </xf>
    <xf numFmtId="0" fontId="21" fillId="6" borderId="31" xfId="0" applyFont="1" applyFill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" fontId="14" fillId="12" borderId="3" xfId="0" applyNumberFormat="1" applyFont="1" applyFill="1" applyBorder="1" applyAlignment="1">
      <alignment horizontal="center" vertical="center"/>
    </xf>
    <xf numFmtId="0" fontId="16" fillId="10" borderId="15" xfId="0" applyFont="1" applyFill="1" applyBorder="1" applyAlignment="1">
      <alignment horizontal="left" vertical="center" wrapText="1"/>
    </xf>
    <xf numFmtId="0" fontId="16" fillId="10" borderId="6" xfId="0" applyFont="1" applyFill="1" applyBorder="1" applyAlignment="1">
      <alignment horizontal="left" vertical="center" wrapText="1"/>
    </xf>
    <xf numFmtId="0" fontId="16" fillId="10" borderId="7" xfId="0" applyFont="1" applyFill="1" applyBorder="1" applyAlignment="1">
      <alignment horizontal="left" vertical="center" wrapText="1"/>
    </xf>
    <xf numFmtId="0" fontId="16" fillId="8" borderId="72" xfId="0" applyFont="1" applyFill="1" applyBorder="1" applyAlignment="1">
      <alignment horizontal="left" vertical="center" wrapText="1"/>
    </xf>
    <xf numFmtId="0" fontId="16" fillId="8" borderId="73" xfId="0" applyFont="1" applyFill="1" applyBorder="1" applyAlignment="1">
      <alignment horizontal="left" vertical="center" wrapText="1"/>
    </xf>
    <xf numFmtId="0" fontId="16" fillId="8" borderId="74" xfId="0" applyFont="1" applyFill="1" applyBorder="1" applyAlignment="1">
      <alignment horizontal="left" vertical="center" wrapText="1"/>
    </xf>
    <xf numFmtId="0" fontId="16" fillId="10" borderId="45" xfId="0" applyFont="1" applyFill="1" applyBorder="1" applyAlignment="1">
      <alignment horizontal="left" vertical="center" wrapText="1"/>
    </xf>
    <xf numFmtId="0" fontId="16" fillId="10" borderId="9" xfId="0" applyFont="1" applyFill="1" applyBorder="1" applyAlignment="1">
      <alignment horizontal="left" vertical="center" wrapText="1"/>
    </xf>
    <xf numFmtId="0" fontId="16" fillId="10" borderId="10" xfId="0" applyFont="1" applyFill="1" applyBorder="1" applyAlignment="1">
      <alignment horizontal="left" vertical="center" wrapText="1"/>
    </xf>
    <xf numFmtId="0" fontId="16" fillId="4" borderId="37" xfId="0" applyFont="1" applyFill="1" applyBorder="1" applyAlignment="1">
      <alignment horizontal="left" vertical="center"/>
    </xf>
    <xf numFmtId="0" fontId="16" fillId="4" borderId="18" xfId="0" applyFont="1" applyFill="1" applyBorder="1" applyAlignment="1">
      <alignment horizontal="left" vertical="center"/>
    </xf>
    <xf numFmtId="0" fontId="16" fillId="4" borderId="31" xfId="0" applyFont="1" applyFill="1" applyBorder="1" applyAlignment="1">
      <alignment horizontal="left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5" fillId="0" borderId="37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2" fillId="0" borderId="73" xfId="0" applyFont="1" applyBorder="1" applyAlignment="1">
      <alignment horizontal="center"/>
    </xf>
    <xf numFmtId="0" fontId="18" fillId="6" borderId="37" xfId="0" applyFont="1" applyFill="1" applyBorder="1" applyAlignment="1">
      <alignment horizontal="left" vertical="center"/>
    </xf>
    <xf numFmtId="0" fontId="18" fillId="6" borderId="18" xfId="0" applyFont="1" applyFill="1" applyBorder="1" applyAlignment="1">
      <alignment horizontal="left" vertical="center"/>
    </xf>
    <xf numFmtId="0" fontId="18" fillId="6" borderId="31" xfId="0" applyFont="1" applyFill="1" applyBorder="1" applyAlignment="1">
      <alignment horizontal="left" vertical="center"/>
    </xf>
    <xf numFmtId="0" fontId="18" fillId="13" borderId="52" xfId="12" applyFont="1" applyFill="1" applyBorder="1" applyAlignment="1">
      <alignment horizontal="center" vertical="center"/>
    </xf>
    <xf numFmtId="0" fontId="18" fillId="13" borderId="53" xfId="12" applyFont="1" applyFill="1" applyBorder="1" applyAlignment="1">
      <alignment horizontal="center" vertical="center"/>
    </xf>
    <xf numFmtId="0" fontId="18" fillId="13" borderId="54" xfId="12" applyFont="1" applyFill="1" applyBorder="1" applyAlignment="1">
      <alignment horizontal="center" vertical="center"/>
    </xf>
    <xf numFmtId="0" fontId="28" fillId="0" borderId="0" xfId="12" applyFont="1" applyAlignment="1">
      <alignment horizontal="center" vertical="center"/>
    </xf>
    <xf numFmtId="0" fontId="31" fillId="13" borderId="52" xfId="12" applyFont="1" applyFill="1" applyBorder="1" applyAlignment="1">
      <alignment horizontal="center" vertical="center" wrapText="1"/>
    </xf>
    <xf numFmtId="0" fontId="31" fillId="13" borderId="53" xfId="12" applyFont="1" applyFill="1" applyBorder="1" applyAlignment="1">
      <alignment horizontal="center" vertical="center"/>
    </xf>
    <xf numFmtId="0" fontId="31" fillId="13" borderId="54" xfId="12" applyFont="1" applyFill="1" applyBorder="1" applyAlignment="1">
      <alignment horizontal="center" vertical="center"/>
    </xf>
    <xf numFmtId="0" fontId="34" fillId="15" borderId="68" xfId="15" applyFont="1" applyFill="1" applyBorder="1" applyAlignment="1">
      <alignment horizontal="center"/>
    </xf>
    <xf numFmtId="0" fontId="34" fillId="15" borderId="66" xfId="15" applyFont="1" applyFill="1" applyBorder="1" applyAlignment="1">
      <alignment horizontal="center"/>
    </xf>
    <xf numFmtId="0" fontId="34" fillId="15" borderId="67" xfId="15" applyFont="1" applyFill="1" applyBorder="1" applyAlignment="1">
      <alignment horizontal="center"/>
    </xf>
    <xf numFmtId="0" fontId="4" fillId="0" borderId="71" xfId="15" quotePrefix="1" applyBorder="1" applyAlignment="1">
      <alignment horizontal="center"/>
    </xf>
    <xf numFmtId="0" fontId="4" fillId="0" borderId="70" xfId="15" quotePrefix="1" applyBorder="1" applyAlignment="1">
      <alignment horizontal="center"/>
    </xf>
  </cellXfs>
  <cellStyles count="19">
    <cellStyle name="Comma" xfId="18" builtinId="3"/>
    <cellStyle name="Comma 2" xfId="9" xr:uid="{E7D66D29-70DD-449C-9929-ACA31E5F1EA8}"/>
    <cellStyle name="Comma 2 2" xfId="11" xr:uid="{51562E4C-7C3F-40BC-9EBF-032FD5472B97}"/>
    <cellStyle name="Comma 2 3" xfId="17" xr:uid="{7CC076AA-580E-4FB3-ACF3-E712F0AEA0A9}"/>
    <cellStyle name="Hyperlink" xfId="14" builtinId="8"/>
    <cellStyle name="Normal" xfId="0" builtinId="0"/>
    <cellStyle name="Normal 2" xfId="2" xr:uid="{CA9579E4-17B6-4C4F-9672-D19DC60F0129}"/>
    <cellStyle name="Normal 2 2" xfId="10" xr:uid="{2EA21CB1-1715-4A16-8505-44246BC51BD6}"/>
    <cellStyle name="Normal 3" xfId="1" xr:uid="{E2A3DC19-28DA-4B21-A056-3419663F4ADB}"/>
    <cellStyle name="Normal 3 2" xfId="7" xr:uid="{C1E0C5B0-5C1F-42C5-84EB-685611B7A8B1}"/>
    <cellStyle name="Normal 3 2 2" xfId="15" xr:uid="{F2250359-F4B4-4EAA-9233-9E775C746DA2}"/>
    <cellStyle name="Normal 3 3" xfId="12" xr:uid="{3898595E-B482-4696-8F50-6F3FFD3DF690}"/>
    <cellStyle name="Normal 4" xfId="5" xr:uid="{0DA35AC7-992E-485E-9019-38AF35850A95}"/>
    <cellStyle name="Percent" xfId="4" builtinId="5"/>
    <cellStyle name="Percent 2" xfId="3" xr:uid="{AAF6FEA6-904E-4840-8134-2B37134C9CF3}"/>
    <cellStyle name="Percent 3" xfId="6" xr:uid="{1138CF82-2DB1-4BC0-B20D-A31A81390E3C}"/>
    <cellStyle name="Percent 3 2" xfId="8" xr:uid="{BB2D5B28-4002-45A4-9864-E57AFF666161}"/>
    <cellStyle name="Percent 3 2 2" xfId="16" xr:uid="{DCB5BA28-0178-4E8B-B631-07FE75C1D04F}"/>
    <cellStyle name="Percent 3 3" xfId="13" xr:uid="{A3DE3A7D-47A5-46A4-8282-04A2B0A875B4}"/>
  </cellStyles>
  <dxfs count="72">
    <dxf>
      <numFmt numFmtId="4" formatCode="#,##0.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outline val="0"/>
        <shadow val="0"/>
        <u val="none"/>
        <sz val="11"/>
        <color auto="1"/>
        <name val="Calibri"/>
        <family val="2"/>
        <scheme val="none"/>
      </font>
      <alignment horizontal="center" textRotation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#,##0.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6" formatCode="#,##0.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top style="thick">
          <color theme="2" tint="-0.499984740745262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 outline="0">
        <bottom style="thick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1"/>
        <scheme val="minor"/>
      </font>
      <fill>
        <patternFill patternType="solid">
          <fgColor indexed="64"/>
          <bgColor theme="2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  <dxf>
      <alignment horizontal="general" vertical="bottom" textRotation="0" wrapText="1" indent="0" justifyLastLine="0" shrinkToFit="0" readingOrder="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GHG Inventory - Ellaktor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C0D-4C7F-A9CD-E3C9A7797B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0D-4C7F-A9CD-E3C9A7797B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C0D-4C7F-A9CD-E3C9A7797B8E}"/>
              </c:ext>
            </c:extLst>
          </c:dPt>
          <c:dLbls>
            <c:dLbl>
              <c:idx val="0"/>
              <c:layout>
                <c:manualLayout>
                  <c:x val="2.777777777777676E-3"/>
                  <c:y val="-0.1296296296296296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C0D-4C7F-A9CD-E3C9A7797B8E}"/>
                </c:ext>
              </c:extLst>
            </c:dLbl>
            <c:dLbl>
              <c:idx val="1"/>
              <c:layout>
                <c:manualLayout>
                  <c:x val="7.4999999999999997E-2"/>
                  <c:y val="-0.125000000000000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0D-4C7F-A9CD-E3C9A7797B8E}"/>
                </c:ext>
              </c:extLst>
            </c:dLbl>
            <c:dLbl>
              <c:idx val="2"/>
              <c:layout>
                <c:manualLayout>
                  <c:x val="-0.11666666666666672"/>
                  <c:y val="8.3333333333333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0D-4C7F-A9CD-E3C9A7797B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Charts!$A$2:$A$4</c:f>
              <c:strCache>
                <c:ptCount val="3"/>
                <c:pt idx="0">
                  <c:v>Scope 1</c:v>
                </c:pt>
                <c:pt idx="1">
                  <c:v>Scope 2</c:v>
                </c:pt>
                <c:pt idx="2">
                  <c:v>Scope 3</c:v>
                </c:pt>
              </c:strCache>
            </c:strRef>
          </c:cat>
          <c:val>
            <c:numRef>
              <c:f>Charts!$C$2:$C$4</c:f>
              <c:numCache>
                <c:formatCode>0.0%</c:formatCode>
                <c:ptCount val="3"/>
                <c:pt idx="0">
                  <c:v>4.5606703902569608E-2</c:v>
                </c:pt>
                <c:pt idx="1">
                  <c:v>6.3591229820556747E-2</c:v>
                </c:pt>
                <c:pt idx="2">
                  <c:v>0.89080206627687364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D-4C7F-A9CD-E3C9A7797B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GHG Inventory - Ellaktor Group (inc. Biogenic)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AE1-47AA-95F3-E594928F05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E1-47AA-95F3-E594928F05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AE1-47AA-95F3-E594928F058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AE1-47AA-95F3-E594928F0586}"/>
              </c:ext>
            </c:extLst>
          </c:dPt>
          <c:dLbls>
            <c:dLbl>
              <c:idx val="0"/>
              <c:layout>
                <c:manualLayout>
                  <c:x val="0"/>
                  <c:y val="-0.15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E1-47AA-95F3-E594928F0586}"/>
                </c:ext>
              </c:extLst>
            </c:dLbl>
            <c:dLbl>
              <c:idx val="1"/>
              <c:layout>
                <c:manualLayout>
                  <c:x val="5.3968253968254026E-2"/>
                  <c:y val="-0.13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AE1-47AA-95F3-E594928F0586}"/>
                </c:ext>
              </c:extLst>
            </c:dLbl>
            <c:dLbl>
              <c:idx val="2"/>
              <c:layout>
                <c:manualLayout>
                  <c:x val="0.16507936507936496"/>
                  <c:y val="0.1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AE1-47AA-95F3-E594928F0586}"/>
                </c:ext>
              </c:extLst>
            </c:dLbl>
            <c:dLbl>
              <c:idx val="3"/>
              <c:layout>
                <c:manualLayout>
                  <c:x val="-0.10793650793650794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E1-47AA-95F3-E594928F05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Charts!$A$2:$A$5</c:f>
              <c:strCache>
                <c:ptCount val="4"/>
                <c:pt idx="0">
                  <c:v>Scope 1</c:v>
                </c:pt>
                <c:pt idx="1">
                  <c:v>Scope 2</c:v>
                </c:pt>
                <c:pt idx="2">
                  <c:v>Scope 3</c:v>
                </c:pt>
                <c:pt idx="3">
                  <c:v>Biogenic</c:v>
                </c:pt>
              </c:strCache>
            </c:strRef>
          </c:cat>
          <c:val>
            <c:numRef>
              <c:f>Charts!$D$2:$D$5</c:f>
              <c:numCache>
                <c:formatCode>0.0%</c:formatCode>
                <c:ptCount val="4"/>
                <c:pt idx="0">
                  <c:v>3.4993266163684096E-2</c:v>
                </c:pt>
                <c:pt idx="1">
                  <c:v>4.8792494093425808E-2</c:v>
                </c:pt>
                <c:pt idx="2">
                  <c:v>0.68349762506362755</c:v>
                </c:pt>
                <c:pt idx="3">
                  <c:v>0.23271661467926261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E1-47AA-95F3-E594928F05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Scope 1 - Ellaktor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42-4D05-92AE-7E8F9F2FD6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42-4D05-92AE-7E8F9F2FD6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42-4D05-92AE-7E8F9F2FD6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E7-4032-BD59-6A4DA7437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Charts!$I$2:$I$5</c:f>
              <c:strCache>
                <c:ptCount val="4"/>
                <c:pt idx="0">
                  <c:v>Direct emissions from stationary combustion</c:v>
                </c:pt>
                <c:pt idx="1">
                  <c:v>Direct emissions from mobile combustion</c:v>
                </c:pt>
                <c:pt idx="2">
                  <c:v>Direct fugitive emissions arise from the release of greenhouse gases in anthropogenic systems</c:v>
                </c:pt>
                <c:pt idx="3">
                  <c:v>Direct emissions arise from the release of greenhouse gases by chemical or physical processing</c:v>
                </c:pt>
              </c:strCache>
            </c:strRef>
          </c:cat>
          <c:val>
            <c:numRef>
              <c:f>Charts!$K$2:$K$5</c:f>
              <c:numCache>
                <c:formatCode>0.0%</c:formatCode>
                <c:ptCount val="4"/>
                <c:pt idx="0">
                  <c:v>0.17668632781368754</c:v>
                </c:pt>
                <c:pt idx="1">
                  <c:v>0.39335056044661015</c:v>
                </c:pt>
                <c:pt idx="2">
                  <c:v>3.4717358884924734E-2</c:v>
                </c:pt>
                <c:pt idx="3">
                  <c:v>0.39524575285477759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42-4D05-92AE-7E8F9F2FD6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51756030496187"/>
          <c:y val="0.10958041703120443"/>
          <c:w val="0.33508561429821271"/>
          <c:h val="0.82292213473315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Scope 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- Ellaktor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2B-4CEA-8451-9CE3A98CE1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2B-4CEA-8451-9CE3A98CE1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2B-4CEA-8451-9CE3A98CE1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2B-4CEA-8451-9CE3A98CE16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2B-4CEA-8451-9CE3A98CE16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F2B-4CEA-8451-9CE3A98CE16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F2B-4CEA-8451-9CE3A98CE16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2B-4CEA-8451-9CE3A98CE16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F2B-4CEA-8451-9CE3A98CE161}"/>
              </c:ext>
            </c:extLst>
          </c:dPt>
          <c:dLbls>
            <c:dLbl>
              <c:idx val="0"/>
              <c:layout>
                <c:manualLayout>
                  <c:x val="-1.4385532264693794E-2"/>
                  <c:y val="-0.112443778110944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2B-4CEA-8451-9CE3A98CE161}"/>
                </c:ext>
              </c:extLst>
            </c:dLbl>
            <c:dLbl>
              <c:idx val="1"/>
              <c:layout>
                <c:manualLayout>
                  <c:x val="6.370735717221529E-2"/>
                  <c:y val="-0.104947526236881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F2B-4CEA-8451-9CE3A98CE161}"/>
                </c:ext>
              </c:extLst>
            </c:dLbl>
            <c:dLbl>
              <c:idx val="2"/>
              <c:layout>
                <c:manualLayout>
                  <c:x val="7.809288943690916E-2"/>
                  <c:y val="-9.74512743628185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F2B-4CEA-8451-9CE3A98CE161}"/>
                </c:ext>
              </c:extLst>
            </c:dLbl>
            <c:dLbl>
              <c:idx val="3"/>
              <c:layout>
                <c:manualLayout>
                  <c:x val="8.6313193588162682E-2"/>
                  <c:y val="-7.4962518740629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F2B-4CEA-8451-9CE3A98CE161}"/>
                </c:ext>
              </c:extLst>
            </c:dLbl>
            <c:dLbl>
              <c:idx val="4"/>
              <c:layout>
                <c:manualLayout>
                  <c:x val="-0.13769009453349773"/>
                  <c:y val="9.24537731134432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F2B-4CEA-8451-9CE3A98CE161}"/>
                </c:ext>
              </c:extLst>
            </c:dLbl>
            <c:dLbl>
              <c:idx val="5"/>
              <c:layout>
                <c:manualLayout>
                  <c:x val="-0.16851623510069871"/>
                  <c:y val="-6.7466266866566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F2B-4CEA-8451-9CE3A98CE161}"/>
                </c:ext>
              </c:extLst>
            </c:dLbl>
            <c:dLbl>
              <c:idx val="6"/>
              <c:layout>
                <c:manualLayout>
                  <c:x val="-0.12741471434443075"/>
                  <c:y val="-9.9950024987506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F2B-4CEA-8451-9CE3A98CE161}"/>
                </c:ext>
              </c:extLst>
            </c:dLbl>
            <c:dLbl>
              <c:idx val="7"/>
              <c:layout>
                <c:manualLayout>
                  <c:x val="-7.39827373612824E-2"/>
                  <c:y val="-0.117441279360319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F2B-4CEA-8451-9CE3A98CE161}"/>
                </c:ext>
              </c:extLst>
            </c:dLbl>
            <c:dLbl>
              <c:idx val="8"/>
              <c:layout>
                <c:manualLayout>
                  <c:x val="-3.2881216605014384E-2"/>
                  <c:y val="-0.129935032483758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F2B-4CEA-8451-9CE3A98CE1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Charts!$P$2:$P$10</c:f>
              <c:strCache>
                <c:ptCount val="9"/>
                <c:pt idx="0">
                  <c:v> Purchased Goods and Services </c:v>
                </c:pt>
                <c:pt idx="1">
                  <c:v> Capital goods  </c:v>
                </c:pt>
                <c:pt idx="2">
                  <c:v> Fuel-and Energy-Related Activities </c:v>
                </c:pt>
                <c:pt idx="3">
                  <c:v>Upstream transportation &amp; distribution </c:v>
                </c:pt>
                <c:pt idx="4">
                  <c:v>Third-party disposal and treatment of Waste Generated in Operations </c:v>
                </c:pt>
                <c:pt idx="5">
                  <c:v>Business Travel </c:v>
                </c:pt>
                <c:pt idx="6">
                  <c:v>Employee Commuting  </c:v>
                </c:pt>
                <c:pt idx="7">
                  <c:v>Downsream leased assets </c:v>
                </c:pt>
                <c:pt idx="8">
                  <c:v> Investments</c:v>
                </c:pt>
              </c:strCache>
            </c:strRef>
          </c:cat>
          <c:val>
            <c:numRef>
              <c:f>Charts!$R$2:$R$10</c:f>
              <c:numCache>
                <c:formatCode>0.00%</c:formatCode>
                <c:ptCount val="9"/>
                <c:pt idx="0">
                  <c:v>7.2852077201567014E-2</c:v>
                </c:pt>
                <c:pt idx="1">
                  <c:v>6.6770676959432562E-2</c:v>
                </c:pt>
                <c:pt idx="2">
                  <c:v>2.4660916334532865E-2</c:v>
                </c:pt>
                <c:pt idx="3">
                  <c:v>2.0959172576167084E-2</c:v>
                </c:pt>
                <c:pt idx="4">
                  <c:v>0.76260952839485574</c:v>
                </c:pt>
                <c:pt idx="5">
                  <c:v>2.4593411074366164E-4</c:v>
                </c:pt>
                <c:pt idx="6">
                  <c:v>5.2462827639646933E-3</c:v>
                </c:pt>
                <c:pt idx="7">
                  <c:v>9.3953745399613237E-3</c:v>
                </c:pt>
                <c:pt idx="8">
                  <c:v>3.7260037118775388E-2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F2B-4CEA-8451-9CE3A98CE1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53527419242096"/>
          <c:y val="0.19605834942801961"/>
          <c:w val="0.33508561429821271"/>
          <c:h val="0.74304121477739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8</xdr:row>
      <xdr:rowOff>49530</xdr:rowOff>
    </xdr:from>
    <xdr:to>
      <xdr:col>6</xdr:col>
      <xdr:colOff>548640</xdr:colOff>
      <xdr:row>23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6781C-ED5F-2988-7EF5-8D6540979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327660</xdr:colOff>
      <xdr:row>24</xdr:row>
      <xdr:rowOff>30480</xdr:rowOff>
    </xdr:from>
    <xdr:to>
      <xdr:col>7</xdr:col>
      <xdr:colOff>388620</xdr:colOff>
      <xdr:row>40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E0D952-3224-46F8-828B-A4751EE08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53340</xdr:colOff>
      <xdr:row>8</xdr:row>
      <xdr:rowOff>53340</xdr:rowOff>
    </xdr:from>
    <xdr:to>
      <xdr:col>13</xdr:col>
      <xdr:colOff>213360</xdr:colOff>
      <xdr:row>23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F84D77-BB88-4DB4-825E-61985F1C0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541020</xdr:colOff>
      <xdr:row>11</xdr:row>
      <xdr:rowOff>160020</xdr:rowOff>
    </xdr:from>
    <xdr:to>
      <xdr:col>25</xdr:col>
      <xdr:colOff>53340</xdr:colOff>
      <xdr:row>29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ED737D-A46D-4B79-B7ED-7A72F48B2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cometrx.sharepoint.com/sites/FOOTPRINT-PROJECTS/Shared%20Documents/PROJECTS/OCF_DEDDHE/4rd%20OCF-HEDNO-ISO14064_2023/ENV/Delivarables/HEDNO_OCF_2023.xlsx" TargetMode="External"/><Relationship Id="rId1" Type="http://schemas.openxmlformats.org/officeDocument/2006/relationships/externalLinkPath" Target="/sites/FOOTPRINT-PROJECTS/Shared%20Documents/PROJECTS/OCF_DEDDHE/4rd%20OCF-HEDNO-ISO14064_2023/ENV/Delivarables/HEDNO_OCF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tocol_GHG Interpretation"/>
      <sheetName val="ISO_GHG Interpretation "/>
      <sheetName val="Protocol_GHG Inventory results"/>
      <sheetName val="ISO_GHG Inventory results"/>
      <sheetName val="Inventory_Calculations"/>
      <sheetName val="Inventory_Factors"/>
      <sheetName val="Scope 3_Scope 2 Upstream CO2eq"/>
      <sheetName val="Ανάλυση Αβεβαιότητα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K2">
            <v>0.88970000000000005</v>
          </cell>
          <cell r="L2">
            <v>1.1194999999999999</v>
          </cell>
        </row>
      </sheetData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gdalini Theologiti" id="{67EC1D54-F469-4E77-9F20-9BF7B0502765}" userId="S::mtheologiti@envirometrics.gr::18ce9394-16f0-4db2-bf68-f44552a9f31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gdalini Theologiti" refreshedDate="45735.500664814812" createdVersion="8" refreshedVersion="8" minRefreshableVersion="3" recordCount="978" xr:uid="{74D69901-D6B9-4456-BDC2-509FD9176237}">
  <cacheSource type="worksheet">
    <worksheetSource name="Calculations"/>
  </cacheSource>
  <cacheFields count="24">
    <cacheField name="GHG Scope" numFmtId="0">
      <sharedItems/>
    </cacheField>
    <cacheField name="GHG Category" numFmtId="0">
      <sharedItems/>
    </cacheField>
    <cacheField name="Χώρα" numFmtId="0">
      <sharedItems/>
    </cacheField>
    <cacheField name="Sector" numFmtId="0">
      <sharedItems count="5">
        <s v="ENVIRONMENT "/>
        <s v="CONCESSIONS"/>
        <s v="ELLAKTOR HOLDINGS"/>
        <s v="REAL ESTATE DEVELOPMENT"/>
        <s v="ELLAKTOR S.A." u="1"/>
      </sharedItems>
    </cacheField>
    <cacheField name="Έργο" numFmtId="0">
      <sharedItems containsBlank="1" count="22">
        <m/>
        <s v="ΚΞ ΗΛΕΚΤΩΡ-ΕΛΛΑΚΤΩΡ-CYBARCO"/>
        <s v="ΑΤΤΙΚΕΣ ΔΙΑΔΡΟΜΕΣ ΑΕ"/>
        <s v="ΜΟΡΕΑΣ ΑΕ"/>
        <s v="ΕΛΛΑΚΤΩΡ Α.Ε. (Κεντρικά Γραφεία)"/>
        <s v="ΜΟΡΕΑΣ/Κεντρικά Γραφεία"/>
        <s v="Κεντρικά Γραφεία/ΑΚΤΩΡ ΠΑΡΑΧΩΡΗΣΕΙΣ"/>
        <s v="Κεντρικά Γραφεία/REDS"/>
        <s v="HERHOF GMBH"/>
        <s v="ΝΕΑ ΜΑΡΙΝΑ ΑΛΙΜΟΥ (ΑΚΤΩΡ ΠΑΡΑΧΩΡΗΣΕΙΣ) (01.01.2024-16.09.2024)"/>
        <s v="ΠΥΛΙΑ ΟΔΟΣ"/>
        <s v="ΝΕΑ ΜΑΡΙΝΑ ΑΛΙΜΟΥ (ΠΑΡΟΧΗ ΥΠΗΡΕΣΙΩΝ)-REDS (17.09.2024-31.12.2024)"/>
        <s v="ΑΤΤΙΚΗ ΟΔΟΣ ΑΕ"/>
        <s v="ΠΑΡΚΙΝΓΚ ΧΑΝΘ Α.Ε."/>
        <s v="ΣΤΑΘΜΟΙ ΠΑΝΤΕΧΝΙΚΗ ΑΕ"/>
        <s v="Π &amp; Π ΣΤΑΘΜΕΥΣΗ ΑΕ"/>
        <s v="IOANNA PROPERTIES SRL"/>
        <s v="ΚΑΝΤΖΑ ΕΜΠΟΡΙΚΗ ΑΕ"/>
        <s v="ΟΔΙΚΕΣ ΤΗΛΕΠΙΚΟΙΝΩΝΙΕΣ ΑΕ"/>
        <s v="ΑΕΙΦΟΡΙΚΗ ΚΟΥΝΟΥ"/>
        <s v="ΠΑΝΤΕΧΝΙΚΗ"/>
        <s v="ΝΕΑ ΜΑΡΙΝΑ ΑΛΙΜΟΥ"/>
      </sharedItems>
    </cacheField>
    <cacheField name="Εταιρεία" numFmtId="0">
      <sharedItems containsBlank="1"/>
    </cacheField>
    <cacheField name="Ομάδα πηγών εκπομπών" numFmtId="0">
      <sharedItems/>
    </cacheField>
    <cacheField name="Κατηγορία πηγών εκπομπών" numFmtId="0">
      <sharedItems/>
    </cacheField>
    <cacheField name="Πηγή εκπομπών" numFmtId="0">
      <sharedItems count="42">
        <s v="Combustion of Diesel"/>
        <s v="Combustion of Natural Gas"/>
        <s v="Combustion of Petrol"/>
        <s v="Combustion of diesel in group owned vehicles (owned or leasing)"/>
        <s v="Combustion of Petrol in group owned vehicles (owned or leasing)"/>
        <s v="Combustion of LPG in group owned vehicles (owned or leasing)"/>
        <s v="HFCs from refrigeration / air conditioning equipment in office buildings and facilities"/>
        <s v="Fire extinguishers"/>
        <s v="Combustion of waste (Incinerator)"/>
        <s v="Waste Processing "/>
        <s v="Combustion of Biogas"/>
        <s v="Combustion of Biogas Flared"/>
        <s v="Emissions from Biogas Combustion"/>
        <s v="Combustion of Wood Pellets"/>
        <s v="Electricity consumed in office buildings and projects"/>
        <s v="Emissions from Wood Pellet Combustion"/>
        <s v="Electricity consumed in office buildings and projects - market based"/>
        <s v="Production of purchased goods and services"/>
        <s v="Production of capital goods"/>
        <s v="Production of Petrol (including trasportation)"/>
        <s v="Production of Diesel (including trasportation)"/>
        <s v="Production of Natural gas (including trasportation)"/>
        <s v="Production of LPG (including trasportation)"/>
        <s v="Production of Wood Pellets (including trasportation)"/>
        <s v="Production of Biogas (including trasportation)"/>
        <s v="Network losses"/>
        <s v="Production and transportation of fuel consumed for the production of Electricity purchased and consumed by the Group"/>
        <s v="Transportation of goods"/>
        <s v="Combustion of diesel in subcontractor vehicles"/>
        <s v="Combustion of Petrol in subcontractor vehicles"/>
        <s v="Production of Petrol in subcontractor vehicles"/>
        <s v="Production of diesel in subcontractor vehicles"/>
        <s v="Treatment of waste by Third-Party"/>
        <s v="Air Travel"/>
        <s v="Ship Travel"/>
        <s v="Car Travel"/>
        <s v="Overnights"/>
        <s v="Employee Commuting-Survey"/>
        <s v="Emissions from Downsream leased assets"/>
        <s v="Emissions from Investments"/>
        <s v="Combustion of compressed natural gas CNG in group owned vehicles (owned or leasing)" u="1"/>
        <s v="Production of CNG (including trasportation)" u="1"/>
      </sharedItems>
    </cacheField>
    <cacheField name="Τιμή" numFmtId="0">
      <sharedItems containsString="0" containsBlank="1" containsNumber="1" minValue="0" maxValue="59724744.25"/>
    </cacheField>
    <cacheField name="Μονάδες" numFmtId="0">
      <sharedItems containsBlank="1"/>
    </cacheField>
    <cacheField name="Πληροφορίες" numFmtId="0">
      <sharedItems containsBlank="1"/>
    </cacheField>
    <cacheField name="For XLOOKUP" numFmtId="0">
      <sharedItems containsBlank="1"/>
    </cacheField>
    <cacheField name="Emission Factor" numFmtId="0">
      <sharedItems/>
    </cacheField>
    <cacheField name="Value" numFmtId="0">
      <sharedItems containsMixedTypes="1" containsNumber="1" minValue="0" maxValue="10926.4"/>
    </cacheField>
    <cacheField name="Units" numFmtId="0">
      <sharedItems containsMixedTypes="1" containsNumber="1" containsInteger="1" minValue="0" maxValue="0"/>
    </cacheField>
    <cacheField name="Source" numFmtId="0">
      <sharedItems containsMixedTypes="1" containsNumber="1" containsInteger="1" minValue="0" maxValue="0"/>
    </cacheField>
    <cacheField name="t CO2" numFmtId="0">
      <sharedItems containsMixedTypes="1" containsNumber="1" minValue="4.1415945259854576E-3" maxValue="105173.4137235971"/>
    </cacheField>
    <cacheField name="t CH4" numFmtId="0">
      <sharedItems containsMixedTypes="1" containsNumber="1" minValue="1.0371975671692546E-7" maxValue="8.6476363631972273"/>
    </cacheField>
    <cacheField name="t N2O" numFmtId="0">
      <sharedItems containsMixedTypes="1" containsNumber="1" minValue="4.2706880529868502E-8" maxValue="0.19262529986006793"/>
    </cacheField>
    <cacheField name="t HFCs" numFmtId="0">
      <sharedItems containsMixedTypes="1" containsNumber="1" minValue="2.3224243796714601E-3" maxValue="7.9192348922417291E-2"/>
    </cacheField>
    <cacheField name="t CO2 eq" numFmtId="0">
      <sharedItems containsMixedTypes="1" containsNumber="1" minValue="0" maxValue="116817.74667200001"/>
    </cacheField>
    <cacheField name="Sum t eCO2-market" numFmtId="0">
      <sharedItems containsMixedTypes="1" containsNumber="1" minValue="3.7045380000000003E-2" maxValue="9078.2242358799995"/>
    </cacheField>
    <cacheField name="Sum t eCO2" numFmtId="0">
      <sharedItems containsSemiMixedTypes="0" containsString="0" containsNumber="1" minValue="0" maxValue="116817.746672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8">
  <r>
    <s v="Scope 1"/>
    <s v="Scope 1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CO2_lt"/>
    <s v="Σ.Ε. CO₂ st."/>
    <n v="2.6288551800000004E-3"/>
    <s v="tn CO2/lt"/>
    <s v="Greece. National Inventory Submissions 2024"/>
    <n v="62.124001494584412"/>
    <s v="-"/>
    <s v="-"/>
    <s v="-"/>
    <s v="-"/>
    <s v=""/>
    <n v="62.124001494584412"/>
  </r>
  <r>
    <s v="Scope 1"/>
    <s v="Scope 1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CH4_lt"/>
    <s v="Σ.Ε. CH₄ st."/>
    <n v="2.6069673432920342E-8"/>
    <s v="tn CH4/lt"/>
    <s v="Greece. National Inventory Submissions 2024"/>
    <s v="-"/>
    <n v="6.1606757330393176E-4"/>
    <s v="-"/>
    <s v="-"/>
    <s v="-"/>
    <s v=""/>
    <n v="1.7249892052510089E-2"/>
  </r>
  <r>
    <s v="Scope 1"/>
    <s v="Scope 1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N2O_lt"/>
    <s v="Σ.Ε. N2O st."/>
    <n v="6.7698900000000009E-9"/>
    <s v="tn N2O/lt"/>
    <s v="Greece. National Inventory Submissions 2024"/>
    <s v="-"/>
    <s v="-"/>
    <n v="1.5998319712620004E-4"/>
    <s v="-"/>
    <s v="-"/>
    <s v=""/>
    <n v="4.2395547238443007E-2"/>
  </r>
  <r>
    <s v="Scope 1"/>
    <s v="Scope 1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CO2_lt_CU"/>
    <s v="Σ.Ε. CO₂ st."/>
    <n v="2.6924234999999999E-3"/>
    <s v="tn CO2/lt"/>
    <s v="Cyprus. National Inventory Report (NIR) 2024"/>
    <n v="208.829751507"/>
    <s v="-"/>
    <s v="-"/>
    <s v="-"/>
    <s v="-"/>
    <s v=""/>
    <n v="208.829751507"/>
  </r>
  <r>
    <s v="Scope 1"/>
    <s v="Scope 1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CH4_lt_CU"/>
    <s v="Σ.Ε. CH₄ st."/>
    <n v="3.6335000000000003E-7"/>
    <s v="tn CH4/lt"/>
    <s v="Cyprus. National Inventory Report (NIR) 2024"/>
    <s v="-"/>
    <n v="2.8182152700000004E-2"/>
    <s v="-"/>
    <s v="-"/>
    <s v="-"/>
    <s v=""/>
    <n v="0.78910027560000007"/>
  </r>
  <r>
    <s v="Scope 1"/>
    <s v="Scope 1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N2O_lt_CU"/>
    <s v="Σ.Ε. N2O st."/>
    <n v="2.1800999999999998E-8"/>
    <s v="tn N2O/lt"/>
    <s v="Cyprus. National Inventory Report (NIR) 2024"/>
    <s v="-"/>
    <s v="-"/>
    <n v="1.6909291619999999E-3"/>
    <s v="-"/>
    <s v="-"/>
    <s v=""/>
    <n v="0.44809622792999998"/>
  </r>
  <r>
    <s v="Scope 1"/>
    <s v="Scope 1"/>
    <s v="Ελλάδα"/>
    <x v="1"/>
    <x v="2"/>
    <s v="AD"/>
    <s v="Direct emissions from stationary combustion"/>
    <s v="Offices heating "/>
    <x v="0"/>
    <n v="18000"/>
    <s v="lt"/>
    <s v="Heating Oil"/>
    <s v="Heating Oil_CO2_lt"/>
    <s v="Σ.Ε. CO₂ st."/>
    <n v="2.6288551800000004E-3"/>
    <s v="tn CO2/lt"/>
    <s v="Greece. National Inventory Submissions 2024"/>
    <n v="47.319393240000011"/>
    <s v="-"/>
    <s v="-"/>
    <s v="-"/>
    <s v="-"/>
    <s v=""/>
    <n v="47.319393240000011"/>
  </r>
  <r>
    <s v="Scope 1"/>
    <s v="Scope 1"/>
    <s v="Ελλάδα"/>
    <x v="1"/>
    <x v="2"/>
    <s v="AD"/>
    <s v="Direct emissions from stationary combustion"/>
    <s v="Offices heating "/>
    <x v="0"/>
    <n v="18000"/>
    <s v="lt"/>
    <s v="Heating Oil"/>
    <s v="Heating Oil_CH4_lt"/>
    <s v="Σ.Ε. CH₄ st."/>
    <n v="2.6069673432920342E-8"/>
    <s v="tn CH4/lt"/>
    <s v="Greece. National Inventory Submissions 2024"/>
    <s v="-"/>
    <n v="4.6925412179256616E-4"/>
    <s v="-"/>
    <s v="-"/>
    <s v="-"/>
    <s v=""/>
    <n v="1.3139115410191853E-2"/>
  </r>
  <r>
    <s v="Scope 1"/>
    <s v="Scope 1"/>
    <s v="Ελλάδα"/>
    <x v="1"/>
    <x v="2"/>
    <s v="AD"/>
    <s v="Direct emissions from stationary combustion"/>
    <s v="Offices heating "/>
    <x v="0"/>
    <n v="18000"/>
    <s v="lt"/>
    <s v="Heating Oil"/>
    <s v="Heating Oil_N2O_lt"/>
    <s v="Σ.Ε. N2O st."/>
    <n v="6.7698900000000009E-9"/>
    <s v="tn N2O/lt"/>
    <s v="Greece. National Inventory Submissions 2024"/>
    <s v="-"/>
    <s v="-"/>
    <n v="1.2185802000000001E-4"/>
    <s v="-"/>
    <s v="-"/>
    <s v=""/>
    <n v="3.2292375300000002E-2"/>
  </r>
  <r>
    <s v="Scope 1"/>
    <s v="Scope 1"/>
    <s v="Ελλάδα"/>
    <x v="1"/>
    <x v="3"/>
    <s v="MOREAS"/>
    <s v="Direct emissions from stationary combustion"/>
    <s v="Offices heating "/>
    <x v="0"/>
    <n v="50835"/>
    <s v="lt"/>
    <s v="Heating Oil"/>
    <s v="Heating Oil_CO2_lt"/>
    <s v="Σ.Ε. CO₂ st."/>
    <n v="2.6288551800000004E-3"/>
    <s v="tn CO2/lt"/>
    <s v="Greece. National Inventory Submissions 2024"/>
    <n v="133.63785307530003"/>
    <s v="-"/>
    <s v="-"/>
    <s v="-"/>
    <s v="-"/>
    <s v=""/>
    <n v="133.63785307530003"/>
  </r>
  <r>
    <s v="Scope 1"/>
    <s v="Scope 1"/>
    <s v="Ελλάδα"/>
    <x v="1"/>
    <x v="3"/>
    <s v="MOREAS"/>
    <s v="Direct emissions from stationary combustion"/>
    <s v="Offices heating "/>
    <x v="0"/>
    <n v="50835"/>
    <s v="lt"/>
    <s v="Heating Oil"/>
    <s v="Heating Oil_CH4_lt"/>
    <s v="Σ.Ε. CH₄ st."/>
    <n v="2.6069673432920342E-8"/>
    <s v="tn CH4/lt"/>
    <s v="Greece. National Inventory Submissions 2024"/>
    <s v="-"/>
    <n v="1.3252518489625055E-3"/>
    <s v="-"/>
    <s v="-"/>
    <s v="-"/>
    <s v=""/>
    <n v="3.7107051770950153E-2"/>
  </r>
  <r>
    <s v="Scope 1"/>
    <s v="Scope 1"/>
    <s v="Ελλάδα"/>
    <x v="1"/>
    <x v="3"/>
    <s v="MOREAS"/>
    <s v="Direct emissions from stationary combustion"/>
    <s v="Offices heating "/>
    <x v="0"/>
    <n v="50835"/>
    <s v="lt"/>
    <s v="Heating Oil"/>
    <s v="Heating Oil_N2O_lt"/>
    <s v="Σ.Ε. N2O st."/>
    <n v="6.7698900000000009E-9"/>
    <s v="tn N2O/lt"/>
    <s v="Greece. National Inventory Submissions 2024"/>
    <s v="-"/>
    <s v="-"/>
    <n v="3.4414735815000005E-4"/>
    <s v="-"/>
    <s v="-"/>
    <s v=""/>
    <n v="9.1199049909750016E-2"/>
  </r>
  <r>
    <s v="Scope 1"/>
    <s v="Scope 1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CO2_KWH"/>
    <s v="Σ.Ε. CO₂ st."/>
    <n v="2.0043000000000055E-4"/>
    <s v="tn CO2/KWh"/>
    <s v="Greece. National Inventory Submissions 2024"/>
    <n v="10.849504782940349"/>
    <s v="-"/>
    <s v="-"/>
    <s v="-"/>
    <s v="-"/>
    <s v=""/>
    <n v="10.849504782940349"/>
  </r>
  <r>
    <s v="Scope 1"/>
    <s v="Scope 1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CH4_KWH"/>
    <s v="Σ.Ε. CH₄ st."/>
    <n v="3.6000000000000103E-9"/>
    <s v="tn CH4/KWh"/>
    <s v="Greece. National Inventory Submissions 2024"/>
    <s v="-"/>
    <n v="1.9487211105415986E-4"/>
    <s v="-"/>
    <s v="-"/>
    <s v="-"/>
    <s v=""/>
    <n v="5.4564191095164763E-3"/>
  </r>
  <r>
    <s v="Scope 1"/>
    <s v="Scope 1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N2O_KWH"/>
    <s v="Σ.Ε. N2O st."/>
    <n v="3.6000000000000103E-10"/>
    <s v="tn N2O/kWh"/>
    <s v="Greece. National Inventory Submissions 2024"/>
    <s v="-"/>
    <s v="-"/>
    <n v="1.9487211105415987E-5"/>
    <s v="-"/>
    <s v="-"/>
    <s v=""/>
    <n v="5.1641109429352364E-3"/>
  </r>
  <r>
    <s v="Scope 1"/>
    <s v="Scope 1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CO2_KWH"/>
    <s v="Σ.Ε. CO₂ st."/>
    <n v="2.0043000000000055E-4"/>
    <s v="tn CO2/KWh"/>
    <s v="Greece. National Inventory Submissions 2024"/>
    <n v="1626.5672849862044"/>
    <s v="-"/>
    <s v="-"/>
    <s v="-"/>
    <s v="-"/>
    <s v=""/>
    <n v="1626.5672849862044"/>
  </r>
  <r>
    <s v="Scope 1"/>
    <s v="Scope 1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CH4_KWH"/>
    <s v="Σ.Ε. CH₄ st."/>
    <n v="3.6000000000000103E-9"/>
    <s v="tn CH4/KWh"/>
    <s v="Greece. National Inventory Submissions 2024"/>
    <s v="-"/>
    <n v="2.9215398024000083E-2"/>
    <s v="-"/>
    <s v="-"/>
    <s v="-"/>
    <s v=""/>
    <n v="0.81803114467200233"/>
  </r>
  <r>
    <s v="Scope 1"/>
    <s v="Scope 1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N2O_KWH"/>
    <s v="Σ.Ε. N2O st."/>
    <n v="3.6000000000000103E-10"/>
    <s v="tn N2O/kWh"/>
    <s v="Greece. National Inventory Submissions 2024"/>
    <s v="-"/>
    <s v="-"/>
    <n v="2.9215398024000083E-3"/>
    <s v="-"/>
    <s v="-"/>
    <s v=""/>
    <n v="0.77420804763600226"/>
  </r>
  <r>
    <s v="Scope 1"/>
    <s v="Scope 1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CO2_KWH"/>
    <s v="Σ.Ε. CO₂ st."/>
    <n v="2.0043000000000055E-4"/>
    <s v="tn CO2/KWh"/>
    <s v="Greece. National Inventory Submissions 2024"/>
    <n v="0.31817662638025557"/>
    <s v="-"/>
    <s v="-"/>
    <s v="-"/>
    <s v="-"/>
    <s v=""/>
    <n v="0.31817662638025557"/>
  </r>
  <r>
    <s v="Scope 1"/>
    <s v="Scope 1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CH4_KWH"/>
    <s v="Σ.Ε. CH₄ st."/>
    <n v="3.6000000000000103E-9"/>
    <s v="tn CH4/KWh"/>
    <s v="Greece. National Inventory Submissions 2024"/>
    <s v="-"/>
    <n v="5.7148922564931409E-6"/>
    <s v="-"/>
    <s v="-"/>
    <s v="-"/>
    <s v=""/>
    <n v="1.6001698318180793E-4"/>
  </r>
  <r>
    <s v="Scope 1"/>
    <s v="Scope 1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N2O_KWH"/>
    <s v="Σ.Ε. N2O st."/>
    <n v="3.6000000000000103E-10"/>
    <s v="tn N2O/kWh"/>
    <s v="Greece. National Inventory Submissions 2024"/>
    <s v="-"/>
    <s v="-"/>
    <n v="5.7148922564931411E-7"/>
    <s v="-"/>
    <s v="-"/>
    <s v=""/>
    <n v="1.5144464479706823E-4"/>
  </r>
  <r>
    <s v="Scope 1"/>
    <s v="Scope 1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CO2_KWH"/>
    <s v="Σ.Ε. CO₂ st."/>
    <n v="2.0043000000000055E-4"/>
    <s v="tn CO2/KWh"/>
    <s v="Greece. National Inventory Submissions 2024"/>
    <n v="3.3196428019006783"/>
    <s v="-"/>
    <s v="-"/>
    <s v="-"/>
    <s v="-"/>
    <s v=""/>
    <n v="3.3196428019006783"/>
  </r>
  <r>
    <s v="Scope 1"/>
    <s v="Scope 1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CH4_KWH"/>
    <s v="Σ.Ε. CH₄ st."/>
    <n v="3.6000000000000103E-9"/>
    <s v="tn CH4/KWh"/>
    <s v="Greece. National Inventory Submissions 2024"/>
    <s v="-"/>
    <n v="5.9625375876078647E-5"/>
    <s v="-"/>
    <s v="-"/>
    <s v="-"/>
    <s v=""/>
    <n v="1.6695105245302022E-3"/>
  </r>
  <r>
    <s v="Scope 1"/>
    <s v="Scope 1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N2O_KWH"/>
    <s v="Σ.Ε. N2O st."/>
    <n v="3.6000000000000103E-10"/>
    <s v="tn N2O/kWh"/>
    <s v="Greece. National Inventory Submissions 2024"/>
    <s v="-"/>
    <s v="-"/>
    <n v="5.9625375876078649E-6"/>
    <s v="-"/>
    <s v="-"/>
    <s v=""/>
    <n v="1.5800724607160843E-3"/>
  </r>
  <r>
    <s v="Scope 1"/>
    <s v="Scope 1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CO2_KWH"/>
    <s v="Σ.Ε. CO₂ st."/>
    <n v="2.0043000000000055E-4"/>
    <s v="tn CO2/KWh"/>
    <s v="Greece. National Inventory Submissions 2024"/>
    <n v="1.2249800115639846"/>
    <s v="-"/>
    <s v="-"/>
    <s v="-"/>
    <s v="-"/>
    <s v=""/>
    <n v="1.2249800115639846"/>
  </r>
  <r>
    <s v="Scope 1"/>
    <s v="Scope 1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CH4_KWH"/>
    <s v="Σ.Ε. CH₄ st."/>
    <n v="3.6000000000000103E-9"/>
    <s v="tn CH4/KWh"/>
    <s v="Greece. National Inventory Submissions 2024"/>
    <s v="-"/>
    <n v="2.2002335187498603E-5"/>
    <s v="-"/>
    <s v="-"/>
    <s v="-"/>
    <s v=""/>
    <n v="6.160653852499609E-4"/>
  </r>
  <r>
    <s v="Scope 1"/>
    <s v="Scope 1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N2O_KWH"/>
    <s v="Σ.Ε. N2O st."/>
    <n v="3.6000000000000103E-10"/>
    <s v="tn N2O/kWh"/>
    <s v="Greece. National Inventory Submissions 2024"/>
    <s v="-"/>
    <s v="-"/>
    <n v="2.2002335187498604E-6"/>
    <s v="-"/>
    <s v="-"/>
    <s v=""/>
    <n v="5.8306188246871297E-4"/>
  </r>
  <r>
    <s v="Scope 1"/>
    <s v="Scope 1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CO2_Diesel_lt"/>
    <s v="Σ.Ε. CO₂ m."/>
    <n v="2.7370491168929394E-3"/>
    <s v="tn CO2/lt"/>
    <s v="Greece. National Inventory Submissions 2024"/>
    <n v="31.976205829398648"/>
    <s v="-"/>
    <s v="-"/>
    <s v="-"/>
    <s v="-"/>
    <s v=""/>
    <n v="31.976205829398648"/>
  </r>
  <r>
    <s v="Scope 1"/>
    <s v="Scope 1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CH4_diesel_lt"/>
    <s v="Σ.Ε. CH₄ m."/>
    <n v="1.0689300000000002E-7"/>
    <s v="tn CH₄/lt"/>
    <s v="Greece. National Inventory Submissions 2024"/>
    <s v="-"/>
    <n v="1.2488020578900001E-3"/>
    <s v="-"/>
    <s v="-"/>
    <s v="-"/>
    <s v=""/>
    <n v="3.4966457620920002E-2"/>
  </r>
  <r>
    <s v="Scope 1"/>
    <s v="Scope 1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N2O_diesel_lt"/>
    <s v="Σ.Ε. N2O m."/>
    <n v="2.1378600000000001E-8"/>
    <s v="tn N2O/lt"/>
    <s v="Greece. National Inventory Submissions 2024"/>
    <s v="-"/>
    <s v="-"/>
    <n v="2.49760411578E-4"/>
    <s v="-"/>
    <s v="-"/>
    <s v=""/>
    <n v="6.6186509068170002E-2"/>
  </r>
  <r>
    <s v="Scope 1"/>
    <s v="Scope 1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CO2_Diesel_lt_CU"/>
    <s v="Σ.Ε. CO₂ m."/>
    <n v="2.7660641198992519E-3"/>
    <s v="tn CO2/lt"/>
    <s v="Cyprus. National Inventory Table (CRT) 2024"/>
    <n v="4.8572085945430867"/>
    <s v="-"/>
    <s v="-"/>
    <s v="-"/>
    <s v="-"/>
    <s v=""/>
    <n v="4.8572085945430867"/>
  </r>
  <r>
    <s v="Scope 1"/>
    <s v="Scope 1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CH4_diesel_lt_CU"/>
    <s v="Σ.Ε. CH₄ m."/>
    <n v="1.09005E-7"/>
    <s v="tn CH₄/lt"/>
    <s v="Cyprus. National Inventory Table (CRT) 2024"/>
    <s v="-"/>
    <n v="1.9141278000000002E-4"/>
    <s v="-"/>
    <s v="-"/>
    <s v="-"/>
    <s v=""/>
    <n v="5.3595578400000001E-3"/>
  </r>
  <r>
    <s v="Scope 1"/>
    <s v="Scope 1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N2O_diesel_lt_CU"/>
    <s v="Σ.Ε. N2O m."/>
    <n v="2.1800999999999998E-8"/>
    <s v="tn N2O/lt"/>
    <s v="Cyprus. National Inventory Table (CRT) 2024"/>
    <s v="-"/>
    <s v="-"/>
    <n v="3.8282555999999998E-5"/>
    <s v="-"/>
    <s v="-"/>
    <s v=""/>
    <n v="1.0144877339999999E-2"/>
  </r>
  <r>
    <s v="Scope 1"/>
    <s v="Scope 1"/>
    <s v="Ελλάδα"/>
    <x v="1"/>
    <x v="2"/>
    <s v="AD"/>
    <s v="Direct emissions from stationary combustion"/>
    <s v="Electricity Generation"/>
    <x v="0"/>
    <n v="9380"/>
    <s v="lt"/>
    <s v="Diesel for generators"/>
    <s v=" generators_CO2_Diesel_lt"/>
    <s v="Σ.Ε. CO₂ m."/>
    <n v="2.7370491168929394E-3"/>
    <s v="tn CO2/lt"/>
    <s v="Greece. National Inventory Submissions 2024"/>
    <n v="25.673520716455773"/>
    <s v="-"/>
    <s v="-"/>
    <s v="-"/>
    <s v="-"/>
    <s v=""/>
    <n v="25.673520716455773"/>
  </r>
  <r>
    <s v="Scope 1"/>
    <s v="Scope 1"/>
    <s v="Ελλάδα"/>
    <x v="1"/>
    <x v="2"/>
    <s v="AD"/>
    <s v="Direct emissions from stationary combustion"/>
    <s v="Electricity Generation"/>
    <x v="0"/>
    <n v="9380"/>
    <s v="lt"/>
    <s v="Diesel for generators"/>
    <s v=" generators_CH4_diesel_lt"/>
    <s v="Σ.Ε. CH₄ m."/>
    <n v="1.0689300000000002E-7"/>
    <s v="tn CH₄/lt"/>
    <s v="Greece. National Inventory Submissions 2024"/>
    <s v="-"/>
    <n v="1.0026563400000001E-3"/>
    <s v="-"/>
    <s v="-"/>
    <s v="-"/>
    <s v=""/>
    <n v="2.8074377520000006E-2"/>
  </r>
  <r>
    <s v="Scope 1"/>
    <s v="Scope 1"/>
    <s v="Ελλάδα"/>
    <x v="1"/>
    <x v="2"/>
    <s v="AD"/>
    <s v="Direct emissions from stationary combustion"/>
    <s v="Electricity Generation"/>
    <x v="0"/>
    <n v="9380"/>
    <s v="lt"/>
    <s v="Diesel for generators"/>
    <s v=" generators_N2O_diesel_lt"/>
    <s v="Σ.Ε. N2O m."/>
    <n v="2.1378600000000001E-8"/>
    <s v="tn N2O/lt"/>
    <s v="Greece. National Inventory Submissions 2024"/>
    <s v="-"/>
    <s v="-"/>
    <n v="2.0053126800000001E-4"/>
    <s v="-"/>
    <s v="-"/>
    <s v=""/>
    <n v="5.3140786020000004E-2"/>
  </r>
  <r>
    <s v="Scope 1"/>
    <s v="Scope 1"/>
    <s v="Ελλάδα"/>
    <x v="1"/>
    <x v="3"/>
    <s v="MOREAS"/>
    <s v="Direct emissions from stationary combustion"/>
    <s v="Electricity Generation"/>
    <x v="0"/>
    <n v="2200"/>
    <s v="lt"/>
    <s v="Diesel for generators"/>
    <s v=" generators_CO2_Diesel_lt"/>
    <s v="Σ.Ε. CO₂ m."/>
    <n v="2.7370491168929394E-3"/>
    <s v="tn CO2/lt"/>
    <s v="Greece. National Inventory Submissions 2024"/>
    <n v="6.0215080571644668"/>
    <s v="-"/>
    <s v="-"/>
    <s v="-"/>
    <s v="-"/>
    <s v=""/>
    <n v="6.0215080571644668"/>
  </r>
  <r>
    <s v="Scope 1"/>
    <s v="Scope 1"/>
    <s v="Ελλάδα"/>
    <x v="1"/>
    <x v="3"/>
    <s v="MOREAS"/>
    <s v="Direct emissions from stationary combustion"/>
    <s v="Electricity Generation"/>
    <x v="0"/>
    <n v="2200"/>
    <s v="lt"/>
    <s v="Diesel for generators"/>
    <s v=" generators_CH4_diesel_lt"/>
    <s v="Σ.Ε. CH₄ m."/>
    <n v="1.0689300000000002E-7"/>
    <s v="tn CH₄/lt"/>
    <s v="Greece. National Inventory Submissions 2024"/>
    <s v="-"/>
    <n v="2.3516460000000004E-4"/>
    <s v="-"/>
    <s v="-"/>
    <s v="-"/>
    <s v=""/>
    <n v="6.5846088000000007E-3"/>
  </r>
  <r>
    <s v="Scope 1"/>
    <s v="Scope 1"/>
    <s v="Ελλάδα"/>
    <x v="1"/>
    <x v="3"/>
    <s v="MOREAS"/>
    <s v="Direct emissions from stationary combustion"/>
    <s v="Electricity Generation"/>
    <x v="0"/>
    <n v="2200"/>
    <s v="lt"/>
    <s v="Diesel for generators"/>
    <s v=" generators_N2O_diesel_lt"/>
    <s v="Σ.Ε. N2O m."/>
    <n v="2.1378600000000001E-8"/>
    <s v="tn N2O/lt"/>
    <s v="Greece. National Inventory Submissions 2024"/>
    <s v="-"/>
    <s v="-"/>
    <n v="4.7032920000000003E-5"/>
    <s v="-"/>
    <s v="-"/>
    <s v=""/>
    <n v="1.2463723800000001E-2"/>
  </r>
  <r>
    <s v="Scope 1"/>
    <s v="Scope 1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CO2_petrol_lt"/>
    <s v="Σ.Ε. CO₂ m."/>
    <n v="2.4570164450789206E-3"/>
    <s v="tn CO2/lt"/>
    <s v="Greece. National Inventory Submissions 2024"/>
    <n v="2.2751480878141788"/>
    <s v="-"/>
    <s v="-"/>
    <s v="-"/>
    <s v="-"/>
    <s v=""/>
    <n v="2.2751480878141788"/>
  </r>
  <r>
    <s v="Scope 1"/>
    <s v="Scope 1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CH4_petrol_lt"/>
    <s v="Σ.Ε. CH₄ m."/>
    <n v="9.595657500000001E-8"/>
    <s v="tn CH₄/lt"/>
    <s v="Greece. National Inventory Submissions 2024"/>
    <s v="-"/>
    <n v="8.8853869318500009E-5"/>
    <s v="-"/>
    <s v="-"/>
    <s v="-"/>
    <s v=""/>
    <n v="2.487908340918E-3"/>
  </r>
  <r>
    <s v="Scope 1"/>
    <s v="Scope 1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N2O_petrol_lt"/>
    <s v="Σ.Ε. N2O m."/>
    <n v="1.9191314999999997E-8"/>
    <s v="tn N2O/lt"/>
    <s v="Greece. National Inventory Submissions 2024"/>
    <s v="-"/>
    <s v="-"/>
    <n v="1.7770773863699996E-5"/>
    <s v="-"/>
    <s v="-"/>
    <s v=""/>
    <n v="4.7092550738804988E-3"/>
  </r>
  <r>
    <s v="Scope 1"/>
    <s v="Scope 1"/>
    <s v="Ελλάδα"/>
    <x v="1"/>
    <x v="2"/>
    <s v="AD"/>
    <s v="Direct emissions from stationary combustion"/>
    <s v="Electricity Generation"/>
    <x v="2"/>
    <n v="1451"/>
    <s v="lt"/>
    <s v="Petrol for generators"/>
    <s v=" generators_CO2_petrol_lt"/>
    <s v="Σ.Ε. CO₂ m."/>
    <n v="2.4570164450789206E-3"/>
    <s v="tn CO2/lt"/>
    <s v="Greece. National Inventory Submissions 2024"/>
    <n v="3.5651308618095139"/>
    <s v="-"/>
    <s v="-"/>
    <s v="-"/>
    <s v="-"/>
    <s v=""/>
    <n v="3.5651308618095139"/>
  </r>
  <r>
    <s v="Scope 1"/>
    <s v="Scope 1"/>
    <s v="Ελλάδα"/>
    <x v="1"/>
    <x v="2"/>
    <s v="AD"/>
    <s v="Direct emissions from stationary combustion"/>
    <s v="Electricity Generation"/>
    <x v="2"/>
    <n v="1451"/>
    <s v="lt"/>
    <s v="Petrol for generators"/>
    <s v=" generators_CH4_petrol_lt"/>
    <s v="Σ.Ε. CH₄ m."/>
    <n v="9.595657500000001E-8"/>
    <s v="tn CH₄/lt"/>
    <s v="Greece. National Inventory Submissions 2024"/>
    <s v="-"/>
    <n v="1.3923299032500002E-4"/>
    <s v="-"/>
    <s v="-"/>
    <s v="-"/>
    <s v=""/>
    <n v="3.8985237291000005E-3"/>
  </r>
  <r>
    <s v="Scope 1"/>
    <s v="Scope 1"/>
    <s v="Ελλάδα"/>
    <x v="1"/>
    <x v="2"/>
    <s v="AD"/>
    <s v="Direct emissions from stationary combustion"/>
    <s v="Electricity Generation"/>
    <x v="2"/>
    <n v="1451"/>
    <s v="lt"/>
    <s v="Petrol for generators"/>
    <s v=" generators_N2O_petrol_lt"/>
    <s v="Σ.Ε. N2O m."/>
    <n v="1.9191314999999997E-8"/>
    <s v="tn N2O/lt"/>
    <s v="Greece. National Inventory Submissions 2024"/>
    <s v="-"/>
    <s v="-"/>
    <n v="2.7846598064999997E-5"/>
    <s v="-"/>
    <s v="-"/>
    <s v=""/>
    <n v="7.379348487224999E-3"/>
  </r>
  <r>
    <s v="Scope 1"/>
    <s v="Scope 1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CO2_Diesel_lt"/>
    <s v="Σ.Ε. CO₂ st."/>
    <n v="2.6288551800000004E-3"/>
    <s v="tn CO2/lt"/>
    <s v="Greece. National Inventory Submissions 2024"/>
    <n v="224.80471051907404"/>
    <s v="-"/>
    <s v="-"/>
    <s v="-"/>
    <s v="-"/>
    <s v=""/>
    <n v="224.80471051907404"/>
  </r>
  <r>
    <s v="Scope 1"/>
    <s v="Scope 1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CH4_diesel_lt"/>
    <s v="Σ.Ε. CH₄ st."/>
    <n v="7.3881717554663755E-8"/>
    <s v="tn CH₄/lt"/>
    <s v="Greece. National Inventory Submissions 2024"/>
    <s v="-"/>
    <n v="6.3179433594847826E-3"/>
    <s v="-"/>
    <s v="-"/>
    <s v="-"/>
    <s v=""/>
    <n v="0.17690241406557392"/>
  </r>
  <r>
    <s v="Scope 1"/>
    <s v="Scope 1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N2O_diesel_lt"/>
    <s v="Σ.Ε. N2O st."/>
    <n v="9.2898202099102465E-8"/>
    <s v="tn N2O/lt"/>
    <s v="Greece. National Inventory Submissions 2024"/>
    <s v="-"/>
    <s v="-"/>
    <n v="7.9441247237632788E-3"/>
    <s v="-"/>
    <s v="-"/>
    <s v=""/>
    <n v="2.105193051797269"/>
  </r>
  <r>
    <s v="Scope 1"/>
    <s v="Scope 1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CO2_Diesel_lt_CU"/>
    <s v="Σ.Ε. CO₂ st."/>
    <n v="2.6924234999999999E-3"/>
    <s v="tn CO2/lt"/>
    <s v="Cyprus. National Inventory Report (NIR) 2024"/>
    <n v="2.6008811010000001"/>
    <s v="-"/>
    <s v="-"/>
    <s v="-"/>
    <s v="-"/>
    <s v=""/>
    <n v="2.6008811010000001"/>
  </r>
  <r>
    <s v="Scope 1"/>
    <s v="Scope 1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CH4_diesel_lt_CU"/>
    <s v="Σ.Ε. CH₄ st."/>
    <n v="3.6335000000000003E-7"/>
    <s v="tn CH₄/lt"/>
    <s v="Cyprus. National Inventory Report (NIR) 2024"/>
    <s v="-"/>
    <n v="3.5099610000000005E-4"/>
    <s v="-"/>
    <s v="-"/>
    <s v="-"/>
    <s v=""/>
    <n v="9.8278908000000009E-3"/>
  </r>
  <r>
    <s v="Scope 1"/>
    <s v="Scope 1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N2O_diesel_lt_CU"/>
    <s v="Σ.Ε. N2O st."/>
    <n v="2.1800999999999998E-8"/>
    <s v="tn N2O/lt"/>
    <s v="Cyprus. National Inventory Report (NIR) 2024"/>
    <s v="-"/>
    <s v="-"/>
    <n v="2.1059765999999998E-5"/>
    <s v="-"/>
    <s v="-"/>
    <s v=""/>
    <n v="5.5808379899999995E-3"/>
  </r>
  <r>
    <s v="Scope 1"/>
    <s v="Scope 1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CO2_Diesel_lt"/>
    <s v="Σ.Ε. CO₂ st."/>
    <n v="2.6288551800000004E-3"/>
    <s v="tn CO2/lt"/>
    <s v="Greece. National Inventory Submissions 2024"/>
    <n v="4.5163731992400002"/>
    <s v="-"/>
    <s v="-"/>
    <s v="-"/>
    <s v="-"/>
    <s v=""/>
    <n v="4.5163731992400002"/>
  </r>
  <r>
    <s v="Scope 1"/>
    <s v="Scope 1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CH4_diesel_lt"/>
    <s v="Σ.Ε. CH₄ st."/>
    <n v="7.3881717554663755E-8"/>
    <s v="tn CH₄/lt"/>
    <s v="Greece. National Inventory Submissions 2024"/>
    <s v="-"/>
    <n v="1.2692879075891232E-4"/>
    <s v="-"/>
    <s v="-"/>
    <s v="-"/>
    <s v=""/>
    <n v="3.5540061412495448E-3"/>
  </r>
  <r>
    <s v="Scope 1"/>
    <s v="Scope 1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N2O_diesel_lt"/>
    <s v="Σ.Ε. N2O st."/>
    <n v="9.2898202099102465E-8"/>
    <s v="tn N2O/lt"/>
    <s v="Greece. National Inventory Submissions 2024"/>
    <s v="-"/>
    <s v="-"/>
    <n v="1.5959911120625803E-4"/>
    <s v="-"/>
    <s v="-"/>
    <s v=""/>
    <n v="4.2293764469658379E-2"/>
  </r>
  <r>
    <s v="Scope 1"/>
    <s v="Scope 1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CO2_petrol_lt"/>
    <s v="Σ.Ε. CO₂ st."/>
    <n v="2.3432595615E-3"/>
    <s v="tn CO2/lt"/>
    <s v="Greece. National Inventory Submissions 2024"/>
    <n v="4.6835197507612802"/>
    <s v="-"/>
    <s v="-"/>
    <s v="-"/>
    <s v="-"/>
    <s v=""/>
    <n v="4.6835197507612802"/>
  </r>
  <r>
    <s v="Scope 1"/>
    <s v="Scope 1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CH4_petrol_lt"/>
    <s v="Σ.Ε. CH₄ st."/>
    <n v="6.6322739296894177E-8"/>
    <s v="tn CH₄/lt"/>
    <s v="Greece. National Inventory Submissions 2024"/>
    <s v="-"/>
    <n v="1.3256058548748834E-4"/>
    <s v="-"/>
    <s v="-"/>
    <s v="-"/>
    <s v=""/>
    <n v="3.7116963936496736E-3"/>
  </r>
  <r>
    <s v="Scope 1"/>
    <s v="Scope 1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N2O_petrol_lt"/>
    <s v="Σ.Ε. N2O st."/>
    <n v="8.3393611341132544E-8"/>
    <s v="tn N2O/lt"/>
    <s v="Greece. National Inventory Submissions 2024"/>
    <s v="-"/>
    <s v="-"/>
    <n v="1.6668047885974845E-4"/>
    <s v="-"/>
    <s v="-"/>
    <s v=""/>
    <n v="4.4170326897833338E-2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CO2_Diesel_lt"/>
    <s v="Σ.Ε. CO₂ m."/>
    <n v="2.6092581300000001E-3"/>
    <s v="tn CO2/lt"/>
    <s v="Greece. National Inventory Submissions 2024"/>
    <n v="2581.4795322019127"/>
    <s v="-"/>
    <s v="-"/>
    <s v="-"/>
    <s v="-"/>
    <s v=""/>
    <n v="2581.4795322019127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0.20147253235507775"/>
    <s v="-"/>
    <s v="-"/>
    <s v="-"/>
    <s v=""/>
    <n v="5.6412309059421775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5.857188244103495E-2"/>
    <s v="-"/>
    <s v="-"/>
    <s v=""/>
    <n v="15.521548846874262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CO2_Diesel_lt_CU"/>
    <s v="Σ.Ε. CO₂ m."/>
    <n v="2.7103960999958366E-3"/>
    <s v="tn CO2/lt"/>
    <s v="Cyprus. National Inventory Report (NIR) 2024"/>
    <n v="922.66219877618266"/>
    <s v="-"/>
    <s v="-"/>
    <s v="-"/>
    <s v="-"/>
    <s v=""/>
    <n v="922.66219877618266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CH4_diesel_lt_CU"/>
    <s v="Σ.Ε. CH₄ m."/>
    <n v="1.3968471248727059E-7"/>
    <s v="tn CH4/lt"/>
    <s v="Cyprus. National Inventory Report (NIR) 2024"/>
    <s v="-"/>
    <n v="4.7550911086066704E-2"/>
    <s v="-"/>
    <s v="-"/>
    <s v="-"/>
    <s v=""/>
    <n v="1.3314255104098678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N2O_diesel_lt_CU"/>
    <s v="Σ.Ε. N2O m."/>
    <n v="1.7159507590075509E-7"/>
    <s v="tn N2O/lt"/>
    <s v="Cyprus. National Inventory Report (NIR) 2024"/>
    <s v="-"/>
    <s v="-"/>
    <n v="5.8413709357831446E-2"/>
    <s v="-"/>
    <s v="-"/>
    <s v=""/>
    <n v="15.479632979825332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CO2_Diesel_lt"/>
    <s v="Σ.Ε. CO₂ m."/>
    <n v="2.6092581300000001E-3"/>
    <s v="tn CO2/lt"/>
    <s v="Greece. National Inventory Submissions 2024"/>
    <n v="186.31407677265"/>
    <s v="-"/>
    <s v="-"/>
    <s v="-"/>
    <s v="-"/>
    <s v=""/>
    <n v="186.31407677265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1.4540951571584325E-2"/>
    <s v="-"/>
    <s v="-"/>
    <s v="-"/>
    <s v=""/>
    <n v="0.40714664400436107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4.2273301282111679E-3"/>
    <s v="-"/>
    <s v="-"/>
    <s v=""/>
    <n v="1.1202424839759595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CO2_Diesel_lt"/>
    <s v="Σ.Ε. CO₂ m."/>
    <n v="2.6092581300000001E-3"/>
    <s v="tn CO2/lt"/>
    <s v="Greece. National Inventory Submissions 2024"/>
    <n v="84.574014230596504"/>
    <s v="-"/>
    <s v="-"/>
    <s v="-"/>
    <s v="-"/>
    <s v=""/>
    <n v="84.574014230596504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6.6006104661766171E-3"/>
    <s v="-"/>
    <s v="-"/>
    <s v="-"/>
    <s v=""/>
    <n v="0.18481709305294527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1.9189225238038651E-3"/>
    <s v="-"/>
    <s v="-"/>
    <s v=""/>
    <n v="0.5085144688080242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CO2_petrol_lt"/>
    <s v="Σ.Ε. CO₂ m."/>
    <n v="2.3432595615E-3"/>
    <s v="tn CO2/lt"/>
    <s v="Greece. National Inventory Submissions 2024"/>
    <n v="1.7596707677084251"/>
    <s v="-"/>
    <s v="-"/>
    <s v="-"/>
    <s v="-"/>
    <s v=""/>
    <n v="1.7596707677084251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CH4_petrol_lt"/>
    <s v="Σ.Ε. CH₄ m."/>
    <n v="6.2069461011150519E-7"/>
    <s v="tn CH₄/lt"/>
    <s v="Greece. National Inventory Submissions 2024"/>
    <s v="-"/>
    <n v="4.6611061746323483E-4"/>
    <s v="-"/>
    <s v="-"/>
    <s v="-"/>
    <s v=""/>
    <n v="1.3051097288970576E-2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N2O_petrol_lt"/>
    <s v="Σ.Ε. N2O m."/>
    <n v="5.1389177009833898E-8"/>
    <s v="tn N2O/lt"/>
    <s v="Greece. National Inventory Submissions 2024"/>
    <s v="-"/>
    <s v="-"/>
    <n v="3.8590702475534768E-5"/>
    <s v="-"/>
    <s v="-"/>
    <s v=""/>
    <n v="1.0226536156016713E-2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CO2_Diesel_lt"/>
    <s v="Σ.Ε. CO₂ m."/>
    <n v="2.6092581300000001E-3"/>
    <s v="tn CO2/lt"/>
    <s v="Greece. National Inventory Submissions 2024"/>
    <n v="15.323885979095701"/>
    <s v="-"/>
    <s v="-"/>
    <s v="-"/>
    <s v="-"/>
    <s v=""/>
    <n v="15.323885979095701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CH4_diesel_lt"/>
    <s v="Σ.Ε. CH₄ m."/>
    <n v="9.9661146212508699E-10"/>
    <s v="tn CH₄/lt"/>
    <s v="Greece. National Inventory Submissions 2024"/>
    <s v="-"/>
    <n v="5.8529894897998024E-6"/>
    <s v="-"/>
    <s v="-"/>
    <s v="-"/>
    <s v=""/>
    <n v="1.6388370571439448E-4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6.147609614632197E-4"/>
    <s v="-"/>
    <s v="-"/>
    <s v=""/>
    <n v="0.16291165478775321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CO2_Diesel_lt_CU"/>
    <s v="Σ.Ε. CO₂ m."/>
    <n v="2.7096592074209837E-3"/>
    <s v="tn CO2/lt"/>
    <s v="Cyprus. National Inventory Table (CRT) 2024"/>
    <n v="35.84337199576477"/>
    <s v="-"/>
    <s v="-"/>
    <s v="-"/>
    <s v="-"/>
    <s v=""/>
    <n v="35.84337199576477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CH4_diesel_lt_CU"/>
    <s v="Σ.Ε. CH₄ m."/>
    <n v="3.9500062714377506E-9"/>
    <s v="tn CH₄/lt"/>
    <s v="Cyprus. National Inventory Table (CRT) 2024"/>
    <s v="-"/>
    <n v="5.2250682958578562E-5"/>
    <s v="-"/>
    <s v="-"/>
    <s v="-"/>
    <s v=""/>
    <n v="1.4630191228401997E-3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N2O_diesel_lt_CU"/>
    <s v="Σ.Ε. N2O m."/>
    <n v="1.0576135864495003E-7"/>
    <s v="tn N2O/lt"/>
    <s v="Cyprus. National Inventory Table (CRT) 2024"/>
    <s v="-"/>
    <s v="-"/>
    <n v="1.3990112521553989E-3"/>
    <s v="-"/>
    <s v="-"/>
    <s v=""/>
    <n v="0.37073798182118073"/>
  </r>
  <r>
    <s v="Scope 1"/>
    <s v="Scope 1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CO2_diesel_lt_DE"/>
    <s v="Σ.Ε. CO₂ m."/>
    <n v="2.7099913933681225E-3"/>
    <s v="tn CO2/lt"/>
    <s v="Germany. National Inventory Document (NID) 2024"/>
    <n v="25.317091895726136"/>
    <s v="-"/>
    <s v="-"/>
    <s v="-"/>
    <s v="-"/>
    <s v=""/>
    <n v="25.317091895726136"/>
  </r>
  <r>
    <s v="Scope 1"/>
    <s v="Scope 1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CH4_diesel_lt_DE"/>
    <s v="Σ.Ε. CH₄ m."/>
    <n v="1.3036787992116369E-7"/>
    <s v="tn CH₄/lt"/>
    <s v="Germany. National Inventory Document (NID) 2024"/>
    <s v="-"/>
    <n v="1.2179136820479007E-3"/>
    <s v="-"/>
    <s v="-"/>
    <s v="-"/>
    <s v=""/>
    <n v="3.4101583097341223E-2"/>
  </r>
  <r>
    <s v="Scope 1"/>
    <s v="Scope 1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N2O_diesel_lt_DE"/>
    <s v="Σ.Ε. N2O m."/>
    <n v="1.2645377457682176E-7"/>
    <s v="tn N2O/lt"/>
    <s v="Germany. National Inventory Document (NID) 2024"/>
    <s v="-"/>
    <s v="-"/>
    <n v="1.1813476010873638E-3"/>
    <s v="-"/>
    <s v="-"/>
    <s v=""/>
    <n v="0.31305711428815142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CO2_Diesel_lt"/>
    <s v="Σ.Ε. CO₂ m."/>
    <n v="2.6092581300000001E-3"/>
    <s v="tn CO2/lt"/>
    <s v="Greece. National Inventory Submissions 2024"/>
    <n v="124.67773765190793"/>
    <s v="-"/>
    <s v="-"/>
    <s v="-"/>
    <s v="-"/>
    <s v=""/>
    <n v="124.67773765190793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CH4_diesel_lt"/>
    <s v="Σ.Ε. CH₄ m."/>
    <n v="9.9661146212508699E-10"/>
    <s v="tn CH₄/lt"/>
    <s v="Greece. National Inventory Submissions 2024"/>
    <s v="-"/>
    <n v="4.7620916070774482E-5"/>
    <s v="-"/>
    <s v="-"/>
    <s v="-"/>
    <s v=""/>
    <n v="1.3333856499816855E-3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5.001799542002929E-3"/>
    <s v="-"/>
    <s v="-"/>
    <s v=""/>
    <n v="1.3254768786307762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CO2_Diesel_lt"/>
    <s v="Σ.Ε. CO₂ m."/>
    <n v="2.6092581300000001E-3"/>
    <s v="tn CO2/lt"/>
    <s v="Greece. National Inventory Submissions 2024"/>
    <n v="68.988784957199996"/>
    <s v="-"/>
    <s v="-"/>
    <s v="-"/>
    <s v="-"/>
    <s v=""/>
    <n v="68.988784957199996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CH4_diesel_lt"/>
    <s v="Σ.Ε. CH₄ m."/>
    <n v="9.9661146212508699E-10"/>
    <s v="tn CH₄/lt"/>
    <s v="Greece. National Inventory Submissions 2024"/>
    <s v="-"/>
    <n v="2.6350407058587301E-5"/>
    <s v="-"/>
    <s v="-"/>
    <s v="-"/>
    <s v=""/>
    <n v="7.3781139764044444E-4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2.7676799362984028E-3"/>
    <s v="-"/>
    <s v="-"/>
    <s v=""/>
    <n v="0.73343518311907674"/>
  </r>
  <r>
    <s v="Scope 1"/>
    <s v="Scope 1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CO2_Diesel_lt"/>
    <s v="Σ.Ε. CO₂ m."/>
    <n v="2.6092581300000001E-3"/>
    <s v="tn CO2/lt"/>
    <s v="Greece. National Inventory Submissions 2024"/>
    <n v="11.246815780645502"/>
    <s v="-"/>
    <s v="-"/>
    <s v="-"/>
    <s v="-"/>
    <s v=""/>
    <n v="11.246815780645502"/>
  </r>
  <r>
    <s v="Scope 1"/>
    <s v="Scope 1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CH4_diesel_lt"/>
    <s v="Σ.Ε. CH₄ m."/>
    <n v="9.9661146212508699E-10"/>
    <s v="tn CH₄/lt"/>
    <s v="Greece. National Inventory Submissions 2024"/>
    <s v="-"/>
    <n v="4.2957442157708688E-6"/>
    <s v="-"/>
    <s v="-"/>
    <s v="-"/>
    <s v=""/>
    <n v="1.2028083804158432E-4"/>
  </r>
  <r>
    <s v="Scope 1"/>
    <s v="Scope 1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4.5119777660453185E-4"/>
    <s v="-"/>
    <s v="-"/>
    <s v=""/>
    <n v="0.11956741080020093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CO2_Diesel_lt"/>
    <s v="Σ.Ε. CO₂ m."/>
    <n v="2.6092581300000001E-3"/>
    <s v="tn CO2/lt"/>
    <s v="Greece. National Inventory Submissions 2024"/>
    <n v="33.099509174883302"/>
    <s v="-"/>
    <s v="-"/>
    <s v="-"/>
    <s v="-"/>
    <s v=""/>
    <n v="33.099509174883302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CH4_diesel_lt"/>
    <s v="Σ.Ε. CH₄ m."/>
    <n v="9.9661146212508699E-10"/>
    <s v="tn CH₄/lt"/>
    <s v="Greece. National Inventory Submissions 2024"/>
    <s v="-"/>
    <n v="1.2642425007756199E-5"/>
    <s v="-"/>
    <s v="-"/>
    <s v="-"/>
    <s v=""/>
    <n v="3.5398790021717359E-4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1.3278802852011772E-3"/>
    <s v="-"/>
    <s v="-"/>
    <s v=""/>
    <n v="0.35188827557831193"/>
  </r>
  <r>
    <s v="Scope 1"/>
    <s v="Scope 1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CO2_Diesel_lt"/>
    <s v="Σ.Ε. CO₂ m."/>
    <n v="2.6092581300000001E-3"/>
    <s v="tn CO2/lt"/>
    <s v="Greece. National Inventory Submissions 2024"/>
    <n v="1.2904086081915001"/>
    <s v="-"/>
    <s v="-"/>
    <s v="-"/>
    <s v="-"/>
    <s v=""/>
    <n v="1.2904086081915001"/>
  </r>
  <r>
    <s v="Scope 1"/>
    <s v="Scope 1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CH4_diesel_lt"/>
    <s v="Σ.Ε. CH₄ m."/>
    <n v="9.9661146212508699E-10"/>
    <s v="tn CH₄/lt"/>
    <s v="Greece. National Inventory Submissions 2024"/>
    <s v="-"/>
    <n v="4.9287419859396182E-7"/>
    <s v="-"/>
    <s v="-"/>
    <s v="-"/>
    <s v=""/>
    <n v="1.3800477560630931E-5"/>
  </r>
  <r>
    <s v="Scope 1"/>
    <s v="Scope 1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5.1768385495324325E-5"/>
    <s v="-"/>
    <s v="-"/>
    <s v=""/>
    <n v="1.3718622156260947E-2"/>
  </r>
  <r>
    <s v="Scope 1"/>
    <s v="Scope 1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CO2_Diesel_lt"/>
    <s v="Σ.Ε. CO₂ m."/>
    <n v="2.6092581300000001E-3"/>
    <s v="tn CO2/lt"/>
    <s v="Greece. National Inventory Submissions 2024"/>
    <n v="4.3559737999659003"/>
    <s v="-"/>
    <s v="-"/>
    <s v="-"/>
    <s v="-"/>
    <s v=""/>
    <n v="4.3559737999659003"/>
  </r>
  <r>
    <s v="Scope 1"/>
    <s v="Scope 1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CH4_diesel_lt"/>
    <s v="Σ.Ε. CH₄ m."/>
    <n v="9.9661146212508699E-10"/>
    <s v="tn CH₄/lt"/>
    <s v="Greece. National Inventory Submissions 2024"/>
    <s v="-"/>
    <n v="1.663773073215484E-6"/>
    <s v="-"/>
    <s v="-"/>
    <s v="-"/>
    <s v=""/>
    <n v="4.6585646050033554E-5"/>
  </r>
  <r>
    <s v="Scope 1"/>
    <s v="Scope 1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1.7475219047105307E-4"/>
    <s v="-"/>
    <s v="-"/>
    <s v=""/>
    <n v="4.6309330474829061E-2"/>
  </r>
  <r>
    <s v="Scope 1"/>
    <s v="Scope 1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CO2_Diesel_lt"/>
    <s v="Σ.Ε. CO₂ m."/>
    <n v="2.6092581300000001E-3"/>
    <s v="tn CO2/lt"/>
    <s v="Greece. National Inventory Submissions 2024"/>
    <n v="1.0747012385843999"/>
    <s v="-"/>
    <s v="-"/>
    <s v="-"/>
    <s v="-"/>
    <s v=""/>
    <n v="1.0747012385843999"/>
  </r>
  <r>
    <s v="Scope 1"/>
    <s v="Scope 1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CH4_diesel_lt"/>
    <s v="Σ.Ε. CH₄ m."/>
    <n v="9.9661146212508699E-10"/>
    <s v="tn CH₄/lt"/>
    <s v="Greece. National Inventory Submissions 2024"/>
    <s v="-"/>
    <n v="4.1048432902008081E-7"/>
    <s v="-"/>
    <s v="-"/>
    <s v="-"/>
    <s v=""/>
    <n v="1.1493561212562262E-5"/>
  </r>
  <r>
    <s v="Scope 1"/>
    <s v="Scope 1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4.311467519525666E-5"/>
    <s v="-"/>
    <s v="-"/>
    <s v=""/>
    <n v="1.1425388926743016E-2"/>
  </r>
  <r>
    <s v="Scope 1"/>
    <s v="Scope 1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CO2_Diesel_lt"/>
    <s v="Σ.Ε. CO₂ m."/>
    <n v="2.6092581300000001E-3"/>
    <s v="tn CO2/lt"/>
    <s v="Greece. National Inventory Submissions 2024"/>
    <n v="7.7551065510795008"/>
    <s v="-"/>
    <s v="-"/>
    <s v="-"/>
    <s v="-"/>
    <s v=""/>
    <n v="7.7551065510795008"/>
  </r>
  <r>
    <s v="Scope 1"/>
    <s v="Scope 1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CH4_diesel_lt"/>
    <s v="Σ.Ε. CH₄ m."/>
    <n v="9.9661146212508699E-10"/>
    <s v="tn CH₄/lt"/>
    <s v="Greece. National Inventory Submissions 2024"/>
    <s v="-"/>
    <n v="2.9620787571550772E-6"/>
    <s v="-"/>
    <s v="-"/>
    <s v="-"/>
    <s v=""/>
    <n v="8.2938205200342162E-5"/>
  </r>
  <r>
    <s v="Scope 1"/>
    <s v="Scope 1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3.1111800010095683E-4"/>
    <s v="-"/>
    <s v="-"/>
    <s v=""/>
    <n v="8.244627002675356E-2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CO2_petrol_lt"/>
    <s v="Σ.Ε. CO₂ m."/>
    <n v="2.3432595615E-3"/>
    <s v="tn CO2/lt"/>
    <s v="Greece. National Inventory Submissions 2024"/>
    <n v="68.870577743877192"/>
    <s v="-"/>
    <s v="-"/>
    <s v="-"/>
    <s v="-"/>
    <s v=""/>
    <n v="68.870577743877192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CH4_petrol_lt"/>
    <s v="Σ.Ε. CH₄ m."/>
    <n v="2.9862611012340788E-7"/>
    <s v="tn CH₄/lt"/>
    <s v="Greece. National Inventory Submissions 2024"/>
    <s v="-"/>
    <n v="8.7768990988093716E-3"/>
    <s v="-"/>
    <s v="-"/>
    <s v="-"/>
    <s v=""/>
    <n v="0.24575317476666242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2741182254718819E-3"/>
    <s v="-"/>
    <s v="-"/>
    <s v=""/>
    <n v="0.33764132975004868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CO2_petrol_lt"/>
    <s v="Σ.Ε. CO₂ m."/>
    <n v="2.3432595615E-3"/>
    <s v="tn CO2/lt"/>
    <s v="Greece. National Inventory Submissions 2024"/>
    <n v="98.791073269780327"/>
    <s v="-"/>
    <s v="-"/>
    <s v="-"/>
    <s v="-"/>
    <s v=""/>
    <n v="98.791073269780327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CH4_petrol_lt"/>
    <s v="Σ.Ε. CH₄ m."/>
    <n v="2.9862611012340788E-7"/>
    <s v="tn CH₄/lt"/>
    <s v="Greece. National Inventory Submissions 2024"/>
    <s v="-"/>
    <n v="1.2589981242447637E-2"/>
    <s v="-"/>
    <s v="-"/>
    <s v="-"/>
    <s v=""/>
    <n v="0.35251947478853385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8276528394325184E-3"/>
    <s v="-"/>
    <s v="-"/>
    <s v=""/>
    <n v="0.48432800244961738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CO2_petrol_lt_CU"/>
    <s v="Σ.Ε. CO₂ m."/>
    <n v="2.396637948576781E-3"/>
    <s v="tn CO2/lt"/>
    <s v="Cyprus. National Inventory Table (CRF) 2024"/>
    <n v="42.283883326740145"/>
    <s v="-"/>
    <s v="-"/>
    <s v="-"/>
    <s v="-"/>
    <s v=""/>
    <n v="42.283883326740145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CH4_petrol_lt_CU"/>
    <s v="Σ.Ε. CH₄ m."/>
    <n v="2.031957364744522E-7"/>
    <s v="tn CH₄/lt"/>
    <s v="Cyprus. National Inventory Table (CRF) 2024"/>
    <s v="-"/>
    <n v="3.5849823786187601E-3"/>
    <s v="-"/>
    <s v="-"/>
    <s v="-"/>
    <s v=""/>
    <n v="0.10037950660132527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N2O_petrol_lt_CU"/>
    <s v="Σ.Ε. N2O m."/>
    <n v="1.8670417416701394E-8"/>
    <s v="tn N2O/lt"/>
    <s v="Cyprus. National Inventory Table (CRF) 2024"/>
    <s v="-"/>
    <s v="-"/>
    <n v="3.2940217448286269E-4"/>
    <s v="-"/>
    <s v="-"/>
    <s v=""/>
    <n v="8.7291576237958607E-2"/>
  </r>
  <r>
    <s v="Scope 1"/>
    <s v="Scope 1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CO2_petrol_lt"/>
    <s v="Σ.Ε. CO₂ m."/>
    <n v="2.3432595615E-3"/>
    <s v="tn CO2/lt"/>
    <s v="Greece. National Inventory Submissions 2024"/>
    <n v="10.376023636108844"/>
    <s v="-"/>
    <s v="-"/>
    <s v="-"/>
    <s v="-"/>
    <s v=""/>
    <n v="10.376023636108844"/>
  </r>
  <r>
    <s v="Scope 1"/>
    <s v="Scope 1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CH4_petrol_lt"/>
    <s v="Σ.Ε. CH₄ m."/>
    <n v="2.9862611012340788E-7"/>
    <s v="tn CH₄/lt"/>
    <s v="Greece. National Inventory Submissions 2024"/>
    <s v="-"/>
    <n v="1.3223253744097537E-3"/>
    <s v="-"/>
    <s v="-"/>
    <s v="-"/>
    <s v=""/>
    <n v="3.7025110483473102E-2"/>
  </r>
  <r>
    <s v="Scope 1"/>
    <s v="Scope 1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9195832612089024E-4"/>
    <s v="-"/>
    <s v="-"/>
    <s v=""/>
    <n v="5.0868956422035913E-2"/>
  </r>
  <r>
    <s v="Scope 1"/>
    <s v="Scope 1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CO2_petrol_lt"/>
    <s v="Σ.Ε. CO₂ m."/>
    <n v="2.3432595615E-3"/>
    <s v="tn CO2/lt"/>
    <s v="Greece. National Inventory Submissions 2024"/>
    <n v="3.114168524637885"/>
    <s v="-"/>
    <s v="-"/>
    <s v="-"/>
    <s v="-"/>
    <s v=""/>
    <n v="3.114168524637885"/>
  </r>
  <r>
    <s v="Scope 1"/>
    <s v="Scope 1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CH4_petrol_lt"/>
    <s v="Σ.Ε. CH₄ m."/>
    <n v="2.9862611012340788E-7"/>
    <s v="tn CH₄/lt"/>
    <s v="Greece. National Inventory Submissions 2024"/>
    <s v="-"/>
    <n v="3.9687111409290784E-4"/>
    <s v="-"/>
    <s v="-"/>
    <s v="-"/>
    <s v=""/>
    <n v="1.1112391194601419E-2"/>
  </r>
  <r>
    <s v="Scope 1"/>
    <s v="Scope 1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5.7612684609499472E-5"/>
    <s v="-"/>
    <s v="-"/>
    <s v=""/>
    <n v="1.5267361421517359E-2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CO2_petrol_lt"/>
    <s v="Σ.Ε. CO₂ m."/>
    <n v="2.3432595615E-3"/>
    <s v="tn CO2/lt"/>
    <s v="Greece. National Inventory Submissions 2024"/>
    <n v="49.044422622195"/>
    <s v="-"/>
    <s v="-"/>
    <s v="-"/>
    <s v="-"/>
    <s v=""/>
    <n v="49.044422622195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CH4_petrol_lt"/>
    <s v="Σ.Ε. CH₄ m."/>
    <n v="2.9862611012340788E-7"/>
    <s v="tn CH₄/lt"/>
    <s v="Greece. National Inventory Submissions 2024"/>
    <s v="-"/>
    <n v="6.2502444848829266E-3"/>
    <s v="-"/>
    <s v="-"/>
    <s v="-"/>
    <s v=""/>
    <n v="0.17500684557672194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9.0733074656455196E-4"/>
    <s v="-"/>
    <s v="-"/>
    <s v=""/>
    <n v="0.24044264783960628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CO2_petrol_lt"/>
    <s v="Σ.Ε. CO₂ m."/>
    <n v="2.3432595615E-3"/>
    <s v="tn CO2/lt"/>
    <s v="Greece. National Inventory Submissions 2024"/>
    <n v="45.074776896844696"/>
    <s v="-"/>
    <s v="-"/>
    <s v="-"/>
    <s v="-"/>
    <s v=""/>
    <n v="45.074776896844696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CH4_petrol_lt"/>
    <s v="Σ.Ε. CH₄ m."/>
    <n v="2.9862611012340788E-7"/>
    <s v="tn CH₄/lt"/>
    <s v="Greece. National Inventory Submissions 2024"/>
    <s v="-"/>
    <n v="5.7443509505061656E-3"/>
    <s v="-"/>
    <s v="-"/>
    <s v="-"/>
    <s v=""/>
    <n v="0.16084182661417262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8.3389157801067666E-4"/>
    <s v="-"/>
    <s v="-"/>
    <s v=""/>
    <n v="0.22098126817282931"/>
  </r>
  <r>
    <s v="Scope 1"/>
    <s v="Scope 1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CO2_petrol_lt"/>
    <s v="Σ.Ε. CO₂ m."/>
    <n v="2.3432595615E-3"/>
    <s v="tn CO2/lt"/>
    <s v="Greece. National Inventory Submissions 2024"/>
    <n v="3.769718819563125"/>
    <s v="-"/>
    <s v="-"/>
    <s v="-"/>
    <s v="-"/>
    <s v=""/>
    <n v="3.769718819563125"/>
  </r>
  <r>
    <s v="Scope 1"/>
    <s v="Scope 1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CH4_petrol_lt"/>
    <s v="Σ.Ε. CH₄ m."/>
    <n v="2.9862611012340788E-7"/>
    <s v="tn CH₄/lt"/>
    <s v="Greece. National Inventory Submissions 2024"/>
    <s v="-"/>
    <n v="4.8041475466103242E-4"/>
    <s v="-"/>
    <s v="-"/>
    <s v="-"/>
    <s v=""/>
    <n v="1.3451613130508907E-2"/>
  </r>
  <r>
    <s v="Scope 1"/>
    <s v="Scope 1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6.9740484402089004E-5"/>
    <s v="-"/>
    <s v="-"/>
    <s v=""/>
    <n v="1.8481228366553585E-2"/>
  </r>
  <r>
    <s v="Scope 1"/>
    <s v="Scope 1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CO2_petrol_lt"/>
    <s v="Σ.Ε. CO₂ m."/>
    <n v="2.3432595615E-3"/>
    <s v="tn CO2/lt"/>
    <s v="Greece. National Inventory Submissions 2024"/>
    <n v="7.3957489628150697"/>
    <s v="-"/>
    <s v="-"/>
    <s v="-"/>
    <s v="-"/>
    <s v=""/>
    <n v="7.3957489628150697"/>
  </r>
  <r>
    <s v="Scope 1"/>
    <s v="Scope 1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CH4_petrol_lt"/>
    <s v="Σ.Ε. CH₄ m."/>
    <n v="2.9862611012340788E-7"/>
    <s v="tn CH₄/lt"/>
    <s v="Greece. National Inventory Submissions 2024"/>
    <s v="-"/>
    <n v="9.4251775624929737E-4"/>
    <s v="-"/>
    <s v="-"/>
    <s v="-"/>
    <s v=""/>
    <n v="2.6390497174980328E-2"/>
  </r>
  <r>
    <s v="Scope 1"/>
    <s v="Scope 1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3682270213531331E-4"/>
    <s v="-"/>
    <s v="-"/>
    <s v=""/>
    <n v="3.6258016065858024E-2"/>
  </r>
  <r>
    <s v="Scope 1"/>
    <s v="Scope 1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CO2_petrol_lt"/>
    <s v="Σ.Ε. CO₂ m."/>
    <n v="2.3432595615E-3"/>
    <s v="tn CO2/lt"/>
    <s v="Greece. National Inventory Submissions 2024"/>
    <n v="2.395772008273215"/>
    <s v="-"/>
    <s v="-"/>
    <s v="-"/>
    <s v="-"/>
    <s v=""/>
    <n v="2.395772008273215"/>
  </r>
  <r>
    <s v="Scope 1"/>
    <s v="Scope 1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CH4_petrol_lt"/>
    <s v="Σ.Ε. CH₄ m."/>
    <n v="2.9862611012340788E-7"/>
    <s v="tn CH₄/lt"/>
    <s v="Greece. National Inventory Submissions 2024"/>
    <s v="-"/>
    <n v="3.0531832125127342E-4"/>
    <s v="-"/>
    <s v="-"/>
    <s v="-"/>
    <s v=""/>
    <n v="8.5489129950356551E-3"/>
  </r>
  <r>
    <s v="Scope 1"/>
    <s v="Scope 1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4.4322218279745035E-5"/>
    <s v="-"/>
    <s v="-"/>
    <s v=""/>
    <n v="1.1745387844132434E-2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CO2_Diesel_lt"/>
    <s v="Σ.Ε. CO₂ m."/>
    <n v="2.6092581300000001E-3"/>
    <s v="tn CO2/lt"/>
    <s v="Greece. National Inventory Submissions 2024"/>
    <n v="110.60133798476518"/>
    <s v="-"/>
    <s v="-"/>
    <s v="-"/>
    <s v="-"/>
    <s v=""/>
    <n v="110.60133798476518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7.3640667086838937E-4"/>
    <s v="-"/>
    <s v="-"/>
    <s v="-"/>
    <s v=""/>
    <n v="2.0619386784314901E-2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3.1660603749702329E-3"/>
    <s v="-"/>
    <s v="-"/>
    <s v=""/>
    <n v="0.83900599936711173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CO2_Diesel_lt"/>
    <s v="Σ.Ε. CO₂ m."/>
    <n v="2.6092581300000001E-3"/>
    <s v="tn CO2/lt"/>
    <s v="Greece. National Inventory Submissions 2024"/>
    <n v="735.35678174537998"/>
    <s v="-"/>
    <s v="-"/>
    <s v="-"/>
    <s v="-"/>
    <s v=""/>
    <n v="735.35678174537998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4.8961581244179901E-3"/>
    <s v="-"/>
    <s v="-"/>
    <s v="-"/>
    <s v=""/>
    <n v="0.13709242748370373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2.1050233302515545E-2"/>
    <s v="-"/>
    <s v="-"/>
    <s v=""/>
    <n v="5.5783118251666197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CO2_Diesel_lt"/>
    <s v="Σ.Ε. CO₂ m."/>
    <n v="2.6092581300000001E-3"/>
    <s v="tn CO2/lt"/>
    <s v="Greece. National Inventory Submissions 2024"/>
    <n v="779.47644044715571"/>
    <s v="-"/>
    <s v="-"/>
    <s v="-"/>
    <s v="-"/>
    <s v=""/>
    <n v="779.47644044715571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5.1899159719848934E-3"/>
    <s v="-"/>
    <s v="-"/>
    <s v="-"/>
    <s v=""/>
    <n v="0.14531764721557702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2.2313197256822716E-2"/>
    <s v="-"/>
    <s v="-"/>
    <s v=""/>
    <n v="5.9129972730580196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CO2_petrol_lt"/>
    <s v="Σ.Ε. CO₂ m."/>
    <n v="2.3432595615E-3"/>
    <s v="tn CO2/lt"/>
    <s v="Greece. National Inventory Submissions 2024"/>
    <n v="10.575435024792496"/>
    <s v="-"/>
    <s v="-"/>
    <s v="-"/>
    <s v="-"/>
    <s v=""/>
    <n v="10.575435024792496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2.4197481616732505E-3"/>
    <s v="-"/>
    <s v="-"/>
    <s v="-"/>
    <s v=""/>
    <n v="6.7752948526851015E-2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3.9728649094501956E-4"/>
    <s v="-"/>
    <s v="-"/>
    <s v=""/>
    <n v="0.10528092010043018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CO2_petrol_lt"/>
    <s v="Σ.Ε. CO₂ m."/>
    <n v="2.3432595615E-3"/>
    <s v="tn CO2/lt"/>
    <s v="Greece. National Inventory Submissions 2024"/>
    <n v="10.680577081317001"/>
    <s v="-"/>
    <s v="-"/>
    <s v="-"/>
    <s v="-"/>
    <s v=""/>
    <n v="10.680577081317001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2.443805545354704E-3"/>
    <s v="-"/>
    <s v="-"/>
    <s v="-"/>
    <s v=""/>
    <n v="6.8426555269931716E-2"/>
  </r>
  <r>
    <s v="Scope 1"/>
    <s v="Scope 1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4.0123635386691702E-4"/>
    <s v="-"/>
    <s v="-"/>
    <s v=""/>
    <n v="0.106327633774733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CO2_petrol_lt"/>
    <s v="Σ.Ε. CO₂ m."/>
    <n v="2.3432595615E-3"/>
    <s v="tn CO2/lt"/>
    <s v="Greece. National Inventory Submissions 2024"/>
    <n v="34.305179384786314"/>
    <s v="-"/>
    <s v="-"/>
    <s v="-"/>
    <s v="-"/>
    <s v=""/>
    <n v="34.305179384786314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7.8493125396358367E-3"/>
    <s v="-"/>
    <s v="-"/>
    <s v="-"/>
    <s v=""/>
    <n v="0.21978075110980344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1.2887398302831139E-3"/>
    <s v="-"/>
    <s v="-"/>
    <s v=""/>
    <n v="0.34151605502502519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CO2_petrol_lt"/>
    <s v="Σ.Ε. CO₂ m."/>
    <n v="2.3432595615E-3"/>
    <s v="tn CO2/lt"/>
    <s v="Greece. National Inventory Submissions 2024"/>
    <n v="0.28283142907305003"/>
    <s v="-"/>
    <s v="-"/>
    <s v="-"/>
    <s v="-"/>
    <s v=""/>
    <n v="0.28283142907305003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6.4714201255882569E-5"/>
    <s v="-"/>
    <s v="-"/>
    <s v="-"/>
    <s v=""/>
    <n v="1.8119976351647119E-3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1.0625104851192823E-5"/>
    <s v="-"/>
    <s v="-"/>
    <s v=""/>
    <n v="2.8156527855660979E-3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CO2_petrol_lt"/>
    <s v="Σ.Ε. CO₂ m."/>
    <n v="2.3432595615E-3"/>
    <s v="tn CO2/lt"/>
    <s v="Greece. National Inventory Submissions 2024"/>
    <n v="1.7058929607719999"/>
    <s v="-"/>
    <s v="-"/>
    <s v="-"/>
    <s v="-"/>
    <s v=""/>
    <n v="1.7058929607719999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CH4_petrol_lt"/>
    <s v="Σ.Ε. CH₄ m."/>
    <n v="2.9946324170571233E-6"/>
    <s v="tn CH₄/lt"/>
    <s v="Greece. National Inventory Submissions 2024"/>
    <s v="-"/>
    <n v="2.1800923996175858E-3"/>
    <s v="-"/>
    <s v="-"/>
    <s v="-"/>
    <s v=""/>
    <n v="6.1042587189292404E-2"/>
  </r>
  <r>
    <s v="Scope 1"/>
    <s v="Scope 1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N2O_petrol_lt"/>
    <s v="Σ.Ε. N2O m."/>
    <n v="4.9134776882805899E-8"/>
    <s v="tn N2O/lt"/>
    <s v="Greece. National Inventory Submissions 2024"/>
    <s v="-"/>
    <s v="-"/>
    <n v="3.5770117570682693E-5"/>
    <s v="-"/>
    <s v="-"/>
    <s v=""/>
    <n v="9.4790811562309139E-3"/>
  </r>
  <r>
    <s v="Scope 1"/>
    <s v="Scope 1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CO2_petrol_lt"/>
    <s v="Σ.Ε. CO₂ m."/>
    <n v="2.3432595615E-3"/>
    <s v="tn CO2/lt"/>
    <s v="Greece. National Inventory Submissions 2024"/>
    <n v="2.2379066116149597"/>
    <s v="-"/>
    <s v="-"/>
    <s v="-"/>
    <s v="-"/>
    <s v=""/>
    <n v="2.2379066116149597"/>
  </r>
  <r>
    <s v="Scope 1"/>
    <s v="Scope 1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CH4_petrol_lt"/>
    <s v="Σ.Ε. CH₄ m."/>
    <n v="2.9946324170571233E-6"/>
    <s v="tn CH₄/lt"/>
    <s v="Greece. National Inventory Submissions 2024"/>
    <s v="-"/>
    <n v="2.859993743586235E-3"/>
    <s v="-"/>
    <s v="-"/>
    <s v="-"/>
    <s v=""/>
    <n v="8.0079824820414577E-2"/>
  </r>
  <r>
    <s v="Scope 1"/>
    <s v="Scope 1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N2O_petrol_lt"/>
    <s v="Σ.Ε. N2O m."/>
    <n v="4.9134776882805899E-8"/>
    <s v="tn N2O/lt"/>
    <s v="Greece. National Inventory Submissions 2024"/>
    <s v="-"/>
    <s v="-"/>
    <n v="4.6925677314154946E-5"/>
    <s v="-"/>
    <s v="-"/>
    <s v=""/>
    <n v="1.2435304488251061E-2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CO2_petrol_lt"/>
    <s v="Σ.Ε. CO₂ m."/>
    <n v="2.3432595615E-3"/>
    <s v="tn CO2/lt"/>
    <s v="Greece. National Inventory Submissions 2024"/>
    <n v="12.315820766309775"/>
    <s v="-"/>
    <s v="-"/>
    <s v="-"/>
    <s v="-"/>
    <s v=""/>
    <n v="12.315820766309775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CH4_petrol_lt"/>
    <s v="Σ.Ε. CH₄ m."/>
    <n v="2.9946324170571233E-6"/>
    <s v="tn CH₄/lt"/>
    <s v="Greece. National Inventory Submissions 2024"/>
    <s v="-"/>
    <n v="1.5739338789189684E-2"/>
    <s v="-"/>
    <s v="-"/>
    <s v="-"/>
    <s v=""/>
    <n v="0.44070148609731119"/>
  </r>
  <r>
    <s v="Scope 1"/>
    <s v="Scope 1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N2O_petrol_lt"/>
    <s v="Σ.Ε. N2O m."/>
    <n v="4.9134776882805899E-8"/>
    <s v="tn N2O/lt"/>
    <s v="Greece. National Inventory Submissions 2024"/>
    <s v="-"/>
    <s v="-"/>
    <n v="2.5824501707949542E-4"/>
    <s v="-"/>
    <s v="-"/>
    <s v=""/>
    <n v="6.8434929526066279E-2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CO2_lt"/>
    <s v="Σ.Ε. CO₂ m."/>
    <n v="1.6462501807867685E-3"/>
    <s v="tn CO2/lt"/>
    <s v="Greece. National Inventory Submissions 2024"/>
    <n v="19.57491886216496"/>
    <s v="-"/>
    <s v="-"/>
    <s v="-"/>
    <s v="-"/>
    <s v=""/>
    <n v="19.57491886216496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CH4_lt"/>
    <s v="Σ.Ε. CH₄ m."/>
    <n v="2.1969928601050937E-7"/>
    <s v="tn CH₄/lt"/>
    <s v="Greece. National Inventory Submissions 2024"/>
    <s v="-"/>
    <n v="2.6123585272294228E-3"/>
    <s v="-"/>
    <s v="-"/>
    <s v="-"/>
    <s v=""/>
    <n v="7.3146038762423843E-2"/>
  </r>
  <r>
    <s v="Scope 1"/>
    <s v="Scope 1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N2O_lt"/>
    <s v="Σ.Ε. N2O m."/>
    <n v="4.2897820698533063E-8"/>
    <s v="tn N2O/lt"/>
    <s v="Greece. National Inventory Submissions 2024"/>
    <s v="-"/>
    <s v="-"/>
    <n v="5.1008125577618421E-4"/>
    <s v="-"/>
    <s v="-"/>
    <s v=""/>
    <n v="0.1351715327806888"/>
  </r>
  <r>
    <s v="Scope 1"/>
    <s v="Scope 1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9.0000000000000011E-3"/>
    <s v="tn"/>
    <s v="HFC-32"/>
    <s v="R-32_GWP"/>
    <s v="GWP 100-year"/>
    <n v="677"/>
    <s v="kg CO2 eq / kg HFC"/>
    <s v="IPCC - AR5"/>
    <s v="-"/>
    <s v="-"/>
    <s v="-"/>
    <n v="9.0000000000000011E-3"/>
    <s v="-"/>
    <s v=""/>
    <n v="12.827374553336144"/>
  </r>
  <r>
    <s v="Scope 1"/>
    <s v="Scope 2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3.7699999999999999E-3"/>
    <s v="tn"/>
    <s v="HFC-32"/>
    <s v="R-32_GWP"/>
    <s v="GWP 100-year"/>
    <n v="677"/>
    <s v="kg CO2 eq / kg HFC"/>
    <s v="IPCC - AR5"/>
    <s v="-"/>
    <s v="-"/>
    <s v="-"/>
    <n v="3.7699999999999999E-3"/>
    <s v="-"/>
    <s v=""/>
    <n v="5.3732446740085837"/>
  </r>
  <r>
    <s v="Scope 1"/>
    <s v="Scope 1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7.6100000000000001E-2"/>
    <s v="tn"/>
    <s v="HFC-407 C"/>
    <s v="R-407C_GWP"/>
    <s v="GWP 100-year"/>
    <n v="1624.21"/>
    <s v="kg CO2 eq / kg HFC"/>
    <s v="IPCC - AR5"/>
    <s v="-"/>
    <s v="-"/>
    <s v="-"/>
    <n v="7.6100000000000001E-2"/>
    <s v="-"/>
    <s v=""/>
    <n v="108.46257816765338"/>
  </r>
  <r>
    <s v="Scope 1"/>
    <s v="Scope 1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5"/>
    <s v="tn"/>
    <s v="HFC-407 C"/>
    <s v="R-407C_GWP"/>
    <s v="GWP 100-year"/>
    <n v="1624.21"/>
    <s v="kg CO2 eq / kg HFC"/>
    <s v="IPCC - AR5"/>
    <s v="-"/>
    <s v="-"/>
    <s v="-"/>
    <n v="0.05"/>
    <s v="-"/>
    <s v=""/>
    <n v="71.263191962978567"/>
  </r>
  <r>
    <s v="Scope 1"/>
    <s v="Scope 1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5"/>
    <s v="tn"/>
    <s v="HFC-410 Α"/>
    <s v="R-410Α_GWP"/>
    <s v="GWP 100-year"/>
    <n v="1923.5"/>
    <s v="kg CO2 eq / kg HFC"/>
    <s v="IPCC - AR5"/>
    <s v="-"/>
    <s v="-"/>
    <s v="-"/>
    <n v="0.05"/>
    <s v="-"/>
    <s v=""/>
    <n v="71.263191962978567"/>
  </r>
  <r>
    <s v="Scope 1"/>
    <s v="Scope 1"/>
    <s v="Ελλάδα"/>
    <x v="1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0.02"/>
    <s v="tn"/>
    <s v="HFC-410 Α"/>
    <s v="R-410Α_GWP"/>
    <s v="GWP 100-year"/>
    <n v="1923.5"/>
    <s v="kg CO2 eq / kg HFC"/>
    <s v="IPCC - AR5"/>
    <s v="-"/>
    <s v="-"/>
    <s v="-"/>
    <n v="0.02"/>
    <s v="-"/>
    <s v=""/>
    <n v="28.505276785191427"/>
  </r>
  <r>
    <s v="Scope 1"/>
    <s v="Scope 1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1"/>
    <s v="tn"/>
    <s v="HFC-134a"/>
    <s v="R-134A_GWP"/>
    <s v="GWP 100-year"/>
    <n v="1300"/>
    <s v="kg CO2 eq / kg HFC"/>
    <s v="IPCC - AR5"/>
    <s v="-"/>
    <s v="-"/>
    <s v="-"/>
    <n v="0.01"/>
    <s v="-"/>
    <s v=""/>
    <n v="14.252638392595713"/>
  </r>
  <r>
    <s v="Scope 1"/>
    <s v="Scope 1"/>
    <s v="Κύπρος"/>
    <x v="0"/>
    <x v="1"/>
    <s v="HELECTOR &amp; Subsidiaries"/>
    <s v="Direct fugitive emissions arise from the release of greenhouse gases in anthropogenic systems"/>
    <s v="HFCs from refrigeration / air conditioning equipment in office buildings and facilities"/>
    <x v="6"/>
    <n v="9.0000000000000011E-3"/>
    <s v="tn"/>
    <s v="HFC-134a"/>
    <s v="R-134A_GWP"/>
    <s v="GWP 100-year"/>
    <n v="1300"/>
    <s v="kg CO2 eq / kg HFC"/>
    <s v="IPCC - AR5"/>
    <s v="-"/>
    <s v="-"/>
    <s v="-"/>
    <n v="9.0000000000000011E-3"/>
    <s v="-"/>
    <s v=""/>
    <n v="12.827374553336144"/>
  </r>
  <r>
    <s v="Scope 1"/>
    <s v="Scope 1"/>
    <s v="Ελλάδα"/>
    <x v="3"/>
    <x v="7"/>
    <s v="REDS"/>
    <s v="Direct fugitive emissions arise from the release of greenhouse gases in anthropogenic systems"/>
    <s v="HFCs from refrigeration / air conditioning equipment in office buildings and facilities"/>
    <x v="6"/>
    <n v="8.9413338617351408E-3"/>
    <s v="tn"/>
    <s v="HFC-134"/>
    <s v="R-134_GWP"/>
    <s v="GWP 100-year"/>
    <n v="1120"/>
    <s v="kg CO2 eq / kg HFC"/>
    <s v="IPCC - AR6"/>
    <s v="-"/>
    <s v="-"/>
    <s v="-"/>
    <n v="8.9413338617351408E-3"/>
    <s v="-"/>
    <s v=""/>
    <n v="12.743759827878236"/>
  </r>
  <r>
    <s v="Scope 1"/>
    <s v="Scope 1"/>
    <s v="Ελλάδα"/>
    <x v="2"/>
    <x v="4"/>
    <s v="ELLAKTOR S.A."/>
    <s v="Direct fugitive emissions arise from the release of greenhouse gases in anthropogenic systems"/>
    <s v="HFCs from refrigeration / air conditioning equipment in office buildings and facilities"/>
    <x v="6"/>
    <n v="7.9192348922417291E-2"/>
    <s v="tn"/>
    <s v="HFC-134"/>
    <s v="R-134_GWP"/>
    <s v="GWP 100-year"/>
    <n v="1120"/>
    <s v="kg CO2 eq / kg HFC"/>
    <s v="IPCC - AR6"/>
    <s v="-"/>
    <s v="-"/>
    <s v="-"/>
    <n v="7.9192348922417291E-2"/>
    <s v="-"/>
    <s v=""/>
    <n v="112.86999126514804"/>
  </r>
  <r>
    <s v="Scope 1"/>
    <s v="Scope 1"/>
    <s v="Ελλάδα"/>
    <x v="1"/>
    <x v="6"/>
    <s v="AKTOR CONCESSIONS"/>
    <s v="Direct fugitive emissions arise from the release of greenhouse gases in anthropogenic systems"/>
    <s v="HFCs from refrigeration / air conditioning equipment in office buildings and facilities"/>
    <x v="6"/>
    <n v="2.42306276945723E-2"/>
    <s v="tn"/>
    <s v="HFC-134"/>
    <s v="R-134_GWP"/>
    <s v="GWP 100-year"/>
    <n v="1120"/>
    <s v="kg CO2 eq / kg HFC"/>
    <s v="IPCC - AR6"/>
    <s v="-"/>
    <s v="-"/>
    <s v="-"/>
    <n v="2.42306276945723E-2"/>
    <s v="-"/>
    <s v=""/>
    <n v="34.535037455635411"/>
  </r>
  <r>
    <s v="Scope 1"/>
    <s v="Scope 1"/>
    <s v="Ελλάδα"/>
    <x v="1"/>
    <x v="3"/>
    <s v="MOREAS"/>
    <s v="Direct fugitive emissions arise from the release of greenhouse gases in anthropogenic systems"/>
    <s v="HFCs from refrigeration / air conditioning equipment in office buildings and facilities"/>
    <x v="6"/>
    <n v="2.3224243796714601E-3"/>
    <s v="tn"/>
    <s v="HFC-134"/>
    <s v="R-134_GWP"/>
    <s v="GWP 100-year"/>
    <n v="1120"/>
    <s v="kg CO2 eq / kg HFC"/>
    <s v="IPCC - AR6"/>
    <s v="-"/>
    <s v="-"/>
    <s v="-"/>
    <n v="2.3224243796714601E-3"/>
    <s v="-"/>
    <s v=""/>
    <n v="3.3100674877605734"/>
  </r>
  <r>
    <s v="Scope 1"/>
    <s v="Scope 1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4.2646999999999997E-2"/>
    <s v="tn"/>
    <s v="HFC-134"/>
    <s v="R-134_GWP"/>
    <s v="GWP 100-year"/>
    <n v="1120"/>
    <s v="kg CO2 eq / kg HFC"/>
    <s v="IPCC - AR6"/>
    <s v="-"/>
    <s v="-"/>
    <s v="-"/>
    <n v="4.2646999999999997E-2"/>
    <s v="-"/>
    <s v=""/>
    <n v="60.783226952902936"/>
  </r>
  <r>
    <s v="Scope 1"/>
    <s v="Scope 1"/>
    <s v="Ελλάδα"/>
    <x v="1"/>
    <x v="12"/>
    <s v="AO"/>
    <s v="Direct fugitive emissions arise from the release of greenhouse gases in anthropogenic systems"/>
    <s v="Fire extinguishers"/>
    <x v="7"/>
    <n v="9.6000000000000002E-2"/>
    <s v="tn"/>
    <s v="CO2"/>
    <s v="CO₂ "/>
    <s v="CO₂"/>
    <n v="1"/>
    <n v="0"/>
    <n v="0"/>
    <n v="9.6000000000000002E-2"/>
    <s v="-"/>
    <s v="-"/>
    <s v="-"/>
    <s v="-"/>
    <s v=""/>
    <n v="9.6000000000000002E-2"/>
  </r>
  <r>
    <s v="Scope 1"/>
    <s v="Scope 1"/>
    <s v="Ελλάδα"/>
    <x v="0"/>
    <x v="0"/>
    <s v="HELECTOR &amp; Subsidiaries"/>
    <s v="Direct fugitive emissions arise from the release of greenhouse gases in anthropogenic systems"/>
    <s v="Fire extinguishers"/>
    <x v="7"/>
    <n v="4.0060000000000005E-2"/>
    <s v="tn"/>
    <s v="CO2"/>
    <s v="CO₂ "/>
    <s v="CO₂"/>
    <n v="1"/>
    <n v="0"/>
    <n v="0"/>
    <n v="4.0060000000000005E-2"/>
    <s v="-"/>
    <s v="-"/>
    <s v="-"/>
    <s v="-"/>
    <s v=""/>
    <n v="4.0060000000000005E-2"/>
  </r>
  <r>
    <s v="Scope 1"/>
    <s v="Scope 1"/>
    <s v="Ελλάδα"/>
    <x v="0"/>
    <x v="0"/>
    <s v="HELECTOR &amp; Subsidiaries"/>
    <s v="Direct emissions arise from the release of greenhouse gases by chemical or physical processing"/>
    <s v="Combustion of waste (Incinerator)"/>
    <x v="8"/>
    <n v="6201.6909742969938"/>
    <s v="tn CO2"/>
    <s v="Incinerator"/>
    <s v="Incinerator"/>
    <s v="CO₂"/>
    <n v="1"/>
    <s v="tn CO2"/>
    <n v="0"/>
    <n v="6201.6909742969938"/>
    <s v="-"/>
    <s v="-"/>
    <s v="-"/>
    <s v="-"/>
    <s v=""/>
    <n v="6201.6909742969938"/>
  </r>
  <r>
    <s v="Scope 1"/>
    <s v="Scope 1"/>
    <s v="Ελλάδα"/>
    <x v="0"/>
    <x v="0"/>
    <s v="HELECTOR &amp; Subsidiaries"/>
    <s v="Direct emissions arise from the release of greenhouse gases by chemical or physical processing"/>
    <s v="Waste Processing "/>
    <x v="9"/>
    <n v="12.84"/>
    <s v="tn"/>
    <s v="Recycling Mixed Recycables"/>
    <s v="Waste_Mixed Recycables"/>
    <s v="Σ.Ε. CO₂ eq"/>
    <n v="9.9228224917309815E-2"/>
    <s v="tn CO2 eq/ tn"/>
    <s v="EPA 2023"/>
    <s v="-"/>
    <s v="-"/>
    <s v="-"/>
    <s v="-"/>
    <n v="1.274090407938258"/>
    <s v=""/>
    <n v="1.274090407938258"/>
  </r>
  <r>
    <s v="Scope 1"/>
    <s v="Scope 1"/>
    <s v="Ελλάδα"/>
    <x v="0"/>
    <x v="0"/>
    <s v="HELECTOR &amp; Subsidiaries"/>
    <s v="Direct emissions arise from the release of greenhouse gases by chemical or physical processing"/>
    <s v="Waste Processing "/>
    <x v="9"/>
    <n v="2.0340000000000003"/>
    <s v="tn"/>
    <s v="Compost Municipal waste"/>
    <s v="Waste_Municipal solid waste"/>
    <s v="Σ.Ε. CO₂ eq"/>
    <n v="0.58460000000000001"/>
    <s v="tn CO2 eq/ tn"/>
    <s v="ecoinvent 3.10"/>
    <s v="-"/>
    <s v="-"/>
    <s v="-"/>
    <s v="-"/>
    <n v="1.1890764000000003"/>
    <s v=""/>
    <n v="1.1890764000000003"/>
  </r>
  <r>
    <s v="Scope 1"/>
    <s v="Scope 1"/>
    <s v="Ελλάδα"/>
    <x v="0"/>
    <x v="0"/>
    <s v="HELECTOR &amp; Subsidiaries"/>
    <s v="Direct emissions arise from the release of greenhouse gases by chemical or physical processing"/>
    <s v="Waste Processing "/>
    <x v="9"/>
    <n v="326.3"/>
    <s v="tn"/>
    <s v="Compost Green Waste "/>
    <s v="Waste_Grass_Composted"/>
    <s v="Σ.Ε. CO₂ eq"/>
    <n v="0.20948180815876516"/>
    <s v="tn CO2 eq/ tn"/>
    <s v="EPA 2023"/>
    <s v="-"/>
    <s v="-"/>
    <s v="-"/>
    <s v="-"/>
    <n v="68.353914002205073"/>
    <s v=""/>
    <n v="68.353914002205073"/>
  </r>
  <r>
    <s v="Scope 1"/>
    <s v="Scope 1"/>
    <s v="Ελλάδα"/>
    <x v="0"/>
    <x v="0"/>
    <s v="HELECTOR &amp; Subsidiaries"/>
    <s v="Direct emissions from stationary combustion"/>
    <s v="Emissions from Biogas Combustion"/>
    <x v="10"/>
    <n v="1825735.531"/>
    <s v="MMBtu"/>
    <s v="Electricity Generation"/>
    <s v="Biogas_CH4_MMBtu"/>
    <s v="Σ.Ε. CH₄ st."/>
    <n v="1.0550558752316243E-6"/>
    <s v="tn CH4/MMBtu"/>
    <s v="Greece. National Inventory Submissions 2024"/>
    <s v="-"/>
    <n v="1.9262529986006793"/>
    <s v="-"/>
    <s v="-"/>
    <s v="-"/>
    <s v=""/>
    <n v="53.935083960819021"/>
  </r>
  <r>
    <s v="Scope 1"/>
    <s v="Scope 1"/>
    <s v="Ελλάδα"/>
    <x v="0"/>
    <x v="0"/>
    <s v="HELECTOR &amp; Subsidiaries"/>
    <s v="Direct emissions from stationary combustion"/>
    <s v="Emissions from Biogas Combustion"/>
    <x v="10"/>
    <n v="1825735.531"/>
    <s v="MMBtu"/>
    <s v="Electricity Generation"/>
    <s v="Biogas_N2O_MMBtu"/>
    <s v="Σ.Ε. N2O st."/>
    <n v="1.0550558752316244E-7"/>
    <s v="tn N2O/MMBtu"/>
    <s v="Greece. National Inventory Submissions 2024"/>
    <s v="-"/>
    <s v="-"/>
    <n v="0.19262529986006793"/>
    <s v="-"/>
    <s v="-"/>
    <s v=""/>
    <n v="51.045704462918003"/>
  </r>
  <r>
    <s v="Scope 1"/>
    <s v="Scope 1"/>
    <s v="Ελλάδα"/>
    <x v="0"/>
    <x v="0"/>
    <s v="HELECTOR &amp; Subsidiaries"/>
    <s v="Direct emissions from stationary combustion"/>
    <s v="Emissions from Biogas Combustion"/>
    <x v="11"/>
    <n v="192.01999999999998"/>
    <s v="MMBtu"/>
    <s v="Flared"/>
    <s v="Biogas_CH4_MMBtu_flared"/>
    <s v="Σ.Ε. CH₄ st."/>
    <n v="1.0550558752316243E-6"/>
    <s v="tn CH4/MMBtu"/>
    <s v="Greece. National Inventory Submissions 2024"/>
    <s v="-"/>
    <n v="2.0259182916197648E-4"/>
    <s v="-"/>
    <s v="-"/>
    <s v="-"/>
    <s v=""/>
    <n v="5.6725712165353413E-3"/>
  </r>
  <r>
    <s v="Biogenic"/>
    <s v="Biogenic"/>
    <s v="Ελλάδα"/>
    <x v="0"/>
    <x v="0"/>
    <s v="HELECTOR &amp; Subsidiaries"/>
    <s v="Direct Biogenic Emission"/>
    <s v="Emissions from Biogas Combustion"/>
    <x v="12"/>
    <n v="1825735.531"/>
    <s v="MMBtu"/>
    <s v="Electricity Generation"/>
    <s v="Biogas_CO2_MMBtu"/>
    <s v="Σ.Ε. CO₂ st."/>
    <n v="5.760605078764669E-2"/>
    <s v="tn CO2/MMBtu"/>
    <s v="Greece. National Inventory Submissions 2024"/>
    <n v="105173.4137235971"/>
    <s v="-"/>
    <s v="-"/>
    <s v="-"/>
    <s v="-"/>
    <s v=""/>
    <n v="105173.4137235971"/>
  </r>
  <r>
    <s v="Scope 1"/>
    <s v="Scope 1"/>
    <s v="Ελλάδα"/>
    <x v="0"/>
    <x v="0"/>
    <s v="HELECTOR &amp; Subsidiaries"/>
    <s v="Direct emissions from stationary combustion"/>
    <s v="Emissions from Biogas Combustion"/>
    <x v="11"/>
    <n v="192.01999999999998"/>
    <s v="MMBtu"/>
    <s v="Flared"/>
    <s v="Biogas_N2O_MMBtu_flared"/>
    <s v="Σ.Ε. N2O st."/>
    <n v="1.0550558752316244E-7"/>
    <s v="tn N2O/MMBtu"/>
    <s v="Greece. National Inventory Submissions 2024"/>
    <s v="-"/>
    <s v="-"/>
    <n v="2.0259182916197648E-5"/>
    <s v="-"/>
    <s v="-"/>
    <s v=""/>
    <n v="5.3686834727923764E-3"/>
  </r>
  <r>
    <s v="Scope 1"/>
    <s v="Scope 1"/>
    <s v="Γερμανία"/>
    <x v="0"/>
    <x v="8"/>
    <s v="HELECTOR &amp; Subsidiaries"/>
    <s v="Direct emissions from stationary combustion"/>
    <s v="Emissions from Wood Pellet Combustion"/>
    <x v="13"/>
    <n v="24434"/>
    <s v="kWh"/>
    <s v="Wood pellets"/>
    <s v="Wood Pellets_CH4"/>
    <s v="Σ.Ε. CH₄ st."/>
    <n v="3.539181617089804E-4"/>
    <s v="tn CH4/KWh"/>
    <s v="Germany. National Inventory Submissions 2023"/>
    <s v="-"/>
    <n v="8.6476363631972273"/>
    <s v="-"/>
    <s v="-"/>
    <s v="-"/>
    <s v=""/>
    <n v="242.13381816952236"/>
  </r>
  <r>
    <s v="Biogenic"/>
    <s v="Biogenic"/>
    <s v="Ελλάδα"/>
    <x v="0"/>
    <x v="0"/>
    <s v="HELECTOR &amp; Subsidiaries"/>
    <s v="Direct Biogenic Emission"/>
    <s v="Emissions from Biogas Combustion"/>
    <x v="12"/>
    <n v="192.01999999999998"/>
    <s v="MMBtu"/>
    <s v="Flared"/>
    <s v="Biogas_CO2_MMBtu_flared"/>
    <s v="Σ.Ε. CO₂ st."/>
    <n v="5.8893218955429275E-2"/>
    <s v="tn CO2/MMBtu"/>
    <s v="Greece. National Inventory Submissions 2024"/>
    <n v="11.308675903821529"/>
    <s v="-"/>
    <s v="-"/>
    <s v="-"/>
    <s v="-"/>
    <s v=""/>
    <n v="11.308675903821529"/>
  </r>
  <r>
    <s v="Scope 1"/>
    <s v="Scope 1"/>
    <s v="Γερμανία"/>
    <x v="0"/>
    <x v="8"/>
    <s v="HELECTOR &amp; Subsidiaries"/>
    <s v="Direct emissions from stationary combustion"/>
    <s v="Emissions from Wood Pellet Combustion"/>
    <x v="13"/>
    <n v="24434"/>
    <s v="kWh"/>
    <s v="Wood pellets"/>
    <s v="Wood Pellets_N2O"/>
    <s v="Σ.Ε. N2O st."/>
    <n v="5.6830284691087483E-6"/>
    <s v="tn N2O/kWh"/>
    <s v="Germany. National Inventory Submissions 2023"/>
    <s v="-"/>
    <s v="-"/>
    <n v="0.13885911761420316"/>
    <s v="-"/>
    <s v="-"/>
    <s v=""/>
    <n v="36.797666167763836"/>
  </r>
  <r>
    <s v="Scope 2"/>
    <s v="Scope 2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CO2"/>
    <s v="Σ.Ε. CO2 - Χώρας"/>
    <n v="2.5244139999999998E-4"/>
    <s v="tn CO2/KWh"/>
    <s v="ΔΑΠΕΕΠ 2024"/>
    <n v="72.528686192599992"/>
    <s v="-"/>
    <s v="-"/>
    <s v="-"/>
    <s v="-"/>
    <s v=""/>
    <n v="72.528686192599992"/>
  </r>
  <r>
    <s v="Biogenic"/>
    <s v="Biogenic"/>
    <s v="Γερμανία"/>
    <x v="0"/>
    <x v="8"/>
    <s v="HELECTOR &amp; Subsidiaries"/>
    <s v="Direct Biogenic Emission"/>
    <s v="Emissions from Wood Pellet Combustion"/>
    <x v="15"/>
    <n v="24434"/>
    <s v="kWh"/>
    <s v="Wood pellets"/>
    <s v="Wood Pellets_CO2"/>
    <s v="Σ.Ε. CO₂ st."/>
    <n v="3.6615652680788022E-4"/>
    <s v="tn CO2/KWh"/>
    <s v="Germany. National Inventory Submissions 2023"/>
    <n v="8.946668576023745"/>
    <s v="-"/>
    <s v="-"/>
    <s v="-"/>
    <s v="-"/>
    <s v=""/>
    <n v="8.946668576023745"/>
  </r>
  <r>
    <s v="Scope 2"/>
    <s v="Scope 2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CH4"/>
    <s v="Σ.Ε. CH4 - Χώρας"/>
    <n v="6.3220000000000003E-9"/>
    <s v="tn CH4/KWh"/>
    <s v="Έκθεση ΔΑΠΕΕΠ 2022 και NIR 2022"/>
    <s v="-"/>
    <n v="1.8163674980000001E-3"/>
    <s v="-"/>
    <s v="-"/>
    <s v="-"/>
    <s v=""/>
    <n v="5.0858289944000004E-2"/>
  </r>
  <r>
    <s v="Scope 2"/>
    <s v="Scope 2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N2O"/>
    <s v="Σ.Ε. N2O - Χώρας"/>
    <n v="2.6031000000000002E-9"/>
    <s v="tn N2O/kWh"/>
    <s v="Έκθεση ΔΑΠΕΕΠ 2022 και NIR 2022"/>
    <s v="-"/>
    <s v="-"/>
    <n v="7.4789405790000004E-4"/>
    <s v="-"/>
    <s v="-"/>
    <s v=""/>
    <n v="0.1981919253435"/>
  </r>
  <r>
    <s v="Scope 2"/>
    <s v="Scope 2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CO2"/>
    <s v="Σ.Ε. CO2 - Χώρας"/>
    <n v="2.5244139999999998E-4"/>
    <s v="tn CO2/KWh"/>
    <s v="ΔΑΠΕΕΠ 2024"/>
    <n v="20.722883737030642"/>
    <s v="-"/>
    <s v="-"/>
    <s v="-"/>
    <s v="-"/>
    <s v=""/>
    <n v="20.722883737030642"/>
  </r>
  <r>
    <s v="Scope 2"/>
    <s v="Scope 2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CH4"/>
    <s v="Σ.Ε. CH4 - Χώρας"/>
    <n v="6.3220000000000003E-9"/>
    <s v="tn CH4/KWh"/>
    <s v="Έκθεση ΔΑΠΕΕΠ 2022 και NIR 2022"/>
    <s v="-"/>
    <n v="5.1897220893842193E-4"/>
    <s v="-"/>
    <s v="-"/>
    <s v="-"/>
    <s v=""/>
    <n v="1.4531221850275814E-2"/>
  </r>
  <r>
    <s v="Scope 2"/>
    <s v="Scope 2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N2O"/>
    <s v="Σ.Ε. N2O - Χώρας"/>
    <n v="2.6031000000000002E-9"/>
    <s v="tn N2O/kWh"/>
    <s v="Έκθεση ΔΑΠΕΕΠ 2022 και NIR 2022"/>
    <s v="-"/>
    <s v="-"/>
    <n v="2.1368816151338282E-4"/>
    <s v="-"/>
    <s v="-"/>
    <s v=""/>
    <n v="5.6627362801046445E-2"/>
  </r>
  <r>
    <s v="Scope 2"/>
    <s v="Scope 2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CO2"/>
    <s v="Σ.Ε. CO2 - Χώρας"/>
    <n v="2.5244139999999998E-4"/>
    <s v="tn CO2/KWh"/>
    <s v="ΔΑΠΕΕΠ 2024"/>
    <n v="9.4063603725839986"/>
    <s v="-"/>
    <s v="-"/>
    <s v="-"/>
    <s v="-"/>
    <s v=""/>
    <n v="9.4063603725839986"/>
  </r>
  <r>
    <s v="Scope 2"/>
    <s v="Scope 2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CH4"/>
    <s v="Σ.Ε. CH4 - Χώρας"/>
    <n v="6.3220000000000003E-9"/>
    <s v="tn CH4/KWh"/>
    <s v="Έκθεση ΔΑΠΕΕΠ 2022 και NIR 2022"/>
    <s v="-"/>
    <n v="2.3556758232E-4"/>
    <s v="-"/>
    <s v="-"/>
    <s v="-"/>
    <s v=""/>
    <n v="6.5958923049599999E-3"/>
  </r>
  <r>
    <s v="Scope 2"/>
    <s v="Scope 2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N2O"/>
    <s v="Σ.Ε. N2O - Χώρας"/>
    <n v="2.6031000000000002E-9"/>
    <s v="tn N2O/kWh"/>
    <s v="Έκθεση ΔΑΠΕΕΠ 2022 και NIR 2022"/>
    <s v="-"/>
    <s v="-"/>
    <n v="9.6995566836000001E-5"/>
    <s v="-"/>
    <s v="-"/>
    <s v=""/>
    <n v="2.570382521154E-2"/>
  </r>
  <r>
    <s v="Scope 2"/>
    <s v="Scope 2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CO2"/>
    <s v="Σ.Ε. CO2 - Χώρας"/>
    <n v="2.5244139999999998E-4"/>
    <s v="tn CO2/KWh"/>
    <s v="ΔΑΠΕΕΠ 2024"/>
    <n v="20.207451906925996"/>
    <s v="-"/>
    <s v="-"/>
    <s v="-"/>
    <s v="-"/>
    <s v=""/>
    <n v="20.207451906925996"/>
  </r>
  <r>
    <s v="Scope 2"/>
    <s v="Scope 2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CH4"/>
    <s v="Σ.Ε. CH4 - Χώρας"/>
    <n v="6.3220000000000003E-9"/>
    <s v="tn CH4/KWh"/>
    <s v="Έκθεση ΔΑΠΕΕΠ 2022 και NIR 2022"/>
    <s v="-"/>
    <n v="5.0606402498000003E-4"/>
    <s v="-"/>
    <s v="-"/>
    <s v="-"/>
    <s v=""/>
    <n v="1.4169792699440001E-2"/>
  </r>
  <r>
    <s v="Scope 2"/>
    <s v="Scope 2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N2O"/>
    <s v="Σ.Ε. N2O - Χώρας"/>
    <n v="2.6031000000000002E-9"/>
    <s v="tn N2O/kWh"/>
    <s v="Έκθεση ΔΑΠΕΕΠ 2022 και NIR 2022"/>
    <s v="-"/>
    <s v="-"/>
    <n v="2.0837318307900002E-4"/>
    <s v="-"/>
    <s v="-"/>
    <s v=""/>
    <n v="5.5218893515935008E-2"/>
  </r>
  <r>
    <s v="Scope 2"/>
    <s v="Scope 2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CO2"/>
    <s v="Σ.Ε. CO2 - Χώρας"/>
    <n v="2.5244139999999998E-4"/>
    <s v="tn CO2/KWh"/>
    <s v="ΔΑΠΕΕΠ 2024"/>
    <n v="53.867713021799993"/>
    <s v="-"/>
    <s v="-"/>
    <s v="-"/>
    <s v="-"/>
    <s v=""/>
    <n v="53.867713021799993"/>
  </r>
  <r>
    <s v="Scope 2"/>
    <s v="Scope 2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CH4"/>
    <s v="Σ.Ε. CH4 - Χώρας"/>
    <n v="6.3220000000000003E-9"/>
    <s v="tn CH4/KWh"/>
    <s v="Έκθεση ΔΑΠΕΕΠ 2022 και NIR 2022"/>
    <s v="-"/>
    <n v="1.3490326140000002E-3"/>
    <s v="-"/>
    <s v="-"/>
    <s v="-"/>
    <s v=""/>
    <n v="3.7772913192000004E-2"/>
  </r>
  <r>
    <s v="Scope 2"/>
    <s v="Scope 2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N2O"/>
    <s v="Σ.Ε. N2O - Χώρας"/>
    <n v="2.6031000000000002E-9"/>
    <s v="tn N2O/kWh"/>
    <s v="Έκθεση ΔΑΠΕΕΠ 2022 και NIR 2022"/>
    <s v="-"/>
    <s v="-"/>
    <n v="5.5546769970000001E-4"/>
    <s v="-"/>
    <s v="-"/>
    <s v=""/>
    <n v="0.1471989404205"/>
  </r>
  <r>
    <s v="Scope 2"/>
    <s v="Scope 2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CO2"/>
    <s v="Σ.Ε. CO2 - Χώρας"/>
    <n v="2.5244139999999998E-4"/>
    <s v="tn CO2/KWh"/>
    <s v="ΔΑΠΕΕΠ 2024"/>
    <n v="12.834625658799999"/>
    <s v="-"/>
    <s v="-"/>
    <s v="-"/>
    <s v="-"/>
    <s v=""/>
    <n v="12.834625658799999"/>
  </r>
  <r>
    <s v="Scope 2"/>
    <s v="Scope 2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CH4"/>
    <s v="Σ.Ε. CH4 - Χώρας"/>
    <n v="6.3220000000000003E-9"/>
    <s v="tn CH4/KWh"/>
    <s v="Έκθεση ΔΑΠΕΕΠ 2022 και NIR 2022"/>
    <s v="-"/>
    <n v="3.2142312400000004E-4"/>
    <s v="-"/>
    <s v="-"/>
    <s v="-"/>
    <s v=""/>
    <n v="8.9998474720000016E-3"/>
  </r>
  <r>
    <s v="Scope 2"/>
    <s v="Scope 2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N2O"/>
    <s v="Σ.Ε. N2O - Χώρας"/>
    <n v="2.6031000000000002E-9"/>
    <s v="tn N2O/kWh"/>
    <s v="Έκθεση ΔΑΠΕΕΠ 2022 και NIR 2022"/>
    <s v="-"/>
    <s v="-"/>
    <n v="1.3234681020000001E-4"/>
    <s v="-"/>
    <s v="-"/>
    <s v=""/>
    <n v="3.5071904702999999E-2"/>
  </r>
  <r>
    <s v="Scope 2"/>
    <s v="Scope 2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CO2"/>
    <s v="Σ.Ε. CO2 - Χώρας"/>
    <n v="2.5244139999999998E-4"/>
    <s v="tn CO2/KWh"/>
    <s v="ΔΑΠΕΕΠ 2024"/>
    <n v="6302.1659762937998"/>
    <s v="-"/>
    <s v="-"/>
    <s v="-"/>
    <s v="-"/>
    <s v=""/>
    <n v="6302.1659762937998"/>
  </r>
  <r>
    <s v="Scope 2"/>
    <s v="Scope 2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CH4"/>
    <s v="Σ.Ε. CH4 - Χώρας"/>
    <n v="6.3220000000000003E-9"/>
    <s v="tn CH4/KWh"/>
    <s v="Έκθεση ΔΑΠΕΕΠ 2022 και NIR 2022"/>
    <s v="-"/>
    <n v="0.15782788917400001"/>
    <s v="-"/>
    <s v="-"/>
    <s v="-"/>
    <s v=""/>
    <n v="4.4191808968720006"/>
  </r>
  <r>
    <s v="Scope 2"/>
    <s v="Scope 2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N2O"/>
    <s v="Σ.Ε. N2O - Χώρας"/>
    <n v="2.6031000000000002E-9"/>
    <s v="tn N2O/kWh"/>
    <s v="Έκθεση ΔΑΠΕΕΠ 2022 και NIR 2022"/>
    <s v="-"/>
    <s v="-"/>
    <n v="6.4986045287700009E-2"/>
    <s v="-"/>
    <s v="-"/>
    <s v=""/>
    <n v="17.221302001240502"/>
  </r>
  <r>
    <s v="Scope 2"/>
    <s v="Scope 2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CO2"/>
    <s v="Σ.Ε. CO2 - Χώρας"/>
    <n v="2.5244139999999998E-4"/>
    <s v="tn CO2/KWh"/>
    <s v="ΔΑΠΕΕΠ 2024"/>
    <n v="2532.5909959987239"/>
    <s v="-"/>
    <s v="-"/>
    <s v="-"/>
    <s v="-"/>
    <s v=""/>
    <n v="2532.5909959987239"/>
  </r>
  <r>
    <s v="Scope 2"/>
    <s v="Scope 2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CH4"/>
    <s v="Σ.Ε. CH4 - Χώρας"/>
    <n v="6.3220000000000003E-9"/>
    <s v="tn CH4/KWh"/>
    <s v="Έκθεση ΔΑΠΕΕΠ 2022 και NIR 2022"/>
    <s v="-"/>
    <n v="6.3424780074520001E-2"/>
    <s v="-"/>
    <s v="-"/>
    <s v="-"/>
    <s v=""/>
    <n v="1.77589384208656"/>
  </r>
  <r>
    <s v="Scope 2"/>
    <s v="Scope 2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N2O"/>
    <s v="Σ.Ε. N2O - Χώρας"/>
    <n v="2.6031000000000002E-9"/>
    <s v="tn N2O/kWh"/>
    <s v="Έκθεση ΔΑΠΕΕΠ 2022 και NIR 2022"/>
    <s v="-"/>
    <s v="-"/>
    <n v="2.6115318730146001E-2"/>
    <s v="-"/>
    <s v="-"/>
    <s v=""/>
    <n v="6.92055946348869"/>
  </r>
  <r>
    <s v="Scope 2"/>
    <s v="Scope 2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CO2"/>
    <s v="Σ.Ε. CO2 - Χώρας"/>
    <n v="2.5244139999999998E-4"/>
    <s v="tn CO2/KWh"/>
    <s v="ΔΑΠΕΕΠ 2024"/>
    <n v="738.46138225900199"/>
    <s v="-"/>
    <s v="-"/>
    <s v="-"/>
    <s v="-"/>
    <s v=""/>
    <n v="738.46138225900199"/>
  </r>
  <r>
    <s v="Scope 2"/>
    <s v="Scope 2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CH4"/>
    <s v="Σ.Ε. CH4 - Χώρας"/>
    <n v="6.3220000000000003E-9"/>
    <s v="tn CH4/KWh"/>
    <s v="Έκθεση ΔΑΠΕΕΠ 2022 και NIR 2022"/>
    <s v="-"/>
    <n v="1.8493610234460001E-2"/>
    <s v="-"/>
    <s v="-"/>
    <s v="-"/>
    <s v=""/>
    <n v="0.51782108656488002"/>
  </r>
  <r>
    <s v="Scope 2"/>
    <s v="Scope 2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N2O"/>
    <s v="Σ.Ε. N2O - Χώρας"/>
    <n v="2.6031000000000002E-9"/>
    <s v="tn N2O/kWh"/>
    <s v="Έκθεση ΔΑΠΕΕΠ 2022 και NIR 2022"/>
    <s v="-"/>
    <s v="-"/>
    <n v="7.614792281133001E-3"/>
    <s v="-"/>
    <s v="-"/>
    <s v=""/>
    <n v="2.0179199545002451"/>
  </r>
  <r>
    <s v="Scope 2"/>
    <s v="Scope 2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CO2"/>
    <s v="Σ.Ε. CO2 - Χώρας"/>
    <n v="2.5244139999999998E-4"/>
    <s v="tn CO2/KWh"/>
    <s v="ΔΑΠΕΕΠ 2024"/>
    <n v="1.9862188885332899"/>
    <s v="-"/>
    <s v="-"/>
    <s v="-"/>
    <s v="-"/>
    <s v=""/>
    <n v="1.9862188885332899"/>
  </r>
  <r>
    <s v="Scope 2"/>
    <s v="Scope 2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CH4"/>
    <s v="Σ.Ε. CH4 - Χώρας"/>
    <n v="6.3220000000000003E-9"/>
    <s v="tn CH4/KWh"/>
    <s v="Έκθεση ΔΑΠΕΕΠ 2022 και NIR 2022"/>
    <s v="-"/>
    <n v="4.9741745265663476E-5"/>
    <s v="-"/>
    <s v="-"/>
    <s v="-"/>
    <s v=""/>
    <n v="1.3927688674385773E-3"/>
  </r>
  <r>
    <s v="Scope 2"/>
    <s v="Scope 2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N2O"/>
    <s v="Σ.Ε. N2O - Χώρας"/>
    <n v="2.6031000000000002E-9"/>
    <s v="tn N2O/kWh"/>
    <s v="Έκθεση ΔΑΠΕΕΠ 2022 και NIR 2022"/>
    <s v="-"/>
    <s v="-"/>
    <n v="2.0481293435787505E-5"/>
    <s v="-"/>
    <s v="-"/>
    <s v=""/>
    <n v="5.4275427604836887E-3"/>
  </r>
  <r>
    <s v="Scope 2"/>
    <s v="Scope 2"/>
    <s v="Ρουμανία"/>
    <x v="2"/>
    <x v="16"/>
    <s v="ELLAKTOR S.A."/>
    <s v="Indirect GHG emissions from purchased electricity"/>
    <s v="Electricity consumed in office buildings and projects"/>
    <x v="14"/>
    <n v="30749"/>
    <s v="kWh"/>
    <s v="WERK ENERGY SRL"/>
    <s v="Electricity RO_CO2"/>
    <s v="Σ.Ε. CO2 - Χώρας"/>
    <n v="2.7316046011634199E-4"/>
    <s v="tn CO2/KWh"/>
    <s v="ΙΕΑ 2022"/>
    <n v="8.3994109881174008"/>
    <s v="-"/>
    <s v="-"/>
    <s v="-"/>
    <s v="-"/>
    <s v=""/>
    <n v="8.3994109881174008"/>
  </r>
  <r>
    <s v="Scope 2"/>
    <s v="Scope 2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CO2"/>
    <s v="Σ.Ε. CO2 - Χώρας"/>
    <n v="2.5244139999999998E-4"/>
    <s v="tn CO2/KWh"/>
    <s v="ΔΑΠΕΕΠ 2024"/>
    <n v="67.72807788009672"/>
    <s v="-"/>
    <s v="-"/>
    <s v="-"/>
    <s v="-"/>
    <s v=""/>
    <n v="67.72807788009672"/>
  </r>
  <r>
    <s v="Scope 2"/>
    <s v="Scope 2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CH4"/>
    <s v="Σ.Ε. CH4 - Χώρας"/>
    <n v="6.3220000000000003E-9"/>
    <s v="tn CH4/KWh"/>
    <s v="Έκθεση ΔΑΠΕΕΠ 2022 και NIR 2022"/>
    <s v="-"/>
    <n v="1.6961437718138607E-3"/>
    <s v="-"/>
    <s v="-"/>
    <s v="-"/>
    <s v=""/>
    <n v="4.7492025610788101E-2"/>
  </r>
  <r>
    <s v="Scope 2"/>
    <s v="Scope 2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N2O"/>
    <s v="Σ.Ε. N2O - Χώρας"/>
    <n v="2.6031000000000002E-9"/>
    <s v="tn N2O/kWh"/>
    <s v="Έκθεση ΔΑΠΕΕΠ 2022 και NIR 2022"/>
    <s v="-"/>
    <s v="-"/>
    <n v="6.9839162486691887E-4"/>
    <s v="-"/>
    <s v="-"/>
    <s v=""/>
    <n v="0.18507378058973351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CO2"/>
    <s v="Σ.Ε. CO2 - Χώρας"/>
    <n v="2.5244139999999998E-4"/>
    <s v="tn CO2/KWh"/>
    <s v="ΔΑΠΕΕΠ 2024"/>
    <n v="1024.3909515470821"/>
    <s v="-"/>
    <s v="-"/>
    <s v="-"/>
    <s v="-"/>
    <s v=""/>
    <n v="1024.3909515470821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CH4"/>
    <s v="Σ.Ε. CH4 - Χώρας"/>
    <n v="6.3220000000000003E-9"/>
    <s v="tn CH4/KWh"/>
    <s v="Έκθεση ΔΑΠΕΕΠ 2022 και NIR 2022"/>
    <s v="-"/>
    <n v="2.5654269052860005E-2"/>
    <s v="-"/>
    <s v="-"/>
    <s v="-"/>
    <s v=""/>
    <n v="0.71831953348008015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N2O"/>
    <s v="Σ.Ε. N2O - Χώρας"/>
    <n v="2.6031000000000002E-9"/>
    <s v="tn N2O/kWh"/>
    <s v="Έκθεση ΔΑΠΕΕΠ 2022 και NIR 2022"/>
    <s v="-"/>
    <s v="-"/>
    <n v="1.0563212238453003E-2"/>
    <s v="-"/>
    <s v="-"/>
    <s v=""/>
    <n v="2.7992512431900458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CO2"/>
    <s v="Σ.Ε. CO2 - Χώρας"/>
    <n v="2.5244139999999998E-4"/>
    <s v="tn CO2/KWh"/>
    <s v="ΔΑΠΕΕΠ 2024"/>
    <n v="4291.4790238863561"/>
    <s v="-"/>
    <s v="-"/>
    <s v="-"/>
    <s v="-"/>
    <s v=""/>
    <n v="4291.4790238863561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CH4"/>
    <s v="Σ.Ε. CH4 - Χώρας"/>
    <n v="6.3220000000000003E-9"/>
    <s v="tn CH4/KWh"/>
    <s v="Έκθεση ΔΑΠΕΕΠ 2022 και NIR 2022"/>
    <s v="-"/>
    <n v="0.10747337952098802"/>
    <s v="-"/>
    <s v="-"/>
    <s v="-"/>
    <s v=""/>
    <n v="3.0092546265876647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N2O"/>
    <s v="Σ.Ε. N2O - Χώρας"/>
    <n v="2.6031000000000002E-9"/>
    <s v="tn N2O/kWh"/>
    <s v="Έκθεση ΔΑΠΕΕΠ 2022 και NIR 2022"/>
    <s v="-"/>
    <s v="-"/>
    <n v="4.4252444516147411E-2"/>
    <s v="-"/>
    <s v="-"/>
    <s v=""/>
    <n v="11.726897796779063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CO2"/>
    <s v="Σ.Ε. CO2 - Χώρας"/>
    <n v="2.5244139999999998E-4"/>
    <s v="tn CO2/KWh"/>
    <s v="ΔΑΠΕΕΠ 2024"/>
    <n v="66.188367990199993"/>
    <s v="-"/>
    <s v="-"/>
    <s v="-"/>
    <s v="-"/>
    <s v=""/>
    <n v="66.188367990199993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CH4"/>
    <s v="Σ.Ε. CH4 - Χώρας"/>
    <n v="6.3220000000000003E-9"/>
    <s v="tn CH4/KWh"/>
    <s v="Έκθεση ΔΑΠΕΕΠ 2022 και NIR 2022"/>
    <s v="-"/>
    <n v="1.657584146E-3"/>
    <s v="-"/>
    <s v="-"/>
    <s v="-"/>
    <s v=""/>
    <n v="4.6412356087999998E-2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N2O"/>
    <s v="Σ.Ε. N2O - Χώρας"/>
    <n v="2.6031000000000002E-9"/>
    <s v="tn N2O/kWh"/>
    <s v="Έκθεση ΔΑΠΕΕΠ 2022 και NIR 2022"/>
    <s v="-"/>
    <s v="-"/>
    <n v="6.825145983000001E-4"/>
    <s v="-"/>
    <s v="-"/>
    <s v=""/>
    <n v="0.18086636854950003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CO2"/>
    <s v="Σ.Ε. CO2 - Χώρας"/>
    <n v="2.5244139999999998E-4"/>
    <s v="tn CO2/KWh"/>
    <s v="ΔΑΠΕΕΠ 2024"/>
    <n v="536.36168720891988"/>
    <s v="-"/>
    <s v="-"/>
    <s v="-"/>
    <s v="-"/>
    <s v=""/>
    <n v="536.36168720891988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CH4"/>
    <s v="Σ.Ε. CH4 - Χώρας"/>
    <n v="6.3220000000000003E-9"/>
    <s v="tn CH4/KWh"/>
    <s v="Έκθεση ΔΑΠΕΕΠ 2022 και NIR 2022"/>
    <s v="-"/>
    <n v="1.34323394916E-2"/>
    <s v="-"/>
    <s v="-"/>
    <s v="-"/>
    <s v=""/>
    <n v="0.37610550576480001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N2O"/>
    <s v="Σ.Ε. N2O - Χώρας"/>
    <n v="2.6031000000000002E-9"/>
    <s v="tn N2O/kWh"/>
    <s v="Έκθεση ΔΑΠΕΕΠ 2022 και NIR 2022"/>
    <s v="-"/>
    <s v="-"/>
    <n v="5.5308008431800004E-3"/>
    <s v="-"/>
    <s v="-"/>
    <s v=""/>
    <n v="1.4656622234427001"/>
  </r>
  <r>
    <s v="Scope 2"/>
    <s v="Scope 2"/>
    <s v="Κύπρος"/>
    <x v="0"/>
    <x v="1"/>
    <s v="HELECTOR &amp; Subsidiaries"/>
    <s v="Indirect GHG emissions from purchased electricity"/>
    <s v="Electricity consumed in office buildings and projects"/>
    <x v="14"/>
    <n v="10571303"/>
    <s v="kWh"/>
    <s v="EAC"/>
    <s v="Electricity CY_CO2"/>
    <s v="Σ.Ε. CO2 - Χώρας"/>
    <n v="5.8641676308957902E-4"/>
    <s v="tn CO2/KWh"/>
    <s v="ΙΕΑ 2022"/>
    <n v="6199.1892868991563"/>
    <s v="-"/>
    <s v="-"/>
    <s v="-"/>
    <s v="-"/>
    <s v=""/>
    <n v="6199.1892868991563"/>
  </r>
  <r>
    <s v="Scope 2"/>
    <s v="Scope 2"/>
    <s v="Γερμανία"/>
    <x v="0"/>
    <x v="8"/>
    <s v="HELECTOR &amp; Subsidiaries"/>
    <s v="Indirect GHG emissions from purchased electricity"/>
    <s v="Electricity consumed in office buildings and projects"/>
    <x v="14"/>
    <n v="32192"/>
    <s v="kWh"/>
    <s v="EAM"/>
    <s v="Electricity DE_CO2"/>
    <s v="Σ.Ε. CO2 - Χώρας"/>
    <n v="3.2273012741700405E-4"/>
    <s v="tn CO2/KWh"/>
    <s v="ΙΕΑ 2022"/>
    <n v="10.389328261808194"/>
    <s v="-"/>
    <s v="-"/>
    <s v="-"/>
    <s v="-"/>
    <s v=""/>
    <n v="10.389328261808194"/>
  </r>
  <r>
    <s v="Scope 2"/>
    <s v="Scope 2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CO2"/>
    <s v="Σ.Ε. CO2 - Χώρας"/>
    <n v="2.5244139999999998E-4"/>
    <s v="tn CO2/KWh"/>
    <s v="ΔΑΠΕΕΠ 2024"/>
    <n v="2.5749022799999997E-2"/>
    <s v="-"/>
    <s v="-"/>
    <s v="-"/>
    <s v="-"/>
    <s v=""/>
    <n v="2.5749022799999997E-2"/>
  </r>
  <r>
    <s v="Scope 2"/>
    <s v="Scope 2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CH4"/>
    <s v="Σ.Ε. CH4 - Χώρας"/>
    <n v="6.3220000000000003E-9"/>
    <s v="tn CH4/KWh"/>
    <s v="Έκθεση ΔΑΠΕΕΠ 2022 και NIR 2022"/>
    <s v="-"/>
    <n v="6.44844E-7"/>
    <s v="-"/>
    <s v="-"/>
    <s v="-"/>
    <s v=""/>
    <n v="1.8055632000000001E-5"/>
  </r>
  <r>
    <s v="Scope 2"/>
    <s v="Scope 2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N2O"/>
    <s v="Σ.Ε. N2O - Χώρας"/>
    <n v="2.6031000000000002E-9"/>
    <s v="tn N2O/kWh"/>
    <s v="Έκθεση ΔΑΠΕΕΠ 2022 και NIR 2022"/>
    <s v="-"/>
    <s v="-"/>
    <n v="2.6551620000000004E-7"/>
    <s v="-"/>
    <s v="-"/>
    <s v=""/>
    <n v="7.0361793000000016E-5"/>
  </r>
  <r>
    <s v="Scope 2"/>
    <s v="Scope 2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CO2"/>
    <s v="Σ.Ε. CO2 - Χώρας"/>
    <n v="2.5244139999999998E-4"/>
    <s v="tn CO2/KWh"/>
    <s v="ΔΑΠΕΕΠ 2024"/>
    <n v="7.6469427208531702"/>
    <s v="-"/>
    <s v="-"/>
    <s v="-"/>
    <s v="-"/>
    <s v=""/>
    <n v="7.6469427208531702"/>
  </r>
  <r>
    <s v="Scope 2"/>
    <s v="Scope 2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CH4"/>
    <s v="Σ.Ε. CH4 - Χώρας"/>
    <n v="6.3220000000000003E-9"/>
    <s v="tn CH4/KWh"/>
    <s v="Έκθεση ΔΑΠΕΕΠ 2022 και NIR 2022"/>
    <s v="-"/>
    <n v="1.915057192728045E-4"/>
    <s v="-"/>
    <s v="-"/>
    <s v="-"/>
    <s v=""/>
    <n v="5.3621601396385259E-3"/>
  </r>
  <r>
    <s v="Scope 2"/>
    <s v="Scope 2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N2O"/>
    <s v="Σ.Ε. N2O - Χώρας"/>
    <n v="2.6031000000000002E-9"/>
    <s v="tn N2O/kWh"/>
    <s v="Έκθεση ΔΑΠΕΕΠ 2022 και NIR 2022"/>
    <s v="-"/>
    <s v="-"/>
    <n v="7.8852979727781931E-5"/>
    <s v="-"/>
    <s v="-"/>
    <s v=""/>
    <n v="2.0896039627862212E-2"/>
  </r>
  <r>
    <s v="Scope 2"/>
    <s v="Scope 2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CO2"/>
    <s v="Σ.Ε. CO2 - Χώρας"/>
    <n v="2.5244139999999998E-4"/>
    <s v="tn CO2/KWh"/>
    <s v="ΔΑΠΕΕΠ 2024"/>
    <n v="24.646964624159995"/>
    <s v="-"/>
    <s v="-"/>
    <s v="-"/>
    <s v="-"/>
    <s v=""/>
    <n v="24.646964624159995"/>
  </r>
  <r>
    <s v="Scope 2"/>
    <s v="Scope 2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CH4"/>
    <s v="Σ.Ε. CH4 - Χώρας"/>
    <n v="6.3220000000000003E-9"/>
    <s v="tn CH4/KWh"/>
    <s v="Έκθεση ΔΑΠΕΕΠ 2022 και NIR 2022"/>
    <s v="-"/>
    <n v="6.1724467680000002E-4"/>
    <s v="-"/>
    <s v="-"/>
    <s v="-"/>
    <s v=""/>
    <n v="1.7282850950400001E-2"/>
  </r>
  <r>
    <s v="Scope 2"/>
    <s v="Scope 2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N2O"/>
    <s v="Σ.Ε. N2O - Χώρας"/>
    <n v="2.6031000000000002E-9"/>
    <s v="tn N2O/kWh"/>
    <s v="Έκθεση ΔΑΠΕΕΠ 2022 και NIR 2022"/>
    <s v="-"/>
    <s v="-"/>
    <n v="2.5415210664E-4"/>
    <s v="-"/>
    <s v="-"/>
    <s v=""/>
    <n v="6.7350308259600006E-2"/>
  </r>
  <r>
    <s v="Scope 2"/>
    <s v="Scope 2"/>
    <s v="Ελλάδα"/>
    <x v="1"/>
    <x v="12"/>
    <s v="AO"/>
    <s v="Indirect GHG emissions from purchased electricity"/>
    <s v="Electricity consumed in office buildings and projects"/>
    <x v="16"/>
    <n v="24964867"/>
    <s v="kWh"/>
    <s v="VOLTERRA"/>
    <s v="VOLTERRA"/>
    <s v="Σ.Ε. CO2 - Χώρας"/>
    <n v="3.6363999999999998E-4"/>
    <s v="tn CO2/KWh"/>
    <s v="ΔΑΠΕΕΠ 2024"/>
    <n v="9078.2242358799995"/>
    <s v="-"/>
    <s v="-"/>
    <s v="-"/>
    <s v="-"/>
    <n v="9078.2242358799995"/>
    <n v="0"/>
  </r>
  <r>
    <s v="Scope 2"/>
    <s v="Scope 2"/>
    <s v="Ελλάδα"/>
    <x v="1"/>
    <x v="6"/>
    <s v="AKTOR CONCESSIONS"/>
    <s v="Indirect GHG emissions from purchased electricity"/>
    <s v="Electricity consumed in office buildings and projects"/>
    <x v="16"/>
    <n v="82089.878035182206"/>
    <s v="kWh"/>
    <s v="NRG"/>
    <s v="NRG "/>
    <s v="Σ.Ε. CO2 - Χώρας"/>
    <n v="3.6357999999999996E-4"/>
    <s v="tn CO2/KWh"/>
    <s v="ΔΑΠΕΕΠ 2024"/>
    <n v="29.846237856031543"/>
    <s v="-"/>
    <s v="-"/>
    <s v="-"/>
    <s v="-"/>
    <n v="29.846237856031543"/>
    <n v="0"/>
  </r>
  <r>
    <s v="Scope 2"/>
    <s v="Scope 2"/>
    <s v="Ελλάδα"/>
    <x v="1"/>
    <x v="3"/>
    <s v="MOREAS"/>
    <s v="Indirect GHG emissions from purchased electricity"/>
    <s v="Electricity consumed in office buildings and projects"/>
    <x v="16"/>
    <n v="10032391.66"/>
    <s v="kWh"/>
    <s v="NRG"/>
    <s v="NRG "/>
    <s v="Σ.Ε. CO2 - Χώρας"/>
    <n v="3.6357999999999996E-4"/>
    <s v="tn CO2/KWh"/>
    <s v="ΔΑΠΕΕΠ 2024"/>
    <n v="3647.5769597427998"/>
    <s v="-"/>
    <s v="-"/>
    <s v="-"/>
    <s v="-"/>
    <n v="3647.5769597427998"/>
    <n v="0"/>
  </r>
  <r>
    <s v="Scope 2"/>
    <s v="Scope 2"/>
    <s v="Ελλάδα"/>
    <x v="1"/>
    <x v="3"/>
    <s v="MOREAS"/>
    <s v="Indirect GHG emissions from purchased electricity"/>
    <s v="Electricity consumed in office buildings and projects"/>
    <x v="16"/>
    <n v="2925278.43"/>
    <s v="kWh"/>
    <s v="VOLTERRA"/>
    <s v="VOLTERRA"/>
    <s v="Σ.Ε. CO2 - Χώρας"/>
    <n v="3.6363999999999998E-4"/>
    <s v="tn CO2/KWh"/>
    <s v="ΔΑΠΕΕΠ 2024"/>
    <n v="1063.7482482851999"/>
    <s v="-"/>
    <s v="-"/>
    <s v="-"/>
    <s v="-"/>
    <n v="1063.7482482851999"/>
    <n v="0"/>
  </r>
  <r>
    <s v="Scope 2"/>
    <s v="Scope 2"/>
    <s v="Ελλάδα"/>
    <x v="1"/>
    <x v="5"/>
    <s v="MOREAS"/>
    <s v="Indirect GHG emissions from purchased electricity"/>
    <s v="Electricity consumed in office buildings and projects"/>
    <x v="16"/>
    <n v="7868.0394282922298"/>
    <s v="kWh"/>
    <s v="NRG"/>
    <s v="NRG "/>
    <s v="Σ.Ε. CO2 - Χώρας"/>
    <n v="3.6357999999999996E-4"/>
    <s v="tn CO2/KWh"/>
    <s v="ΔΑΠΕΕΠ 2024"/>
    <n v="2.8606617753384884"/>
    <s v="-"/>
    <s v="-"/>
    <s v="-"/>
    <s v="-"/>
    <n v="2.8606617753384884"/>
    <n v="0"/>
  </r>
  <r>
    <s v="Scope 2"/>
    <s v="Scope 2"/>
    <s v="Ελλάδα"/>
    <x v="1"/>
    <x v="9"/>
    <s v="AKTOR CONCESSIONS"/>
    <s v="Indirect GHG emissions from purchased electricity"/>
    <s v="Electricity consumed in office buildings and projects"/>
    <x v="16"/>
    <n v="37261.56"/>
    <s v="kWh"/>
    <s v="NRG"/>
    <s v="NRG "/>
    <s v="Σ.Ε. CO2 - Χώρας"/>
    <n v="3.6357999999999996E-4"/>
    <s v="tn CO2/KWh"/>
    <s v="ΔΑΠΕΕΠ 2024"/>
    <n v="13.547557984799997"/>
    <s v="-"/>
    <s v="-"/>
    <s v="-"/>
    <s v="-"/>
    <n v="13.547557984799997"/>
    <n v="0"/>
  </r>
  <r>
    <s v="Scope 2"/>
    <s v="Scope 2"/>
    <s v="Ελλάδα"/>
    <x v="1"/>
    <x v="9"/>
    <s v="AKTOR CONCESSIONS"/>
    <s v="Indirect GHG emissions from purchased electricity"/>
    <s v="Electricity consumed in office buildings and projects"/>
    <x v="16"/>
    <n v="80048.09"/>
    <s v="kWh"/>
    <s v="ΔΕΗ"/>
    <s v="DEI"/>
    <s v="Σ.Ε. CO2 - Χώρας"/>
    <n v="3.6319E-4"/>
    <s v="tn CO2/KWh"/>
    <s v="ΔΑΠΕΕΠ 2024"/>
    <n v="29.072665807099998"/>
    <s v="-"/>
    <s v="-"/>
    <s v="-"/>
    <s v="-"/>
    <n v="29.072665807099998"/>
    <n v="0"/>
  </r>
  <r>
    <s v="Scope 2"/>
    <s v="Scope 2"/>
    <s v="Ελλάδα"/>
    <x v="1"/>
    <x v="15"/>
    <s v="AKTOR CONCESSIONS"/>
    <s v="Indirect GHG emissions from purchased electricity"/>
    <s v="Electricity consumed in office buildings and projects"/>
    <x v="16"/>
    <n v="50842"/>
    <s v="kWh"/>
    <s v="ΔΕΗ"/>
    <s v="DEI"/>
    <s v="Σ.Ε. CO2 - Χώρας"/>
    <n v="3.6319E-4"/>
    <s v="tn CO2/KWh"/>
    <s v="ΔΑΠΕΕΠ 2024"/>
    <n v="18.46530598"/>
    <s v="-"/>
    <s v="-"/>
    <s v="-"/>
    <s v="-"/>
    <n v="18.46530598"/>
    <n v="0"/>
  </r>
  <r>
    <s v="Scope 2"/>
    <s v="Scope 2"/>
    <s v="Ελλάδα"/>
    <x v="1"/>
    <x v="13"/>
    <s v="AKTOR CONCESSIONS"/>
    <s v="Indirect GHG emissions from purchased electricity"/>
    <s v="Electricity consumed in office buildings and projects"/>
    <x v="16"/>
    <n v="287309"/>
    <s v="kWh"/>
    <s v="HERON"/>
    <s v="HERON"/>
    <s v="Σ.Ε. CO2 - Χώρας"/>
    <n v="3.6443000000000001E-4"/>
    <s v="tn CO2/KWh"/>
    <s v="ΔΑΠΕΕΠ 2025"/>
    <n v="104.70401887"/>
    <s v="-"/>
    <s v="-"/>
    <s v="-"/>
    <s v="-"/>
    <n v="104.70401887"/>
    <n v="0"/>
  </r>
  <r>
    <s v="Scope 2"/>
    <s v="Scope 2"/>
    <s v="Ελλάδα"/>
    <x v="1"/>
    <x v="14"/>
    <s v="AKTOR CONCESSIONS"/>
    <s v="Indirect GHG emissions from purchased electricity"/>
    <s v="Electricity consumed in office buildings and projects"/>
    <x v="16"/>
    <n v="213387"/>
    <s v="kWh"/>
    <s v="NRG"/>
    <s v="NRG "/>
    <s v="Σ.Ε. CO2 - Χώρας"/>
    <n v="3.6357999999999996E-4"/>
    <s v="tn CO2/KWh"/>
    <s v="ΔΑΠΕΕΠ 2024"/>
    <n v="77.583245459999986"/>
    <s v="-"/>
    <s v="-"/>
    <s v="-"/>
    <s v="-"/>
    <n v="77.583245459999986"/>
    <n v="0"/>
  </r>
  <r>
    <s v="Scope 2"/>
    <s v="Scope 2"/>
    <s v="Ρουμανία"/>
    <x v="2"/>
    <x v="16"/>
    <s v="ELLAKTOR S.A."/>
    <s v="Indirect GHG emissions from purchased electricity"/>
    <s v="Electricity consumed in office buildings and projects"/>
    <x v="16"/>
    <n v="30749"/>
    <s v="kWh"/>
    <s v="WERK ENERGY SRL"/>
    <s v="Electricity RO_CO2_market"/>
    <s v="Σ.Ε. CO2 - Χώρας"/>
    <n v="2.1253999999999999E-4"/>
    <s v="tn CO2/KWh"/>
    <s v="AIB 2023"/>
    <n v="6.5353924599999997"/>
    <s v="-"/>
    <s v="-"/>
    <s v="-"/>
    <s v="-"/>
    <n v="6.5353924599999997"/>
    <n v="0"/>
  </r>
  <r>
    <s v="Scope 2"/>
    <s v="Scope 2"/>
    <s v="Ελλάδα"/>
    <x v="2"/>
    <x v="4"/>
    <s v="ELLAKTOR S.A."/>
    <s v="Indirect GHG emissions from purchased electricity"/>
    <s v="Electricity consumed in office buildings and projects"/>
    <x v="16"/>
    <n v="268292.27646533703"/>
    <s v="kWh"/>
    <s v="NRG"/>
    <s v="NRG "/>
    <s v="Σ.Ε. CO2 - Χώρας"/>
    <n v="3.6357999999999996E-4"/>
    <s v="tn CO2/KWh"/>
    <s v="ΔΑΠΕΕΠ 2024"/>
    <n v="97.545705877267224"/>
    <s v="-"/>
    <s v="-"/>
    <s v="-"/>
    <s v="-"/>
    <n v="97.545705877267224"/>
    <n v="0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6"/>
    <n v="4057935.6300000004"/>
    <s v="kWh"/>
    <s v="NRG"/>
    <s v="NRG "/>
    <s v="Σ.Ε. CO2 - Χώρας"/>
    <n v="3.6357999999999996E-4"/>
    <s v="tn CO2/KWh"/>
    <s v="ΔΑΠΕΕΠ 2024"/>
    <n v="1475.3842363553999"/>
    <s v="-"/>
    <s v="-"/>
    <s v="-"/>
    <s v="-"/>
    <n v="1475.3842363553999"/>
    <n v="0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6"/>
    <n v="16999901.854000002"/>
    <s v="kWh"/>
    <s v="ΔΕΗ"/>
    <s v="DEI"/>
    <s v="Σ.Ε. CO2 - Χώρας"/>
    <n v="3.6319E-4"/>
    <s v="tn CO2/KWh"/>
    <s v="ΔΑΠΕΕΠ 2024"/>
    <n v="6174.1943543542611"/>
    <s v="-"/>
    <s v="-"/>
    <s v="-"/>
    <s v="-"/>
    <n v="6174.1943543542611"/>
    <n v="0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6"/>
    <n v="262193"/>
    <s v="kWh"/>
    <s v="ΖΕΝΙΘ"/>
    <s v="ZENITH"/>
    <s v="Σ.Ε. CO2 - Χώρας"/>
    <n v="3.9882999999999997E-4"/>
    <s v="tn CO2/KWh"/>
    <s v="ΔΑΠΕΕΠ 2024"/>
    <n v="104.57043419"/>
    <s v="-"/>
    <s v="-"/>
    <s v="-"/>
    <s v="-"/>
    <n v="104.57043419"/>
    <n v="0"/>
  </r>
  <r>
    <s v="Scope 2"/>
    <s v="Scope 2"/>
    <s v="Ελλάδα"/>
    <x v="0"/>
    <x v="0"/>
    <s v="HELECTOR &amp; Subsidiaries"/>
    <s v="Indirect GHG emissions from purchased electricity"/>
    <s v="Electricity consumed in office buildings and projects"/>
    <x v="16"/>
    <n v="2124697.7999999998"/>
    <s v="kWh"/>
    <s v="ΦΥΣΙΚΟ ΑΕΡΙΟ"/>
    <s v="FISIKO AERIO"/>
    <s v="Σ.Ε. CO2 - Χώρας"/>
    <n v="3.6382E-4"/>
    <s v="tn CO2/KWh"/>
    <s v="ΔΑΠΕΕΠ 2024"/>
    <n v="773.00755359599998"/>
    <s v="-"/>
    <s v="-"/>
    <s v="-"/>
    <s v="-"/>
    <n v="773.00755359599998"/>
    <n v="0"/>
  </r>
  <r>
    <s v="Scope 2"/>
    <s v="Scope 2"/>
    <s v="Κύπρος"/>
    <x v="0"/>
    <x v="1"/>
    <s v="HELECTOR &amp; Subsidiaries"/>
    <s v="Indirect GHG emissions from purchased electricity"/>
    <s v="Electricity consumed in office buildings and projects"/>
    <x v="16"/>
    <n v="10571303"/>
    <s v="kWh"/>
    <s v="EAC"/>
    <s v="Electricity CY_CO2_market"/>
    <s v="Σ.Ε. CO2 - Χώρας"/>
    <n v="5.9503403308806086E-4"/>
    <s v="tn CO2/KWh"/>
    <s v="AIB 2023"/>
    <n v="6290.2850590859171"/>
    <s v="-"/>
    <s v="-"/>
    <s v="-"/>
    <s v="-"/>
    <n v="6290.2850590859171"/>
    <n v="0"/>
  </r>
  <r>
    <s v="Scope 2"/>
    <s v="Scope 2"/>
    <s v="Γερμανία"/>
    <x v="0"/>
    <x v="8"/>
    <s v="HELECTOR &amp; Subsidiaries"/>
    <s v="Indirect GHG emissions from purchased electricity"/>
    <s v="Electricity consumed in office buildings and projects"/>
    <x v="16"/>
    <n v="32192"/>
    <s v="kWh"/>
    <s v="EAM"/>
    <s v="Electricity DE_CO2_market"/>
    <s v="Σ.Ε. CO2 - Χώρας"/>
    <n v="7.199030875218636E-4"/>
    <s v="tn CO2/KWh"/>
    <s v="AIB 2023"/>
    <n v="23.175120193503833"/>
    <s v="-"/>
    <s v="-"/>
    <s v="-"/>
    <s v="-"/>
    <n v="23.175120193503833"/>
    <n v="0"/>
  </r>
  <r>
    <s v="Scope 2"/>
    <s v="Scope 2"/>
    <s v="Ελλάδα"/>
    <x v="3"/>
    <x v="17"/>
    <s v="REDS"/>
    <s v="Indirect GHG emissions from purchased electricity"/>
    <s v="Electricity consumed in office buildings and projects"/>
    <x v="16"/>
    <n v="102"/>
    <s v="kWh"/>
    <s v="ΔΕΗ"/>
    <s v="DEI"/>
    <s v="Σ.Ε. CO2 - Χώρας"/>
    <n v="3.6319E-4"/>
    <s v="tn CO2/KWh"/>
    <s v="ΔΑΠΕΕΠ 2024"/>
    <n v="3.7045380000000003E-2"/>
    <s v="-"/>
    <s v="-"/>
    <s v="-"/>
    <s v="-"/>
    <n v="3.7045380000000003E-2"/>
    <n v="0"/>
  </r>
  <r>
    <s v="Scope 2"/>
    <s v="Scope 2"/>
    <s v="Ελλάδα"/>
    <x v="3"/>
    <x v="7"/>
    <s v="REDS"/>
    <s v="Indirect GHG emissions from purchased electricity"/>
    <s v="Electricity consumed in office buildings and projects"/>
    <x v="16"/>
    <n v="30291.9517989251"/>
    <s v="kWh"/>
    <s v="NRG"/>
    <s v="NRG "/>
    <s v="Σ.Ε. CO2 - Χώρας"/>
    <n v="3.6357999999999996E-4"/>
    <s v="tn CO2/KWh"/>
    <s v="ΔΑΠΕΕΠ 2024"/>
    <n v="11.013547835053187"/>
    <s v="-"/>
    <s v="-"/>
    <s v="-"/>
    <s v="-"/>
    <n v="11.013547835053187"/>
    <n v="0"/>
  </r>
  <r>
    <s v="Scope 2"/>
    <s v="Scope 2"/>
    <s v="Ελλάδα"/>
    <x v="3"/>
    <x v="11"/>
    <s v="REDS"/>
    <s v="Indirect GHG emissions from purchased electricity"/>
    <s v="Electricity consumed in office buildings and projects"/>
    <x v="16"/>
    <n v="97634.4"/>
    <s v="kWh"/>
    <s v="NRG"/>
    <s v="NRG "/>
    <s v="Σ.Ε. CO2 - Χώρας"/>
    <n v="3.6357999999999996E-4"/>
    <s v="tn CO2/KWh"/>
    <s v="ΔΑΠΕΕΠ 2024"/>
    <n v="35.49791515199999"/>
    <s v="-"/>
    <s v="-"/>
    <s v="-"/>
    <s v="-"/>
    <n v="35.49791515199999"/>
    <n v="0"/>
  </r>
  <r>
    <s v="Scope 3"/>
    <s v="Category 1"/>
    <s v="Ελλάδα"/>
    <x v="1"/>
    <x v="0"/>
    <s v="AKTOR CONCESSIONS"/>
    <s v="Indirect GHG emissions from Purchased Goods and Services"/>
    <s v="Production of purchased goods and services"/>
    <x v="17"/>
    <n v="2140456.7799999998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63.7554753269975"/>
    <s v=""/>
    <n v="363.7554753269975"/>
  </r>
  <r>
    <s v="Scope 3"/>
    <s v="Category 1"/>
    <s v="Ελλάδα"/>
    <x v="1"/>
    <x v="0"/>
    <s v="AKTOR CONCESSIONS"/>
    <s v="Indirect GHG emissions from Purchased Goods and Services"/>
    <s v="Production of purchased goods and services"/>
    <x v="17"/>
    <n v="986837.56999999972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414.96519818499985"/>
    <s v=""/>
    <n v="414.96519818499985"/>
  </r>
  <r>
    <s v="Scope 3"/>
    <s v="Category 1"/>
    <s v="Ελλάδα"/>
    <x v="1"/>
    <x v="0"/>
    <s v="AKTOR CONCESSIONS"/>
    <s v="Indirect GHG emissions from Purchased Goods and Services"/>
    <s v="Production of purchased goods and services"/>
    <x v="17"/>
    <n v="625050"/>
    <s v="EURO"/>
    <s v="advertising agencies"/>
    <s v="Production_advertising agencies"/>
    <s v="Σ.Ε. CO₂ eq"/>
    <n v="8.9505000000000004E-5"/>
    <s v="tn CO2 eq/ €"/>
    <s v="EPA 2022"/>
    <s v="-"/>
    <s v="-"/>
    <s v="-"/>
    <s v="-"/>
    <n v="55.945100250000003"/>
    <s v=""/>
    <n v="55.945100250000003"/>
  </r>
  <r>
    <s v="Scope 3"/>
    <s v="Category 1"/>
    <s v="Ελλάδα"/>
    <x v="1"/>
    <x v="0"/>
    <s v="AKTOR CONCESSIONS"/>
    <s v="Indirect GHG emissions from Purchased Goods and Services"/>
    <s v="Production of purchased goods and services"/>
    <x v="17"/>
    <n v="156189.16999999998"/>
    <s v="EURO"/>
    <s v="Legal services"/>
    <s v="Production_Legal services"/>
    <s v="Σ.Ε. CO₂ eq"/>
    <n v="5.8538760000000007E-5"/>
    <s v="tn CO2 eq/ €"/>
    <s v="BEIS 2021"/>
    <s v="-"/>
    <s v="-"/>
    <s v="-"/>
    <s v="-"/>
    <n v="9.1431203372292007"/>
    <s v=""/>
    <n v="9.1431203372292007"/>
  </r>
  <r>
    <s v="Scope 3"/>
    <s v="Category 1"/>
    <s v="Ελλάδα"/>
    <x v="1"/>
    <x v="0"/>
    <s v="AKTOR CONCESSIONS"/>
    <s v="Indirect GHG emissions from Purchased Goods and Services"/>
    <s v="Production of purchased goods and services"/>
    <x v="17"/>
    <n v="44905.10999999998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4.3271084895275997"/>
    <s v=""/>
    <n v="4.3271084895275997"/>
  </r>
  <r>
    <s v="Scope 3"/>
    <s v="Category 1"/>
    <s v="Ελλάδα"/>
    <x v="1"/>
    <x v="15"/>
    <s v="AKTOR CONCESSIONS"/>
    <s v="Indirect GHG emissions from Purchased Goods and Services"/>
    <s v="Production of purchased goods and services"/>
    <x v="17"/>
    <n v="7557.7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72827452060160014"/>
    <s v=""/>
    <n v="0.72827452060160014"/>
  </r>
  <r>
    <s v="Scope 3"/>
    <s v="Category 1"/>
    <s v="Ελλάδα"/>
    <x v="1"/>
    <x v="15"/>
    <s v="AKTOR CONCESSIONS"/>
    <s v="Indirect GHG emissions from Purchased Goods and Services"/>
    <s v="Production of purchased goods and services"/>
    <x v="17"/>
    <n v="8977.9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00835623"/>
    <s v=""/>
    <n v="2.00835623"/>
  </r>
  <r>
    <s v="Scope 3"/>
    <s v="Category 1"/>
    <s v="Ελλάδα"/>
    <x v="1"/>
    <x v="15"/>
    <s v="AKTOR CONCESSIONS"/>
    <s v="Indirect GHG emissions from Purchased Goods and Services"/>
    <s v="Production of purchased goods and services"/>
    <x v="17"/>
    <n v="1193.3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45298427199999997"/>
    <s v=""/>
    <n v="0.45298427199999997"/>
  </r>
  <r>
    <s v="Scope 3"/>
    <s v="Category 1"/>
    <s v="Ελλάδα"/>
    <x v="1"/>
    <x v="13"/>
    <s v="AKTOR CONCESSIONS"/>
    <s v="Indirect GHG emissions from Purchased Goods and Services"/>
    <s v="Production of purchased goods and services"/>
    <x v="17"/>
    <n v="21069"/>
    <s v="EURO"/>
    <s v="all other business support services"/>
    <s v="Production_all other business support services"/>
    <s v="Σ.Ε. CO₂ eq"/>
    <n v="1.16883E-4"/>
    <s v="tn CO2 eq/ €"/>
    <s v="EPA 2022"/>
    <s v="-"/>
    <s v="-"/>
    <s v="-"/>
    <s v="-"/>
    <n v="2.4626079270000001"/>
    <s v=""/>
    <n v="2.4626079270000001"/>
  </r>
  <r>
    <s v="Scope 3"/>
    <s v="Category 1"/>
    <s v="Ελλάδα"/>
    <x v="1"/>
    <x v="0"/>
    <s v="AKTOR CONCESSIONS"/>
    <s v="Indirect GHG emissions from Purchased Goods and Services"/>
    <s v="Production of purchased goods and services"/>
    <x v="17"/>
    <n v="9074.7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3.4447751000000002"/>
    <s v=""/>
    <n v="3.4447751000000002"/>
  </r>
  <r>
    <s v="Scope 3"/>
    <s v="Category 1"/>
    <s v="Ελλάδα"/>
    <x v="1"/>
    <x v="13"/>
    <s v="AKTOR CONCESSIONS"/>
    <s v="Indirect GHG emissions from Purchased Goods and Services"/>
    <s v="Production of purchased goods and services"/>
    <x v="17"/>
    <n v="24455.2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2.3565372217016005"/>
    <s v=""/>
    <n v="2.3565372217016005"/>
  </r>
  <r>
    <s v="Scope 3"/>
    <s v="Category 1"/>
    <s v="Ελλάδα"/>
    <x v="1"/>
    <x v="13"/>
    <s v="AKTOR CONCESSIONS"/>
    <s v="Indirect GHG emissions from Purchased Goods and Services"/>
    <s v="Production of purchased goods and services"/>
    <x v="17"/>
    <n v="9984.6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2335550200000003"/>
    <s v=""/>
    <n v="2.2335550200000003"/>
  </r>
  <r>
    <s v="Scope 3"/>
    <s v="Category 1"/>
    <s v="Ελλάδα"/>
    <x v="1"/>
    <x v="13"/>
    <s v="AKTOR CONCESSIONS"/>
    <s v="Indirect GHG emissions from Purchased Goods and Services"/>
    <s v="Production of purchased goods and services"/>
    <x v="17"/>
    <n v="2172.780000000000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82478728800000012"/>
    <s v=""/>
    <n v="0.82478728800000012"/>
  </r>
  <r>
    <s v="Scope 3"/>
    <s v="Category 1"/>
    <s v="Ελλάδα"/>
    <x v="1"/>
    <x v="18"/>
    <s v="AKTOR CONCESSIONS"/>
    <s v="Indirect GHG emissions from Purchased Goods and Services"/>
    <s v="Production of purchased goods and services"/>
    <x v="17"/>
    <n v="4113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39633345108000007"/>
    <s v=""/>
    <n v="0.39633345108000007"/>
  </r>
  <r>
    <s v="Scope 3"/>
    <s v="Category 1"/>
    <s v="Ελλάδα"/>
    <x v="1"/>
    <x v="18"/>
    <s v="AKTOR CONCESSIONS"/>
    <s v="Indirect GHG emissions from Purchased Goods and Services"/>
    <s v="Production of purchased goods and services"/>
    <x v="17"/>
    <n v="206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24348170000000002"/>
    <s v=""/>
    <n v="0.24348170000000002"/>
  </r>
  <r>
    <s v="Scope 3"/>
    <s v="Category 1"/>
    <s v="Ελλάδα"/>
    <x v="1"/>
    <x v="14"/>
    <s v="AKTOR CONCESSIONS"/>
    <s v="Indirect GHG emissions from Purchased Goods and Services"/>
    <s v="Production of purchased goods and services"/>
    <x v="17"/>
    <n v="5995.8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57776224312800017"/>
    <s v=""/>
    <n v="0.57776224312800017"/>
  </r>
  <r>
    <s v="Scope 3"/>
    <s v="Category 1"/>
    <s v="Ελλάδα"/>
    <x v="1"/>
    <x v="14"/>
    <s v="AKTOR CONCESSIONS"/>
    <s v="Indirect GHG emissions from Purchased Goods and Services"/>
    <s v="Production of purchased goods and services"/>
    <x v="17"/>
    <n v="1850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0.41688269999999999"/>
    <s v=""/>
    <n v="0.41688269999999999"/>
  </r>
  <r>
    <s v="Scope 3"/>
    <s v="Category 1"/>
    <s v="Ελλάδα"/>
    <x v="1"/>
    <x v="14"/>
    <s v="AKTOR CONCESSIONS"/>
    <s v="Indirect GHG emissions from Purchased Goods and Services"/>
    <s v="Production of purchased goods and services"/>
    <x v="17"/>
    <n v="13169.1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9459276700000001"/>
    <s v=""/>
    <n v="2.9459276700000001"/>
  </r>
  <r>
    <s v="Scope 3"/>
    <s v="Category 1"/>
    <s v="Ελλάδα"/>
    <x v="1"/>
    <x v="14"/>
    <s v="AKTOR CONCESSIONS"/>
    <s v="Indirect GHG emissions from Purchased Goods and Services"/>
    <s v="Production of purchased goods and services"/>
    <x v="17"/>
    <n v="1088.9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41335403200000004"/>
    <s v=""/>
    <n v="0.41335403200000004"/>
  </r>
  <r>
    <s v="Scope 3"/>
    <s v="Category 1"/>
    <s v="Ελλάδα"/>
    <x v="1"/>
    <x v="10"/>
    <s v="AKTOR CONCESSIONS"/>
    <s v="Indirect GHG emissions from Purchased Goods and Services"/>
    <s v="Production of purchased goods and services"/>
    <x v="17"/>
    <n v="228334.28333333335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8.803794845774"/>
    <s v=""/>
    <n v="38.803794845774"/>
  </r>
  <r>
    <s v="Scope 3"/>
    <s v="Category 1"/>
    <s v="Ελλάδα"/>
    <x v="1"/>
    <x v="10"/>
    <s v="AKTOR CONCESSIONS"/>
    <s v="Indirect GHG emissions from Purchased Goods and Services"/>
    <s v="Production of purchased goods and services"/>
    <x v="17"/>
    <n v="697020.35333333339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82.38432066223335"/>
    <s v=""/>
    <n v="82.38432066223335"/>
  </r>
  <r>
    <s v="Scope 3"/>
    <s v="Category 1"/>
    <s v="Ελλάδα"/>
    <x v="1"/>
    <x v="10"/>
    <s v="AKTOR CONCESSIONS"/>
    <s v="Indirect GHG emissions from Purchased Goods and Services"/>
    <s v="Production of purchased goods and services"/>
    <x v="17"/>
    <n v="54700.333333333336"/>
    <s v="EURO"/>
    <s v="Legal services"/>
    <s v="Production_Legal services"/>
    <s v="Σ.Ε. CO₂ eq"/>
    <n v="5.8538760000000007E-5"/>
    <s v="tn CO2 eq/ €"/>
    <s v="BEIS 2021"/>
    <s v="-"/>
    <s v="-"/>
    <s v="-"/>
    <s v="-"/>
    <n v="3.2020896849200007"/>
    <s v=""/>
    <n v="3.2020896849200007"/>
  </r>
  <r>
    <s v="Scope 3"/>
    <s v="Category 1"/>
    <s v="Ελλάδα"/>
    <x v="1"/>
    <x v="10"/>
    <s v="AKTOR CONCESSIONS"/>
    <s v="Indirect GHG emissions from Purchased Goods and Services"/>
    <s v="Production of purchased goods and services"/>
    <x v="17"/>
    <n v="8432.58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.8863681460000001"/>
    <s v=""/>
    <n v="1.8863681460000001"/>
  </r>
  <r>
    <s v="Scope 3"/>
    <s v="Category 1"/>
    <s v="Ελλάδα"/>
    <x v="1"/>
    <x v="10"/>
    <s v="AKTOR CONCESSIONS"/>
    <s v="Indirect GHG emissions from Purchased Goods and Services"/>
    <s v="Production of purchased goods and services"/>
    <x v="17"/>
    <n v="2094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.8086339999999996"/>
    <s v=""/>
    <n v="8.8086339999999996"/>
  </r>
  <r>
    <s v="Scope 3"/>
    <s v="Category 1"/>
    <s v="Ελλάδα"/>
    <x v="1"/>
    <x v="10"/>
    <s v="AKTOR CONCESSIONS"/>
    <s v="Indirect GHG emissions from Purchased Goods and Services"/>
    <s v="Production of purchased goods and services"/>
    <x v="17"/>
    <n v="407018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39.220726620880008"/>
    <s v=""/>
    <n v="39.220726620880008"/>
  </r>
  <r>
    <s v="Scope 3"/>
    <s v="Category 1"/>
    <s v="Ελλάδα"/>
    <x v="1"/>
    <x v="10"/>
    <s v="AKTOR CONCESSIONS"/>
    <s v="Indirect GHG emissions from Purchased Goods and Services"/>
    <s v="Production of purchased goods and services"/>
    <x v="17"/>
    <n v="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1.8979999999999999E-3"/>
    <s v=""/>
    <n v="1.8979999999999999E-3"/>
  </r>
  <r>
    <s v="Scope 3"/>
    <s v="Category 1"/>
    <s v="Ελλάδα"/>
    <x v="1"/>
    <x v="10"/>
    <s v="AKTOR CONCESSIONS"/>
    <s v="Indirect GHG emissions from Purchased Goods and Services"/>
    <s v="Production of purchased goods and services"/>
    <x v="17"/>
    <n v="96.960000000000008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2.6035214399999999E-2"/>
    <s v=""/>
    <n v="2.6035214399999999E-2"/>
  </r>
  <r>
    <s v="Scope 3"/>
    <s v="Category 1"/>
    <s v="Ελλάδα"/>
    <x v="1"/>
    <x v="12"/>
    <s v="AO"/>
    <s v="Indirect GHG emissions from Purchased Goods and Services"/>
    <s v="Production of purchased goods and services"/>
    <x v="17"/>
    <n v="1277741.94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11.67336781406"/>
    <s v=""/>
    <n v="111.67336781406"/>
  </r>
  <r>
    <s v="Scope 3"/>
    <s v="Category 1"/>
    <s v="Ελλάδα"/>
    <x v="1"/>
    <x v="12"/>
    <s v="AO"/>
    <s v="Indirect GHG emissions from Purchased Goods and Services"/>
    <s v="Production of purchased goods and services"/>
    <x v="17"/>
    <n v="205141.35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55.083529595249999"/>
    <s v=""/>
    <n v="55.083529595249999"/>
  </r>
  <r>
    <s v="Scope 3"/>
    <s v="Category 1"/>
    <s v="Ελλάδα"/>
    <x v="1"/>
    <x v="12"/>
    <s v="AO"/>
    <s v="Indirect GHG emissions from Purchased Goods and Services"/>
    <s v="Production of purchased goods and services"/>
    <x v="17"/>
    <n v="51682.46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1.561366302000001"/>
    <s v=""/>
    <n v="11.561366302000001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23296.620000000003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2.7229788354600002"/>
    <s v=""/>
    <n v="2.7229788354600002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12475.49"/>
    <s v="EURO"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3.5330587680000001"/>
    <s v=""/>
    <n v="3.5330587680000001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8520.59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6.1275086806024008"/>
    <s v=""/>
    <n v="6.1275086806024008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757.36"/>
    <s v="EURO"/>
    <s v="pharmacies and drug stores"/>
    <s v="Production_pharmacies and drug stores"/>
    <s v="Σ.Ε. CO₂ eq"/>
    <n v="1.3689E-4"/>
    <s v="tn CO2 eq/ €"/>
    <s v="EPA 2022"/>
    <s v="-"/>
    <s v="-"/>
    <s v="-"/>
    <s v="-"/>
    <n v="0.1036750104"/>
    <s v=""/>
    <n v="0.1036750104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282.41000000000003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0.22976877600000004"/>
    <s v=""/>
    <n v="0.22976877600000004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198442.00000000003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3.444861000000003"/>
    <s v=""/>
    <n v="83.444861000000003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403949.74"/>
    <s v="EURO"/>
    <s v="Legal services"/>
    <s v="Production_Legal services"/>
    <s v="Σ.Ε. CO₂ eq"/>
    <n v="5.8538760000000007E-5"/>
    <s v="tn CO2 eq/ €"/>
    <s v="BEIS 2021"/>
    <s v="-"/>
    <s v="-"/>
    <s v="-"/>
    <s v="-"/>
    <n v="23.646716881922401"/>
    <s v=""/>
    <n v="23.646716881922401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845481.03"/>
    <s v="EURO"/>
    <s v="all other business support services"/>
    <s v="Production_all other business support services"/>
    <s v="Σ.Ε. CO₂ eq"/>
    <n v="1.16883E-4"/>
    <s v="tn CO2 eq/ €"/>
    <s v="EPA 2022"/>
    <s v="-"/>
    <s v="-"/>
    <s v="-"/>
    <s v="-"/>
    <n v="98.822359229490004"/>
    <s v=""/>
    <n v="98.822359229490004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120693.56000000008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27.197328197520019"/>
    <s v=""/>
    <n v="27.197328197520019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1285027.0299999998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87.46054661099998"/>
    <s v=""/>
    <n v="287.46054661099998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456785.07"/>
    <s v="EURO"/>
    <s v="advertising agencies"/>
    <s v="Production_advertising agencies"/>
    <s v="Σ.Ε. CO₂ eq"/>
    <n v="8.9505000000000004E-5"/>
    <s v="tn CO2 eq/ €"/>
    <s v="EPA 2022"/>
    <s v="-"/>
    <s v="-"/>
    <s v="-"/>
    <s v="-"/>
    <n v="40.884547690350004"/>
    <s v=""/>
    <n v="40.884547690350004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50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59097500000000003"/>
    <s v=""/>
    <n v="0.59097500000000003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496200.46"/>
    <s v="EURO"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17.242469784540003"/>
    <s v=""/>
    <n v="17.242469784540003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428.68000000000035"/>
    <s v="EURO"/>
    <s v="direct life insurance carriers"/>
    <s v="Production_direct life insurance carriers"/>
    <s v="Σ.Ε. CO₂ eq"/>
    <n v="5.3702999999999997E-5"/>
    <s v="tn CO2 eq/ €"/>
    <s v="EPA 2022"/>
    <s v="-"/>
    <s v="-"/>
    <s v="-"/>
    <s v="-"/>
    <n v="2.3021402040000017E-2"/>
    <s v=""/>
    <n v="2.3021402040000017E-2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853865.41999999993"/>
    <s v="EURO"/>
    <s v="Rental and leasing services"/>
    <s v="Production_Rental and leasing services"/>
    <s v="Σ.Ε. CO₂ eq"/>
    <n v="1.5249303999999999E-4"/>
    <s v="tn CO2 eq/ €"/>
    <s v="BEIS 2021"/>
    <s v="-"/>
    <s v="-"/>
    <s v="-"/>
    <s v="-"/>
    <n v="130.20853364667678"/>
    <s v=""/>
    <n v="130.20853364667678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12133.559999999998"/>
    <s v="EURO"/>
    <s v="Rental of machinery and equipment (without operator) and of personal and household goods (services)"/>
    <s v="Production_Rental of machinery and equipment (without operator) and of personal and household goods (services)"/>
    <s v="Σ.Ε. CO₂ eq"/>
    <n v="2.7470000000000001E-4"/>
    <s v="tn CO2 eq/ €"/>
    <s v="EXIOBASE 2019 - CY"/>
    <s v="-"/>
    <s v="-"/>
    <s v="-"/>
    <s v="-"/>
    <n v="3.3330889319999994"/>
    <s v=""/>
    <n v="3.3330889319999994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120928.43999999999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45.904435823999997"/>
    <s v=""/>
    <n v="45.904435823999997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0"/>
    <s v="EURO"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0"/>
    <s v=""/>
    <n v="0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10612.36"/>
    <s v="EURO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18.65652888"/>
    <s v=""/>
    <n v="18.65652888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5330.75"/>
    <s v="EURO"/>
    <s v="other land transportation services"/>
    <s v="Production_other land transportation services"/>
    <s v="Σ.Ε. CO₂ eq"/>
    <n v="8.6430000000000003E-4"/>
    <s v="tn CO2 eq/ €"/>
    <s v="EXIOBASE 2019 - GR"/>
    <s v="-"/>
    <s v="-"/>
    <s v="-"/>
    <s v="-"/>
    <n v="4.607367225"/>
    <s v=""/>
    <n v="4.607367225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91824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5.704749648"/>
    <s v=""/>
    <n v="5.704749648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56331.98"/>
    <s v="EURO"/>
    <s v="Advertising and public relations"/>
    <s v="Production_Advertising and public relations"/>
    <s v="Σ.Ε. CO₂ eq"/>
    <n v="1.4172000000000002E-4"/>
    <s v="tn CO2 eq/ €"/>
    <s v="EPA 2018"/>
    <s v="-"/>
    <s v="-"/>
    <s v="-"/>
    <s v="-"/>
    <n v="7.9833682056000015"/>
    <s v=""/>
    <n v="7.9833682056000015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259572.91999999998"/>
    <s v="EURO"/>
    <s v="other grantmaking and giving services"/>
    <s v="Production_other grantmaking and giving services"/>
    <s v="Σ.Ε. CO₂ eq"/>
    <n v="6.2126999999999997E-5"/>
    <s v="tn CO2 eq/ €"/>
    <s v="EPA 2022"/>
    <s v="-"/>
    <s v="-"/>
    <s v="-"/>
    <s v="-"/>
    <n v="16.126486800839999"/>
    <s v=""/>
    <n v="16.126486800839999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80736.670000000013"/>
    <s v="EURO"/>
    <s v="convention and trade show organizers"/>
    <s v="Production_convention and trade show organizers"/>
    <s v="Σ.Ε. CO₂ eq"/>
    <n v="1.33731E-4"/>
    <s v="tn CO2 eq/ €"/>
    <s v="EPA 2022"/>
    <s v="-"/>
    <s v="-"/>
    <s v="-"/>
    <s v="-"/>
    <n v="10.796995615770001"/>
    <s v=""/>
    <n v="10.796995615770001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63326.91"/>
    <s v="EURO"/>
    <s v="hotel and restaurant (services)"/>
    <s v="Production_hotel and restaurant (services)"/>
    <s v="Σ.Ε. CO₂ eq"/>
    <n v="2.2110000000000001E-4"/>
    <s v="tn CO2 eq/ €"/>
    <s v="EXIOBASE 2019 - GR"/>
    <s v="-"/>
    <s v="-"/>
    <s v="-"/>
    <s v="-"/>
    <n v="14.001579801000002"/>
    <s v=""/>
    <n v="14.001579801000002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160434.63999999996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21.624022517759993"/>
    <s v=""/>
    <n v="21.624022517759993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93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4.0501500000000003E-2"/>
    <s v=""/>
    <n v="4.0501500000000003E-2"/>
  </r>
  <r>
    <s v="Scope 3"/>
    <s v="Category 1"/>
    <s v="Ελλάδα"/>
    <x v="2"/>
    <x v="0"/>
    <s v="ELLAKTOR S.A."/>
    <s v="Indirect GHG emissions from Purchased Goods and Services"/>
    <s v="Production of purchased goods and services"/>
    <x v="17"/>
    <n v="2797.6300000000028"/>
    <s v="EURO"/>
    <s v="supporting and auxiliary transport services/travel agency services"/>
    <s v="Production_supporting and auxiliary transport services/travel agency services"/>
    <s v="Σ.Ε. CO₂ eq"/>
    <n v="2.8909999999999999E-3"/>
    <s v="tn CO2 eq/ €"/>
    <s v="EXIOBASE 2019 - GR"/>
    <s v="-"/>
    <s v="-"/>
    <s v="-"/>
    <s v="-"/>
    <n v="8.0879483300000086"/>
    <s v=""/>
    <n v="8.0879483300000086"/>
  </r>
  <r>
    <s v="Scope 3"/>
    <s v="Category 1"/>
    <s v="Ελλάδα"/>
    <x v="2"/>
    <x v="19"/>
    <s v="ELLAKTOR S.A."/>
    <s v="Indirect GHG emissions from Purchased Goods and Services"/>
    <s v="Production of purchased goods and services"/>
    <x v="17"/>
    <n v="37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43732150000000009"/>
    <s v=""/>
    <n v="0.43732150000000009"/>
  </r>
  <r>
    <s v="Scope 3"/>
    <s v="Category 1"/>
    <s v="Ελλάδα"/>
    <x v="2"/>
    <x v="19"/>
    <s v="ELLAKTOR S.A."/>
    <s v="Indirect GHG emissions from Purchased Goods and Services"/>
    <s v="Production of purchased goods and services"/>
    <x v="17"/>
    <n v="113.25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7.0358827499999999E-3"/>
    <s v=""/>
    <n v="7.0358827499999999E-3"/>
  </r>
  <r>
    <s v="Scope 3"/>
    <s v="Category 1"/>
    <s v="Ελλάδα"/>
    <x v="2"/>
    <x v="19"/>
    <s v="ELLAKTOR S.A."/>
    <s v="Indirect GHG emissions from Purchased Goods and Services"/>
    <s v="Production of purchased goods and services"/>
    <x v="17"/>
    <n v="370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4.9870079999999997E-2"/>
    <s v=""/>
    <n v="4.9870079999999997E-2"/>
  </r>
  <r>
    <s v="Scope 3"/>
    <s v="Category 1"/>
    <s v="Ελλάδα"/>
    <x v="2"/>
    <x v="19"/>
    <s v="ELLAKTOR S.A."/>
    <s v="Indirect GHG emissions from Purchased Goods and Services"/>
    <s v="Production of purchased goods and services"/>
    <x v="17"/>
    <n v="10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4.3550000000000004E-3"/>
    <s v=""/>
    <n v="4.3550000000000004E-3"/>
  </r>
  <r>
    <s v="Scope 3"/>
    <s v="Category 1"/>
    <s v="Ελλάδα"/>
    <x v="2"/>
    <x v="20"/>
    <s v="ELLAKTOR S.A."/>
    <s v="Indirect GHG emissions from Purchased Goods and Services"/>
    <s v="Production of purchased goods and services"/>
    <x v="17"/>
    <n v="165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.3118942E-2"/>
    <s v=""/>
    <n v="2.3118942E-2"/>
  </r>
  <r>
    <s v="Scope 3"/>
    <s v="Category 1"/>
    <s v="Ελλάδα"/>
    <x v="2"/>
    <x v="20"/>
    <s v="ELLAKTOR S.A."/>
    <s v="Indirect GHG emissions from Purchased Goods and Services"/>
    <s v="Production of purchased goods and services"/>
    <x v="17"/>
    <n v="50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59097500000000003"/>
    <s v=""/>
    <n v="0.59097500000000003"/>
  </r>
  <r>
    <s v="Scope 3"/>
    <s v="Category 1"/>
    <s v="Ελλάδα"/>
    <x v="2"/>
    <x v="20"/>
    <s v="ELLAKTOR S.A."/>
    <s v="Indirect GHG emissions from Purchased Goods and Services"/>
    <s v="Production of purchased goods and services"/>
    <x v="17"/>
    <n v="14.489999999999998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9.0022022999999981E-4"/>
    <s v=""/>
    <n v="9.0022022999999981E-4"/>
  </r>
  <r>
    <s v="Scope 3"/>
    <s v="Category 1"/>
    <s v="Ελλάδα"/>
    <x v="2"/>
    <x v="20"/>
    <s v="ELLAKTOR S.A."/>
    <s v="Indirect GHG emissions from Purchased Goods and Services"/>
    <s v="Production of purchased goods and services"/>
    <x v="17"/>
    <n v="2019.5"/>
    <s v="EURO"/>
    <s v="Legal services"/>
    <s v="Production_Legal services"/>
    <s v="Σ.Ε. CO₂ eq"/>
    <n v="5.8538760000000007E-5"/>
    <s v="tn CO2 eq/ €"/>
    <s v="BEIS 2021"/>
    <s v="-"/>
    <s v="-"/>
    <s v="-"/>
    <s v="-"/>
    <n v="0.11821902582000002"/>
    <s v=""/>
    <n v="0.11821902582000002"/>
  </r>
  <r>
    <s v="Scope 3"/>
    <s v="Category 1"/>
    <s v="Ελλάδα"/>
    <x v="2"/>
    <x v="20"/>
    <s v="ELLAKTOR S.A."/>
    <s v="Indirect GHG emissions from Purchased Goods and Services"/>
    <s v="Production of purchased goods and services"/>
    <x v="17"/>
    <n v="620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8.3566079999999987E-2"/>
    <s v=""/>
    <n v="8.3566079999999987E-2"/>
  </r>
  <r>
    <s v="Scope 3"/>
    <s v="Category 1"/>
    <s v="Ελλάδα"/>
    <x v="2"/>
    <x v="20"/>
    <s v="ELLAKTOR S.A."/>
    <s v="Indirect GHG emissions from Purchased Goods and Services"/>
    <s v="Production of purchased goods and services"/>
    <x v="17"/>
    <n v="25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1.08875E-2"/>
    <s v=""/>
    <n v="1.08875E-2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191.72"/>
    <s v="EURO"/>
    <s v="adhesives"/>
    <s v="Production_adhesives"/>
    <s v="Σ.Ε. CO₂ eq"/>
    <n v="5.5914300000000001E-4"/>
    <s v="tn CO2 eq/ €"/>
    <s v="EPA 2022"/>
    <s v="-"/>
    <s v="-"/>
    <s v="-"/>
    <s v="-"/>
    <n v="1.7846278959599999"/>
    <s v=""/>
    <n v="1.7846278959599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5317.09"/>
    <s v="EURO"/>
    <s v="air and gas compressor manufacturing"/>
    <s v="Production_air and gas compressor manufacturing"/>
    <s v="Σ.Ε. CO₂ eq"/>
    <n v="1.8638099999999998E-4"/>
    <s v="tn CO2 eq/ €"/>
    <s v="EPA 2022"/>
    <s v="-"/>
    <s v="-"/>
    <s v="-"/>
    <s v="-"/>
    <n v="2.8548145512899996"/>
    <s v=""/>
    <n v="2.854814551289999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63924.249999999993"/>
    <s v="EURO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12.385451285999999"/>
    <s v=""/>
    <n v="12.385451285999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7345.980000000003"/>
    <s v="EURO"/>
    <s v="aluminium and aluminium products"/>
    <s v="Production_aluminium and aluminium products"/>
    <s v="Σ.Ε. CO₂ eq"/>
    <n v="1.2350000000000002E-3"/>
    <s v="tn CO2 eq/ €"/>
    <s v="EXIOBASE 2019 - GR"/>
    <s v="-"/>
    <s v="-"/>
    <s v="-"/>
    <s v="-"/>
    <n v="21.422285300000006"/>
    <s v=""/>
    <n v="21.42228530000000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69585.84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11.825620840252798"/>
    <s v=""/>
    <n v="11.825620840252798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63863.99"/>
    <s v="EURO"/>
    <s v="artificial and synthetic fibers and filaments manufacturing"/>
    <s v="Production_artificial and synthetic fibers and filaments manufacturing"/>
    <s v="Σ.Ε. CO₂ eq"/>
    <n v="9.4980599999999998E-4"/>
    <s v="tn CO2 eq/ €"/>
    <s v="EPA 2022"/>
    <s v="-"/>
    <s v="-"/>
    <s v="-"/>
    <s v="-"/>
    <n v="440.58080088593999"/>
    <s v=""/>
    <n v="440.58080088593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7698.240000000005"/>
    <s v="EURO"/>
    <s v="basic iron and steel and of ferroalloys and first products thereof"/>
    <s v="Production_basic iron and steel and of ferroalloys and first products thereof"/>
    <s v="Σ.Ε. CO₂ eq"/>
    <n v="8.1689999999999996E-4"/>
    <s v="tn CO2 eq/ €"/>
    <s v="EXIOBASE 2019 - GR"/>
    <s v="-"/>
    <s v="-"/>
    <s v="-"/>
    <s v="-"/>
    <n v="38.964692255999999"/>
    <s v=""/>
    <n v="38.964692255999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60177.16000000003"/>
    <s v="EURO"/>
    <s v="bitumen"/>
    <s v="Production_bitumen"/>
    <s v="Σ.Ε. CO₂ eq"/>
    <n v="1.655E-3"/>
    <s v="tn CO2 eq/ €"/>
    <s v="EXIOBASE 2019 - GR"/>
    <s v="-"/>
    <s v="-"/>
    <s v="-"/>
    <s v="-"/>
    <n v="761.59319980000009"/>
    <s v=""/>
    <n v="761.5931998000000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9975.080000000009"/>
    <s v="EURO"/>
    <s v="bolt/nut/screw/rivet and washer manufacturing"/>
    <s v="Production_bolt/nut/screw/rivet and washer manufacturing"/>
    <s v="Σ.Ε. CO₂ eq"/>
    <n v="2.6114399999999999E-4"/>
    <s v="tn CO2 eq/ €"/>
    <s v="EPA 2022"/>
    <s v="-"/>
    <s v="-"/>
    <s v="-"/>
    <s v="-"/>
    <n v="10.439252291520003"/>
    <s v=""/>
    <n v="10.439252291520003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915.12"/>
    <s v="EURO"/>
    <s v="bottled water manufacturing"/>
    <s v="Production_bottled water manufacturing"/>
    <s v=""/>
    <s v=""/>
    <s v=""/>
    <s v=""/>
    <s v="-"/>
    <s v="-"/>
    <s v="-"/>
    <s v="-"/>
    <s v="-"/>
    <s v=""/>
    <n v="0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4260.44"/>
    <s v="EURO"/>
    <s v="brick/stone and related construction material merchant wholesalers"/>
    <s v="Production_brick/stone and related construction material merchant wholesalers"/>
    <s v="Σ.Ε. CO₂ eq"/>
    <n v="1.1372399999999998E-4"/>
    <s v="tn CO2 eq/ €"/>
    <s v="EPA 2022"/>
    <s v="-"/>
    <s v="-"/>
    <s v="-"/>
    <s v="-"/>
    <n v="3.8962342785599997"/>
    <s v=""/>
    <n v="3.8962342785599997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65747.260000000009"/>
    <s v="EURO"/>
    <s v="capacitor/resistor/coil/transformer and other inductor manufacturing"/>
    <s v="Production_capacitor/resistor/coil/transformer and other inductor manufacturing"/>
    <s v="Σ.Ε. CO₂ eq"/>
    <n v="1.03194E-4"/>
    <s v="tn CO2 eq/ €"/>
    <s v="EPA 2022"/>
    <s v="-"/>
    <s v="-"/>
    <s v="-"/>
    <s v="-"/>
    <n v="6.784722748440001"/>
    <s v=""/>
    <n v="6.784722748440001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693722.55999999982"/>
    <s v="EURO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585.53044975837429"/>
    <s v=""/>
    <n v="585.5304497583742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167.92"/>
    <s v="EURO"/>
    <s v="chemical and fertilizer minerals/salt and other mining and quarrying products"/>
    <s v="Production_chemical and fertilizer minerals/salt and other mining and quarrying products"/>
    <s v="Σ.Ε. CO₂ eq"/>
    <n v="2.1090000000000002E-3"/>
    <s v="tn CO2 eq/ €"/>
    <s v="EXIOBASE 2019 - GR"/>
    <s v="-"/>
    <s v="-"/>
    <s v="-"/>
    <s v="-"/>
    <n v="4.5721432800000006"/>
    <s v=""/>
    <n v="4.572143280000000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40302.94"/>
    <s v="EURO"/>
    <s v="chemicals"/>
    <s v="Production_chemicals"/>
    <s v="Σ.Ε. CO₂ eq"/>
    <n v="6.8300000000000001E-4"/>
    <s v="tn CO2 eq/ €"/>
    <s v="EXIOBASE 2019 - GR"/>
    <s v="-"/>
    <s v="-"/>
    <s v="-"/>
    <s v="-"/>
    <n v="95.826908020000005"/>
    <s v=""/>
    <n v="95.826908020000005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760.2"/>
    <s v="EURO"/>
    <s v="coffee and tea manufacturing"/>
    <s v="Production_coffee and tea manufacturing"/>
    <s v="Σ.Ε. CO₂ eq"/>
    <n v="3.7170899999999996E-4"/>
    <s v="tn CO2 eq/ €"/>
    <s v="EPA 2022"/>
    <s v="-"/>
    <s v="-"/>
    <s v="-"/>
    <s v="-"/>
    <n v="1.3977001817999999"/>
    <s v=""/>
    <n v="1.3977001817999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092467.07"/>
    <s v="EURO"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156.45002416056005"/>
    <s v=""/>
    <n v="156.45002416056005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63419.3"/>
    <s v="EURO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12.3543967365"/>
    <s v=""/>
    <n v="12.3543967365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2676.510000000002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7.3097352870000014"/>
    <s v=""/>
    <n v="7.3097352870000014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9047.619999999995"/>
    <s v="EURO"/>
    <s v="computer/electronic and optical products"/>
    <s v="Production_computer/electronic and optical products"/>
    <s v="Σ.Ε. CO₂ eq"/>
    <n v="3.4710648E-4"/>
    <s v="tn CO2 eq/ €"/>
    <s v="BEIS 2021"/>
    <s v="-"/>
    <s v="-"/>
    <s v="-"/>
    <s v="-"/>
    <n v="17.024746730577597"/>
    <s v=""/>
    <n v="17.024746730577597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44815.51"/>
    <s v="EURO"/>
    <s v="construction work"/>
    <s v="Production_construction work"/>
    <s v="Σ.Ε. CO₂ eq"/>
    <n v="7.6829999999999997E-4"/>
    <s v="tn CO2 eq/ €"/>
    <s v="EXIOBASE 2019 - GR"/>
    <s v="-"/>
    <s v="-"/>
    <s v="-"/>
    <s v="-"/>
    <n v="188.09175633300001"/>
    <s v=""/>
    <n v="188.09175633300001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6420.880000000001"/>
    <s v="EURO"/>
    <s v="copper products"/>
    <s v="Production_copper products"/>
    <s v="Σ.Ε. CO₂ eq"/>
    <n v="1.5329999999999999E-3"/>
    <s v="tn CO2 eq/ €"/>
    <s v="EXIOBASE 2019 - GR"/>
    <s v="-"/>
    <s v="-"/>
    <s v="-"/>
    <s v="-"/>
    <n v="9.8432090400000014"/>
    <s v=""/>
    <n v="9.8432090400000014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5174.720000000001"/>
    <s v="EURO"/>
    <s v="Education"/>
    <s v="Production_Education"/>
    <s v="Σ.Ε. CO₂ eq"/>
    <n v="5.2500000000000002E-5"/>
    <s v="tn CO2 eq/ €"/>
    <s v="EXIOBASE 2019 - GR"/>
    <s v="-"/>
    <s v="-"/>
    <s v="-"/>
    <s v="-"/>
    <n v="0.79667280000000007"/>
    <s v=""/>
    <n v="0.79667280000000007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52292.509999999995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4.5703130814900002"/>
    <s v=""/>
    <n v="4.5703130814900002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2251.41"/>
    <s v="EURO"/>
    <s v="electrical contractors and other wiring installation contractors"/>
    <s v="Production_electrical contractors and other wiring installation contractors"/>
    <s v="Σ.Ε. CO₂ eq"/>
    <n v="2.3271299999999998E-4"/>
    <s v="tn CO2 eq/ €"/>
    <s v="EPA 2022"/>
    <s v="-"/>
    <s v="-"/>
    <s v="-"/>
    <s v="-"/>
    <n v="7.5053223753299996"/>
    <s v=""/>
    <n v="7.505322375329999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690887.3800000001"/>
    <s v="EURO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2304.6794989400005"/>
    <s v=""/>
    <n v="2304.6794989400005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9850.11"/>
    <s v="EURO"/>
    <s v="electronic connector manufacturing"/>
    <s v="Production_electronic connector manufacturing"/>
    <s v="Σ.Ε. CO₂ eq"/>
    <n v="1.03194E-4"/>
    <s v="tn CO2 eq/ €"/>
    <s v="EPA 2022"/>
    <s v="-"/>
    <s v="-"/>
    <s v="-"/>
    <s v="-"/>
    <n v="2.0484122513400003"/>
    <s v=""/>
    <n v="2.0484122513400003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88732.4"/>
    <s v="EURO"/>
    <s v="environmental consulting services"/>
    <s v="Production_environmental consulting services"/>
    <s v="Σ.Ε. CO₂ eq"/>
    <n v="9.4769999999999989E-5"/>
    <s v="tn CO2 eq/ €"/>
    <s v="EPA 2022"/>
    <s v="-"/>
    <s v="-"/>
    <s v="-"/>
    <s v="-"/>
    <n v="8.4091695479999977"/>
    <s v=""/>
    <n v="8.4091695479999977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89271.47"/>
    <s v="EURO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376.15190613599998"/>
    <s v=""/>
    <n v="376.15190613599998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948297.17"/>
    <s v="EURO"/>
    <s v="fabricated pipe and pipe fitting manufacturing"/>
    <s v="Production_fabricated pipe and pipe fitting manufacturing"/>
    <s v="Σ.Ε. CO₂ eq"/>
    <n v="2.5061399999999997E-4"/>
    <s v="tn CO2 eq/ €"/>
    <s v="EPA 2022"/>
    <s v="-"/>
    <s v="-"/>
    <s v="-"/>
    <s v="-"/>
    <n v="237.65654696237999"/>
    <s v=""/>
    <n v="237.65654696237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8668.919999999998"/>
    <s v="EURO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2.819961360000001"/>
    <s v=""/>
    <n v="32.819961360000001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547.0500000000002"/>
    <s v="EURO"/>
    <s v="gas/distribution of gaseous fuels through mains/steam and air conditioning supply"/>
    <s v="Production_gas/distribution of gaseous fuels through mains/steam and air conditioning supply"/>
    <s v="Σ.Ε. CO₂ eq"/>
    <n v="1.3813771999999999E-3"/>
    <s v="tn CO2 eq/ €"/>
    <s v="BEIS 2021"/>
    <s v="-"/>
    <s v="-"/>
    <s v="-"/>
    <s v="-"/>
    <n v="3.5184367972600001"/>
    <s v=""/>
    <n v="3.5184367972600001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82653.2"/>
    <s v="EURO"/>
    <s v="General warehousing and storage"/>
    <s v="Production_General warehousing and storage"/>
    <s v="Σ.Ε. CO₂ eq"/>
    <n v="2.5693199999999997E-4"/>
    <s v="tn CO2 eq/ €"/>
    <s v="EPA 2022"/>
    <s v="-"/>
    <s v="-"/>
    <s v="-"/>
    <s v="-"/>
    <n v="46.929451982399996"/>
    <s v=""/>
    <n v="46.92945198239999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6045.7999999999993"/>
    <s v="EURO"/>
    <s v="glass and glass products"/>
    <s v="Production_glass and glass products"/>
    <s v="Σ.Ε. CO₂ eq"/>
    <n v="8.1669999999999996E-4"/>
    <s v="tn CO2 eq/ €"/>
    <s v="EXIOBASE 2019 - GR"/>
    <s v="-"/>
    <s v="-"/>
    <s v="-"/>
    <s v="-"/>
    <n v="4.9376048599999995"/>
    <s v=""/>
    <n v="4.9376048599999995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39228.04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37.384817160600001"/>
    <s v=""/>
    <n v="37.384817160600001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641829.87999999989"/>
    <s v="EURO"/>
    <s v="hydraulic pumps/motors/cylinders and actuators"/>
    <s v="Production_hydraulic pumps/motors/cylinders and actuators"/>
    <s v="Σ.Ε. CO₂ eq"/>
    <n v="3.2831800000000008E-4"/>
    <s v="tn CO2 eq/ €"/>
    <s v="EPA 2018"/>
    <s v="-"/>
    <s v="-"/>
    <s v="-"/>
    <s v="-"/>
    <n v="210.72430254184002"/>
    <s v=""/>
    <n v="210.72430254184002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04084.07"/>
    <s v="EURO"/>
    <s v="industrial and commercial fan and blower and air purification equipment manufacturing"/>
    <s v="Production_industrial and commercial fan and blower and air purification equipment manufacturing"/>
    <s v="Σ.Ε. CO₂ eq"/>
    <n v="2.2112999999999999E-4"/>
    <s v="tn CO2 eq/ €"/>
    <s v="EPA 2022"/>
    <s v="-"/>
    <s v="-"/>
    <s v="-"/>
    <s v="-"/>
    <n v="45.1291103991"/>
    <s v=""/>
    <n v="45.1291103991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7050.73"/>
    <s v="EURO"/>
    <s v="industrial gas manufacturing"/>
    <s v="Production_industrial gas manufacturing"/>
    <s v="Σ.Ε. CO₂ eq"/>
    <n v="1.275183E-3"/>
    <s v="tn CO2 eq/ €"/>
    <s v="EPA 2022"/>
    <s v="-"/>
    <s v="-"/>
    <s v="-"/>
    <s v="-"/>
    <n v="21.742801033590002"/>
    <s v=""/>
    <n v="21.742801033590002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74073.289999999994"/>
    <s v="EURO"/>
    <s v="industrial valve manufacturing"/>
    <s v="Production_industrial valve manufacturing"/>
    <s v="Σ.Ε. CO₂ eq"/>
    <n v="1.8216899999999998E-4"/>
    <s v="tn CO2 eq/ €"/>
    <s v="EPA 2022"/>
    <s v="-"/>
    <s v="-"/>
    <s v="-"/>
    <s v="-"/>
    <n v="13.493857166009997"/>
    <s v=""/>
    <n v="13.493857166009997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9908.040000000008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8.9929575496800016"/>
    <s v=""/>
    <n v="8.992957549680001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200.58"/>
    <s v="EURO"/>
    <s v="lawn and garden tractor and home lawn and garden equipment manufacturing"/>
    <s v="Production_lawn and garden tractor and home lawn and garden equipment manufacturing"/>
    <s v="Σ.Ε. CO₂ eq"/>
    <n v="1.2636E-4"/>
    <s v="tn CO2 eq/ €"/>
    <s v="EPA 2022"/>
    <s v="-"/>
    <s v="-"/>
    <s v="-"/>
    <s v="-"/>
    <n v="0.4044252888"/>
    <s v=""/>
    <n v="0.4044252888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57751.77000000002"/>
    <s v="EURO"/>
    <s v="lubricants"/>
    <s v="Production_lubricants"/>
    <s v="Σ.Ε. CO₂ eq"/>
    <n v="1.6539999999999999E-3"/>
    <s v="tn CO2 eq/ €"/>
    <s v="EXIOBASE 2019 - GR"/>
    <s v="-"/>
    <s v="-"/>
    <s v="-"/>
    <s v="-"/>
    <n v="260.92142758"/>
    <s v=""/>
    <n v="260.92142758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317626.1800000006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2699.2206600480008"/>
    <s v=""/>
    <n v="2699.2206600480008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004.9600000000005"/>
    <s v="EURO"/>
    <s v="major household appliance manufacturing"/>
    <s v="Production_major household appliance manufacturing"/>
    <s v="Σ.Ε. CO₂ eq"/>
    <n v="1.8111599999999996E-4"/>
    <s v="tn CO2 eq/ €"/>
    <s v="EPA 2022"/>
    <s v="-"/>
    <s v="-"/>
    <s v="-"/>
    <s v="-"/>
    <n v="0.72536233535999994"/>
    <s v=""/>
    <n v="0.72536233535999994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8175.659999999996"/>
    <s v="EURO"/>
    <s v="metal window and door manufacturing"/>
    <s v="Production_metal window and door manufacturing"/>
    <s v="Σ.Ε. CO₂ eq"/>
    <n v="2.3271299999999998E-4"/>
    <s v="tn CO2 eq/ €"/>
    <s v="EPA 2022"/>
    <s v="-"/>
    <s v="-"/>
    <s v="-"/>
    <s v="-"/>
    <n v="8.8839723655799983"/>
    <s v=""/>
    <n v="8.8839723655799983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385426.33"/>
    <s v="EURO"/>
    <s v="mining support services"/>
    <s v="Production_mining support services"/>
    <s v="Σ.Ε. CO₂ eq"/>
    <n v="1.637538E-3"/>
    <s v="tn CO2 eq/ €"/>
    <s v="BEIS 2021"/>
    <s v="-"/>
    <s v="-"/>
    <s v="-"/>
    <s v="-"/>
    <n v="7181.3022615755399"/>
    <s v=""/>
    <n v="7181.30226157553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74171.07"/>
    <s v="EURO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130.20384114300001"/>
    <s v=""/>
    <n v="130.20384114300001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06464.91"/>
    <s v="EURO"/>
    <s v="nonspecified petroleum products"/>
    <s v="Production_nonspecified petroleum products"/>
    <s v="Σ.Ε. CO₂ eq"/>
    <n v="1.6539999999999999E-3"/>
    <s v="tn CO2 eq/ €"/>
    <s v="EXIOBASE 2019 - GR"/>
    <s v="-"/>
    <s v="-"/>
    <s v="-"/>
    <s v="-"/>
    <n v="341.49296113999998"/>
    <s v=""/>
    <n v="341.49296113999998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55862.43999999997"/>
    <s v="EURO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71.665549911999989"/>
    <s v=""/>
    <n v="71.66554991199998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569.2900000000018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53407232307000019"/>
    <s v=""/>
    <n v="0.5340723230700001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7748.920000000002"/>
    <s v="EURO"/>
    <s v="optical instrument and lens manufacturing"/>
    <s v="Production_optical instrument and lens manufacturing"/>
    <s v="Σ.Ε. CO₂ eq"/>
    <n v="1.8427499999999999E-4"/>
    <s v="tn CO2 eq/ €"/>
    <s v="EPA 2022"/>
    <s v="-"/>
    <s v="-"/>
    <s v="-"/>
    <s v="-"/>
    <n v="3.270682233"/>
    <s v=""/>
    <n v="3.270682233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49999.2799999998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105.12469723999995"/>
    <s v=""/>
    <n v="105.12469723999995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57879.09999999998"/>
    <s v="EURO"/>
    <s v="other crushed and broken stone mining and quarrying"/>
    <s v="Production_other crushed and broken stone mining and quarrying"/>
    <s v="Σ.Ε. CO₂ eq"/>
    <n v="2.93787E-4"/>
    <s v="tn CO2 eq/ €"/>
    <s v="EPA 2022"/>
    <s v="-"/>
    <s v="-"/>
    <s v="-"/>
    <s v="-"/>
    <n v="75.761527151699994"/>
    <s v=""/>
    <n v="75.761527151699994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43853.50999999998"/>
    <s v="EURO"/>
    <s v="other land transportation services"/>
    <s v="Production_other land transportation services"/>
    <s v="Σ.Ε. CO₂ eq"/>
    <n v="8.6430000000000003E-4"/>
    <s v="tn CO2 eq/ €"/>
    <s v="EXIOBASE 2019 - GR"/>
    <s v="-"/>
    <s v="-"/>
    <s v="-"/>
    <s v="-"/>
    <n v="124.33258869299999"/>
    <s v=""/>
    <n v="124.33258869299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170"/>
    <s v="EURO"/>
    <s v="other metal container manufacturing"/>
    <s v="Production_other metal container manufacturing"/>
    <s v="Σ.Ε. CO₂ eq"/>
    <n v="3.3485399999999999E-4"/>
    <s v="tn CO2 eq/ €"/>
    <s v="EPA 2022"/>
    <s v="-"/>
    <s v="-"/>
    <s v="-"/>
    <s v="-"/>
    <n v="0.72663317999999999"/>
    <s v=""/>
    <n v="0.72663317999999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666176.7199999981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33.45601788745572"/>
    <s v=""/>
    <n v="233.45601788745572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162"/>
    <s v="EURO"/>
    <s v="overhead traveling crane/hoist and monorail system manufacturing"/>
    <s v="Production_overhead traveling crane/hoist and monorail system manufacturing"/>
    <s v="Σ.Ε. CO₂ eq"/>
    <n v="2.6956799999999998E-4"/>
    <s v="tn CO2 eq/ €"/>
    <s v="EPA 2022"/>
    <s v="-"/>
    <s v="-"/>
    <s v="-"/>
    <s v="-"/>
    <n v="0.85237401599999996"/>
    <s v=""/>
    <n v="0.8523740159999999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786.24"/>
    <s v="EURO"/>
    <s v="paint/varnish and supplies merchant wholesalers"/>
    <s v="Production_paint/varnish and supplies merchant wholesalers"/>
    <s v="Σ.Ε. CO₂ eq"/>
    <n v="1.5163199999999999E-4"/>
    <s v="tn CO2 eq/ €"/>
    <s v="EPA 2022"/>
    <s v="-"/>
    <s v="-"/>
    <s v="-"/>
    <s v="-"/>
    <n v="0.72574714367999993"/>
    <s v=""/>
    <n v="0.72574714367999993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33757.73999999993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188.90149576999997"/>
    <s v=""/>
    <n v="188.90149576999997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50051.250000000007"/>
    <s v="EURO"/>
    <s v="pharmacies and drug stores"/>
    <s v="Production_pharmacies and drug stores"/>
    <s v="Σ.Ε. CO₂ eq"/>
    <n v="1.3689E-4"/>
    <s v="tn CO2 eq/ €"/>
    <s v="EPA 2022"/>
    <s v="-"/>
    <s v="-"/>
    <s v="-"/>
    <s v="-"/>
    <n v="6.851515612500001"/>
    <s v=""/>
    <n v="6.851515612500001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18495.9"/>
    <s v="EURO"/>
    <s v="plastics packaging film and sheet (including laminated) manufacturing"/>
    <s v="Production_plastics packaging film and sheet (including laminated) manufacturing"/>
    <s v="Σ.Ε. CO₂ eq"/>
    <n v="5.7283200000000012E-4"/>
    <s v="tn CO2 eq/ €"/>
    <s v="EPA 2022"/>
    <s v="-"/>
    <s v="-"/>
    <s v="-"/>
    <s v="-"/>
    <n v="67.878243388800016"/>
    <s v=""/>
    <n v="67.87824338880001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010.4"/>
    <s v="EURO"/>
    <s v="polystyrene foam product manufacturing"/>
    <s v="Production_polystyrene foam product manufacturing"/>
    <s v="Σ.Ε. CO₂ eq"/>
    <n v="2.8536300000000001E-4"/>
    <s v="tn CO2 eq/ €"/>
    <s v="EPA 2022"/>
    <s v="-"/>
    <s v="-"/>
    <s v="-"/>
    <s v="-"/>
    <n v="0.2883307752"/>
    <s v=""/>
    <n v="0.2883307752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280.730000000000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1.6249651080000003"/>
    <s v=""/>
    <n v="1.6249651080000003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73734.460000000006"/>
    <s v="EURO"/>
    <s v="power boiler and heat exchanger manufacturing"/>
    <s v="Production_power boiler and heat exchanger manufacturing"/>
    <s v="Σ.Ε. CO₂ eq"/>
    <n v="2.2007699999999997E-4"/>
    <s v="tn CO2 eq/ €"/>
    <s v="EPA 2022"/>
    <s v="-"/>
    <s v="-"/>
    <s v="-"/>
    <s v="-"/>
    <n v="16.227258753419999"/>
    <s v=""/>
    <n v="16.227258753419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4138.04"/>
    <s v="EURO"/>
    <s v="power-driven handtool manufacturing"/>
    <s v="Production_power-driven handtool manufacturing"/>
    <s v="Σ.Ε. CO₂ eq"/>
    <n v="1.4320800000000003E-4"/>
    <s v="tn CO2 eq/ €"/>
    <s v="EPA 2022"/>
    <s v="-"/>
    <s v="-"/>
    <s v="-"/>
    <s v="-"/>
    <n v="0.59260043232000015"/>
    <s v=""/>
    <n v="0.59260043232000015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723.1599999999999"/>
    <s v="EURO"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0.48799891199999995"/>
    <s v=""/>
    <n v="0.48799891199999995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0576.97"/>
    <s v="EURO"/>
    <s v="printing ink manufacturing"/>
    <s v="Production_printing ink manufacturing"/>
    <s v="Σ.Ε. CO₂ eq"/>
    <n v="4.06458E-4"/>
    <s v="tn CO2 eq/ €"/>
    <s v="EPA 2022"/>
    <s v="-"/>
    <s v="-"/>
    <s v="-"/>
    <s v="-"/>
    <n v="4.29909407226"/>
    <s v=""/>
    <n v="4.2990940722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630.97"/>
    <s v="EURO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0.212510696"/>
    <s v=""/>
    <n v="0.21251069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72484.12"/>
    <s v="EURO"/>
    <s v="Rental of machinery and equipment (without operator) and of personal and household goods (services)"/>
    <s v="Production_Rental of machinery and equipment (without operator) and of personal and household goods (services)"/>
    <s v="Σ.Ε. CO₂ eq"/>
    <n v="2.7470000000000001E-4"/>
    <s v="tn CO2 eq/ €"/>
    <s v="EXIOBASE 2019 - CY"/>
    <s v="-"/>
    <s v="-"/>
    <s v="-"/>
    <s v="-"/>
    <n v="19.911387764000001"/>
    <s v=""/>
    <n v="19.911387764000001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727.31"/>
    <s v="EURO"/>
    <s v="resin manufacturing"/>
    <s v="Production_resin manufacturing"/>
    <s v="Σ.Ε. CO₂ eq"/>
    <n v="1.1003849999999999E-3"/>
    <s v="tn CO2 eq/ €"/>
    <s v="EPA 2022"/>
    <s v="-"/>
    <s v="-"/>
    <s v="-"/>
    <s v="-"/>
    <n v="0.80032101434999992"/>
    <s v=""/>
    <n v="0.80032101434999992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88903.67"/>
    <s v="EURO"/>
    <s v="roofing/siding and insulation material merchant wholesalers"/>
    <s v="Production_roofing/siding and insulation material merchant wholesalers"/>
    <s v="Σ.Ε. CO₂ eq"/>
    <n v="1.1372399999999998E-4"/>
    <s v="tn CO2 eq/ €"/>
    <s v="EPA 2022"/>
    <s v="-"/>
    <s v="-"/>
    <s v="-"/>
    <s v="-"/>
    <n v="21.48288096708"/>
    <s v=""/>
    <n v="21.48288096708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143.28"/>
    <s v="EURO"/>
    <s v="rope/cordage/twine/tire cord and tire fabric mills"/>
    <s v="Production_rope/cordage/twine/tire cord and tire fabric mills"/>
    <s v="Σ.Ε. CO₂ eq"/>
    <n v="2.5587899999999998E-4"/>
    <s v="tn CO2 eq/ €"/>
    <s v="EPA 2022"/>
    <s v="-"/>
    <s v="-"/>
    <s v="-"/>
    <s v="-"/>
    <n v="0.80429934311999995"/>
    <s v=""/>
    <n v="0.80429934311999995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555276.58000000007"/>
    <s v="EURO"/>
    <s v="rubber and plastic products"/>
    <s v="Production_rubber and plastic products"/>
    <s v="Σ.Ε. CO₂ eq"/>
    <n v="8.7299999999999997E-4"/>
    <s v="tn CO2 eq/ €"/>
    <s v="EXIOBASE 2019 - GR"/>
    <s v="-"/>
    <s v="-"/>
    <s v="-"/>
    <s v="-"/>
    <n v="484.75645434000006"/>
    <s v=""/>
    <n v="484.7564543400000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21650.06999999995"/>
    <s v="EURO"/>
    <s v="rubber and plastics hoses and belting manufacturing"/>
    <s v="Production_rubber and plastics hoses and belting manufacturing"/>
    <s v="Σ.Ε. CO₂ eq"/>
    <n v="3.2537700000000001E-4"/>
    <s v="tn CO2 eq/ €"/>
    <s v="EPA 2022"/>
    <s v="-"/>
    <s v="-"/>
    <s v="-"/>
    <s v="-"/>
    <n v="72.11983482638999"/>
    <s v=""/>
    <n v="72.11983482638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77310.78000000014"/>
    <s v="EURO"/>
    <s v="Sale/maintenance/repair/parts/accessories of motor vehicles/motorcycles"/>
    <s v="Production_Sale/maintenance/repair/parts/accessories of motor vehicles/motorcycles"/>
    <s v="Σ.Ε. CO₂ eq"/>
    <n v="2.288E-4"/>
    <s v="tn CO2 eq/ €"/>
    <s v="EXIOBASE 2019 - GR"/>
    <s v="-"/>
    <s v="-"/>
    <s v="-"/>
    <s v="-"/>
    <n v="63.448706464000033"/>
    <s v=""/>
    <n v="63.448706464000033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77274.09"/>
    <s v="EURO"/>
    <s v="sand and clay"/>
    <s v="Production_sand and clay"/>
    <s v="Σ.Ε. CO₂ eq"/>
    <n v="1.887E-3"/>
    <s v="tn CO2 eq/ €"/>
    <s v="EXIOBASE 2019 - GR"/>
    <s v="-"/>
    <s v="-"/>
    <s v="-"/>
    <s v="-"/>
    <n v="334.51620782999998"/>
    <s v=""/>
    <n v="334.51620782999998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4426.020000000004"/>
    <s v="EURO"/>
    <s v="security systems services"/>
    <s v="Production_security systems services"/>
    <s v="Σ.Ε. CO₂ eq"/>
    <n v="7.792199999999999E-5"/>
    <s v="tn CO2 eq/ €"/>
    <s v="EPA 2022"/>
    <s v="-"/>
    <s v="-"/>
    <s v="-"/>
    <s v="-"/>
    <n v="1.90332433044"/>
    <s v=""/>
    <n v="1.90332433044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37964"/>
    <s v="EURO"/>
    <s v="septic tank and related services"/>
    <s v="Production_septic tank and related services"/>
    <s v=""/>
    <s v=""/>
    <s v=""/>
    <s v=""/>
    <s v="-"/>
    <s v="-"/>
    <s v="-"/>
    <s v="-"/>
    <s v="-"/>
    <s v=""/>
    <n v="0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59962.32"/>
    <s v="EURO"/>
    <s v="sign manufacturing"/>
    <s v="Production_sign manufacturing"/>
    <s v="Σ.Ε. CO₂ eq"/>
    <n v="2.6324999999999997E-4"/>
    <s v="tn CO2 eq/ €"/>
    <s v="EPA 2022"/>
    <s v="-"/>
    <s v="-"/>
    <s v="-"/>
    <s v="-"/>
    <n v="15.785080739999998"/>
    <s v=""/>
    <n v="15.785080739999998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0452.32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21.899522819955202"/>
    <s v=""/>
    <n v="21.899522819955202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51090.220000000008"/>
    <s v="EURO"/>
    <s v="software publishers"/>
    <s v="Production_software publishers"/>
    <s v="Σ.Ε. CO₂ eq"/>
    <n v="8.4240000000000007E-5"/>
    <s v="tn CO2 eq/ €"/>
    <s v="EPA 2022"/>
    <s v="-"/>
    <s v="-"/>
    <s v="-"/>
    <s v="-"/>
    <n v="4.3038401328000013"/>
    <s v=""/>
    <n v="4.3038401328000013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20190.72000000003"/>
    <s v="EURO"/>
    <s v="steel wire drawing"/>
    <s v="Production_steel wire drawing"/>
    <s v="Σ.Ε. CO₂ eq"/>
    <n v="3.7907999999999996E-4"/>
    <s v="tn CO2 eq/ €"/>
    <s v="EPA 2022"/>
    <s v="-"/>
    <s v="-"/>
    <s v="-"/>
    <s v="-"/>
    <n v="121.3778981376"/>
    <s v=""/>
    <n v="121.377898137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264.1599999999994"/>
    <s v="EURO"/>
    <s v="storage battery manufacturing"/>
    <s v="Production_storage battery manufacturing"/>
    <s v="Σ.Ε. CO₂ eq"/>
    <n v="3.5486099999999999E-4"/>
    <s v="tn CO2 eq/ €"/>
    <s v="EPA 2022"/>
    <s v="-"/>
    <s v="-"/>
    <s v="-"/>
    <s v="-"/>
    <n v="0.80346208175999978"/>
    <s v=""/>
    <n v="0.80346208175999978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66.34"/>
    <s v="EURO"/>
    <s v="sugar"/>
    <s v="Production_sugar"/>
    <s v=""/>
    <s v=""/>
    <s v=""/>
    <s v=""/>
    <s v="-"/>
    <s v="-"/>
    <s v="-"/>
    <s v="-"/>
    <s v="-"/>
    <s v=""/>
    <n v="0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65073.950000000004"/>
    <s v="EURO"/>
    <s v="testing laboratories"/>
    <s v="Production_testing laboratories"/>
    <s v="Σ.Ε. CO₂ eq"/>
    <n v="1.0845899999999999E-4"/>
    <s v="tn CO2 eq/ €"/>
    <s v="EPA 2022"/>
    <s v="-"/>
    <s v="-"/>
    <s v="-"/>
    <s v="-"/>
    <n v="7.0578555430499996"/>
    <s v=""/>
    <n v="7.0578555430499996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890.24"/>
    <s v="EURO"/>
    <s v="textiles"/>
    <s v="Production_textiles"/>
    <s v="Σ.Ε. CO₂ eq"/>
    <n v="5.3740000000000005E-4"/>
    <s v="tn CO2 eq/ €"/>
    <s v="EXIOBASE 2019 - GR"/>
    <s v="-"/>
    <s v="-"/>
    <s v="-"/>
    <s v="-"/>
    <n v="1.0158149760000001"/>
    <s v=""/>
    <n v="1.0158149760000001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83129.90999999997"/>
    <s v="EURO"/>
    <s v="tire dealers"/>
    <s v="Production_tire dealers"/>
    <s v="Σ.Ε. CO₂ eq"/>
    <n v="7.6868999999999999E-5"/>
    <s v="tn CO2 eq/ €"/>
    <s v="EPA 2022"/>
    <s v="-"/>
    <s v="-"/>
    <s v="-"/>
    <s v="-"/>
    <n v="14.077013051789997"/>
    <s v=""/>
    <n v="14.077013051789997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4964.57"/>
    <s v="EURO"/>
    <s v="totalizing fluid meter and counting device manufacturing"/>
    <s v="Production_totalizing fluid meter and counting device manufacturing"/>
    <s v="Σ.Ε. CO₂ eq"/>
    <n v="8.8451999999999999E-5"/>
    <s v="tn CO2 eq/ €"/>
    <s v="EPA 2022"/>
    <s v="-"/>
    <s v="-"/>
    <s v="-"/>
    <s v="-"/>
    <n v="2.2081661456399999"/>
    <s v=""/>
    <n v="2.2081661456399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3670.61"/>
    <s v="EURO"/>
    <s v="Waste collection/treatment and disposal services/materials recovery services"/>
    <s v="Production_Waste collection/treatment and disposal services/materials recovery services"/>
    <s v="Σ.Ε. CO₂ eq"/>
    <n v="1.1965631999999999E-3"/>
    <s v="tn CO2 eq/ €"/>
    <s v="BEIS 2021"/>
    <s v="-"/>
    <s v="-"/>
    <s v="-"/>
    <s v="-"/>
    <n v="28.323380847551999"/>
    <s v=""/>
    <n v="28.323380847551999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11402.529999999999"/>
    <s v="EURO"/>
    <s v="Water supply and irrigation systems"/>
    <s v="Production_Water supply and irrigation systems"/>
    <s v="Σ.Ε. CO₂ eq"/>
    <n v="6.0863399999999993E-4"/>
    <s v="tn CO2 eq/ €"/>
    <s v="EPA 2022"/>
    <s v="-"/>
    <s v="-"/>
    <s v="-"/>
    <s v="-"/>
    <n v="6.9399674440199988"/>
    <s v=""/>
    <n v="6.9399674440199988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230874.74000000002"/>
    <s v="EURO"/>
    <s v="Wearing apparel"/>
    <s v="Production_Wearing apparel"/>
    <s v="Σ.Ε. CO₂ eq"/>
    <n v="6.3481460000000003E-4"/>
    <s v="tn CO2 eq/ €"/>
    <s v="BEIS 2021"/>
    <s v="-"/>
    <s v="-"/>
    <s v="-"/>
    <s v="-"/>
    <n v="146.56265572320402"/>
    <s v=""/>
    <n v="146.56265572320402"/>
  </r>
  <r>
    <s v="Scope 3"/>
    <s v="Category 1"/>
    <s v="Ελλάδα"/>
    <x v="0"/>
    <x v="0"/>
    <s v="HELECTOR &amp; Subsidiaries"/>
    <s v="Indirect GHG emissions from Purchased Goods and Services"/>
    <s v="Production of purchased goods and services"/>
    <x v="17"/>
    <n v="3102.74"/>
    <s v="EURO"/>
    <s v="wood and products of wood/cork/straw/plaiting materials"/>
    <s v="Production_wood and products of wood/cork/straw/plaiting materials"/>
    <s v="Σ.Ε. CO₂ eq"/>
    <n v="6.715E-4"/>
    <s v="tn CO2 eq/ €"/>
    <s v="EXIOBASE 2019 - GR"/>
    <s v="-"/>
    <s v="-"/>
    <s v="-"/>
    <s v="-"/>
    <n v="2.0834899099999999"/>
    <s v=""/>
    <n v="2.0834899099999999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636405.41"/>
    <s v="EURO"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91.612451592090011"/>
    <s v=""/>
    <n v="91.612451592090011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675212.2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283.92676374000001"/>
    <s v=""/>
    <n v="283.92676374000001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459874.73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02.87397710100001"/>
    <s v=""/>
    <n v="102.87397710100001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405835.81"/>
    <s v="EURO"/>
    <s v="Legal services"/>
    <s v="Production_Legal services"/>
    <s v="Σ.Ε. CO₂ eq"/>
    <n v="5.8538760000000007E-5"/>
    <s v="tn CO2 eq/ €"/>
    <s v="BEIS 2021"/>
    <s v="-"/>
    <s v="-"/>
    <s v="-"/>
    <s v="-"/>
    <n v="23.757125080995603"/>
    <s v=""/>
    <n v="23.757125080995603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01752.28000000003"/>
    <s v="EURO"/>
    <s v="Sale/maintenance/repair/parts/accessories of motor vehicles/motorcycles"/>
    <s v="Production_Sale/maintenance/repair/parts/accessories of motor vehicles/motorcycles"/>
    <s v="Σ.Ε. CO₂ eq"/>
    <n v="2.288E-4"/>
    <s v="tn CO2 eq/ €"/>
    <s v="EXIOBASE 2019 - GR"/>
    <s v="-"/>
    <s v="-"/>
    <s v="-"/>
    <s v="-"/>
    <n v="46.160921664000007"/>
    <s v=""/>
    <n v="46.160921664000007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180199.55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5.248623908339997"/>
    <s v=""/>
    <n v="25.248623908339997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168852.78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10.49031666306"/>
    <s v=""/>
    <n v="10.49031666306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158791.66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18.768380253700002"/>
    <s v=""/>
    <n v="18.76838025370000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70672.13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26.827140548000003"/>
    <s v=""/>
    <n v="26.827140548000003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198747.39000000004"/>
    <s v="EURO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270.89269257000007"/>
    <s v=""/>
    <n v="270.89269257000007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6950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4.5799616939999996"/>
    <s v=""/>
    <n v="4.5799616939999996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1199.48"/>
    <s v="EURO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9.7475209039999999"/>
    <s v=""/>
    <n v="9.7475209039999999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1143.25"/>
    <s v="EURO"/>
    <s v="chemical and fertilizer minerals/salt and other mining and quarrying products"/>
    <s v="Production_chemical and fertilizer minerals/salt and other mining and quarrying products"/>
    <s v="Σ.Ε. CO₂ eq"/>
    <n v="2.1090000000000002E-3"/>
    <s v="tn CO2 eq/ €"/>
    <s v="EXIOBASE 2019 - GR"/>
    <s v="-"/>
    <s v="-"/>
    <s v="-"/>
    <s v="-"/>
    <n v="44.591114250000004"/>
    <s v=""/>
    <n v="44.591114250000004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36521.710000000006"/>
    <s v="EURO"/>
    <s v="tire dealers"/>
    <s v="Production_tire dealers"/>
    <s v="Σ.Ε. CO₂ eq"/>
    <n v="7.6868999999999999E-5"/>
    <s v="tn CO2 eq/ €"/>
    <s v="EPA 2022"/>
    <s v="-"/>
    <s v="-"/>
    <s v="-"/>
    <s v="-"/>
    <n v="2.8073873259900006"/>
    <s v=""/>
    <n v="2.8073873259900006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18678.250000000004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.6324603717500004"/>
    <s v=""/>
    <n v="1.6324603717500004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2518.75"/>
    <s v="EURO"/>
    <s v="capacitor/resistor/coil/transformer and other inductor manufacturing"/>
    <s v="Production_capacitor/resistor/coil/transformer and other inductor manufacturing"/>
    <s v="Σ.Ε. CO₂ eq"/>
    <n v="1.03194E-4"/>
    <s v="tn CO2 eq/ €"/>
    <s v="EPA 2022"/>
    <s v="-"/>
    <s v="-"/>
    <s v="-"/>
    <s v="-"/>
    <n v="2.3237998874999999"/>
    <s v=""/>
    <n v="2.3237998874999999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0010.54"/>
    <s v="EURO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6.7395498720000004"/>
    <s v=""/>
    <n v="6.7395498720000004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12825.98"/>
    <s v="EURO"/>
    <s v="totalizing fluid meter and counting device manufacturing"/>
    <s v="Production_totalizing fluid meter and counting device manufacturing"/>
    <s v="Σ.Ε. CO₂ eq"/>
    <n v="8.8451999999999999E-5"/>
    <s v="tn CO2 eq/ €"/>
    <s v="EPA 2022"/>
    <s v="-"/>
    <s v="-"/>
    <s v="-"/>
    <s v="-"/>
    <n v="1.13448358296"/>
    <s v=""/>
    <n v="1.13448358296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7075.950000000004"/>
    <s v="EURO"/>
    <s v="rubber and plastic products"/>
    <s v="Production_rubber and plastic products"/>
    <s v="Σ.Ε. CO₂ eq"/>
    <n v="8.7299999999999997E-4"/>
    <s v="tn CO2 eq/ €"/>
    <s v="EXIOBASE 2019 - GR"/>
    <s v="-"/>
    <s v="-"/>
    <s v="-"/>
    <s v="-"/>
    <n v="23.637304350000004"/>
    <s v=""/>
    <n v="23.637304350000004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13826.42"/>
    <s v="EURO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11.670068681560801"/>
    <s v=""/>
    <n v="11.670068681560801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8635.1500000000015"/>
    <s v="EURO"/>
    <s v="resin manufacturing"/>
    <s v="Production_resin manufacturing"/>
    <s v="Σ.Ε. CO₂ eq"/>
    <n v="1.1003849999999999E-3"/>
    <s v="tn CO2 eq/ €"/>
    <s v="EPA 2022"/>
    <s v="-"/>
    <s v="-"/>
    <s v="-"/>
    <s v="-"/>
    <n v="9.5019895327500006"/>
    <s v=""/>
    <n v="9.5019895327500006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46236.37"/>
    <s v="EURO"/>
    <s v="Wearing apparel"/>
    <s v="Production_Wearing apparel"/>
    <s v="Σ.Ε. CO₂ eq"/>
    <n v="6.3481460000000003E-4"/>
    <s v="tn CO2 eq/ €"/>
    <s v="BEIS 2021"/>
    <s v="-"/>
    <s v="-"/>
    <s v="-"/>
    <s v="-"/>
    <n v="29.351522727002003"/>
    <s v=""/>
    <n v="29.351522727002003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32165.789999999994"/>
    <s v="EURO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6.2660567209499982"/>
    <s v=""/>
    <n v="6.266056720949998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7702.9499999999989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3.3546347249999995"/>
    <s v=""/>
    <n v="3.3546347249999995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16408.599999999999"/>
    <s v="EURO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12.61493168"/>
    <s v=""/>
    <n v="12.61493168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2562.32"/>
    <s v="EURO"/>
    <s v="computer/electronic and optical products"/>
    <s v="Production_computer/electronic and optical products"/>
    <s v="Σ.Ε. CO₂ eq"/>
    <n v="3.4710648E-4"/>
    <s v="tn CO2 eq/ €"/>
    <s v="BEIS 2021"/>
    <s v="-"/>
    <s v="-"/>
    <s v="-"/>
    <s v="-"/>
    <n v="7.8315274758335995"/>
    <s v=""/>
    <n v="7.8315274758335995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4005"/>
    <s v="EURO"/>
    <s v="chemicals"/>
    <s v="Production_chemicals"/>
    <s v="Σ.Ε. CO₂ eq"/>
    <n v="6.8300000000000001E-4"/>
    <s v="tn CO2 eq/ €"/>
    <s v="EXIOBASE 2019 - GR"/>
    <s v="-"/>
    <s v="-"/>
    <s v="-"/>
    <s v="-"/>
    <n v="2.7354150000000002"/>
    <s v=""/>
    <n v="2.735415000000000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6457.3799999999992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5.2537243679999994"/>
    <s v=""/>
    <n v="5.2537243679999994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4181.84"/>
    <s v="EURO"/>
    <s v="plastics packaging film and sheet (including laminated) manufacturing"/>
    <s v="Production_plastics packaging film and sheet (including laminated) manufacturing"/>
    <s v="Σ.Ε. CO₂ eq"/>
    <n v="5.7283200000000012E-4"/>
    <s v="tn CO2 eq/ €"/>
    <s v="EPA 2022"/>
    <s v="-"/>
    <s v="-"/>
    <s v="-"/>
    <s v="-"/>
    <n v="2.3954917708800005"/>
    <s v=""/>
    <n v="2.3954917708800005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6266.71"/>
    <s v="EURO"/>
    <s v="lubricants"/>
    <s v="Production_lubricants"/>
    <s v="Σ.Ε. CO₂ eq"/>
    <n v="1.6539999999999999E-3"/>
    <s v="tn CO2 eq/ €"/>
    <s v="EXIOBASE 2019 - GR"/>
    <s v="-"/>
    <s v="-"/>
    <s v="-"/>
    <s v="-"/>
    <n v="10.36513834"/>
    <s v=""/>
    <n v="10.36513834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3659.38"/>
    <s v="EURO"/>
    <s v="other crushed and broken stone mining and quarrying"/>
    <s v="Production_other crushed and broken stone mining and quarrying"/>
    <s v="Σ.Ε. CO₂ eq"/>
    <n v="2.93787E-4"/>
    <s v="tn CO2 eq/ €"/>
    <s v="EPA 2022"/>
    <s v="-"/>
    <s v="-"/>
    <s v="-"/>
    <s v="-"/>
    <n v="1.0750782720600001"/>
    <s v=""/>
    <n v="1.0750782720600001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335.0100000000002"/>
    <s v="EURO"/>
    <s v="steel wire drawing"/>
    <s v="Production_steel wire drawing"/>
    <s v="Σ.Ε. CO₂ eq"/>
    <n v="3.7907999999999996E-4"/>
    <s v="tn CO2 eq/ €"/>
    <s v="EPA 2022"/>
    <s v="-"/>
    <s v="-"/>
    <s v="-"/>
    <s v="-"/>
    <n v="0.88515559079999995"/>
    <s v=""/>
    <n v="0.88515559079999995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6756.57"/>
    <s v="EURO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1.3090989506399999"/>
    <s v=""/>
    <n v="1.3090989506399999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3956.51"/>
    <s v="EURO"/>
    <s v="industrial and commercial fan and blower and air purification equipment manufacturing"/>
    <s v="Production_industrial and commercial fan and blower and air purification equipment manufacturing"/>
    <s v="Σ.Ε. CO₂ eq"/>
    <n v="2.2112999999999999E-4"/>
    <s v="tn CO2 eq/ €"/>
    <s v="EPA 2022"/>
    <s v="-"/>
    <s v="-"/>
    <s v="-"/>
    <s v="-"/>
    <n v="0.87490305629999998"/>
    <s v=""/>
    <n v="0.87490305629999998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630.7000000000003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1.8918451757520003"/>
    <s v=""/>
    <n v="1.8918451757520003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1141.6600000000001"/>
    <s v="EURO"/>
    <s v="copper products"/>
    <s v="Production_copper products"/>
    <s v="Σ.Ε. CO₂ eq"/>
    <n v="1.5329999999999999E-3"/>
    <s v="tn CO2 eq/ €"/>
    <s v="EXIOBASE 2019 - GR"/>
    <s v="-"/>
    <s v="-"/>
    <s v="-"/>
    <s v="-"/>
    <n v="1.75016478"/>
    <s v=""/>
    <n v="1.75016478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610.8500000000004"/>
    <s v="EURO"/>
    <s v="bitumen"/>
    <s v="Production_bitumen"/>
    <s v="Σ.Ε. CO₂ eq"/>
    <n v="1.655E-3"/>
    <s v="tn CO2 eq/ €"/>
    <s v="EXIOBASE 2019 - GR"/>
    <s v="-"/>
    <s v="-"/>
    <s v="-"/>
    <s v="-"/>
    <n v="4.3209567500000006"/>
    <s v=""/>
    <n v="4.3209567500000006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1461.57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17083268630999998"/>
    <s v=""/>
    <n v="0.17083268630999998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9289.43"/>
    <s v="EURO"/>
    <s v="sign manufacturing"/>
    <s v="Production_sign manufacturing"/>
    <s v="Σ.Ε. CO₂ eq"/>
    <n v="2.6324999999999997E-4"/>
    <s v="tn CO2 eq/ €"/>
    <s v="EPA 2022"/>
    <s v="-"/>
    <s v="-"/>
    <s v="-"/>
    <s v="-"/>
    <n v="2.4454424475000001"/>
    <s v=""/>
    <n v="2.4454424475000001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001.6199999999997"/>
    <s v="EURO"/>
    <s v="basic iron and steel and of ferroalloys and first products thereof"/>
    <s v="Production_basic iron and steel and of ferroalloys and first products thereof"/>
    <s v="Σ.Ε. CO₂ eq"/>
    <n v="8.1689999999999996E-4"/>
    <s v="tn CO2 eq/ €"/>
    <s v="EXIOBASE 2019 - GR"/>
    <s v="-"/>
    <s v="-"/>
    <s v="-"/>
    <s v="-"/>
    <n v="1.6351233779999996"/>
    <s v=""/>
    <n v="1.6351233779999996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3351.8599999999997"/>
    <s v="EURO"/>
    <s v="storage battery manufacturing"/>
    <s v="Production_storage battery manufacturing"/>
    <s v="Σ.Ε. CO₂ eq"/>
    <n v="3.5486099999999999E-4"/>
    <s v="tn CO2 eq/ €"/>
    <s v="EPA 2022"/>
    <s v="-"/>
    <s v="-"/>
    <s v="-"/>
    <s v="-"/>
    <n v="1.1894443914599999"/>
    <s v=""/>
    <n v="1.1894443914599999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072.2199999999998"/>
    <s v="EURO"/>
    <s v="bolt/nut/screw/rivet and washer manufacturing"/>
    <s v="Production_bolt/nut/screw/rivet and washer manufacturing"/>
    <s v="Σ.Ε. CO₂ eq"/>
    <n v="2.6114399999999999E-4"/>
    <s v="tn CO2 eq/ €"/>
    <s v="EPA 2022"/>
    <s v="-"/>
    <s v="-"/>
    <s v="-"/>
    <s v="-"/>
    <n v="0.54114781967999992"/>
    <s v=""/>
    <n v="0.5411478196799999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540"/>
    <s v="EURO"/>
    <s v="fabricated pipe and pipe fitting manufacturing"/>
    <s v="Production_fabricated pipe and pipe fitting manufacturing"/>
    <s v="Σ.Ε. CO₂ eq"/>
    <n v="2.5061399999999997E-4"/>
    <s v="tn CO2 eq/ €"/>
    <s v="EPA 2022"/>
    <s v="-"/>
    <s v="-"/>
    <s v="-"/>
    <s v="-"/>
    <n v="0.13533155999999999"/>
    <s v=""/>
    <n v="0.13533155999999999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609.16000000000008"/>
    <s v="EURO"/>
    <s v="textiles"/>
    <s v="Production_textiles"/>
    <s v="Σ.Ε. CO₂ eq"/>
    <n v="5.3740000000000005E-4"/>
    <s v="tn CO2 eq/ €"/>
    <s v="EXIOBASE 2019 - GR"/>
    <s v="-"/>
    <s v="-"/>
    <s v="-"/>
    <s v="-"/>
    <n v="0.32736258400000007"/>
    <s v=""/>
    <n v="0.32736258400000007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475"/>
    <s v="EURO"/>
    <s v="industrial valve manufacturing"/>
    <s v="Production_industrial valve manufacturing"/>
    <s v="Σ.Ε. CO₂ eq"/>
    <n v="1.8216899999999998E-4"/>
    <s v="tn CO2 eq/ €"/>
    <s v="EPA 2022"/>
    <s v="-"/>
    <s v="-"/>
    <s v="-"/>
    <s v="-"/>
    <n v="8.653027499999999E-2"/>
    <s v=""/>
    <n v="8.653027499999999E-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647.41999999999996"/>
    <s v="EURO"/>
    <s v="electronic connector manufacturing"/>
    <s v="Production_electronic connector manufacturing"/>
    <s v="Σ.Ε. CO₂ eq"/>
    <n v="1.03194E-4"/>
    <s v="tn CO2 eq/ €"/>
    <s v="EPA 2022"/>
    <s v="-"/>
    <s v="-"/>
    <s v="-"/>
    <s v="-"/>
    <n v="6.6809859479999997E-2"/>
    <s v=""/>
    <n v="6.6809859479999997E-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82.26"/>
    <s v="EURO"/>
    <s v="sand and clay"/>
    <s v="Production_sand and clay"/>
    <s v="Σ.Ε. CO₂ eq"/>
    <n v="1.887E-3"/>
    <s v="tn CO2 eq/ €"/>
    <s v="EXIOBASE 2019 - GR"/>
    <s v="-"/>
    <s v="-"/>
    <s v="-"/>
    <s v="-"/>
    <n v="0.53262461999999999"/>
    <s v=""/>
    <n v="0.53262461999999999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68.62"/>
    <s v="EURO"/>
    <s v="hydraulic pumps/motors/cylinders and actuators"/>
    <s v="Production_hydraulic pumps/motors/cylinders and actuators"/>
    <s v="Σ.Ε. CO₂ eq"/>
    <n v="3.2831800000000008E-4"/>
    <s v="tn CO2 eq/ €"/>
    <s v="EPA 2018"/>
    <s v="-"/>
    <s v="-"/>
    <s v="-"/>
    <s v="-"/>
    <n v="8.8192781160000025E-2"/>
    <s v=""/>
    <n v="8.8192781160000025E-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197.5"/>
    <s v="EURO"/>
    <s v="rubber and plastics hoses and belting manufacturing"/>
    <s v="Production_rubber and plastics hoses and belting manufacturing"/>
    <s v="Σ.Ε. CO₂ eq"/>
    <n v="3.2537700000000001E-4"/>
    <s v="tn CO2 eq/ €"/>
    <s v="EPA 2022"/>
    <s v="-"/>
    <s v="-"/>
    <s v="-"/>
    <s v="-"/>
    <n v="6.4261957500000008E-2"/>
    <s v=""/>
    <n v="6.4261957500000008E-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602.59999999999991"/>
    <s v="EURO"/>
    <s v="industrial gas manufacturing"/>
    <s v="Production_industrial gas manufacturing"/>
    <s v="Σ.Ε. CO₂ eq"/>
    <n v="1.275183E-3"/>
    <s v="tn CO2 eq/ €"/>
    <s v="EPA 2022"/>
    <s v="-"/>
    <s v="-"/>
    <s v="-"/>
    <s v="-"/>
    <n v="0.76842527579999986"/>
    <s v=""/>
    <n v="0.76842527579999986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250.45"/>
    <s v="EURO"/>
    <s v="power boiler and heat exchanger manufacturing"/>
    <s v="Production_power boiler and heat exchanger manufacturing"/>
    <s v="Σ.Ε. CO₂ eq"/>
    <n v="2.2007699999999997E-4"/>
    <s v="tn CO2 eq/ €"/>
    <s v="EPA 2022"/>
    <s v="-"/>
    <s v="-"/>
    <s v="-"/>
    <s v="-"/>
    <n v="5.5118284649999988E-2"/>
    <s v=""/>
    <n v="5.5118284649999988E-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94.82"/>
    <s v="EURO"/>
    <s v="artificial and synthetic fibers and filaments manufacturing"/>
    <s v="Production_artificial and synthetic fibers and filaments manufacturing"/>
    <s v="Σ.Ε. CO₂ eq"/>
    <n v="9.4980599999999998E-4"/>
    <s v="tn CO2 eq/ €"/>
    <s v="EPA 2022"/>
    <s v="-"/>
    <s v="-"/>
    <s v="-"/>
    <s v="-"/>
    <n v="9.0060604919999995E-2"/>
    <s v=""/>
    <n v="9.0060604919999995E-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74.039999999999992"/>
    <s v="EURO"/>
    <s v="wood and products of wood/cork/straw/plaiting materials"/>
    <s v="Production_wood and products of wood/cork/straw/plaiting materials"/>
    <s v="Σ.Ε. CO₂ eq"/>
    <n v="6.715E-4"/>
    <s v="tn CO2 eq/ €"/>
    <s v="EXIOBASE 2019 - GR"/>
    <s v="-"/>
    <s v="-"/>
    <s v="-"/>
    <s v="-"/>
    <n v="4.9717859999999996E-2"/>
    <s v=""/>
    <n v="4.9717859999999996E-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49.38"/>
    <s v="EURO"/>
    <s v="lawn and garden tractor and home lawn and garden equipment manufacturing"/>
    <s v="Production_lawn and garden tractor and home lawn and garden equipment manufacturing"/>
    <s v="Σ.Ε. CO₂ eq"/>
    <n v="1.2636E-4"/>
    <s v="tn CO2 eq/ €"/>
    <s v="EPA 2022"/>
    <s v="-"/>
    <s v="-"/>
    <s v="-"/>
    <s v="-"/>
    <n v="6.2396568000000008E-3"/>
    <s v=""/>
    <n v="6.2396568000000008E-3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97.12"/>
    <s v="EURO"/>
    <s v="adhesives"/>
    <s v="Production_adhesives"/>
    <s v="Σ.Ε. CO₂ eq"/>
    <n v="5.5914300000000001E-4"/>
    <s v="tn CO2 eq/ €"/>
    <s v="EPA 2022"/>
    <s v="-"/>
    <s v="-"/>
    <s v="-"/>
    <s v="-"/>
    <n v="5.430396816E-2"/>
    <s v=""/>
    <n v="5.430396816E-2"/>
  </r>
  <r>
    <s v="Scope 3"/>
    <s v="Category 1"/>
    <s v="Ελλάδα"/>
    <x v="1"/>
    <x v="3"/>
    <s v="MOREAS"/>
    <s v="Indirect GHG emissions from Purchased Goods and Services"/>
    <s v="Production of purchased goods and services"/>
    <x v="17"/>
    <n v="0"/>
    <s v="EURO"/>
    <s v="advertising and market research services"/>
    <s v="Production_advertising and market research services"/>
    <s v="Σ.Ε. CO₂ eq"/>
    <n v="1.0667636E-4"/>
    <s v="tn CO2 eq/ €"/>
    <s v="BEIS 2021"/>
    <s v="-"/>
    <s v="-"/>
    <s v="-"/>
    <s v="-"/>
    <n v="0"/>
    <s v=""/>
    <n v="0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905291"/>
    <m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87.234890897560021"/>
    <s v=""/>
    <n v="87.234890897560021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800531.79"/>
    <m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114.64255658232003"/>
    <s v=""/>
    <n v="114.64255658232003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308000"/>
    <m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52.342419359999994"/>
    <s v=""/>
    <n v="52.342419359999994"/>
  </r>
  <r>
    <s v="Scope 3"/>
    <s v="Category 1"/>
    <s v="Ελλάδα"/>
    <x v="3"/>
    <x v="0"/>
    <s v="REDS"/>
    <s v="Indirect GHG emissions from Purchased Goods and Services"/>
    <s v="Production of purchased goods and services"/>
    <x v="17"/>
    <n v="209269"/>
    <m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5.563784925479993"/>
    <s v=""/>
    <n v="35.563784925479993"/>
  </r>
  <r>
    <s v="Scope 3"/>
    <s v="Category 1"/>
    <s v="Ελλάδα"/>
    <x v="3"/>
    <x v="0"/>
    <s v="REDS"/>
    <s v="Indirect GHG emissions from Purchased Goods and Services"/>
    <s v="Production of purchased goods and services"/>
    <x v="17"/>
    <n v="183812.83000000002"/>
    <m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6.3873120296700012"/>
    <s v=""/>
    <n v="6.3873120296700012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234502.21"/>
    <m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8.14871729529"/>
    <s v=""/>
    <n v="8.14871729529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119771.37999999999"/>
    <m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16.781742954423997"/>
    <s v=""/>
    <n v="16.781742954423997"/>
  </r>
  <r>
    <s v="Scope 3"/>
    <s v="Category 1"/>
    <s v="Ελλάδα"/>
    <x v="3"/>
    <x v="0"/>
    <s v="REDS"/>
    <s v="Indirect GHG emissions from Purchased Goods and Services"/>
    <s v="Production of purchased goods and services"/>
    <x v="17"/>
    <n v="54298"/>
    <m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7.6079534103999995"/>
    <s v=""/>
    <n v="7.6079534103999995"/>
  </r>
  <r>
    <s v="Scope 3"/>
    <s v="Category 1"/>
    <s v="Ελλάδα"/>
    <x v="3"/>
    <x v="0"/>
    <s v="REDS"/>
    <s v="Indirect GHG emissions from Purchased Goods and Services"/>
    <s v="Production of purchased goods and services"/>
    <x v="17"/>
    <n v="49135"/>
    <m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5.807511325000001"/>
    <s v=""/>
    <n v="5.807511325000001"/>
  </r>
  <r>
    <s v="Scope 3"/>
    <s v="Category 1"/>
    <s v="Ελλάδα"/>
    <x v="3"/>
    <x v="0"/>
    <s v="REDS"/>
    <s v="Indirect GHG emissions from Purchased Goods and Services"/>
    <s v="Production of purchased goods and services"/>
    <x v="17"/>
    <n v="48046"/>
    <m/>
    <s v="Legal services"/>
    <s v="Production_Legal services"/>
    <s v="Σ.Ε. CO₂ eq"/>
    <n v="5.8538760000000007E-5"/>
    <s v="tn CO2 eq/ €"/>
    <s v="BEIS 2021"/>
    <s v="-"/>
    <s v="-"/>
    <s v="-"/>
    <s v="-"/>
    <n v="2.8125532629600003"/>
    <s v=""/>
    <n v="2.8125532629600003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45579.5"/>
    <m/>
    <s v="Legal services"/>
    <s v="Production_Legal services"/>
    <s v="Σ.Ε. CO₂ eq"/>
    <n v="5.8538760000000007E-5"/>
    <s v="tn CO2 eq/ €"/>
    <s v="BEIS 2021"/>
    <s v="-"/>
    <s v="-"/>
    <s v="-"/>
    <s v="-"/>
    <n v="2.6681674114200002"/>
    <s v=""/>
    <n v="2.6681674114200002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32681.89"/>
    <m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7.310938793"/>
    <s v=""/>
    <n v="7.310938793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27500"/>
    <m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3.2503625000000005"/>
    <s v=""/>
    <n v="3.2503625000000005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36334.680000000008"/>
    <m/>
    <s v="brick/stone and related construction material merchant wholesalers"/>
    <s v="Production_brick/stone and related construction material merchant wholesalers"/>
    <s v="Σ.Ε. CO₂ eq"/>
    <n v="1.1372399999999998E-4"/>
    <s v="tn CO2 eq/ €"/>
    <s v="EPA 2022"/>
    <s v="-"/>
    <s v="-"/>
    <s v="-"/>
    <s v="-"/>
    <n v="4.1321251483200001"/>
    <s v=""/>
    <n v="4.1321251483200001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42244.659999999996"/>
    <m/>
    <s v="environmental consulting services"/>
    <s v="Production_environmental consulting services"/>
    <s v="Σ.Ε. CO₂ eq"/>
    <n v="9.4769999999999989E-5"/>
    <s v="tn CO2 eq/ €"/>
    <s v="EPA 2022"/>
    <s v="-"/>
    <s v="-"/>
    <s v="-"/>
    <s v="-"/>
    <n v="4.0035264281999989"/>
    <s v=""/>
    <n v="4.0035264281999989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10569.41"/>
    <m/>
    <s v="Vehicle rental and leasing"/>
    <s v="Production_Vehicle rental and leasing"/>
    <s v="Σ.Ε. CO₂ eq"/>
    <n v="1.9958900000000002E-4"/>
    <s v="tn CO2 eq/ €"/>
    <s v="EPA 2018"/>
    <s v="-"/>
    <s v="-"/>
    <s v="-"/>
    <s v="-"/>
    <n v="2.1095379724900001"/>
    <s v=""/>
    <n v="2.1095379724900001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17860.78"/>
    <m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6.7799520879999999"/>
    <s v=""/>
    <n v="6.7799520879999999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18477.22"/>
    <m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.6148905507800002"/>
    <s v=""/>
    <n v="1.6148905507800002"/>
  </r>
  <r>
    <s v="Scope 3"/>
    <s v="Category 1"/>
    <s v="Ελλάδα"/>
    <x v="3"/>
    <x v="0"/>
    <s v="REDS"/>
    <s v="Indirect GHG emissions from Purchased Goods and Services"/>
    <s v="Production of purchased goods and services"/>
    <x v="17"/>
    <n v="6406"/>
    <m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.4330222000000001"/>
    <s v=""/>
    <n v="1.4330222000000001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12416.51"/>
    <m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1.45127893833"/>
    <s v=""/>
    <n v="1.45127893833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4411.99"/>
    <m/>
    <s v="bottled water manufacturing"/>
    <s v="Production_bottled water manufacturing"/>
    <s v=""/>
    <s v=""/>
    <s v=""/>
    <s v=""/>
    <s v="-"/>
    <s v="-"/>
    <s v="-"/>
    <s v="-"/>
    <s v="-"/>
    <s v=""/>
    <n v="0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4960"/>
    <m/>
    <s v="other grantmaking and giving services"/>
    <s v="Production_other grantmaking and giving services"/>
    <s v="Σ.Ε. CO₂ eq"/>
    <n v="6.2126999999999997E-5"/>
    <s v="tn CO2 eq/ €"/>
    <s v="EPA 2022"/>
    <s v="-"/>
    <s v="-"/>
    <s v="-"/>
    <s v="-"/>
    <n v="0.30814991999999997"/>
    <s v=""/>
    <n v="0.30814991999999997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7314.14"/>
    <m/>
    <s v="ship building and repairing"/>
    <s v="Production_ship building and repairing"/>
    <s v="Σ.Ε. CO₂ eq"/>
    <n v="2.06388E-4"/>
    <s v="tn CO2 eq/ €"/>
    <s v="EPA 2022"/>
    <s v="-"/>
    <s v="-"/>
    <s v="-"/>
    <s v="-"/>
    <n v="1.5095507263200001"/>
    <s v=""/>
    <n v="1.5095507263200001"/>
  </r>
  <r>
    <s v="Scope 3"/>
    <s v="Category 1"/>
    <s v="Ελλάδα"/>
    <x v="3"/>
    <x v="0"/>
    <s v="REDS"/>
    <s v="Indirect GHG emissions from Purchased Goods and Services"/>
    <s v="Production of purchased goods and services"/>
    <x v="17"/>
    <n v="2949.4799999999996"/>
    <m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34474407083999997"/>
    <s v=""/>
    <n v="0.34474407083999997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2000"/>
    <m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.516"/>
    <s v=""/>
    <n v="3.516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3364.1"/>
    <m/>
    <s v="Wearing apparel"/>
    <s v="Production_Wearing apparel"/>
    <s v="Σ.Ε. CO₂ eq"/>
    <n v="6.3481460000000003E-4"/>
    <s v="tn CO2 eq/ €"/>
    <s v="BEIS 2021"/>
    <s v="-"/>
    <s v="-"/>
    <s v="-"/>
    <s v="-"/>
    <n v="2.13557979586"/>
    <s v=""/>
    <n v="2.13557979586"/>
  </r>
  <r>
    <s v="Scope 3"/>
    <s v="Category 1"/>
    <s v="Ελλάδα"/>
    <x v="3"/>
    <x v="0"/>
    <s v="REDS"/>
    <s v="Indirect GHG emissions from Purchased Goods and Services"/>
    <s v="Production of purchased goods and services"/>
    <x v="17"/>
    <n v="1426.41"/>
    <m/>
    <s v="Janitorial services"/>
    <s v="Production_Janitorial services"/>
    <s v="Σ.Ε. CO₂ eq"/>
    <n v="2.2534199999999998E-4"/>
    <s v="tn CO2 eq/ €"/>
    <s v="EPA 2022"/>
    <s v="-"/>
    <s v="-"/>
    <s v="-"/>
    <s v="-"/>
    <n v="0.32143008222000002"/>
    <s v=""/>
    <n v="0.32143008222000002"/>
  </r>
  <r>
    <s v="Scope 3"/>
    <s v="Category 1"/>
    <s v="Ελλάδα"/>
    <x v="3"/>
    <x v="21"/>
    <s v="REDS"/>
    <s v="Indirect GHG emissions from Purchased Goods and Services"/>
    <s v="Production of purchased goods and services"/>
    <x v="17"/>
    <n v="2717.1"/>
    <m/>
    <s v="sign manufacturing"/>
    <s v="Production_sign manufacturing"/>
    <s v="Σ.Ε. CO₂ eq"/>
    <n v="2.6324999999999997E-4"/>
    <s v="tn CO2 eq/ €"/>
    <s v="EPA 2022"/>
    <s v="-"/>
    <s v="-"/>
    <s v="-"/>
    <s v="-"/>
    <n v="0.71527657499999986"/>
    <s v=""/>
    <n v="0.71527657499999986"/>
  </r>
  <r>
    <s v="Scope 3"/>
    <s v="Category 1"/>
    <s v="Ελλάδα"/>
    <x v="3"/>
    <x v="0"/>
    <s v="REDS"/>
    <s v="Indirect GHG emissions from Purchased Goods and Services"/>
    <s v="Production of purchased goods and services"/>
    <x v="17"/>
    <n v="687.26"/>
    <m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0.19463203200000001"/>
    <s v=""/>
    <n v="0.19463203200000001"/>
  </r>
  <r>
    <s v="Scope 3"/>
    <s v="Category 2"/>
    <s v="Ελλάδα"/>
    <x v="1"/>
    <x v="0"/>
    <m/>
    <s v="Indirect GHG emissions from Capital goods"/>
    <s v="Production of capital goods"/>
    <x v="18"/>
    <n v="201179.6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92.502380080000009"/>
    <s v=""/>
    <n v="92.502380080000009"/>
  </r>
  <r>
    <s v="Scope 3"/>
    <s v="Category 2"/>
    <s v="Ελλάδα"/>
    <x v="1"/>
    <x v="15"/>
    <m/>
    <s v="Indirect GHG emissions from Capital goods"/>
    <s v="Production of capital goods"/>
    <x v="18"/>
    <n v="1500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0.68969999999999998"/>
    <s v=""/>
    <n v="0.68969999999999998"/>
  </r>
  <r>
    <s v="Scope 3"/>
    <s v="Category 2"/>
    <s v="Ελλάδα"/>
    <x v="1"/>
    <x v="14"/>
    <m/>
    <s v="Indirect GHG emissions from Capital goods"/>
    <s v="Production of capital goods"/>
    <x v="18"/>
    <n v="4355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3.543228"/>
    <s v=""/>
    <n v="3.543228"/>
  </r>
  <r>
    <s v="Scope 3"/>
    <s v="Category 2"/>
    <s v="Ελλάδα"/>
    <x v="1"/>
    <x v="13"/>
    <m/>
    <s v="Indirect GHG emissions from Capital goods"/>
    <s v="Production of capital goods"/>
    <x v="18"/>
    <n v="7082.1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3.2563725699999999"/>
    <s v=""/>
    <n v="3.2563725699999999"/>
  </r>
  <r>
    <s v="Scope 3"/>
    <s v="Category 2"/>
    <s v="Ελλάδα"/>
    <x v="1"/>
    <x v="13"/>
    <m/>
    <s v="Indirect GHG emissions from Capital goods"/>
    <s v="Production of capital goods"/>
    <x v="18"/>
    <n v="38009.19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30.924276984000002"/>
    <s v=""/>
    <n v="30.924276984000002"/>
  </r>
  <r>
    <s v="Scope 3"/>
    <s v="Category 2"/>
    <s v="Ελλάδα"/>
    <x v="1"/>
    <x v="12"/>
    <s v="AO"/>
    <s v="Indirect GHG emissions from Capital goods"/>
    <s v="Production of capital goods"/>
    <x v="18"/>
    <n v="9806.74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4.6572208259999996"/>
    <s v=""/>
    <n v="4.6572208259999996"/>
  </r>
  <r>
    <s v="Scope 3"/>
    <s v="Category 2"/>
    <s v="Ελλάδα"/>
    <x v="1"/>
    <x v="12"/>
    <s v="AO"/>
    <s v="Indirect GHG emissions from Capital goods"/>
    <s v="Production of capital goods"/>
    <x v="18"/>
    <n v="5484.66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9.6420322800000005"/>
    <s v=""/>
    <n v="9.6420322800000005"/>
  </r>
  <r>
    <s v="Scope 3"/>
    <s v="Category 2"/>
    <s v="Ελλάδα"/>
    <x v="1"/>
    <x v="12"/>
    <s v="AO"/>
    <s v="Indirect GHG emissions from Capital goods"/>
    <s v="Production of capital goods"/>
    <x v="18"/>
    <n v="524780"/>
    <s v="€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176.745904"/>
    <s v=""/>
    <n v="176.745904"/>
  </r>
  <r>
    <s v="Scope 3"/>
    <s v="Category 2"/>
    <s v="Ελλάδα"/>
    <x v="1"/>
    <x v="12"/>
    <s v="AO"/>
    <s v="Indirect GHG emissions from Capital goods"/>
    <s v="Production of capital goods"/>
    <x v="18"/>
    <n v="13242.35"/>
    <s v="€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2.5657317972000002"/>
    <s v=""/>
    <n v="2.5657317972000002"/>
  </r>
  <r>
    <s v="Scope 3"/>
    <s v="Category 2"/>
    <s v="Ελλάδα"/>
    <x v="1"/>
    <x v="12"/>
    <s v="AO"/>
    <s v="Indirect GHG emissions from Capital goods"/>
    <s v="Production of capital goods"/>
    <x v="18"/>
    <n v="11947.96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5.4936720079999999"/>
    <s v=""/>
    <n v="5.4936720079999999"/>
  </r>
  <r>
    <s v="Scope 3"/>
    <s v="Category 2"/>
    <s v="Ελλάδα"/>
    <x v="1"/>
    <x v="12"/>
    <s v="AO"/>
    <s v="Indirect GHG emissions from Capital goods"/>
    <s v="Production of capital goods"/>
    <x v="18"/>
    <n v="1200"/>
    <s v="€"/>
    <s v="services to buildings and landscape"/>
    <s v="Production_services to buildings and landscape"/>
    <s v="Σ.Ε. CO₂ eq"/>
    <n v="1.6581684E-4"/>
    <s v="tn CO2 eq/ €"/>
    <s v="BEIS 2021"/>
    <s v="-"/>
    <s v="-"/>
    <s v="-"/>
    <s v="-"/>
    <n v="0.19898020799999999"/>
    <s v=""/>
    <n v="0.19898020799999999"/>
  </r>
  <r>
    <s v="Scope 3"/>
    <s v="Category 2"/>
    <s v="Ελλάδα"/>
    <x v="1"/>
    <x v="12"/>
    <s v="AO"/>
    <s v="Indirect GHG emissions from Capital goods"/>
    <s v="Production of capital goods"/>
    <x v="18"/>
    <n v="59724744.25"/>
    <s v="€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16036.989702288749"/>
    <s v=""/>
    <n v="16036.989702288749"/>
  </r>
  <r>
    <s v="Scope 3"/>
    <s v="Category 2"/>
    <s v="Ελλάδα"/>
    <x v="1"/>
    <x v="3"/>
    <s v="MOREAS"/>
    <s v="Indirect GHG emissions from Capital goods"/>
    <s v="Production of capital goods"/>
    <x v="18"/>
    <n v="5305.72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4.3167337920000008"/>
    <s v=""/>
    <n v="4.3167337920000008"/>
  </r>
  <r>
    <s v="Scope 3"/>
    <s v="Category 2"/>
    <s v="Ελλάδα"/>
    <x v="1"/>
    <x v="3"/>
    <s v="MOREAS"/>
    <s v="Indirect GHG emissions from Capital goods"/>
    <s v="Production of capital goods"/>
    <x v="18"/>
    <n v="1661932.8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789.25188672000002"/>
    <s v=""/>
    <n v="789.25188672000002"/>
  </r>
  <r>
    <s v="Scope 3"/>
    <s v="Category 2"/>
    <s v="Ελλάδα"/>
    <x v="1"/>
    <x v="3"/>
    <s v="MOREAS"/>
    <s v="Indirect GHG emissions from Capital goods"/>
    <s v="Production of capital goods"/>
    <x v="18"/>
    <n v="4398.75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7.7330025000000004"/>
    <s v=""/>
    <n v="7.7330025000000004"/>
  </r>
  <r>
    <s v="Scope 3"/>
    <s v="Category 2"/>
    <s v="Ελλάδα"/>
    <x v="1"/>
    <x v="3"/>
    <s v="MOREAS"/>
    <s v="Indirect GHG emissions from Capital goods"/>
    <s v="Production of capital goods"/>
    <x v="18"/>
    <n v="51339.0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23.605695190000002"/>
    <s v=""/>
    <n v="23.605695190000002"/>
  </r>
  <r>
    <s v="Scope 3"/>
    <s v="Category 2"/>
    <s v="Ελλάδα"/>
    <x v="1"/>
    <x v="3"/>
    <s v="MOREAS"/>
    <s v="Indirect GHG emissions from Capital goods"/>
    <s v="Production of capital goods"/>
    <x v="18"/>
    <n v="718.54"/>
    <s v="€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0.24200427199999999"/>
    <s v=""/>
    <n v="0.24200427199999999"/>
  </r>
  <r>
    <s v="Scope 3"/>
    <s v="Category 2"/>
    <s v="Ελλάδα"/>
    <x v="1"/>
    <x v="3"/>
    <s v="MOREAS"/>
    <s v="Indirect GHG emissions from Capital goods"/>
    <s v="Production of capital goods"/>
    <x v="18"/>
    <n v="3780.59"/>
    <s v="€"/>
    <s v="software publishers"/>
    <s v="Production_software publishers"/>
    <s v="Σ.Ε. CO₂ eq"/>
    <n v="8.4240000000000007E-5"/>
    <s v="tn CO2 eq/ €"/>
    <s v="EPA 2022"/>
    <s v="-"/>
    <s v="-"/>
    <s v="-"/>
    <s v="-"/>
    <n v="0.31847690160000003"/>
    <s v=""/>
    <n v="0.31847690160000003"/>
  </r>
  <r>
    <s v="Scope 3"/>
    <s v="Category 2"/>
    <s v="Ελλάδα"/>
    <x v="1"/>
    <x v="3"/>
    <s v="MOREAS"/>
    <s v="Indirect GHG emissions from Capital goods"/>
    <s v="Production of capital goods"/>
    <x v="18"/>
    <n v="169173"/>
    <s v="€"/>
    <s v="paint/varnish and supplies merchant wholesalers"/>
    <s v="Production_paint/varnish and supplies merchant wholesalers"/>
    <s v="Σ.Ε. CO₂ eq"/>
    <n v="1.5163199999999999E-4"/>
    <s v="tn CO2 eq/ €"/>
    <s v="EPA 2022"/>
    <s v="-"/>
    <s v="-"/>
    <s v="-"/>
    <s v="-"/>
    <n v="25.652040335999999"/>
    <s v=""/>
    <n v="25.652040335999999"/>
  </r>
  <r>
    <s v="Scope 3"/>
    <s v="Category 2"/>
    <s v="Ελλάδα"/>
    <x v="1"/>
    <x v="3"/>
    <s v="MOREAS"/>
    <s v="Indirect GHG emissions from Capital goods"/>
    <s v="Production of capital goods"/>
    <x v="18"/>
    <n v="50851.33"/>
    <s v="€"/>
    <s v="bitumen"/>
    <s v="Production_bitumen"/>
    <s v="Σ.Ε. CO₂ eq"/>
    <n v="1.655E-3"/>
    <s v="tn CO2 eq/ €"/>
    <s v="EXIOBASE 2019 - GR"/>
    <s v="-"/>
    <s v="-"/>
    <s v="-"/>
    <s v="-"/>
    <n v="84.158951150000007"/>
    <s v=""/>
    <n v="84.158951150000007"/>
  </r>
  <r>
    <s v="Scope 3"/>
    <s v="Category 2"/>
    <s v="Ελλάδα"/>
    <x v="1"/>
    <x v="3"/>
    <s v="MOREAS"/>
    <s v="Indirect GHG emissions from Capital goods"/>
    <s v="Production of capital goods"/>
    <x v="18"/>
    <n v="2550"/>
    <s v="€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1.9604400000000002"/>
    <s v=""/>
    <n v="1.9604400000000002"/>
  </r>
  <r>
    <s v="Scope 3"/>
    <s v="Category 2"/>
    <s v="Ελλάδα"/>
    <x v="1"/>
    <x v="3"/>
    <s v="MOREAS"/>
    <s v="Indirect GHG emissions from Capital goods"/>
    <s v="Production of capital goods"/>
    <x v="18"/>
    <n v="0"/>
    <s v="€"/>
    <s v="sign manufacturing"/>
    <s v="Production_sign manufacturing"/>
    <s v="Σ.Ε. CO₂ eq"/>
    <n v="2.6324999999999997E-4"/>
    <s v="tn CO2 eq/ €"/>
    <s v="EPA 2022"/>
    <s v="-"/>
    <s v="-"/>
    <s v="-"/>
    <s v="-"/>
    <n v="0"/>
    <s v=""/>
    <n v="0"/>
  </r>
  <r>
    <s v="Scope 3"/>
    <s v="Category 2"/>
    <s v="Ελλάδα"/>
    <x v="1"/>
    <x v="3"/>
    <s v="MOREAS"/>
    <s v="Indirect GHG emissions from Capital goods"/>
    <s v="Production of capital goods"/>
    <x v="18"/>
    <n v="124099.36"/>
    <s v="€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24.1751758248"/>
    <s v=""/>
    <n v="24.1751758248"/>
  </r>
  <r>
    <s v="Scope 3"/>
    <s v="Category 2"/>
    <s v="Ελλάδα"/>
    <x v="1"/>
    <x v="3"/>
    <s v="MOREAS"/>
    <s v="Indirect GHG emissions from Capital goods"/>
    <s v="Production of capital goods"/>
    <x v="18"/>
    <n v="49690.15"/>
    <s v="€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41.940535821786"/>
    <s v=""/>
    <n v="41.940535821786"/>
  </r>
  <r>
    <s v="Scope 3"/>
    <s v="Category 2"/>
    <s v="Ελλάδα"/>
    <x v="1"/>
    <x v="3"/>
    <s v="MOREAS"/>
    <s v="Indirect GHG emissions from Capital goods"/>
    <s v="Production of capital goods"/>
    <x v="18"/>
    <n v="6000"/>
    <s v="€"/>
    <s v="Water supply and irrigation systems"/>
    <s v="Production_Water supply and irrigation systems"/>
    <s v="Σ.Ε. CO₂ eq"/>
    <n v="6.0863399999999993E-4"/>
    <s v="tn CO2 eq/ €"/>
    <s v="EPA 2022"/>
    <s v="-"/>
    <s v="-"/>
    <s v="-"/>
    <s v="-"/>
    <n v="3.6518039999999994"/>
    <s v=""/>
    <n v="3.6518039999999994"/>
  </r>
  <r>
    <s v="Scope 3"/>
    <s v="Category 2"/>
    <s v="Ελλάδα"/>
    <x v="1"/>
    <x v="3"/>
    <s v="MOREAS"/>
    <s v="Indirect GHG emissions from Capital goods"/>
    <s v="Production of capital goods"/>
    <x v="18"/>
    <n v="30125.3"/>
    <s v="€"/>
    <s v="real estate services"/>
    <s v="Production_real estate services"/>
    <s v="Σ.Ε. CO₂ eq"/>
    <n v="2.43E-4"/>
    <s v="tn CO2 eq/ €"/>
    <s v="EXIOBASE 2019 - GR"/>
    <s v="-"/>
    <s v="-"/>
    <s v="-"/>
    <s v="-"/>
    <n v="7.3204478999999996"/>
    <s v=""/>
    <n v="7.3204478999999996"/>
  </r>
  <r>
    <s v="Scope 3"/>
    <s v="Category 2"/>
    <s v="Ελλάδα"/>
    <x v="1"/>
    <x v="3"/>
    <s v="MOREAS"/>
    <s v="Indirect GHG emissions from Capital goods"/>
    <s v="Production of capital goods"/>
    <x v="18"/>
    <n v="847641.91"/>
    <s v="€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89.61749526700001"/>
    <s v=""/>
    <n v="189.61749526700001"/>
  </r>
  <r>
    <s v="Scope 3"/>
    <s v="Category 2"/>
    <s v="Ελλάδα"/>
    <x v="1"/>
    <x v="3"/>
    <s v="MOREAS"/>
    <s v="Indirect GHG emissions from Capital goods"/>
    <s v="Production of capital goods"/>
    <x v="18"/>
    <n v="2398.4"/>
    <s v="€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3.2690192000000002"/>
    <s v=""/>
    <n v="3.2690192000000002"/>
  </r>
  <r>
    <s v="Scope 3"/>
    <s v="Category 2"/>
    <s v="Ελλάδα"/>
    <x v="2"/>
    <x v="0"/>
    <s v="ELLAKTOR S.A."/>
    <s v="Indirect GHG emissions from Capital goods"/>
    <s v="Production of capital goods"/>
    <x v="18"/>
    <n v="29397.440000000002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3.516942912000001"/>
    <s v=""/>
    <n v="13.516942912000001"/>
  </r>
  <r>
    <s v="Scope 3"/>
    <s v="Category 2"/>
    <s v="Ελλάδα"/>
    <x v="2"/>
    <x v="0"/>
    <s v="ELLAKTOR S.A."/>
    <s v="Indirect GHG emissions from Capital goods"/>
    <s v="Production of capital goods"/>
    <x v="18"/>
    <n v="6691.25"/>
    <s v="€"/>
    <s v="software publishers"/>
    <s v="Production_software publishers"/>
    <s v="Σ.Ε. CO₂ eq"/>
    <n v="8.4240000000000007E-5"/>
    <s v="tn CO2 eq/ €"/>
    <s v="EPA 2022"/>
    <s v="-"/>
    <s v="-"/>
    <s v="-"/>
    <s v="-"/>
    <n v="0.56367090000000009"/>
    <s v=""/>
    <n v="0.56367090000000009"/>
  </r>
  <r>
    <s v="Scope 3"/>
    <s v="Category 2"/>
    <s v="Ελλάδα"/>
    <x v="2"/>
    <x v="0"/>
    <s v="ELLAKTOR S.A."/>
    <s v="Indirect GHG emissions from Capital goods"/>
    <s v="Production of capital goods"/>
    <x v="18"/>
    <n v="4900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2.32701"/>
    <s v=""/>
    <n v="2.32701"/>
  </r>
  <r>
    <s v="Scope 3"/>
    <s v="Category 2"/>
    <s v="Ελλάδα"/>
    <x v="2"/>
    <x v="0"/>
    <s v="ELLAKTOR S.A."/>
    <s v="Indirect GHG emissions from Capital goods"/>
    <s v="Production of capital goods"/>
    <x v="18"/>
    <n v="197225"/>
    <s v="€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2.933112499999993"/>
    <s v=""/>
    <n v="82.933112499999993"/>
  </r>
  <r>
    <s v="Scope 3"/>
    <s v="Category 2"/>
    <s v="Ελλάδα"/>
    <x v="0"/>
    <x v="0"/>
    <s v="HELECTOR &amp; Subsidiaries"/>
    <s v="Indirect GHG emissions from Capital goods"/>
    <s v="Production of capital goods"/>
    <x v="18"/>
    <n v="2952216.3800000004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2401.9232467680004"/>
    <s v=""/>
    <n v="2401.9232467680004"/>
  </r>
  <r>
    <s v="Scope 3"/>
    <s v="Category 2"/>
    <s v="Ελλάδα"/>
    <x v="0"/>
    <x v="0"/>
    <s v="HELECTOR &amp; Subsidiaries"/>
    <s v="Indirect GHG emissions from Capital goods"/>
    <s v="Production of capital goods"/>
    <x v="18"/>
    <n v="103556.2205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49.178849115449999"/>
    <s v=""/>
    <n v="49.178849115449999"/>
  </r>
  <r>
    <s v="Scope 3"/>
    <s v="Category 2"/>
    <s v="Ελλάδα"/>
    <x v="0"/>
    <x v="0"/>
    <s v="HELECTOR &amp; Subsidiaries"/>
    <s v="Indirect GHG emissions from Capital goods"/>
    <s v="Production of capital goods"/>
    <x v="18"/>
    <n v="137653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241.99397400000001"/>
    <s v=""/>
    <n v="241.99397400000001"/>
  </r>
  <r>
    <s v="Scope 3"/>
    <s v="Category 2"/>
    <s v="Ελλάδα"/>
    <x v="0"/>
    <x v="0"/>
    <s v="HELECTOR &amp; Subsidiaries"/>
    <s v="Indirect GHG emissions from Capital goods"/>
    <s v="Production of capital goods"/>
    <x v="18"/>
    <n v="130908.51"/>
    <s v="€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178.42829913"/>
    <s v=""/>
    <n v="178.42829913"/>
  </r>
  <r>
    <s v="Scope 3"/>
    <s v="Category 2"/>
    <s v="Ελλάδα"/>
    <x v="0"/>
    <x v="0"/>
    <s v="HELECTOR &amp; Subsidiaries"/>
    <s v="Indirect GHG emissions from Capital goods"/>
    <s v="Production of capital goods"/>
    <x v="18"/>
    <n v="429651.25"/>
    <s v="€"/>
    <s v="services to buildings and landscape"/>
    <s v="Production_services to buildings and landscape"/>
    <s v="Σ.Ε. CO₂ eq"/>
    <n v="1.6581684E-4"/>
    <s v="tn CO2 eq/ €"/>
    <s v="BEIS 2021"/>
    <s v="-"/>
    <s v="-"/>
    <s v="-"/>
    <s v="-"/>
    <n v="71.243412577049995"/>
    <s v=""/>
    <n v="71.243412577049995"/>
  </r>
  <r>
    <s v="Scope 3"/>
    <s v="Category 2"/>
    <s v="Ελλάδα"/>
    <x v="0"/>
    <x v="0"/>
    <s v="HELECTOR &amp; Subsidiaries"/>
    <s v="Indirect GHG emissions from Capital goods"/>
    <s v="Production of capital goods"/>
    <x v="18"/>
    <n v="10000"/>
    <s v="€"/>
    <s v="real estate services"/>
    <s v="Production_real estate services"/>
    <s v="Σ.Ε. CO₂ eq"/>
    <n v="2.43E-4"/>
    <s v="tn CO2 eq/ €"/>
    <s v="EXIOBASE 2019 - GR"/>
    <s v="-"/>
    <s v="-"/>
    <s v="-"/>
    <s v="-"/>
    <n v="2.4300000000000002"/>
    <s v=""/>
    <n v="2.4300000000000002"/>
  </r>
  <r>
    <s v="Scope 3"/>
    <s v="Category 2"/>
    <s v="Ελλάδα"/>
    <x v="3"/>
    <x v="0"/>
    <s v="REDS"/>
    <s v="Indirect GHG emissions from Capital goods"/>
    <s v="Production of capital goods"/>
    <x v="18"/>
    <n v="363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.671373"/>
    <s v=""/>
    <n v="1.671373"/>
  </r>
  <r>
    <s v="Scope 3"/>
    <s v="Category 2"/>
    <s v="Ελλάδα"/>
    <x v="3"/>
    <x v="21"/>
    <s v="REDS"/>
    <s v="Indirect GHG emissions from Capital goods"/>
    <s v="Production of capital goods"/>
    <x v="18"/>
    <n v="7064.52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3.3549405480000001"/>
    <s v=""/>
    <n v="3.3549405480000001"/>
  </r>
  <r>
    <s v="Scope 3"/>
    <s v="Category 2"/>
    <s v="Ελλάδα"/>
    <x v="3"/>
    <x v="21"/>
    <s v="REDS"/>
    <s v="Indirect GHG emissions from Capital goods"/>
    <s v="Production of capital goods"/>
    <x v="18"/>
    <n v="2000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.516"/>
    <s v=""/>
    <n v="3.516"/>
  </r>
  <r>
    <s v="Scope 3"/>
    <s v="Category 2"/>
    <s v="Ελλάδα"/>
    <x v="3"/>
    <x v="21"/>
    <s v="REDS"/>
    <s v="Indirect GHG emissions from Capital goods"/>
    <s v="Production of capital goods"/>
    <x v="18"/>
    <n v="3959.32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.820495336"/>
    <s v=""/>
    <n v="1.820495336"/>
  </r>
  <r>
    <s v="Scope 3"/>
    <s v="Category 3"/>
    <s v="Ελλάδα"/>
    <x v="0"/>
    <x v="0"/>
    <s v="HELECTOR &amp; Subsidiaries"/>
    <s v="Indirect emissions from fuel production and transportation"/>
    <s v="Indirect emissions from fuel production and transportation"/>
    <x v="19"/>
    <n v="51076.46"/>
    <s v="lt"/>
    <s v="Petrol"/>
    <s v="Production_Petrol"/>
    <s v="Σ.Ε. CO₂ eq"/>
    <n v="6.0663999999999998E-4"/>
    <s v="t CO2 eq/lt"/>
    <s v="DEFRA 2024"/>
    <s v="-"/>
    <s v="-"/>
    <s v="-"/>
    <s v="-"/>
    <n v="30.985023694399999"/>
    <s v=""/>
    <n v="30.985023694399999"/>
  </r>
  <r>
    <s v="Scope 3"/>
    <s v="Category 3"/>
    <s v="Ελλάδα"/>
    <x v="1"/>
    <x v="2"/>
    <s v="AD"/>
    <s v="Indirect emissions from fuel production and transportation"/>
    <s v="Indirect emissions from fuel production and transportation"/>
    <x v="19"/>
    <n v="26939"/>
    <s v="lt"/>
    <s v="Petrol"/>
    <s v="Production_Petrol"/>
    <s v="Σ.Ε. CO₂ eq"/>
    <n v="6.0663999999999998E-4"/>
    <s v="t CO2 eq/lt"/>
    <s v="DEFRA 2024"/>
    <s v="-"/>
    <s v="-"/>
    <s v="-"/>
    <s v="-"/>
    <n v="16.342274960000001"/>
    <s v=""/>
    <n v="16.342274960000001"/>
  </r>
  <r>
    <s v="Scope 3"/>
    <s v="Category 3"/>
    <s v="Ελλάδα"/>
    <x v="1"/>
    <x v="12"/>
    <s v="AO"/>
    <s v="Indirect emissions from fuel production and transportation"/>
    <s v="Indirect emissions from fuel production and transportation"/>
    <x v="19"/>
    <n v="0"/>
    <s v="lt"/>
    <s v="Petrol"/>
    <s v="Production_Petrol"/>
    <s v="Σ.Ε. CO₂ eq"/>
    <n v="6.0663999999999998E-4"/>
    <s v="t CO2 eq/lt"/>
    <s v="DEFRA 2024"/>
    <s v="-"/>
    <s v="-"/>
    <s v="-"/>
    <s v="-"/>
    <n v="0"/>
    <s v=""/>
    <n v="0"/>
  </r>
  <r>
    <s v="Scope 3"/>
    <s v="Category 3"/>
    <s v="Ελλάδα"/>
    <x v="1"/>
    <x v="3"/>
    <s v="MOREAS"/>
    <s v="Indirect emissions from fuel production and transportation"/>
    <s v="Indirect emissions from fuel production and transportation"/>
    <x v="19"/>
    <n v="33875.870000000003"/>
    <s v="lt"/>
    <s v="Petrol"/>
    <s v="Production_Petrol"/>
    <s v="Σ.Ε. CO₂ eq"/>
    <n v="6.0663999999999998E-4"/>
    <s v="t CO2 eq/lt"/>
    <s v="DEFRA 2024"/>
    <s v="-"/>
    <s v="-"/>
    <s v="-"/>
    <s v="-"/>
    <n v="20.550457776800002"/>
    <s v=""/>
    <n v="20.550457776800002"/>
  </r>
  <r>
    <s v="Scope 3"/>
    <s v="Category 3"/>
    <s v="Ελλάδα"/>
    <x v="2"/>
    <x v="4"/>
    <s v="ELLAKTOR S.A."/>
    <s v="Indirect emissions from fuel production and transportation"/>
    <s v="Indirect emissions from fuel production and transportation"/>
    <x v="19"/>
    <n v="34767.480000000003"/>
    <s v="lt"/>
    <s v="Petrol"/>
    <s v="Production_Petrol"/>
    <s v="Σ.Ε. CO₂ eq"/>
    <n v="6.0663999999999998E-4"/>
    <s v="t CO2 eq/lt"/>
    <s v="DEFRA 2024"/>
    <s v="-"/>
    <s v="-"/>
    <s v="-"/>
    <s v="-"/>
    <n v="21.091344067200001"/>
    <s v=""/>
    <n v="21.091344067200001"/>
  </r>
  <r>
    <s v="Scope 3"/>
    <s v="Category 3"/>
    <s v="Ελλάδα"/>
    <x v="1"/>
    <x v="9"/>
    <s v="AKTOR CONCESSIONS"/>
    <s v="Indirect emissions from fuel production and transportation"/>
    <s v="Indirect emissions from fuel production and transportation"/>
    <x v="19"/>
    <n v="2563.79"/>
    <s v="lt"/>
    <s v="Petrol"/>
    <s v="Production_Petrol"/>
    <s v="Σ.Ε. CO₂ eq"/>
    <n v="6.0663999999999998E-4"/>
    <s v="t CO2 eq/lt"/>
    <s v="DEFRA 2024"/>
    <s v="-"/>
    <s v="-"/>
    <s v="-"/>
    <s v="-"/>
    <n v="1.5552975655999999"/>
    <s v=""/>
    <n v="1.5552975655999999"/>
  </r>
  <r>
    <s v="Scope 3"/>
    <s v="Category 3"/>
    <s v="Ελλάδα"/>
    <x v="1"/>
    <x v="9"/>
    <s v="AKTOR CONCESSIONS"/>
    <s v="Indirect emissions from fuel production and transportation"/>
    <s v="Indirect emissions from fuel production and transportation"/>
    <x v="20"/>
    <n v="494.55"/>
    <s v="lt"/>
    <s v="Diesel"/>
    <s v="Production_Diesel"/>
    <s v="Σ.Ε. CO₂ eq"/>
    <n v="6.2665000000000008E-4"/>
    <s v="t CO₂ eq/lt"/>
    <s v="DEFRA 2024"/>
    <s v="-"/>
    <s v="-"/>
    <s v="-"/>
    <s v="-"/>
    <n v="0.30990975750000005"/>
    <s v=""/>
    <n v="0.30990975750000005"/>
  </r>
  <r>
    <s v="Scope 3"/>
    <s v="Category 3"/>
    <s v="Ελλάδα"/>
    <x v="1"/>
    <x v="6"/>
    <s v="AKTOR CONCESSIONS"/>
    <s v="Indirect emissions from fuel production and transportation"/>
    <s v="Indirect emissions from fuel production and transportation"/>
    <x v="19"/>
    <n v="1328.99"/>
    <s v="lt"/>
    <s v="Petrol"/>
    <s v="Production_Petrol"/>
    <s v="Σ.Ε. CO₂ eq"/>
    <n v="6.0663999999999998E-4"/>
    <s v="t CO2 eq/lt"/>
    <s v="DEFRA 2024"/>
    <s v="-"/>
    <s v="-"/>
    <s v="-"/>
    <s v="-"/>
    <n v="0.80621849359999997"/>
    <s v=""/>
    <n v="0.80621849359999997"/>
  </r>
  <r>
    <s v="Scope 3"/>
    <s v="Category 3"/>
    <s v="Ελλάδα"/>
    <x v="3"/>
    <x v="11"/>
    <s v="REDS"/>
    <s v="Indirect emissions from fuel production and transportation"/>
    <s v="Indirect emissions from fuel production and transportation"/>
    <x v="19"/>
    <n v="1022.41"/>
    <s v="lt"/>
    <s v="Petrol"/>
    <s v="Production_Petrol"/>
    <s v="Σ.Ε. CO₂ eq"/>
    <n v="6.0663999999999998E-4"/>
    <s v="t CO2 eq/lt"/>
    <s v="DEFRA 2024"/>
    <s v="-"/>
    <s v="-"/>
    <s v="-"/>
    <s v="-"/>
    <n v="0.62023480239999995"/>
    <s v=""/>
    <n v="0.62023480239999995"/>
  </r>
  <r>
    <s v="Scope 3"/>
    <s v="Category 3"/>
    <s v="Ελλάδα"/>
    <x v="0"/>
    <x v="0"/>
    <s v="HELECTOR &amp; Subsidiaries"/>
    <s v="Indirect emissions from fuel production and transportation"/>
    <s v="Indirect emissions from fuel production and transportation"/>
    <x v="20"/>
    <n v="1200353.31"/>
    <s v="lt"/>
    <s v="Diesel"/>
    <s v="Production_Diesel"/>
    <s v="Σ.Ε. CO₂ eq"/>
    <n v="6.2665000000000008E-4"/>
    <s v="t CO₂ eq/lt"/>
    <s v="DEFRA 2024"/>
    <s v="-"/>
    <s v="-"/>
    <s v="-"/>
    <s v="-"/>
    <n v="752.20140171150013"/>
    <s v=""/>
    <n v="752.20140171150013"/>
  </r>
  <r>
    <s v="Scope 3"/>
    <s v="Category 3"/>
    <s v="Ελλάδα"/>
    <x v="1"/>
    <x v="2"/>
    <s v="AD"/>
    <s v="Indirect emissions from fuel production and transportation"/>
    <s v="Indirect emissions from fuel production and transportation"/>
    <x v="20"/>
    <n v="408769"/>
    <s v="lt"/>
    <s v="Diesel"/>
    <s v="Production_Diesel"/>
    <s v="Σ.Ε. CO₂ eq"/>
    <n v="6.2665000000000008E-4"/>
    <s v="t CO₂ eq/lt"/>
    <s v="DEFRA 2024"/>
    <s v="-"/>
    <s v="-"/>
    <s v="-"/>
    <s v="-"/>
    <n v="256.15509385000001"/>
    <s v=""/>
    <n v="256.15509385000001"/>
  </r>
  <r>
    <s v="Scope 3"/>
    <s v="Category 3"/>
    <s v="Ελλάδα"/>
    <x v="1"/>
    <x v="3"/>
    <s v="MOREAS"/>
    <s v="Indirect emissions from fuel production and transportation"/>
    <s v="Indirect emissions from fuel production and transportation"/>
    <x v="20"/>
    <n v="396868.35000000003"/>
    <s v="lt"/>
    <s v="Diesel"/>
    <s v="Production_Diesel"/>
    <s v="Σ.Ε. CO₂ eq"/>
    <n v="6.2665000000000008E-4"/>
    <s v="t CO₂ eq/lt"/>
    <s v="DEFRA 2024"/>
    <s v="-"/>
    <s v="-"/>
    <s v="-"/>
    <s v="-"/>
    <n v="248.69755152750005"/>
    <s v=""/>
    <n v="248.69755152750005"/>
  </r>
  <r>
    <s v="Scope 3"/>
    <s v="Category 3"/>
    <s v="Ελλάδα"/>
    <x v="1"/>
    <x v="5"/>
    <s v="MOREAS"/>
    <s v="Indirect emissions from fuel production and transportation"/>
    <s v="Indirect emissions from fuel production and transportation"/>
    <x v="20"/>
    <n v="4310.3500000000004"/>
    <s v="lt"/>
    <s v="Diesel"/>
    <s v="Production_Diesel"/>
    <s v="Σ.Ε. CO₂ eq"/>
    <n v="6.2665000000000008E-4"/>
    <s v="t CO₂ eq/lt"/>
    <s v="DEFRA 2024"/>
    <s v="-"/>
    <s v="-"/>
    <s v="-"/>
    <s v="-"/>
    <n v="2.7010808275000007"/>
    <s v=""/>
    <n v="2.7010808275000007"/>
  </r>
  <r>
    <s v="Scope 3"/>
    <s v="Category 3"/>
    <s v="Ελλάδα"/>
    <x v="2"/>
    <x v="4"/>
    <s v="ELLAKTOR S.A."/>
    <s v="Indirect emissions from fuel production and transportation"/>
    <s v="Indirect emissions from fuel production and transportation"/>
    <x v="20"/>
    <n v="5872.89"/>
    <s v="lt"/>
    <s v="Diesel"/>
    <s v="Production_Diesel"/>
    <s v="Σ.Ε. CO₂ eq"/>
    <n v="6.2665000000000008E-4"/>
    <s v="t CO₂ eq/lt"/>
    <s v="DEFRA 2024"/>
    <s v="-"/>
    <s v="-"/>
    <s v="-"/>
    <s v="-"/>
    <n v="3.6802465185000006"/>
    <s v=""/>
    <n v="3.6802465185000006"/>
  </r>
  <r>
    <s v="Scope 3"/>
    <s v="Category 3"/>
    <s v="Ελλάδα"/>
    <x v="1"/>
    <x v="10"/>
    <s v="AKTOR CONCESSIONS"/>
    <s v="Indirect emissions from fuel production and transportation"/>
    <s v="Indirect emissions from fuel production and transportation"/>
    <x v="20"/>
    <n v="1669.43"/>
    <s v="lt"/>
    <s v="Diesel"/>
    <s v="Production_Diesel"/>
    <s v="Σ.Ε. CO₂ eq"/>
    <n v="6.2665000000000008E-4"/>
    <s v="t CO₂ eq/lt"/>
    <s v="DEFRA 2024"/>
    <s v="-"/>
    <s v="-"/>
    <s v="-"/>
    <s v="-"/>
    <n v="1.0461483095000002"/>
    <s v=""/>
    <n v="1.0461483095000002"/>
  </r>
  <r>
    <s v="Scope 3"/>
    <s v="Category 3"/>
    <s v="Ελλάδα"/>
    <x v="3"/>
    <x v="11"/>
    <s v="REDS"/>
    <s v="Indirect emissions from fuel production and transportation"/>
    <s v="Indirect emissions from fuel production and transportation"/>
    <x v="20"/>
    <n v="411.87999999999994"/>
    <s v="lt"/>
    <s v="Diesel"/>
    <s v="Production_Diesel"/>
    <s v="Σ.Ε. CO₂ eq"/>
    <n v="6.2665000000000008E-4"/>
    <s v="t CO₂ eq/lt"/>
    <s v="DEFRA 2024"/>
    <s v="-"/>
    <s v="-"/>
    <s v="-"/>
    <s v="-"/>
    <n v="0.25810460200000002"/>
    <s v=""/>
    <n v="0.25810460200000002"/>
  </r>
  <r>
    <s v="Scope 3"/>
    <s v="Category 3"/>
    <s v="Ελλάδα"/>
    <x v="3"/>
    <x v="7"/>
    <s v="REDS"/>
    <s v="Indirect emissions from fuel production and transportation"/>
    <s v="Indirect emissions from fuel production and transportation"/>
    <x v="20"/>
    <n v="2972.15"/>
    <s v="lt"/>
    <s v="Diesel"/>
    <s v="Production_Diesel"/>
    <s v="Σ.Ε. CO₂ eq"/>
    <n v="6.2665000000000008E-4"/>
    <s v="t CO₂ eq/lt"/>
    <s v="DEFRA 2024"/>
    <s v="-"/>
    <s v="-"/>
    <s v="-"/>
    <s v="-"/>
    <n v="1.8624977975000003"/>
    <s v=""/>
    <n v="1.8624977975000003"/>
  </r>
  <r>
    <s v="Scope 3"/>
    <s v="Category 3"/>
    <s v="Ελλάδα"/>
    <x v="3"/>
    <x v="7"/>
    <s v="REDS"/>
    <s v="Indirect emissions from fuel production and transportation"/>
    <s v="Indirect emissions from fuel production and transportation"/>
    <x v="19"/>
    <n v="3156.18"/>
    <s v="lt"/>
    <s v="Petrol"/>
    <s v="Production_Petrol"/>
    <s v="Σ.Ε. CO₂ eq"/>
    <n v="6.0663999999999998E-4"/>
    <s v="t CO2 eq/lt"/>
    <s v="DEFRA 2024"/>
    <s v="-"/>
    <s v="-"/>
    <s v="-"/>
    <s v="-"/>
    <n v="1.9146650351999999"/>
    <s v=""/>
    <n v="1.9146650351999999"/>
  </r>
  <r>
    <s v="Scope 3"/>
    <s v="Category 3"/>
    <s v="Ελλάδα"/>
    <x v="2"/>
    <x v="4"/>
    <s v="ELLAKTOR S.A."/>
    <s v="Indirect emissions from fuel production and transportation"/>
    <s v="Indirect emissions from fuel production and transportation"/>
    <x v="21"/>
    <n v="54131.141959488705"/>
    <s v="kWh"/>
    <s v="Natural gas"/>
    <s v="Production_Natural gas"/>
    <s v="Σ.Ε. CO₂ eq"/>
    <n v="3.021E-5"/>
    <s v="tn CO2 eq/ lt"/>
    <s v="DEFRA 2024"/>
    <s v="-"/>
    <s v="-"/>
    <s v="-"/>
    <s v="-"/>
    <n v="1.6353017985961538"/>
    <s v=""/>
    <n v="1.6353017985961538"/>
  </r>
  <r>
    <s v="Scope 3"/>
    <s v="Category 3"/>
    <s v="Ελλάδα"/>
    <x v="0"/>
    <x v="0"/>
    <s v="HELECTOR &amp; Subsidiaries"/>
    <s v="Indirect emissions from fuel production and transportation"/>
    <s v="Indirect emissions from fuel production and transportation"/>
    <x v="21"/>
    <n v="8115388.3399999999"/>
    <s v="kWh"/>
    <s v="Natural gas"/>
    <s v="Production_Natural gas"/>
    <s v="Σ.Ε. CO₂ eq"/>
    <n v="3.021E-5"/>
    <s v="tn CO2 eq/ lt"/>
    <s v="DEFRA 2024"/>
    <s v="-"/>
    <s v="-"/>
    <s v="-"/>
    <s v="-"/>
    <n v="245.16588175140001"/>
    <s v=""/>
    <n v="245.16588175140001"/>
  </r>
  <r>
    <s v="Scope 3"/>
    <s v="Category 3"/>
    <s v="Ελλάδα"/>
    <x v="1"/>
    <x v="5"/>
    <s v="MOREAS"/>
    <s v="Indirect emissions from fuel production and transportation"/>
    <s v="Indirect emissions from fuel production and transportation"/>
    <x v="21"/>
    <n v="1587.4700712480901"/>
    <s v="kWh"/>
    <s v="Natural gas"/>
    <s v="Production_Natural gas"/>
    <s v="Σ.Ε. CO₂ eq"/>
    <n v="3.021E-5"/>
    <s v="tn CO2 eq/ lt"/>
    <s v="DEFRA 2024"/>
    <s v="-"/>
    <s v="-"/>
    <s v="-"/>
    <s v="-"/>
    <n v="4.7957470852404802E-2"/>
    <s v=""/>
    <n v="4.7957470852404802E-2"/>
  </r>
  <r>
    <s v="Scope 3"/>
    <s v="Category 3"/>
    <s v="Ελλάδα"/>
    <x v="1"/>
    <x v="6"/>
    <s v="AKTOR CONCESSIONS"/>
    <s v="Indirect emissions from fuel production and transportation"/>
    <s v="Indirect emissions from fuel production and transportation"/>
    <x v="21"/>
    <n v="16562.604410021799"/>
    <s v="kWh"/>
    <s v="Natural gas"/>
    <s v="Production_Natural gas"/>
    <s v="Σ.Ε. CO₂ eq"/>
    <n v="3.021E-5"/>
    <s v="tn CO2 eq/ lt"/>
    <s v="DEFRA 2024"/>
    <s v="-"/>
    <s v="-"/>
    <s v="-"/>
    <s v="-"/>
    <n v="0.50035627922675852"/>
    <s v=""/>
    <n v="0.50035627922675852"/>
  </r>
  <r>
    <s v="Scope 3"/>
    <s v="Category 3"/>
    <s v="Ελλάδα"/>
    <x v="3"/>
    <x v="7"/>
    <s v="REDS"/>
    <s v="Indirect emissions from fuel production and transportation"/>
    <s v="Indirect emissions from fuel production and transportation"/>
    <x v="21"/>
    <n v="6111.7597743051492"/>
    <s v="kWh"/>
    <s v="Natural gas"/>
    <s v="Production_Natural gas"/>
    <s v="Σ.Ε. CO₂ eq"/>
    <n v="3.021E-5"/>
    <s v="tn CO2 eq/ lt"/>
    <s v="DEFRA 2024"/>
    <s v="-"/>
    <s v="-"/>
    <s v="-"/>
    <s v="-"/>
    <n v="0.18463626278175857"/>
    <s v=""/>
    <n v="0.18463626278175857"/>
  </r>
  <r>
    <s v="Scope 3"/>
    <s v="Category 3"/>
    <s v="Ελλάδα"/>
    <x v="1"/>
    <x v="3"/>
    <s v="MOREAS"/>
    <s v="Indirect emissions from fuel production and transportation"/>
    <s v="Indirect emissions from fuel production and transportation"/>
    <x v="22"/>
    <n v="11890.61"/>
    <s v="lt"/>
    <s v="LPG"/>
    <s v="Production_LPG"/>
    <s v="Σ.Ε. CO₂ eq"/>
    <n v="1.8551E-4"/>
    <s v="tn CO2 eq/ lt"/>
    <s v="DEFRA 2024"/>
    <s v="-"/>
    <s v="-"/>
    <s v="-"/>
    <s v="-"/>
    <n v="2.2058270611000004"/>
    <s v=""/>
    <n v="2.2058270611000004"/>
  </r>
  <r>
    <s v="Scope 3"/>
    <s v="Category 3"/>
    <s v="Γερμανία"/>
    <x v="0"/>
    <x v="8"/>
    <s v="HELECTOR &amp; Subsidiaries"/>
    <s v="Indirect emissions from fuel production and transportation"/>
    <s v="Indirect emissions from fuel production and transportation"/>
    <x v="20"/>
    <n v="9342.1299999999992"/>
    <s v="lt"/>
    <s v="Diesel"/>
    <s v="Production_Diesel"/>
    <s v="Σ.Ε. CO₂ eq"/>
    <n v="6.2665000000000008E-4"/>
    <s v="t CO₂ eq/lt"/>
    <s v="DEFRA 2024"/>
    <s v="-"/>
    <s v="-"/>
    <s v="-"/>
    <s v="-"/>
    <n v="5.8542457644999999"/>
    <s v=""/>
    <n v="5.8542457644999999"/>
  </r>
  <r>
    <s v="Scope 3"/>
    <s v="Category 3"/>
    <s v="Γερμανία"/>
    <x v="0"/>
    <x v="8"/>
    <s v="HELECTOR &amp; Subsidiaries"/>
    <s v="Indirect emissions from fuel production and transportation"/>
    <s v="Indirect emissions from fuel production and transportation"/>
    <x v="19"/>
    <n v="4428.03"/>
    <s v="lt"/>
    <s v="Petrol"/>
    <s v="Production_Petrol"/>
    <s v="Σ.Ε. CO₂ eq"/>
    <n v="6.0663999999999998E-4"/>
    <s v="t CO2 eq/lt"/>
    <s v="DEFRA 2024"/>
    <s v="-"/>
    <s v="-"/>
    <s v="-"/>
    <s v="-"/>
    <n v="2.6862201191999997"/>
    <s v=""/>
    <n v="2.6862201191999997"/>
  </r>
  <r>
    <s v="Scope 3"/>
    <s v="Category 3"/>
    <s v="Γερμανία"/>
    <x v="0"/>
    <x v="8"/>
    <s v="HELECTOR &amp; Subsidiaries"/>
    <s v="Indirect emissions from fuel production and transportation"/>
    <s v="Indirect emissions from fuel production and transportation"/>
    <x v="23"/>
    <n v="24434"/>
    <s v="kWh"/>
    <s v="Wood Pellets"/>
    <s v="Production_Wood Pellets"/>
    <s v="Σ.Ε. CO₂ eq"/>
    <n v="3.7440000000000001E-5"/>
    <s v="tn CO2 eq/ kWh"/>
    <s v="DEFRA 2024"/>
    <s v="-"/>
    <s v="-"/>
    <s v="-"/>
    <s v="-"/>
    <n v="0.91480896"/>
    <s v=""/>
    <n v="0.91480896"/>
  </r>
  <r>
    <s v="Scope 3"/>
    <s v="Category 3"/>
    <s v="Ελλάδα"/>
    <x v="0"/>
    <x v="0"/>
    <s v="HELECTOR &amp; Subsidiaries"/>
    <s v="Indirect emissions from fuel production and transportation"/>
    <s v="Indirect emissions from fuel production and transportation"/>
    <x v="24"/>
    <m/>
    <s v="kWh"/>
    <s v="Biogas"/>
    <s v="Production_Biogas"/>
    <s v="Σ.Ε. CO₂ eq"/>
    <n v="0"/>
    <s v="tn CO2 eq/ kWh"/>
    <s v="DEFRA 2024"/>
    <s v="-"/>
    <s v="-"/>
    <s v="-"/>
    <s v="-"/>
    <n v="0"/>
    <s v=""/>
    <n v="0"/>
  </r>
  <r>
    <s v="Scope 3"/>
    <s v="Category 3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"/>
    <s v="Σ.Ε. CO₂"/>
    <n v="4.0603867901818214E-5"/>
    <s v="t CO2/kWh"/>
    <n v="0"/>
    <n v="4.1415945259854576E-3"/>
    <s v="-"/>
    <s v="-"/>
    <s v="-"/>
    <s v="-"/>
    <s v=""/>
    <n v="4.1415945259854576E-3"/>
  </r>
  <r>
    <s v="Scope 3"/>
    <s v="Category 3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_CH4"/>
    <s v="Σ.Ε. CH₄"/>
    <n v="1.0168603599698574E-9"/>
    <s v="t CH4/kWh"/>
    <n v="0"/>
    <s v="-"/>
    <n v="1.0371975671692546E-7"/>
    <s v="-"/>
    <s v="-"/>
    <s v="-"/>
    <s v=""/>
    <n v="2.904153188073913E-6"/>
  </r>
  <r>
    <s v="Scope 3"/>
    <s v="Category 3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_N2O"/>
    <s v="Σ.Ε. N2O"/>
    <n v="4.1869490715557354E-10"/>
    <s v="t N2O/kWh"/>
    <n v="0"/>
    <s v="-"/>
    <s v="-"/>
    <n v="4.2706880529868502E-8"/>
    <s v="-"/>
    <s v="-"/>
    <s v=""/>
    <n v="1.1317323340415152E-5"/>
  </r>
  <r>
    <s v="Scope 3"/>
    <s v="Category 3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upstream emissions L.V."/>
    <s v="Σ.Ε. CO₂ eq"/>
    <n v="7.0163445165139027E-6"/>
    <s v="t CO2 eq/kWh"/>
    <n v="0"/>
    <s v="-"/>
    <s v="-"/>
    <s v="-"/>
    <s v="-"/>
    <n v="7.1566714068441813E-4"/>
    <s v=""/>
    <n v="7.1566714068441813E-4"/>
  </r>
  <r>
    <s v="Scope 3"/>
    <s v="Category 3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"/>
    <s v="Σ.Ε. CO₂"/>
    <n v="1.5058845869344869E-5"/>
    <s v="t CO2/kWh"/>
    <n v="0"/>
    <n v="0.45616183322163711"/>
    <s v="-"/>
    <s v="-"/>
    <s v="-"/>
    <s v="-"/>
    <s v=""/>
    <n v="0.45616183322163711"/>
  </r>
  <r>
    <s v="Scope 3"/>
    <s v="Category 3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_CH4"/>
    <s v="Σ.Ε. CH₄"/>
    <n v="3.7712524009927957E-10"/>
    <s v="t CH4/kWh"/>
    <n v="0"/>
    <s v="-"/>
    <n v="1.1423859595245431E-5"/>
    <s v="-"/>
    <s v="-"/>
    <s v="-"/>
    <s v=""/>
    <n v="3.1986806866687206E-4"/>
  </r>
  <r>
    <s v="Scope 3"/>
    <s v="Category 3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_N2O"/>
    <s v="Σ.Ε. N2O"/>
    <n v="1.5528230188270086E-10"/>
    <s v="t N2O/kWh"/>
    <n v="0"/>
    <s v="-"/>
    <s v="-"/>
    <n v="4.7038040038569102E-6"/>
    <s v="-"/>
    <s v="-"/>
    <s v=""/>
    <n v="1.2465080610220812E-3"/>
  </r>
  <r>
    <s v="Scope 3"/>
    <s v="Category 3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upstream emissions M.V."/>
    <s v="Σ.Ε. CO₂ eq"/>
    <n v="2.6021671357982775E-6"/>
    <s v="t CO2 eq/kWh"/>
    <n v="0"/>
    <s v="-"/>
    <s v="-"/>
    <s v="-"/>
    <s v="-"/>
    <n v="7.8824721450348412E-2"/>
    <s v=""/>
    <n v="7.8824721450348412E-2"/>
  </r>
  <r>
    <s v="Scope 3"/>
    <s v="Category 3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"/>
    <s v="Σ.Ε. CO₂"/>
    <n v="1.5058845869344869E-5"/>
    <s v="t CO2/kWh"/>
    <n v="0"/>
    <n v="1.4702613811459646"/>
    <s v="-"/>
    <s v="-"/>
    <s v="-"/>
    <s v="-"/>
    <s v=""/>
    <n v="1.4702613811459646"/>
  </r>
  <r>
    <s v="Scope 3"/>
    <s v="Category 3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_CH4"/>
    <s v="Σ.Ε. CH₄"/>
    <n v="3.7712524009927957E-10"/>
    <s v="t CH4/kWh"/>
    <n v="0"/>
    <s v="-"/>
    <n v="3.6820396541949101E-5"/>
    <s v="-"/>
    <s v="-"/>
    <s v="-"/>
    <s v=""/>
    <n v="1.0309711031745749E-3"/>
  </r>
  <r>
    <s v="Scope 3"/>
    <s v="Category 3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_N2O"/>
    <s v="Σ.Ε. N2O"/>
    <n v="1.5528230188270086E-10"/>
    <s v="t N2O/kWh"/>
    <n v="0"/>
    <s v="-"/>
    <s v="-"/>
    <n v="1.5160894374936367E-5"/>
    <s v="-"/>
    <s v="-"/>
    <s v=""/>
    <n v="4.0176370093581376E-3"/>
  </r>
  <r>
    <s v="Scope 3"/>
    <s v="Category 3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upstream emissions M.V."/>
    <s v="Σ.Ε. CO₂ eq"/>
    <n v="2.6021671357982775E-6"/>
    <s v="t CO2 eq/kWh"/>
    <n v="0"/>
    <s v="-"/>
    <s v="-"/>
    <s v="-"/>
    <s v="-"/>
    <n v="0.25406102700338334"/>
    <s v=""/>
    <n v="0.25406102700338334"/>
  </r>
  <r>
    <s v="Scope 3"/>
    <s v="Category 3"/>
    <s v="Ρουμανία"/>
    <x v="2"/>
    <x v="16"/>
    <s v="ELLAKTOR S.A."/>
    <s v="Indirect emissions from fuel production and transportation"/>
    <s v="Indirect emissions from Purchased Electricity Losses from T&amp;D network"/>
    <x v="25"/>
    <n v="30749"/>
    <s v="kWh"/>
    <s v="Low voltage"/>
    <s v="Losses_combustion L.V."/>
    <s v="Σ.Ε. CO₂"/>
    <n v="4.0603867901818214E-5"/>
    <s v="t CO2/kWh"/>
    <n v="0"/>
    <n v="1.2485283341130082"/>
    <s v="-"/>
    <s v="-"/>
    <s v="-"/>
    <s v="-"/>
    <s v=""/>
    <n v="1.2485283341130082"/>
  </r>
  <r>
    <s v="Scope 3"/>
    <s v="Category 3"/>
    <s v="Ρουμανία"/>
    <x v="2"/>
    <x v="16"/>
    <s v="ELLAKTOR S.A."/>
    <s v="Indirect emissions from fuel production and transportation"/>
    <s v="Indirect emissions from Purchased Electricity Losses from T&amp;D network"/>
    <x v="25"/>
    <n v="30749"/>
    <s v="kWh"/>
    <m/>
    <m/>
    <s v=""/>
    <s v=""/>
    <s v=""/>
    <s v=""/>
    <s v="-"/>
    <s v="-"/>
    <s v="-"/>
    <s v="-"/>
    <s v="-"/>
    <s v=""/>
    <n v="0"/>
  </r>
  <r>
    <s v="Scope 3"/>
    <s v="Category 3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"/>
    <s v="Σ.Ε. CO₂"/>
    <n v="1.5058845869344869E-5"/>
    <s v="t CO2/kWh"/>
    <n v="0"/>
    <n v="4.0401720392271718"/>
    <s v="-"/>
    <s v="-"/>
    <s v="-"/>
    <s v="-"/>
    <s v=""/>
    <n v="4.0401720392271718"/>
  </r>
  <r>
    <s v="Scope 3"/>
    <s v="Category 3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_CH4"/>
    <s v="Σ.Ε. CH₄"/>
    <n v="3.7712524009927957E-10"/>
    <s v="t CH4/kWh"/>
    <n v="0"/>
    <s v="-"/>
    <n v="1.0117978917877252E-4"/>
    <s v="-"/>
    <s v="-"/>
    <s v="-"/>
    <s v=""/>
    <n v="2.8330340970056304E-3"/>
  </r>
  <r>
    <s v="Scope 3"/>
    <s v="Category 3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_N2O"/>
    <s v="Σ.Ε. N2O"/>
    <n v="1.5528230188270086E-10"/>
    <s v="t N2O/kWh"/>
    <n v="0"/>
    <s v="-"/>
    <s v="-"/>
    <n v="4.1661042266887499E-5"/>
    <s v="-"/>
    <s v="-"/>
    <s v=""/>
    <n v="1.1040176200725187E-2"/>
  </r>
  <r>
    <s v="Scope 3"/>
    <s v="Category 3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upstream emissions M.V."/>
    <s v="Σ.Ε. CO₂ eq"/>
    <n v="2.6021671357982775E-6"/>
    <s v="t CO2 eq/kWh"/>
    <n v="0"/>
    <s v="-"/>
    <s v="-"/>
    <s v="-"/>
    <s v="-"/>
    <n v="0.6981413446066056"/>
    <s v=""/>
    <n v="0.6981413446066056"/>
  </r>
  <r>
    <s v="Scope 3"/>
    <s v="Category 3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"/>
    <s v="Σ.Ε. CO₂"/>
    <n v="4.0603867901818214E-5"/>
    <s v="t CO2/kWh"/>
    <n v="0"/>
    <n v="113.27610221834183"/>
    <s v="-"/>
    <s v="-"/>
    <s v="-"/>
    <s v="-"/>
    <s v=""/>
    <n v="113.27610221834183"/>
  </r>
  <r>
    <s v="Scope 3"/>
    <s v="Category 3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_CH4"/>
    <s v="Σ.Ε. CH₄"/>
    <n v="1.0168603599698574E-9"/>
    <s v="t CH4/kWh"/>
    <n v="0"/>
    <s v="-"/>
    <n v="2.8368227961988687E-3"/>
    <s v="-"/>
    <s v="-"/>
    <s v="-"/>
    <s v=""/>
    <n v="7.9431038293568318E-2"/>
  </r>
  <r>
    <s v="Scope 3"/>
    <s v="Category 3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_N2O"/>
    <s v="Σ.Ε. N2O"/>
    <n v="4.1869490715557354E-10"/>
    <s v="t N2O/kWh"/>
    <n v="0"/>
    <s v="-"/>
    <s v="-"/>
    <n v="1.1680691902539188E-3"/>
    <s v="-"/>
    <s v="-"/>
    <s v=""/>
    <n v="0.30953833541728848"/>
  </r>
  <r>
    <s v="Scope 3"/>
    <s v="Category 3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upstream emissions L.V."/>
    <s v="Σ.Ε. CO₂ eq"/>
    <n v="7.0163445165139027E-6"/>
    <s v="t CO2 eq/kWh"/>
    <n v="0"/>
    <s v="-"/>
    <s v="-"/>
    <s v="-"/>
    <s v="-"/>
    <n v="19.574099703347255"/>
    <s v=""/>
    <n v="19.574099703347255"/>
  </r>
  <r>
    <s v="Scope 3"/>
    <s v="Category 3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"/>
    <s v="Σ.Ε. CO₂"/>
    <n v="1.5058845869344869E-5"/>
    <s v="t CO2/kWh"/>
    <n v="0"/>
    <n v="333.9311269192379"/>
    <s v="-"/>
    <s v="-"/>
    <s v="-"/>
    <s v="-"/>
    <s v=""/>
    <n v="333.9311269192379"/>
  </r>
  <r>
    <s v="Scope 3"/>
    <s v="Category 3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_CH4"/>
    <s v="Σ.Ε. CH₄"/>
    <n v="3.7712524009927957E-10"/>
    <s v="t CH4/kWh"/>
    <n v="0"/>
    <s v="-"/>
    <n v="8.362782746345972E-3"/>
    <s v="-"/>
    <s v="-"/>
    <s v="-"/>
    <s v=""/>
    <n v="0.23415791689768722"/>
  </r>
  <r>
    <s v="Scope 3"/>
    <s v="Category 3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_N2O"/>
    <s v="Σ.Ε. N2O"/>
    <n v="1.5528230188270086E-10"/>
    <s v="t N2O/kWh"/>
    <n v="0"/>
    <s v="-"/>
    <s v="-"/>
    <n v="3.443397622115344E-3"/>
    <s v="-"/>
    <s v="-"/>
    <s v=""/>
    <n v="0.91250036986056615"/>
  </r>
  <r>
    <s v="Scope 3"/>
    <s v="Category 3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upstream emissions M.V."/>
    <s v="Σ.Ε. CO₂ eq"/>
    <n v="2.6021671357982775E-6"/>
    <s v="t CO2 eq/kWh"/>
    <n v="0"/>
    <s v="-"/>
    <s v="-"/>
    <s v="-"/>
    <s v="-"/>
    <n v="57.703267011864803"/>
    <s v=""/>
    <n v="57.703267011864803"/>
  </r>
  <r>
    <s v="Scope 3"/>
    <s v="Category 3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"/>
    <s v="Σ.Ε. CO₂"/>
    <n v="1.5058845869344869E-5"/>
    <s v="t CO2/kWh"/>
    <n v="0"/>
    <n v="1.2361788207651276"/>
    <s v="-"/>
    <s v="-"/>
    <s v="-"/>
    <s v="-"/>
    <s v=""/>
    <n v="1.2361788207651276"/>
  </r>
  <r>
    <s v="Scope 3"/>
    <s v="Category 3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_CH4"/>
    <s v="Σ.Ε. CH₄"/>
    <n v="3.7712524009927957E-10"/>
    <s v="t CH4/kWh"/>
    <n v="0"/>
    <s v="-"/>
    <n v="3.0958164963738664E-5"/>
    <s v="-"/>
    <s v="-"/>
    <s v="-"/>
    <s v=""/>
    <n v="8.6682861898468256E-4"/>
  </r>
  <r>
    <s v="Scope 3"/>
    <s v="Category 3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_N2O"/>
    <s v="Σ.Ε. N2O"/>
    <n v="1.5528230188270086E-10"/>
    <s v="t N2O/kWh"/>
    <n v="0"/>
    <s v="-"/>
    <s v="-"/>
    <n v="1.2747105222573257E-5"/>
    <s v="-"/>
    <s v="-"/>
    <s v=""/>
    <n v="3.3779828839819131E-3"/>
  </r>
  <r>
    <s v="Scope 3"/>
    <s v="Category 3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upstream emissions M.V."/>
    <s v="Σ.Ε. CO₂ eq"/>
    <n v="2.6021671357982775E-6"/>
    <s v="t CO2 eq/kWh"/>
    <n v="0"/>
    <s v="-"/>
    <s v="-"/>
    <s v="-"/>
    <s v="-"/>
    <n v="0.21361158280484002"/>
    <s v=""/>
    <n v="0.21361158280484002"/>
  </r>
  <r>
    <s v="Scope 3"/>
    <s v="Category 3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"/>
    <s v="Σ.Ε. CO₂"/>
    <n v="4.0603867901818214E-5"/>
    <s v="t CO2/kWh"/>
    <n v="0"/>
    <n v="195.23680629931656"/>
    <s v="-"/>
    <s v="-"/>
    <s v="-"/>
    <s v="-"/>
    <s v=""/>
    <n v="195.23680629931656"/>
  </r>
  <r>
    <s v="Scope 3"/>
    <s v="Category 3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_CH4"/>
    <s v="Σ.Ε. CH₄"/>
    <n v="1.0168603599698574E-9"/>
    <s v="t CH4/kWh"/>
    <n v="0"/>
    <s v="-"/>
    <n v="4.8894004288689546E-3"/>
    <s v="-"/>
    <s v="-"/>
    <s v="-"/>
    <s v=""/>
    <n v="0.13690321200833072"/>
  </r>
  <r>
    <s v="Scope 3"/>
    <s v="Category 3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_N2O"/>
    <s v="Σ.Ε. N2O"/>
    <n v="4.1869490715557354E-10"/>
    <s v="t N2O/kWh"/>
    <n v="0"/>
    <s v="-"/>
    <s v="-"/>
    <n v="2.0132233875970857E-3"/>
    <s v="-"/>
    <s v="-"/>
    <s v=""/>
    <n v="0.53350419771322766"/>
  </r>
  <r>
    <s v="Scope 3"/>
    <s v="Category 3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upstream emissions L.V."/>
    <s v="Σ.Ε. CO₂ eq"/>
    <n v="7.0163445165139027E-6"/>
    <s v="t CO2 eq/kWh"/>
    <n v="0"/>
    <s v="-"/>
    <s v="-"/>
    <s v="-"/>
    <s v="-"/>
    <n v="33.736901583175424"/>
    <s v=""/>
    <n v="33.736901583175424"/>
  </r>
  <r>
    <s v="Scope 3"/>
    <s v="Category 3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"/>
    <s v="Σ.Ε. CO₂"/>
    <n v="1.5058845869344869E-5"/>
    <s v="t CO2/kWh"/>
    <n v="0"/>
    <n v="122.71965258747157"/>
    <s v="-"/>
    <s v="-"/>
    <s v="-"/>
    <s v="-"/>
    <s v=""/>
    <n v="122.71965258747157"/>
  </r>
  <r>
    <s v="Scope 3"/>
    <s v="Category 3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_CH4"/>
    <s v="Σ.Ε. CH₄"/>
    <n v="3.7712524009927957E-10"/>
    <s v="t CH4/kWh"/>
    <n v="0"/>
    <s v="-"/>
    <n v="3.0733217438106246E-3"/>
    <s v="-"/>
    <s v="-"/>
    <s v="-"/>
    <s v=""/>
    <n v="8.6053008826697489E-2"/>
  </r>
  <r>
    <s v="Scope 3"/>
    <s v="Category 3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_N2O"/>
    <s v="Σ.Ε. N2O"/>
    <n v="1.5528230188270086E-10"/>
    <s v="t N2O/kWh"/>
    <n v="0"/>
    <s v="-"/>
    <s v="-"/>
    <n v="1.265448249179601E-3"/>
    <s v="-"/>
    <s v="-"/>
    <s v=""/>
    <n v="0.33534378603259424"/>
  </r>
  <r>
    <s v="Scope 3"/>
    <s v="Category 3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upstream emissions M.V."/>
    <s v="Σ.Ε. CO₂ eq"/>
    <n v="2.6021671357982775E-6"/>
    <s v="t CO2 eq/kWh"/>
    <n v="0"/>
    <s v="-"/>
    <s v="-"/>
    <s v="-"/>
    <s v="-"/>
    <n v="21.205944310099593"/>
    <s v=""/>
    <n v="21.205944310099593"/>
  </r>
  <r>
    <s v="Scope 3"/>
    <s v="Category 3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"/>
    <s v="Σ.Ε. CO₂"/>
    <n v="1.5058845869344869E-5"/>
    <s v="t CO2/kWh"/>
    <n v="0"/>
    <n v="0.11848359304458102"/>
    <s v="-"/>
    <s v="-"/>
    <s v="-"/>
    <s v="-"/>
    <s v=""/>
    <n v="0.11848359304458102"/>
  </r>
  <r>
    <s v="Scope 3"/>
    <s v="Category 3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_CH4"/>
    <s v="Σ.Ε. CH₄"/>
    <n v="3.7712524009927957E-10"/>
    <s v="t CH4/kWh"/>
    <n v="0"/>
    <s v="-"/>
    <n v="2.9672362585053057E-6"/>
    <s v="-"/>
    <s v="-"/>
    <s v="-"/>
    <s v=""/>
    <n v="8.3082615238148555E-5"/>
  </r>
  <r>
    <s v="Scope 3"/>
    <s v="Category 3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_N2O"/>
    <s v="Σ.Ε. N2O"/>
    <n v="1.5528230188270086E-10"/>
    <s v="t N2O/kWh"/>
    <n v="0"/>
    <s v="-"/>
    <s v="-"/>
    <n v="1.2217672737290672E-6"/>
    <s v="-"/>
    <s v="-"/>
    <s v=""/>
    <n v="3.2376832753820283E-4"/>
  </r>
  <r>
    <s v="Scope 3"/>
    <s v="Category 3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upstream emissions M.V."/>
    <s v="Σ.Ε. CO₂ eq"/>
    <n v="2.6021671357982775E-6"/>
    <s v="t CO2 eq/kWh"/>
    <n v="0"/>
    <s v="-"/>
    <s v="-"/>
    <s v="-"/>
    <s v="-"/>
    <n v="2.0473953623467107E-2"/>
    <s v=""/>
    <n v="2.0473953623467107E-2"/>
  </r>
  <r>
    <s v="Scope 3"/>
    <s v="Category 3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"/>
    <s v="Σ.Ε. CO₂"/>
    <n v="1.5058845869344869E-5"/>
    <s v="t CO2/kWh"/>
    <n v="0"/>
    <n v="1.7665479383367924"/>
    <s v="-"/>
    <s v="-"/>
    <s v="-"/>
    <s v="-"/>
    <s v=""/>
    <n v="1.7665479383367924"/>
  </r>
  <r>
    <s v="Scope 3"/>
    <s v="Category 3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_CH4"/>
    <s v="Σ.Ε. CH₄"/>
    <n v="3.7712524009927957E-10"/>
    <s v="t CH4/kWh"/>
    <n v="0"/>
    <s v="-"/>
    <n v="4.4240429922212451E-5"/>
    <s v="-"/>
    <s v="-"/>
    <s v="-"/>
    <s v=""/>
    <n v="1.2387320378219487E-3"/>
  </r>
  <r>
    <s v="Scope 3"/>
    <s v="Category 3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_N2O"/>
    <s v="Σ.Ε. N2O"/>
    <n v="1.5528230188270086E-10"/>
    <s v="t N2O/kWh"/>
    <n v="0"/>
    <s v="-"/>
    <s v="-"/>
    <n v="1.8216112485053979E-5"/>
    <s v="-"/>
    <s v="-"/>
    <s v=""/>
    <n v="4.8272698085393044E-3"/>
  </r>
  <r>
    <s v="Scope 3"/>
    <s v="Category 3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upstream emissions M.V."/>
    <s v="Σ.Ε. CO₂ eq"/>
    <n v="2.6021671357982775E-6"/>
    <s v="t CO2 eq/kWh"/>
    <n v="0"/>
    <s v="-"/>
    <s v="-"/>
    <s v="-"/>
    <s v="-"/>
    <n v="0.3052593159419984"/>
    <s v=""/>
    <n v="0.3052593159419984"/>
  </r>
  <r>
    <s v="Scope 3"/>
    <s v="Category 3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"/>
    <s v="Σ.Ε. CO₂"/>
    <n v="4.0603867901818214E-5"/>
    <s v="t CO2/kWh"/>
    <n v="0"/>
    <n v="2.0643818518642418"/>
    <s v="-"/>
    <s v="-"/>
    <s v="-"/>
    <s v="-"/>
    <s v=""/>
    <n v="2.0643818518642418"/>
  </r>
  <r>
    <s v="Scope 3"/>
    <s v="Category 3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_CH4"/>
    <s v="Σ.Ε. CH₄"/>
    <n v="1.0168603599698574E-9"/>
    <s v="t CH4/kWh"/>
    <n v="0"/>
    <s v="-"/>
    <n v="5.1699214421587495E-5"/>
    <s v="-"/>
    <s v="-"/>
    <s v="-"/>
    <s v=""/>
    <n v="1.44757800380445E-3"/>
  </r>
  <r>
    <s v="Scope 3"/>
    <s v="Category 3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_N2O"/>
    <s v="Σ.Ε. N2O"/>
    <n v="4.1869490715557354E-10"/>
    <s v="t N2O/kWh"/>
    <n v="0"/>
    <s v="-"/>
    <s v="-"/>
    <n v="2.1287286469603669E-5"/>
    <s v="-"/>
    <s v="-"/>
    <s v=""/>
    <n v="5.6411309144449723E-3"/>
  </r>
  <r>
    <s v="Scope 3"/>
    <s v="Category 3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upstream emissions L.V."/>
    <s v="Σ.Ε. CO₂ eq"/>
    <n v="7.0163445165139027E-6"/>
    <s v="t CO2 eq/kWh"/>
    <n v="0"/>
    <s v="-"/>
    <s v="-"/>
    <s v="-"/>
    <s v="-"/>
    <n v="0.35672498790859986"/>
    <s v=""/>
    <n v="0.35672498790859986"/>
  </r>
  <r>
    <s v="Scope 3"/>
    <s v="Category 3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"/>
    <s v="Σ.Ε. CO₂"/>
    <n v="4.0603867901818214E-5"/>
    <s v="t CO2/kWh"/>
    <n v="0"/>
    <n v="11.66585668300349"/>
    <s v="-"/>
    <s v="-"/>
    <s v="-"/>
    <s v="-"/>
    <s v=""/>
    <n v="11.66585668300349"/>
  </r>
  <r>
    <s v="Scope 3"/>
    <s v="Category 3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_CH4"/>
    <s v="Σ.Ε. CH₄"/>
    <n v="1.0168603599698574E-9"/>
    <s v="t CH4/kWh"/>
    <n v="0"/>
    <s v="-"/>
    <n v="2.9215313316257978E-4"/>
    <s v="-"/>
    <s v="-"/>
    <s v="-"/>
    <s v=""/>
    <n v="8.1802877285522338E-3"/>
  </r>
  <r>
    <s v="Scope 3"/>
    <s v="Category 3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_N2O"/>
    <s v="Σ.Ε. N2O"/>
    <n v="4.1869490715557354E-10"/>
    <s v="t N2O/kWh"/>
    <n v="0"/>
    <s v="-"/>
    <s v="-"/>
    <n v="1.2029481507996068E-4"/>
    <s v="-"/>
    <s v="-"/>
    <s v=""/>
    <n v="3.1878125996189582E-2"/>
  </r>
  <r>
    <s v="Scope 3"/>
    <s v="Category 3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upstream emissions L.V."/>
    <s v="Σ.Ε. CO₂ eq"/>
    <n v="7.0163445165139027E-6"/>
    <s v="t CO2 eq/kWh"/>
    <n v="0"/>
    <s v="-"/>
    <s v="-"/>
    <s v="-"/>
    <s v="-"/>
    <n v="2.0158589266950928"/>
    <s v=""/>
    <n v="2.0158589266950928"/>
  </r>
  <r>
    <s v="Scope 3"/>
    <s v="Category 3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"/>
    <s v="Σ.Ε. CO₂"/>
    <n v="4.0603867901818214E-5"/>
    <s v="t CO2/kWh"/>
    <n v="0"/>
    <n v="8.6643375599652828"/>
    <s v="-"/>
    <s v="-"/>
    <s v="-"/>
    <s v="-"/>
    <s v=""/>
    <n v="8.6643375599652828"/>
  </r>
  <r>
    <s v="Scope 3"/>
    <s v="Category 3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_CH4"/>
    <s v="Σ.Ε. CH₄"/>
    <n v="1.0168603599698574E-9"/>
    <s v="t CH4/kWh"/>
    <n v="0"/>
    <s v="-"/>
    <n v="2.1698478163288798E-4"/>
    <s v="-"/>
    <s v="-"/>
    <s v="-"/>
    <s v=""/>
    <n v="6.0755738857208638E-3"/>
  </r>
  <r>
    <s v="Scope 3"/>
    <s v="Category 3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_N2O"/>
    <s v="Σ.Ε. N2O"/>
    <n v="4.1869490715557354E-10"/>
    <s v="t N2O/kWh"/>
    <n v="0"/>
    <s v="-"/>
    <s v="-"/>
    <n v="8.9344050153206367E-5"/>
    <s v="-"/>
    <s v="-"/>
    <s v=""/>
    <n v="2.3676173290599688E-2"/>
  </r>
  <r>
    <s v="Scope 3"/>
    <s v="Category 3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upstream emissions L.V."/>
    <s v="Σ.Ε. CO₂ eq"/>
    <n v="7.0163445165139027E-6"/>
    <s v="t CO2 eq/kWh"/>
    <n v="0"/>
    <s v="-"/>
    <s v="-"/>
    <s v="-"/>
    <s v="-"/>
    <n v="1.4971967073453523"/>
    <s v=""/>
    <n v="1.4971967073453523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"/>
    <s v="Σ.Ε. CO₂"/>
    <n v="1.5058845869344869E-5"/>
    <s v="t CO2/kWh"/>
    <n v="0"/>
    <n v="220.32282209794431"/>
    <s v="-"/>
    <s v="-"/>
    <s v="-"/>
    <s v="-"/>
    <s v=""/>
    <n v="220.32282209794431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_CH4"/>
    <s v="Σ.Ε. CH₄"/>
    <n v="3.7712524009927957E-10"/>
    <s v="t CH4/kWh"/>
    <n v="0"/>
    <s v="-"/>
    <n v="5.5176404555798064E-3"/>
    <s v="-"/>
    <s v="-"/>
    <s v="-"/>
    <s v=""/>
    <n v="0.15449393275623458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_N2O"/>
    <s v="Σ.Ε. N2O"/>
    <n v="1.5528230188270086E-10"/>
    <s v="t N2O/kWh"/>
    <n v="0"/>
    <s v="-"/>
    <s v="-"/>
    <n v="2.2719028582600122E-3"/>
    <s v="-"/>
    <s v="-"/>
    <s v=""/>
    <n v="0.60205425743890328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upstream emissions M.V."/>
    <s v="Σ.Ε. CO₂ eq"/>
    <n v="2.6021671357982775E-6"/>
    <s v="t CO2 eq/kWh"/>
    <n v="0"/>
    <s v="-"/>
    <s v="-"/>
    <s v="-"/>
    <s v="-"/>
    <n v="38.071762730283076"/>
    <s v=""/>
    <n v="38.071762730283076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"/>
    <s v="Σ.Ε. CO₂"/>
    <n v="4.0603867901818214E-5"/>
    <s v="t CO2/kWh"/>
    <n v="0"/>
    <n v="48.315012771579269"/>
    <s v="-"/>
    <s v="-"/>
    <s v="-"/>
    <s v="-"/>
    <s v=""/>
    <n v="48.315012771579269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_CH4"/>
    <s v="Σ.Ε. CH₄"/>
    <n v="1.0168603599698574E-9"/>
    <s v="t CH4/kWh"/>
    <n v="0"/>
    <s v="-"/>
    <n v="1.2099739216385433E-3"/>
    <s v="-"/>
    <s v="-"/>
    <s v="-"/>
    <s v=""/>
    <n v="3.3879269805879214E-2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_N2O"/>
    <s v="Σ.Ε. N2O"/>
    <n v="4.1869490715557354E-10"/>
    <s v="t N2O/kWh"/>
    <n v="0"/>
    <s v="-"/>
    <s v="-"/>
    <n v="4.9820992018622149E-4"/>
    <s v="-"/>
    <s v="-"/>
    <s v=""/>
    <n v="0.13202562884934871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upstream emissions L.V."/>
    <s v="Σ.Ε. CO₂ eq"/>
    <n v="7.0163445165139027E-6"/>
    <s v="t CO2 eq/kWh"/>
    <n v="0"/>
    <s v="-"/>
    <s v="-"/>
    <s v="-"/>
    <s v="-"/>
    <n v="8.348829617534772"/>
    <s v=""/>
    <n v="8.348829617534772"/>
  </r>
  <r>
    <s v="Scope 3"/>
    <s v="Category 3"/>
    <s v="Γερμανία"/>
    <x v="0"/>
    <x v="8"/>
    <s v="HELECTOR &amp; Subsidiaries"/>
    <s v="Indirect emissions from fuel production and transportation"/>
    <s v="Indirect emissions from Purchased Electricity Losses from T&amp;D network"/>
    <x v="25"/>
    <n v="32192"/>
    <s v="kWh"/>
    <s v="Low voltage"/>
    <s v="Losses_combustion L.V._DE"/>
    <s v="Σ.Ε. CO₂"/>
    <n v="1.8211292961862379E-5"/>
    <s v="t CO2 eq/kWh"/>
    <n v="0"/>
    <n v="0.58625794302827372"/>
    <s v="-"/>
    <s v="-"/>
    <s v="-"/>
    <s v="-"/>
    <s v=""/>
    <n v="0.58625794302827372"/>
  </r>
  <r>
    <s v="Scope 3"/>
    <s v="Category 3"/>
    <s v="Γερμανία"/>
    <x v="0"/>
    <x v="8"/>
    <s v="HELECTOR &amp; Subsidiaries"/>
    <s v="Indirect emissions from fuel production and transportation"/>
    <s v="Indirect emissions from Purchased Electricity Losses from T&amp;D network"/>
    <x v="25"/>
    <n v="32192"/>
    <s v="kWh"/>
    <s v="Low voltage"/>
    <s v="Losses_upstream emissions L.V._DE"/>
    <s v="Σ.Ε. CO₂ eq"/>
    <n v="3.7446374694277741E-6"/>
    <s v="t CO2 eq/kWh"/>
    <n v="0"/>
    <s v="-"/>
    <s v="-"/>
    <s v="-"/>
    <s v="-"/>
    <n v="0.12054736941581891"/>
    <s v=""/>
    <n v="0.12054736941581891"/>
  </r>
  <r>
    <s v="Scope 3"/>
    <s v="Category 3"/>
    <s v="Κύπρος"/>
    <x v="0"/>
    <x v="1"/>
    <s v="HELECTOR &amp; Subsidiaries"/>
    <s v="Indirect emissions from fuel production and transportation"/>
    <s v="Indirect emissions from Purchased Electricity Losses from T&amp;D network"/>
    <x v="25"/>
    <n v="10571303"/>
    <s v="kWh"/>
    <s v="Medium voltage"/>
    <s v="Losses_combustion L.V._CY"/>
    <s v="Σ.Ε. CO₂"/>
    <n v="2.0219327462109031E-5"/>
    <s v="t CO2 eq/kWh"/>
    <n v="0"/>
    <n v="213.74463705817558"/>
    <s v="-"/>
    <s v="-"/>
    <s v="-"/>
    <s v="-"/>
    <s v=""/>
    <n v="213.74463705817558"/>
  </r>
  <r>
    <s v="Scope 3"/>
    <s v="Category 3"/>
    <s v="Κύπρος"/>
    <x v="0"/>
    <x v="1"/>
    <s v="HELECTOR &amp; Subsidiaries"/>
    <s v="Indirect emissions from fuel production and transportation"/>
    <s v="Indirect emissions from Purchased Electricity Losses from T&amp;D network"/>
    <x v="25"/>
    <n v="10571303"/>
    <s v="kWh"/>
    <s v="Medium voltage"/>
    <s v="Losses_upstream emissions L.V._CY"/>
    <s v="Σ.Ε. CO₂ eq"/>
    <n v="4.1159255162525247E-6"/>
    <s v="t CO2 eq/kWh"/>
    <s v="Editorial deadline: 29 November 2023"/>
    <s v="-"/>
    <s v="-"/>
    <s v="-"/>
    <s v="-"/>
    <n v="43.510695757736862"/>
    <s v=""/>
    <n v="43.510695757736862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"/>
    <s v="Σ.Ε. CO₂"/>
    <n v="5.5891255805390802E-6"/>
    <s v="t CO2/kWh"/>
    <n v="0"/>
    <n v="42.611638743295039"/>
    <s v="-"/>
    <s v="-"/>
    <s v="-"/>
    <s v="-"/>
    <s v=""/>
    <n v="42.611638743295039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_CH4"/>
    <s v="Σ.Ε. CH₄"/>
    <n v="1.3997090778362055E-10"/>
    <s v="t CH4/kWh"/>
    <n v="0"/>
    <s v="-"/>
    <n v="1.0671418401859256E-3"/>
    <s v="-"/>
    <s v="-"/>
    <s v="-"/>
    <s v=""/>
    <n v="2.9879971525205915E-2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_N2O"/>
    <s v="Σ.Ε. N2O"/>
    <n v="5.7633386594676158E-11"/>
    <s v="t N2O/kWh"/>
    <n v="0"/>
    <s v="-"/>
    <s v="-"/>
    <n v="4.3939843786586252E-4"/>
    <s v="-"/>
    <s v="-"/>
    <s v=""/>
    <n v="0.11644058603445356"/>
  </r>
  <r>
    <s v="Scope 3"/>
    <s v="Category 3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upstream emissions H.V."/>
    <s v="Σ.Ε. CO₂ eq"/>
    <n v="9.6580036941177543E-7"/>
    <s v="t CO2 eq/kWh"/>
    <n v="0"/>
    <s v="-"/>
    <s v="-"/>
    <s v="-"/>
    <s v="-"/>
    <n v="7.3632871272049805"/>
    <s v=""/>
    <n v="7.3632871272049805"/>
  </r>
  <r>
    <s v="Scope 3"/>
    <s v="Category 3"/>
    <s v="Ελλάδα"/>
    <x v="1"/>
    <x v="12"/>
    <s v="AO"/>
    <s v="Indirect emissions from fuel production and transportation"/>
    <s v="Production and transport of fuel consumed for the production of Electricity purchased and consumed by the group in Scope 2"/>
    <x v="26"/>
    <n v="24964867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089.013682067206"/>
    <s v=""/>
    <n v="1089.013682067206"/>
  </r>
  <r>
    <s v="Scope 3"/>
    <s v="Category 3"/>
    <s v="Ελλάδα"/>
    <x v="1"/>
    <x v="6"/>
    <s v="AKTOR CONCESSIONS"/>
    <s v="Indirect emissions from fuel production and transportation"/>
    <s v="Production and transport of fuel consumed for the production of Electricity purchased and consumed by the group in Scope 2"/>
    <x v="26"/>
    <n v="82089.87803518220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3.5809123413131592"/>
    <s v=""/>
    <n v="3.5809123413131592"/>
  </r>
  <r>
    <s v="Scope 3"/>
    <s v="Category 3"/>
    <s v="Ελλάδα"/>
    <x v="1"/>
    <x v="3"/>
    <s v="MOREAS"/>
    <s v="Indirect emissions from fuel production and transportation"/>
    <s v="Production and transport of fuel consumed for the production of Electricity purchased and consumed by the group in Scope 2"/>
    <x v="26"/>
    <n v="10032391.6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37.63148354032603"/>
    <s v=""/>
    <n v="437.63148354032603"/>
  </r>
  <r>
    <s v="Scope 3"/>
    <s v="Category 3"/>
    <s v="Ελλάδα"/>
    <x v="1"/>
    <x v="3"/>
    <s v="MOREAS"/>
    <s v="Indirect emissions from fuel production and transportation"/>
    <s v="Production and transport of fuel consumed for the production of Electricity purchased and consumed by the group in Scope 2"/>
    <x v="26"/>
    <n v="2925278.4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27.60605670865682"/>
    <s v=""/>
    <n v="127.60605670865682"/>
  </r>
  <r>
    <s v="Scope 3"/>
    <s v="Category 3"/>
    <s v="Ελλάδα"/>
    <x v="1"/>
    <x v="5"/>
    <s v="MOREAS"/>
    <s v="Indirect emissions from fuel production and transportation"/>
    <s v="Production and transport of fuel consumed for the production of Electricity purchased and consumed by the group in Scope 2"/>
    <x v="26"/>
    <n v="7868.0394282922298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0.34321843526963214"/>
    <s v=""/>
    <n v="0.34321843526963214"/>
  </r>
  <r>
    <s v="Scope 3"/>
    <s v="Category 3"/>
    <s v="Ελλάδα"/>
    <x v="1"/>
    <x v="9"/>
    <s v="AKTOR CONCESSIONS"/>
    <s v="Indirect emissions from fuel production and transportation"/>
    <s v="Production and transport of fuel consumed for the production of Electricity purchased and consumed by the group in Scope 2"/>
    <x v="26"/>
    <n v="37261.5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.6254181788818709"/>
    <s v=""/>
    <n v="1.6254181788818709"/>
  </r>
  <r>
    <s v="Scope 3"/>
    <s v="Category 3"/>
    <s v="Ελλάδα"/>
    <x v="1"/>
    <x v="9"/>
    <s v="AKTOR CONCESSIONS"/>
    <s v="Indirect emissions from fuel production and transportation"/>
    <s v="Production and transport of fuel consumed for the production of Electricity purchased and consumed by the group in Scope 2"/>
    <x v="26"/>
    <n v="80048.09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3.491845770031424"/>
    <s v=""/>
    <n v="3.491845770031424"/>
  </r>
  <r>
    <s v="Scope 3"/>
    <s v="Category 3"/>
    <s v="Ελλάδα"/>
    <x v="1"/>
    <x v="15"/>
    <s v="AKTOR CONCESSIONS"/>
    <s v="Indirect emissions from fuel production and transportation"/>
    <s v="Production and transport of fuel consumed for the production of Electricity purchased and consumed by the group in Scope 2"/>
    <x v="26"/>
    <n v="5084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2.2178220946925489"/>
    <s v=""/>
    <n v="2.2178220946925489"/>
  </r>
  <r>
    <s v="Scope 3"/>
    <s v="Category 3"/>
    <s v="Ελλάδα"/>
    <x v="1"/>
    <x v="13"/>
    <s v="AKTOR CONCESSIONS"/>
    <s v="Indirect emissions from fuel production and transportation"/>
    <s v="Production and transport of fuel consumed for the production of Electricity purchased and consumed by the group in Scope 2"/>
    <x v="26"/>
    <n v="287309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2.532950084654843"/>
    <s v=""/>
    <n v="12.532950084654843"/>
  </r>
  <r>
    <s v="Scope 3"/>
    <s v="Category 3"/>
    <s v="Ελλάδα"/>
    <x v="1"/>
    <x v="14"/>
    <s v="AKTOR CONCESSIONS"/>
    <s v="Indirect emissions from fuel production and transportation"/>
    <s v="Production and transport of fuel consumed for the production of Electricity purchased and consumed by the group in Scope 2"/>
    <x v="26"/>
    <n v="213387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9.3083356933275425"/>
    <s v=""/>
    <n v="9.3083356933275425"/>
  </r>
  <r>
    <s v="Scope 3"/>
    <s v="Category 3"/>
    <s v="Ρουμανία"/>
    <x v="2"/>
    <x v="16"/>
    <s v="ELLAKTOR S.A."/>
    <s v="Indirect emissions from fuel production and transportation"/>
    <s v="Production and transport of fuel consumed for the production of Electricity purchased and consumed by the group in Scope 2"/>
    <x v="26"/>
    <n v="30749"/>
    <s v="kWh"/>
    <m/>
    <s v="Electricity consumption_losses_upstream_source allocation_CO2_RO"/>
    <s v="Σ.Ε. CO₂ eq"/>
    <n v="4.8767142571536766E-5"/>
    <n v="0"/>
    <s v="Sheet &quot;Scope 3_Scope 2 Upstream CO2eq&quot;"/>
    <s v="-"/>
    <s v="-"/>
    <s v="-"/>
    <s v="-"/>
    <n v="1.4995408669321839"/>
    <s v=""/>
    <n v="1.4995408669321839"/>
  </r>
  <r>
    <s v="Scope 3"/>
    <s v="Category 3"/>
    <s v="Ελλάδα"/>
    <x v="2"/>
    <x v="4"/>
    <s v="ELLAKTOR S.A."/>
    <s v="Indirect emissions from fuel production and transportation"/>
    <s v="Production and transport of fuel consumed for the production of Electricity purchased and consumed by the group in Scope 2"/>
    <x v="26"/>
    <n v="268292.2764653370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1.703405424259198"/>
    <s v=""/>
    <n v="11.703405424259198"/>
  </r>
  <r>
    <s v="Scope 3"/>
    <s v="Category 3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4057935.6300000004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77.01465912147688"/>
    <s v=""/>
    <n v="177.01465912147688"/>
  </r>
  <r>
    <s v="Scope 3"/>
    <s v="Category 3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16999901.85400000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741.56716768431659"/>
    <s v=""/>
    <n v="741.56716768431659"/>
  </r>
  <r>
    <s v="Scope 3"/>
    <s v="Category 3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26219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1.437343701540525"/>
    <s v=""/>
    <n v="11.437343701540525"/>
  </r>
  <r>
    <s v="Scope 3"/>
    <s v="Category 3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2124697.7999999998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92.683248601247968"/>
    <s v=""/>
    <n v="92.683248601247968"/>
  </r>
  <r>
    <s v="Scope 3"/>
    <s v="Category 3"/>
    <s v="Κύπρος"/>
    <x v="0"/>
    <x v="1"/>
    <s v="HELECTOR &amp; Subsidiaries"/>
    <s v="Indirect emissions from fuel production and transportation"/>
    <s v="Production and transport of fuel consumed for the production of Electricity purchased and consumed by the group in Scope 2"/>
    <x v="26"/>
    <n v="10571303"/>
    <s v="kWh"/>
    <m/>
    <s v="Electricity consumption_losses_upstream_source allocation_CO2_CY"/>
    <s v="Σ.Ε. CO₂ eq"/>
    <n v="1.193732938388668E-4"/>
    <n v="0"/>
    <s v="Sheet &quot;Scope 3_Scope 2 Upstream CO2eq&quot;"/>
    <s v="-"/>
    <s v="-"/>
    <s v="-"/>
    <s v="-"/>
    <n v="1261.9312592786941"/>
    <s v=""/>
    <n v="1261.9312592786941"/>
  </r>
  <r>
    <s v="Scope 3"/>
    <s v="Category 3"/>
    <s v="Γερμανία"/>
    <x v="0"/>
    <x v="8"/>
    <s v="HELECTOR &amp; Subsidiaries"/>
    <s v="Indirect emissions from fuel production and transportation"/>
    <s v="Production and transport of fuel consumed for the production of Electricity purchased and consumed by the group in Scope 2"/>
    <x v="26"/>
    <n v="32192"/>
    <s v="kWh"/>
    <m/>
    <s v="Electricity consumption_losses_upstream_source allocation_CO2_DE"/>
    <s v="Σ.Ε. CO₂ eq"/>
    <n v="6.6360325440359348E-5"/>
    <n v="0"/>
    <s v="Sheet &quot;Scope 3_Scope 2 Upstream CO2eq&quot;"/>
    <s v="-"/>
    <s v="-"/>
    <s v="-"/>
    <s v="-"/>
    <n v="2.1362715965760479"/>
    <s v=""/>
    <n v="2.1362715965760479"/>
  </r>
  <r>
    <s v="Scope 3"/>
    <s v="Category 3"/>
    <s v="Ελλάδα"/>
    <x v="3"/>
    <x v="17"/>
    <s v="REDS"/>
    <s v="Indirect emissions from fuel production and transportation"/>
    <s v="Production and transport of fuel consumed for the production of Electricity purchased and consumed by the group in Scope 2"/>
    <x v="26"/>
    <n v="10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.4494286939664052E-3"/>
    <s v=""/>
    <n v="4.4494286939664052E-3"/>
  </r>
  <r>
    <s v="Scope 3"/>
    <s v="Category 3"/>
    <s v="Ελλάδα"/>
    <x v="3"/>
    <x v="7"/>
    <s v="REDS"/>
    <s v="Indirect emissions from fuel production and transportation"/>
    <s v="Production and transport of fuel consumed for the production of Electricity purchased and consumed by the group in Scope 2"/>
    <x v="26"/>
    <n v="30291.9517989251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.3213909757880844"/>
    <s v=""/>
    <n v="1.3213909757880844"/>
  </r>
  <r>
    <s v="Scope 3"/>
    <s v="Category 3"/>
    <s v="Ελλάδα"/>
    <x v="3"/>
    <x v="11"/>
    <s v="REDS"/>
    <s v="Indirect emissions from fuel production and transportation"/>
    <s v="Production and transport of fuel consumed for the production of Electricity purchased and consumed by the group in Scope 2"/>
    <x v="26"/>
    <n v="97634.4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.2589931458646424"/>
    <s v=""/>
    <n v="4.2589931458646424"/>
  </r>
  <r>
    <s v="Scope 3"/>
    <s v="Category 4"/>
    <s v="Ελλάδα"/>
    <x v="1"/>
    <x v="12"/>
    <s v="AO"/>
    <s v="Indirect GHG emissions from upstream transportation &amp; distribution "/>
    <s v="Indirect emissions from transportation of goods"/>
    <x v="27"/>
    <n v="62448.104219000015"/>
    <s v="km"/>
    <s v="Truck"/>
    <s v="Transportation_Truck"/>
    <s v="Σ.Ε. CO₂ eq"/>
    <n v="1.0845E-3"/>
    <s v="t CO2 eq/km"/>
    <s v="DEFRA 2024"/>
    <s v="-"/>
    <s v="-"/>
    <s v="-"/>
    <s v="-"/>
    <n v="67.724969025505516"/>
    <s v=""/>
    <n v="67.724969025505516"/>
  </r>
  <r>
    <s v="Scope 3"/>
    <s v="Category 4"/>
    <s v="Ελλάδα"/>
    <x v="1"/>
    <x v="12"/>
    <s v="AO"/>
    <s v="Indirect GHG emissions from upstream transportation &amp; distribution "/>
    <s v="Indirect emissions from transportation of goods"/>
    <x v="27"/>
    <n v="79431"/>
    <s v="km"/>
    <s v="Truck"/>
    <s v="Transportation_Truck"/>
    <s v="Σ.Ε. CO₂ eq"/>
    <n v="1.0845E-3"/>
    <s v="t CO2 eq/km"/>
    <s v="DEFRA 2024"/>
    <s v="-"/>
    <s v="-"/>
    <s v="-"/>
    <s v="-"/>
    <n v="86.142919499999991"/>
    <s v=""/>
    <n v="86.142919499999991"/>
  </r>
  <r>
    <s v="Scope 3"/>
    <s v="Category 4"/>
    <s v="Ελλάδα"/>
    <x v="1"/>
    <x v="12"/>
    <s v="AO"/>
    <s v="Indirect GHG emissions from upstream transportation &amp; distribution "/>
    <s v="Indirect emissions from transportation of goods"/>
    <x v="27"/>
    <n v="4226"/>
    <s v="tn*km"/>
    <s v="Airplane-Assumption 500 kg"/>
    <s v="Transportation_Airplane"/>
    <s v="Σ.Ε. CO₂ eq"/>
    <n v="1.2342E-3"/>
    <s v="t CO2 eq/tonne.km"/>
    <s v="DEFRA 2024"/>
    <s v="-"/>
    <s v="-"/>
    <s v="-"/>
    <s v="-"/>
    <n v="5.2157292000000002"/>
    <s v=""/>
    <n v="5.2157292000000002"/>
  </r>
  <r>
    <s v="Scope 3"/>
    <s v="Category 4"/>
    <s v="Ελλάδα"/>
    <x v="1"/>
    <x v="3"/>
    <s v="MOREAS"/>
    <s v="Indirect GHG emissions from upstream transportation &amp; distribution "/>
    <s v="Indirect emissions from transportation of goods"/>
    <x v="27"/>
    <n v="958122.9"/>
    <s v="tn*km"/>
    <s v="Truck_tn.km"/>
    <s v="Transportation_Truck_tn*km"/>
    <s v="Σ.Ε. CO₂ eq"/>
    <n v="1.19605E-4"/>
    <s v="t CO2 eq/tonne.km"/>
    <s v="DEFRA 2024"/>
    <s v="-"/>
    <s v="-"/>
    <s v="-"/>
    <s v="-"/>
    <n v="114.59628945450001"/>
    <s v=""/>
    <n v="114.59628945450001"/>
  </r>
  <r>
    <s v="Scope 3"/>
    <s v="Category 4"/>
    <s v="Ελλάδα"/>
    <x v="1"/>
    <x v="3"/>
    <s v="MOREAS"/>
    <s v="Indirect GHG emissions from upstream transportation &amp; distribution "/>
    <s v="Indirect emissions from transportation of goods"/>
    <x v="27"/>
    <n v="9936.7189999999991"/>
    <s v="tn*km"/>
    <s v="Van_tn.km"/>
    <s v="Transportation_Van_tn*km"/>
    <s v="Σ.Ε. CO₂ eq"/>
    <n v="7.6738000000000012E-4"/>
    <s v="t CO2 eq/tonne.km"/>
    <s v="DEFRA 2024"/>
    <s v="-"/>
    <s v="-"/>
    <s v="-"/>
    <s v="-"/>
    <n v="7.6252394262200003"/>
    <s v=""/>
    <n v="7.6252394262200003"/>
  </r>
  <r>
    <s v="Scope 3"/>
    <s v="Category 4"/>
    <s v="Ελλάδα"/>
    <x v="1"/>
    <x v="3"/>
    <s v="MOREAS"/>
    <s v="Indirect GHG emissions from upstream transportation &amp; distribution "/>
    <s v="Indirect emissions from transportation of goods"/>
    <x v="27"/>
    <n v="110352"/>
    <s v="km"/>
    <s v="Van_km"/>
    <s v="Transportation_Van"/>
    <s v="Σ.Ε. CO₂ eq"/>
    <n v="3.1151000000000003E-4"/>
    <s v="t CO2 eq/km"/>
    <s v="DEFRA 2024"/>
    <s v="-"/>
    <s v="-"/>
    <s v="-"/>
    <s v="-"/>
    <n v="34.375751520000001"/>
    <s v=""/>
    <n v="34.375751520000001"/>
  </r>
  <r>
    <s v="Scope 3"/>
    <s v="Category 4"/>
    <s v="Ελλάδα"/>
    <x v="3"/>
    <x v="21"/>
    <s v="REDS"/>
    <s v="Indirect GHG emissions from upstream transportation &amp; distribution "/>
    <s v="Indirect emissions from transportation of goods"/>
    <x v="27"/>
    <n v="758600.64"/>
    <s v="km"/>
    <s v="Truck"/>
    <s v="Transportation_Truck"/>
    <s v="Σ.Ε. CO₂ eq"/>
    <n v="1.0845E-3"/>
    <s v="t CO2 eq/km"/>
    <s v="DEFRA 2024"/>
    <s v="-"/>
    <s v="-"/>
    <s v="-"/>
    <s v="-"/>
    <n v="822.70239407999998"/>
    <s v=""/>
    <n v="822.70239407999998"/>
  </r>
  <r>
    <s v="Scope 3"/>
    <s v="Category 4"/>
    <s v="Ελλάδα"/>
    <x v="0"/>
    <x v="0"/>
    <s v="HELECTOR &amp; Subsidiaries"/>
    <s v="Indirect GHG emissions from upstream transportation &amp; distribution "/>
    <s v="Indirect emissions from transportation of goods"/>
    <x v="27"/>
    <n v="6913555.709999999"/>
    <s v="tn*km"/>
    <s v="Truck_tn.km"/>
    <s v="Transportation_Truck_tn*km"/>
    <s v="Σ.Ε. CO₂ eq"/>
    <n v="1.19605E-4"/>
    <s v="t CO2 eq/tonne.km"/>
    <s v="DEFRA 2024"/>
    <s v="-"/>
    <s v="-"/>
    <s v="-"/>
    <s v="-"/>
    <n v="826.89583069454989"/>
    <s v=""/>
    <n v="826.89583069454989"/>
  </r>
  <r>
    <s v="Scope 3"/>
    <s v="Category 4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CO2_Diesel_lt"/>
    <s v="Σ.Ε. CO₂ m."/>
    <n v="2.6092581300000001E-3"/>
    <s v="tn CO2/lt"/>
    <s v="Greece. National Inventory Submissions 2024"/>
    <n v="108.85660535097811"/>
    <s v="-"/>
    <s v="-"/>
    <s v="-"/>
    <s v="-"/>
    <s v=""/>
    <n v="108.85660535097811"/>
  </r>
  <r>
    <s v="Scope 3"/>
    <s v="Category 4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CH4_diesel_lt"/>
    <s v="Σ.Ε. CH₄ m."/>
    <n v="9.9661146212508699E-10"/>
    <s v="tn CH₄/lt"/>
    <s v="Greece. National Inventory Submissions 2024"/>
    <s v="-"/>
    <n v="4.1578002334637496E-5"/>
    <s v="-"/>
    <s v="-"/>
    <s v="-"/>
    <s v=""/>
    <n v="1.1641840653698499E-3"/>
  </r>
  <r>
    <s v="Scope 3"/>
    <s v="Category 4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4.3670901400911311E-3"/>
    <s v="-"/>
    <s v="-"/>
    <s v=""/>
    <n v="1.1572788871241497"/>
  </r>
  <r>
    <s v="Scope 3"/>
    <s v="Category 4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CO2_Diesel_lt"/>
    <s v="Σ.Ε. CO₂ m."/>
    <n v="2.6092581300000001E-3"/>
    <s v="tn CO2/lt"/>
    <s v="Greece. National Inventory Submissions 2024"/>
    <n v="45.213224876639998"/>
    <s v="-"/>
    <s v="-"/>
    <s v="-"/>
    <s v="-"/>
    <s v=""/>
    <n v="45.213224876639998"/>
  </r>
  <r>
    <s v="Scope 3"/>
    <s v="Category 4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CH4_diesel_lt"/>
    <s v="Σ.Ε. CH₄ m."/>
    <n v="9.9661146212508699E-10"/>
    <s v="tn CH₄/lt"/>
    <s v="Greece. National Inventory Submissions 2024"/>
    <s v="-"/>
    <n v="1.7269283415703507E-5"/>
    <s v="-"/>
    <s v="-"/>
    <s v="-"/>
    <s v=""/>
    <n v="4.8353993563969821E-4"/>
  </r>
  <r>
    <s v="Scope 3"/>
    <s v="Category 4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8138562003093316E-3"/>
    <s v="-"/>
    <s v="-"/>
    <s v=""/>
    <n v="0.48067189308197289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CO2_Diesel_lt"/>
    <s v="Σ.Ε. CO₂ m."/>
    <n v="2.6092581300000001E-3"/>
    <s v="tn CO2/lt"/>
    <s v="Greece. National Inventory Submissions 2024"/>
    <n v="25.570729673999999"/>
    <s v="-"/>
    <s v="-"/>
    <s v="-"/>
    <s v="-"/>
    <s v=""/>
    <n v="25.570729673999999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CH4_diesel_lt"/>
    <s v="Σ.Ε. CH₄ m."/>
    <n v="9.9661146212508699E-10"/>
    <s v="tn CH₄/lt"/>
    <s v="Greece. National Inventory Submissions 2024"/>
    <s v="-"/>
    <n v="9.7667923288258532E-6"/>
    <s v="-"/>
    <s v="-"/>
    <s v="-"/>
    <s v=""/>
    <n v="2.7347018520712388E-4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0258420338776228E-3"/>
    <s v="-"/>
    <s v="-"/>
    <s v=""/>
    <n v="0.27184813897757004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CO2_Diesel_lt"/>
    <s v="Σ.Ε. CO₂ m."/>
    <n v="2.6092581300000001E-3"/>
    <s v="tn CO2/lt"/>
    <s v="Greece. National Inventory Submissions 2024"/>
    <n v="43.4390598111465"/>
    <s v="-"/>
    <s v="-"/>
    <s v="-"/>
    <s v="-"/>
    <s v=""/>
    <n v="43.4390598111465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CH4_diesel_lt"/>
    <s v="Σ.Ε. CH₄ m."/>
    <n v="9.9661146212508699E-10"/>
    <s v="tn CH₄/lt"/>
    <s v="Greece. National Inventory Submissions 2024"/>
    <s v="-"/>
    <n v="1.6591637452031553E-5"/>
    <s v="-"/>
    <s v="-"/>
    <s v="-"/>
    <s v=""/>
    <n v="4.6456584865688349E-4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7426805583771795E-3"/>
    <s v="-"/>
    <s v="-"/>
    <s v=""/>
    <n v="0.46181034796995257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CO2_Diesel_lt"/>
    <s v="Σ.Ε. CO₂ m."/>
    <n v="2.6092581300000001E-3"/>
    <s v="tn CO2/lt"/>
    <s v="Greece. National Inventory Submissions 2024"/>
    <n v="24.099108088680001"/>
    <s v="-"/>
    <s v="-"/>
    <s v="-"/>
    <s v="-"/>
    <s v=""/>
    <n v="24.099108088680001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CH4_diesel_lt"/>
    <s v="Σ.Ε. CH₄ m."/>
    <n v="9.9661146212508699E-10"/>
    <s v="tn CH₄/lt"/>
    <s v="Greece. National Inventory Submissions 2024"/>
    <s v="-"/>
    <n v="9.2047034641873027E-6"/>
    <s v="-"/>
    <s v="-"/>
    <s v="-"/>
    <s v=""/>
    <n v="2.5773169699724446E-4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9.6680377805038011E-4"/>
    <s v="-"/>
    <s v="-"/>
    <s v=""/>
    <n v="0.25620300118335071"/>
  </r>
  <r>
    <s v="Scope 3"/>
    <s v="Category 4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CO2_petrol_lt"/>
    <s v="Σ.Ε. CO₂ m."/>
    <n v="2.3432595615E-3"/>
    <s v="tn CO2/lt"/>
    <s v="Greece. National Inventory Submissions 2024"/>
    <n v="23.5333557761445"/>
    <s v="-"/>
    <s v="-"/>
    <s v="-"/>
    <s v="-"/>
    <s v=""/>
    <n v="23.5333557761445"/>
  </r>
  <r>
    <s v="Scope 3"/>
    <s v="Category 4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CH4_petrol_lt"/>
    <s v="Σ.Ε. CH₄ m."/>
    <n v="2.9862611012340788E-7"/>
    <s v="tn CH₄/lt"/>
    <s v="Greece. National Inventory Submissions 2024"/>
    <s v="-"/>
    <n v="2.9991020239693851E-3"/>
    <s v="-"/>
    <s v="-"/>
    <s v="-"/>
    <s v=""/>
    <n v="8.3974856671142781E-2"/>
  </r>
  <r>
    <s v="Scope 3"/>
    <s v="Category 4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4.3537136587423769E-4"/>
    <s v="-"/>
    <s v="-"/>
    <s v=""/>
    <n v="0.11537341195667299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CO2_petrol_lt"/>
    <s v="Σ.Ε. CO₂ m."/>
    <n v="2.3432595615E-3"/>
    <s v="tn CO2/lt"/>
    <s v="Greece. National Inventory Submissions 2024"/>
    <n v="41.625686283081613"/>
    <s v="-"/>
    <s v="-"/>
    <s v="-"/>
    <s v="-"/>
    <s v=""/>
    <n v="41.625686283081613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CH4_petrol_lt"/>
    <s v="Σ.Ε. CH₄ m."/>
    <n v="2.9862611012340788E-7"/>
    <s v="tn CH₄/lt"/>
    <s v="Greece. National Inventory Submissions 2024"/>
    <s v="-"/>
    <n v="5.3047972064933181E-3"/>
    <s v="-"/>
    <s v="-"/>
    <s v="-"/>
    <s v=""/>
    <n v="0.14853432178181292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7.7008277378309441E-4"/>
    <s v="-"/>
    <s v="-"/>
    <s v=""/>
    <n v="0.20407193505252003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CO2_petrol_lt"/>
    <s v="Σ.Ε. CO₂ m."/>
    <n v="2.3432595615E-3"/>
    <s v="tn CO2/lt"/>
    <s v="Greece. National Inventory Submissions 2024"/>
    <n v="0.54194907138372006"/>
    <s v="-"/>
    <s v="-"/>
    <s v="-"/>
    <s v="-"/>
    <s v=""/>
    <n v="0.54194907138372006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CH4_petrol_lt"/>
    <s v="Σ.Ε. CH₄ m."/>
    <n v="2.9862611012340788E-7"/>
    <s v="tn CH₄/lt"/>
    <s v="Greece. National Inventory Submissions 2024"/>
    <s v="-"/>
    <n v="6.9066246749341777E-5"/>
    <s v="-"/>
    <s v="-"/>
    <s v="-"/>
    <s v=""/>
    <n v="1.9338549089815697E-3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1.0026156477087893E-5"/>
    <s v="-"/>
    <s v="-"/>
    <s v=""/>
    <n v="2.6569314664282914E-3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CO2_petrol_lt"/>
    <s v="Σ.Ε. CO₂ m."/>
    <n v="2.3432595615E-3"/>
    <s v="tn CO2/lt"/>
    <s v="Greece. National Inventory Submissions 2024"/>
    <n v="0.35148893422499999"/>
    <s v="-"/>
    <s v="-"/>
    <s v="-"/>
    <s v="-"/>
    <s v=""/>
    <n v="0.35148893422499999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CH4_petrol_lt"/>
    <s v="Σ.Ε. CH₄ m."/>
    <n v="2.9862611012340788E-7"/>
    <s v="tn CH₄/lt"/>
    <s v="Greece. National Inventory Submissions 2024"/>
    <s v="-"/>
    <n v="4.479391651851118E-5"/>
    <s v="-"/>
    <s v="-"/>
    <s v="-"/>
    <s v=""/>
    <n v="1.2542296625183131E-3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6.5026092682600471E-6"/>
    <s v="-"/>
    <s v="-"/>
    <s v=""/>
    <n v="1.7231914560889125E-3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CO2_Diesel_lt"/>
    <s v="Σ.Ε. CO₂ m."/>
    <n v="2.7370491168929394E-3"/>
    <s v="tn CO2/lt"/>
    <s v="Greece. National Inventory Submissions 2024"/>
    <n v="1.0948196467571758"/>
    <s v="-"/>
    <s v="-"/>
    <s v="-"/>
    <s v="-"/>
    <s v=""/>
    <n v="1.0948196467571758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CH4_diesel_lt"/>
    <s v="Σ.Ε. CH₄ m."/>
    <n v="1.0689300000000002E-7"/>
    <s v="tn CH₄/lt"/>
    <s v="Greece. National Inventory Submissions 2024"/>
    <s v="-"/>
    <n v="4.2757200000000005E-5"/>
    <s v="-"/>
    <s v="-"/>
    <s v="-"/>
    <s v=""/>
    <n v="1.1972016000000002E-3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N2O_diesel_lt"/>
    <s v="Σ.Ε. N2O m."/>
    <n v="2.1378600000000001E-8"/>
    <s v="tn N2O/lt"/>
    <s v="Greece. National Inventory Submissions 2024"/>
    <s v="-"/>
    <s v="-"/>
    <n v="8.5514400000000002E-6"/>
    <s v="-"/>
    <s v="-"/>
    <s v=""/>
    <n v="2.2661316E-3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CO2_Diesel_lt"/>
    <s v="Σ.Ε. CO₂ m."/>
    <n v="2.7370491168929394E-3"/>
    <s v="tn CO2/lt"/>
    <s v="Greece. National Inventory Submissions 2024"/>
    <n v="0.10948196467571758"/>
    <s v="-"/>
    <s v="-"/>
    <s v="-"/>
    <s v="-"/>
    <s v=""/>
    <n v="0.10948196467571758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CH4_diesel_lt"/>
    <s v="Σ.Ε. CH₄ m."/>
    <n v="1.0689300000000002E-7"/>
    <s v="tn CH₄/lt"/>
    <s v="Greece. National Inventory Submissions 2024"/>
    <s v="-"/>
    <n v="4.275720000000001E-6"/>
    <s v="-"/>
    <s v="-"/>
    <s v="-"/>
    <s v=""/>
    <n v="1.1972016000000002E-4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N2O_diesel_lt"/>
    <s v="Σ.Ε. N2O m."/>
    <n v="2.1378600000000001E-8"/>
    <s v="tn N2O/lt"/>
    <s v="Greece. National Inventory Submissions 2024"/>
    <s v="-"/>
    <s v="-"/>
    <n v="8.5514400000000002E-7"/>
    <s v="-"/>
    <s v="-"/>
    <s v=""/>
    <n v="2.2661316E-4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CO2_Diesel_lt"/>
    <s v="Σ.Ε. CO₂ m."/>
    <n v="2.7370491168929394E-3"/>
    <s v="tn CO2/lt"/>
    <s v="Greece. National Inventory Submissions 2024"/>
    <n v="1.7790819259804107"/>
    <s v="-"/>
    <s v="-"/>
    <s v="-"/>
    <s v="-"/>
    <s v=""/>
    <n v="1.7790819259804107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CH4_diesel_lt"/>
    <s v="Σ.Ε. CH₄ m."/>
    <n v="1.0689300000000002E-7"/>
    <s v="tn CH₄/lt"/>
    <s v="Greece. National Inventory Submissions 2024"/>
    <s v="-"/>
    <n v="6.948045000000001E-5"/>
    <s v="-"/>
    <s v="-"/>
    <s v="-"/>
    <s v=""/>
    <n v="1.9454526000000003E-3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N2O_diesel_lt"/>
    <s v="Σ.Ε. N2O m."/>
    <n v="2.1378600000000001E-8"/>
    <s v="tn N2O/lt"/>
    <s v="Greece. National Inventory Submissions 2024"/>
    <s v="-"/>
    <s v="-"/>
    <n v="1.389609E-5"/>
    <s v="-"/>
    <s v="-"/>
    <s v=""/>
    <n v="3.68246385E-3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CO2_lt"/>
    <s v="Σ.Ε. CO₂ st."/>
    <n v="2.6288551800000004E-3"/>
    <s v="tn CO2/lt"/>
    <s v="Greece. National Inventory Submissions 2024"/>
    <n v="3.6751395416400006"/>
    <s v="-"/>
    <s v="-"/>
    <s v="-"/>
    <s v="-"/>
    <s v=""/>
    <n v="3.6751395416400006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CH4_lt"/>
    <s v="Σ.Ε. CH₄ st."/>
    <n v="2.6069673432920342E-8"/>
    <s v="tn CH4/lt"/>
    <s v="Greece. National Inventory Submissions 2024"/>
    <s v="-"/>
    <n v="3.6445403459222636E-5"/>
    <s v="-"/>
    <s v="-"/>
    <s v="-"/>
    <s v=""/>
    <n v="1.0204712968582337E-3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N2O_lt"/>
    <s v="Σ.Ε. N2O st."/>
    <n v="6.7698900000000009E-9"/>
    <s v="tn N2O/lt"/>
    <s v="Greece. National Inventory Submissions 2024"/>
    <s v="-"/>
    <s v="-"/>
    <n v="9.4643062200000011E-6"/>
    <s v="-"/>
    <s v="-"/>
    <s v=""/>
    <n v="2.5080411483000002E-3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CO2_Diesel_lt"/>
    <s v="Σ.Ε. CO₂ m."/>
    <n v="2.6092581300000001E-3"/>
    <s v="tn CO2/lt"/>
    <s v="Greece. National Inventory Submissions 2024"/>
    <n v="4.2687463006800002"/>
    <s v="-"/>
    <s v="-"/>
    <s v="-"/>
    <s v="-"/>
    <s v=""/>
    <n v="4.2687463006800002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CH4_diesel_lt"/>
    <s v="Σ.Ε. CH₄ m."/>
    <n v="1.7372982352295353E-8"/>
    <s v="tn CH₄/lt"/>
    <s v="Greece. National Inventory Submissions 2024"/>
    <s v="-"/>
    <n v="2.8422199128355196E-5"/>
    <s v="-"/>
    <s v="-"/>
    <s v="-"/>
    <s v=""/>
    <n v="7.958215755939455E-4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N2O_diesel_lt"/>
    <s v="Σ.Ε. N2O m."/>
    <n v="7.4692304125650385E-8"/>
    <s v="tn N2O/lt"/>
    <s v="Greece. National Inventory Submissions 2024"/>
    <s v="-"/>
    <s v="-"/>
    <n v="1.2219660954956404E-4"/>
    <s v="-"/>
    <s v="-"/>
    <s v=""/>
    <n v="3.238210153063447E-2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CO2_Diesel_lt"/>
    <s v="Σ.Ε. CO₂ m."/>
    <n v="2.6092581300000001E-3"/>
    <s v="tn CO2/lt"/>
    <s v="Greece. National Inventory Submissions 2024"/>
    <n v="2273.1178421446202"/>
    <s v="-"/>
    <s v="-"/>
    <s v="-"/>
    <s v="-"/>
    <s v=""/>
    <n v="2273.1178421446202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CH4_diesel_lt"/>
    <s v="Σ.Ε. CH₄ m."/>
    <n v="2.0364052337489427E-7"/>
    <s v="tn CH₄/lt"/>
    <s v="Greece. National Inventory Submissions 2024"/>
    <s v="-"/>
    <n v="0.17740632931060016"/>
    <s v="-"/>
    <s v="-"/>
    <s v="-"/>
    <s v=""/>
    <n v="4.9673772206968048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5.1575381235406989E-2"/>
    <s v="-"/>
    <s v="-"/>
    <s v=""/>
    <n v="13.667476027382852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CO2_Diesel_lt"/>
    <s v="Σ.Ε. CO₂ m."/>
    <n v="2.6092581300000001E-3"/>
    <s v="tn CO2/lt"/>
    <s v="Greece. National Inventory Submissions 2024"/>
    <n v="145.72865820795931"/>
    <s v="-"/>
    <s v="-"/>
    <s v="-"/>
    <s v="-"/>
    <s v=""/>
    <n v="145.72865820795931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CH4_diesel_lt"/>
    <s v="Σ.Ε. CH₄ m."/>
    <n v="2.0364052337489427E-7"/>
    <s v="tn CH₄/lt"/>
    <s v="Greece. National Inventory Submissions 2024"/>
    <s v="-"/>
    <n v="1.1373447451207105E-2"/>
    <s v="-"/>
    <s v="-"/>
    <s v="-"/>
    <s v=""/>
    <n v="0.31845652863379892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3.3064766659473698E-3"/>
    <s v="-"/>
    <s v="-"/>
    <s v=""/>
    <n v="0.87621631647605303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CO2_Diesel_lt"/>
    <s v="Σ.Ε. CO₂ m."/>
    <n v="2.6092581300000001E-3"/>
    <s v="tn CO2/lt"/>
    <s v="Greece. National Inventory Submissions 2024"/>
    <n v="777.18196321795904"/>
    <s v="-"/>
    <s v="-"/>
    <s v="-"/>
    <s v="-"/>
    <s v=""/>
    <n v="777.18196321795904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CH4_diesel_lt"/>
    <s v="Σ.Ε. CH₄ m."/>
    <n v="2.0364052337489427E-7"/>
    <s v="tn CH₄/lt"/>
    <s v="Greece. National Inventory Submissions 2024"/>
    <s v="-"/>
    <n v="6.0655456019306532E-2"/>
    <s v="-"/>
    <s v="-"/>
    <s v="-"/>
    <s v=""/>
    <n v="1.6983527685405828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1.7633690299325055E-2"/>
    <s v="-"/>
    <s v="-"/>
    <s v=""/>
    <n v="4.6729279293211397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CO2_Diesel_lt"/>
    <s v="Σ.Ε. CO₂ m."/>
    <n v="2.6092581300000001E-3"/>
    <s v="tn CO2/lt"/>
    <s v="Greece. National Inventory Submissions 2024"/>
    <n v="40.678334246700004"/>
    <s v="-"/>
    <s v="-"/>
    <s v="-"/>
    <s v="-"/>
    <s v=""/>
    <n v="40.678334246700004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CH4_diesel_lt"/>
    <s v="Σ.Ε. CH₄ m."/>
    <n v="1.7372982352295353E-8"/>
    <s v="tn CH₄/lt"/>
    <s v="Greece. National Inventory Submissions 2024"/>
    <s v="-"/>
    <n v="2.7084479487228454E-4"/>
    <s v="-"/>
    <s v="-"/>
    <s v="-"/>
    <s v=""/>
    <n v="7.5836542564239676E-3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N2O_diesel_lt"/>
    <s v="Σ.Ε. N2O m."/>
    <n v="7.4692304125650385E-8"/>
    <s v="tn N2O/lt"/>
    <s v="Greece. National Inventory Submissions 2024"/>
    <s v="-"/>
    <s v="-"/>
    <n v="1.1644530213188896E-3"/>
    <s v="-"/>
    <s v="-"/>
    <s v=""/>
    <n v="0.30858005064950572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CO2_Diesel_lt"/>
    <s v="Σ.Ε. CO₂ m."/>
    <n v="2.6092581300000001E-3"/>
    <s v="tn CO2/lt"/>
    <s v="Greece. National Inventory Submissions 2024"/>
    <n v="11.040788758700701"/>
    <s v="-"/>
    <s v="-"/>
    <s v="-"/>
    <s v="-"/>
    <s v=""/>
    <n v="11.040788758700701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CH4_diesel_lt"/>
    <s v="Σ.Ε. CH₄ m."/>
    <n v="1.7372982352295353E-8"/>
    <s v="tn CH₄/lt"/>
    <s v="Greece. National Inventory Submissions 2024"/>
    <s v="-"/>
    <n v="7.3511863795679036E-5"/>
    <s v="-"/>
    <s v="-"/>
    <s v="-"/>
    <s v=""/>
    <n v="2.058332186279013E-3"/>
  </r>
  <r>
    <s v="Scope 3"/>
    <s v="Category 4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N2O_diesel_lt"/>
    <s v="Σ.Ε. N2O m."/>
    <n v="7.4692304125650385E-8"/>
    <s v="tn N2O/lt"/>
    <s v="Greece. National Inventory Submissions 2024"/>
    <s v="-"/>
    <s v="-"/>
    <n v="3.1605226875423581E-4"/>
    <s v="-"/>
    <s v="-"/>
    <s v=""/>
    <n v="8.3753851219872485E-2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CO2_petrol_lt"/>
    <s v="Σ.Ε. CO₂ m."/>
    <n v="2.3432595615E-3"/>
    <s v="tn CO2/lt"/>
    <s v="Greece. National Inventory Submissions 2024"/>
    <n v="18.855998798029965"/>
    <s v="-"/>
    <s v="-"/>
    <s v="-"/>
    <s v="-"/>
    <s v=""/>
    <n v="18.855998798029965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CH4_petrol_lt"/>
    <s v="Σ.Ε. CH₄ m."/>
    <n v="5.3615742548369984E-7"/>
    <s v="tn CH₄/lt"/>
    <s v="Greece. National Inventory Submissions 2024"/>
    <s v="-"/>
    <n v="4.3144105486990388E-3"/>
    <s v="-"/>
    <s v="-"/>
    <s v="-"/>
    <s v=""/>
    <n v="0.12080349536357309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N2O_petrol_lt"/>
    <s v="Σ.Ε. N2O m."/>
    <n v="8.8029037706651387E-8"/>
    <s v="tn N2O/lt"/>
    <s v="Greece. National Inventory Submissions 2024"/>
    <s v="-"/>
    <s v="-"/>
    <n v="7.0836174381203011E-4"/>
    <s v="-"/>
    <s v="-"/>
    <s v=""/>
    <n v="0.18771586211018798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CO2_Diesel_lt"/>
    <s v="Σ.Ε. CO₂ st."/>
    <n v="2.6288551800000004E-3"/>
    <s v="tn CO2/lt"/>
    <s v="Greece. National Inventory Submissions 2024"/>
    <n v="5.2577103600000008E-2"/>
    <s v="-"/>
    <s v="-"/>
    <s v="-"/>
    <s v="-"/>
    <s v=""/>
    <n v="5.2577103600000008E-2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CH4_diesel_lt"/>
    <s v="Σ.Ε. CH₄ st."/>
    <n v="7.3881717554663755E-8"/>
    <s v="tn CH₄/lt"/>
    <s v="Greece. National Inventory Submissions 2024"/>
    <s v="-"/>
    <n v="1.4776343510932751E-6"/>
    <s v="-"/>
    <s v="-"/>
    <s v="-"/>
    <s v=""/>
    <n v="4.1373761830611703E-5"/>
  </r>
  <r>
    <s v="Scope 3"/>
    <s v="Category 4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N2O_diesel_lt"/>
    <s v="Σ.Ε. N2O st."/>
    <n v="9.2898202099102465E-8"/>
    <s v="tn N2O/lt"/>
    <s v="Greece. National Inventory Submissions 2024"/>
    <s v="-"/>
    <s v="-"/>
    <n v="1.8579640419820493E-6"/>
    <s v="-"/>
    <s v="-"/>
    <s v=""/>
    <n v="4.9236047112524305E-4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CO2_petrol_lt"/>
    <s v="Σ.Ε. CO₂ st."/>
    <n v="2.3432595615E-3"/>
    <s v="tn CO2/lt"/>
    <s v="Greece. National Inventory Submissions 2024"/>
    <n v="19.683380316600001"/>
    <s v="-"/>
    <s v="-"/>
    <s v="-"/>
    <s v="-"/>
    <s v=""/>
    <n v="19.683380316600001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CH4_petrol_lt"/>
    <s v="Σ.Ε. CH₄ st."/>
    <n v="6.6322739296894177E-8"/>
    <s v="tn CH₄/lt"/>
    <s v="Greece. National Inventory Submissions 2024"/>
    <s v="-"/>
    <n v="5.5711101009391106E-4"/>
    <s v="-"/>
    <s v="-"/>
    <s v="-"/>
    <s v=""/>
    <n v="1.559910828262951E-2"/>
  </r>
  <r>
    <s v="Scope 3"/>
    <s v="Category 4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N2O_petrol_lt"/>
    <s v="Σ.Ε. N2O st."/>
    <n v="8.3393611341132544E-8"/>
    <s v="tn N2O/lt"/>
    <s v="Greece. National Inventory Submissions 2024"/>
    <s v="-"/>
    <s v="-"/>
    <n v="7.0050633526551342E-4"/>
    <s v="-"/>
    <s v="-"/>
    <s v=""/>
    <n v="0.18563417884536107"/>
  </r>
  <r>
    <s v="Scope 3"/>
    <s v="Category 4"/>
    <s v="Ελλάδα"/>
    <x v="1"/>
    <x v="0"/>
    <m/>
    <s v="Indirect GHG emissions from upstream transportation &amp; distribution "/>
    <s v="Indirect emissions from subcontractors"/>
    <x v="30"/>
    <n v="44485.19999999999"/>
    <s v="lt"/>
    <s v="Petrol-WTT"/>
    <s v="Production_Petrol"/>
    <s v="Σ.Ε. CO₂ eq"/>
    <n v="6.0663999999999998E-4"/>
    <s v="t CO2 eq/lt"/>
    <s v="DEFRA 2024"/>
    <s v="-"/>
    <s v="-"/>
    <s v="-"/>
    <s v="-"/>
    <n v="26.986501727999993"/>
    <s v=""/>
    <n v="26.986501727999993"/>
  </r>
  <r>
    <s v="Scope 3"/>
    <s v="Category 4"/>
    <s v="Ελλάδα"/>
    <x v="0"/>
    <x v="0"/>
    <m/>
    <s v="Indirect GHG emissions from upstream transportation &amp; distribution "/>
    <s v="Indirect emissions from subcontractors"/>
    <x v="30"/>
    <n v="150"/>
    <s v="lt"/>
    <s v="Petrol-WTT"/>
    <s v="Production_Petrol"/>
    <s v="Σ.Ε. CO₂ eq"/>
    <n v="6.0663999999999998E-4"/>
    <s v="t CO2 eq/lt"/>
    <s v="DEFRA 2024"/>
    <s v="-"/>
    <s v="-"/>
    <s v="-"/>
    <s v="-"/>
    <n v="9.0995999999999994E-2"/>
    <s v=""/>
    <n v="9.0995999999999994E-2"/>
  </r>
  <r>
    <s v="Scope 3"/>
    <s v="Category 4"/>
    <s v="Ελλάδα"/>
    <x v="1"/>
    <x v="0"/>
    <m/>
    <s v="Indirect GHG emissions from upstream transportation &amp; distribution "/>
    <s v="Indirect emissions from subcontractors"/>
    <x v="31"/>
    <n v="459462.94999999995"/>
    <s v="lt"/>
    <s v="Diesel-WTT"/>
    <s v="Production_Diesel"/>
    <s v="Σ.Ε. CO₂ eq"/>
    <n v="6.2665000000000008E-4"/>
    <s v="t CO₂ eq/lt"/>
    <s v="DEFRA 2024"/>
    <s v="-"/>
    <s v="-"/>
    <s v="-"/>
    <s v="-"/>
    <n v="287.92245761750002"/>
    <s v=""/>
    <n v="287.92245761750002"/>
  </r>
  <r>
    <s v="Scope 3"/>
    <s v="Category 4"/>
    <s v="Ελλάδα"/>
    <x v="0"/>
    <x v="0"/>
    <m/>
    <s v="Indirect GHG emissions from upstream transportation &amp; distribution "/>
    <s v="Indirect emissions from subcontractors"/>
    <x v="31"/>
    <n v="884114"/>
    <s v="lt"/>
    <s v="Diesel-WTT"/>
    <s v="Production_Diesel"/>
    <s v="Σ.Ε. CO₂ eq"/>
    <n v="6.2665000000000008E-4"/>
    <s v="t CO₂ eq/lt"/>
    <s v="DEFRA 2024"/>
    <s v="-"/>
    <s v="-"/>
    <s v="-"/>
    <s v="-"/>
    <n v="554.03003810000007"/>
    <s v=""/>
    <n v="554.03003810000007"/>
  </r>
  <r>
    <s v="Scope 3"/>
    <s v="Category 5"/>
    <s v="Ελλάδα"/>
    <x v="0"/>
    <x v="0"/>
    <s v="HELECTOR &amp; Subsidiaries"/>
    <s v="Indirect GHG emissions from third-party disposal and treatment of Waste Generated in Operations"/>
    <s v="Aδρανή / Inert"/>
    <x v="32"/>
    <n v="261.28000000000003"/>
    <s v="tn"/>
    <s v="Recycling"/>
    <s v="Waste_Aggregates"/>
    <s v="Σ.Ε. CO₂ eq"/>
    <n v="9.8491172324161112E-4"/>
    <s v="tn CO2e/tn"/>
    <s v="DEFRA 2023"/>
    <s v="-"/>
    <s v="-"/>
    <s v="-"/>
    <s v="-"/>
    <n v="0.25733773504856816"/>
    <s v=""/>
    <n v="0.25733773504856816"/>
  </r>
  <r>
    <s v="Scope 3"/>
    <s v="Category 5"/>
    <s v="Ελλάδα"/>
    <x v="0"/>
    <x v="0"/>
    <s v="HELECTOR &amp; Subsidiaries"/>
    <s v="Indirect GHG emissions from third-party disposal and treatment of Waste Generated in Operations"/>
    <s v="Compost από βιοαπόβλητα / Compost from bio-organic waste"/>
    <x v="32"/>
    <n v="239.43"/>
    <s v="tn"/>
    <s v="Recycling"/>
    <s v="Waste_Mixed Organics_Composted"/>
    <s v="Σ.Ε. CO₂ eq"/>
    <n v="0.1874310915104741"/>
    <s v="tn CO2e/tn"/>
    <s v="EPA 2023"/>
    <s v="-"/>
    <s v="-"/>
    <s v="-"/>
    <s v="-"/>
    <n v="44.876626240352813"/>
    <s v=""/>
    <n v="44.876626240352813"/>
  </r>
  <r>
    <s v="Scope 3"/>
    <s v="Category 5"/>
    <s v="Ελλάδα"/>
    <x v="0"/>
    <x v="0"/>
    <s v="HELECTOR &amp; Subsidiaries"/>
    <s v="Indirect GHG emissions from third-party disposal and treatment of Waste Generated in Operations"/>
    <s v="Compost από βιοαπόβλητα / Compost from bio-organic waste"/>
    <x v="32"/>
    <n v="949.93000000000006"/>
    <s v="tn"/>
    <s v="Composting"/>
    <s v="Waste_Mixed Organics_Composted"/>
    <s v="Σ.Ε. CO₂ eq"/>
    <n v="0.1874310915104741"/>
    <s v="tn CO2e/tn"/>
    <s v="EPA 2023"/>
    <s v="-"/>
    <s v="-"/>
    <s v="-"/>
    <s v="-"/>
    <n v="178.04641675854467"/>
    <s v=""/>
    <n v="178.04641675854467"/>
  </r>
  <r>
    <s v="Scope 3"/>
    <s v="Category 5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31856.39"/>
    <s v="tn"/>
    <s v="Recycling"/>
    <s v="Waste_Mixed Organics_Composted"/>
    <s v="Σ.Ε. CO₂ eq"/>
    <n v="0.1874310915104741"/>
    <s v="tn CO2e/tn"/>
    <s v="EPA 2023"/>
    <s v="-"/>
    <s v="-"/>
    <s v="-"/>
    <s v="-"/>
    <n v="5970.8779492833519"/>
    <s v=""/>
    <n v="5970.8779492833519"/>
  </r>
  <r>
    <s v="Scope 3"/>
    <s v="Category 5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2942.12"/>
    <s v="tn"/>
    <s v="Landfill"/>
    <s v="Waste_Mixed Organics_Landfilled"/>
    <s v="Σ.Ε. CO₂ eq"/>
    <n v="0.52921719955898572"/>
    <s v="tn CO2e/tn"/>
    <s v="EPA 2023"/>
    <s v="-"/>
    <s v="-"/>
    <s v="-"/>
    <s v="-"/>
    <n v="1557.020507166483"/>
    <s v=""/>
    <n v="1557.020507166483"/>
  </r>
  <r>
    <s v="Scope 3"/>
    <s v="Category 5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44516.61"/>
    <s v="tn"/>
    <s v="Other disposal operations"/>
    <s v="Waste_Mixed Organics_Landfilled"/>
    <s v="Σ.Ε. CO₂ eq"/>
    <n v="0.52921719955898572"/>
    <s v="tn CO2e/tn"/>
    <s v="EPA 2023"/>
    <s v="-"/>
    <s v="-"/>
    <s v="-"/>
    <s v="-"/>
    <n v="23558.955678059541"/>
    <s v=""/>
    <n v="23558.955678059541"/>
  </r>
  <r>
    <s v="Scope 3"/>
    <s v="Category 5"/>
    <s v="Ελλάδα"/>
    <x v="0"/>
    <x v="0"/>
    <s v="HELECTOR &amp; Subsidiaries"/>
    <s v="Indirect GHG emissions from third-party disposal and treatment of Waste Generated in Operations"/>
    <s v="Oργανικά απόβλητα / Οrganic waste"/>
    <x v="32"/>
    <n v="83.29"/>
    <s v="tn"/>
    <s v="Composting"/>
    <s v="Waste_Mixed Organics_Composted"/>
    <s v="Σ.Ε. CO₂ eq"/>
    <n v="0.1874310915104741"/>
    <s v="tn CO2e/tn"/>
    <s v="EPA 2023"/>
    <s v="-"/>
    <s v="-"/>
    <s v="-"/>
    <s v="-"/>
    <n v="15.61113561190739"/>
    <s v=""/>
    <n v="15.61113561190739"/>
  </r>
  <r>
    <s v="Scope 3"/>
    <s v="Category 5"/>
    <s v="Ελλάδα"/>
    <x v="0"/>
    <x v="0"/>
    <s v="HELECTOR &amp; Subsidiaries"/>
    <s v="Indirect GHG emissions from third-party disposal and treatment of Waste Generated in Operations"/>
    <s v="Scrap Mετάλλων (mix)  / Scrap metal (mix)"/>
    <x v="32"/>
    <n v="227.22050000000002"/>
    <s v="tn"/>
    <s v="Recycling"/>
    <s v="Waste_Metal: mixed cans"/>
    <s v="Σ.Ε. CO₂ eq"/>
    <n v="2.1280999999999998E-2"/>
    <s v="tn CO2e/tn"/>
    <s v="DEFRA 2023"/>
    <s v="-"/>
    <s v="-"/>
    <s v="-"/>
    <s v="-"/>
    <n v="4.8354794605000002"/>
    <s v=""/>
    <n v="4.8354794605000002"/>
  </r>
  <r>
    <s v="Scope 3"/>
    <s v="Category 5"/>
    <s v="Ελλάδα"/>
    <x v="1"/>
    <x v="0"/>
    <s v="AKTOR CONCESSIONS"/>
    <s v="Indirect GHG emissions from third-party disposal and treatment of Waste Generated in Operations"/>
    <s v="Scrap Mετάλλων (ανάμεικτο)  / Scrap metal (mix)"/>
    <x v="32"/>
    <n v="4.1586962918254186E-2"/>
    <s v="tn"/>
    <s v="Recycling"/>
    <s v="Waste_Metal: mixed cans"/>
    <s v="Σ.Ε. CO₂ eq"/>
    <n v="2.1280999999999998E-2"/>
    <s v="tn CO2e/tn"/>
    <s v="DEFRA 2023"/>
    <s v="-"/>
    <s v="-"/>
    <s v="-"/>
    <s v="-"/>
    <n v="8.8501215786336725E-4"/>
    <s v=""/>
    <n v="8.8501215786336725E-4"/>
  </r>
  <r>
    <s v="Scope 3"/>
    <s v="Category 5"/>
    <s v="Ελλάδα"/>
    <x v="2"/>
    <x v="0"/>
    <s v="ELLAKTOR S.A."/>
    <s v="Indirect GHG emissions from third-party disposal and treatment of Waste Generated in Operations"/>
    <s v="Scrap Mετάλλων (ανάμεικτο)  / Scrap metal (mix)"/>
    <x v="32"/>
    <n v="0.20475062808857378"/>
    <s v="tn"/>
    <s v="Recycling"/>
    <s v="Waste_Metal: mixed cans"/>
    <s v="Σ.Ε. CO₂ eq"/>
    <n v="2.1280999999999998E-2"/>
    <s v="tn CO2e/tn"/>
    <s v="DEFRA 2023"/>
    <s v="-"/>
    <s v="-"/>
    <s v="-"/>
    <s v="-"/>
    <n v="4.3572981163529385E-3"/>
    <s v=""/>
    <n v="4.3572981163529385E-3"/>
  </r>
  <r>
    <s v="Scope 3"/>
    <s v="Category 5"/>
    <s v="Ελλάδα"/>
    <x v="0"/>
    <x v="0"/>
    <s v="HELECTOR &amp; Subsidiaries"/>
    <s v="Indirect GHG emissions from third-party disposal and treatment of Waste Generated in Operations"/>
    <s v="Scrap Mετάλλων (ανάμεικτο)  / Scrap metal (mix)"/>
    <x v="32"/>
    <n v="5.8738578595948505"/>
    <s v="tn"/>
    <s v="Recycling"/>
    <s v="Waste_Metal: mixed cans"/>
    <s v="Σ.Ε. CO₂ eq"/>
    <n v="2.1280999999999998E-2"/>
    <s v="tn CO2e/tn"/>
    <s v="DEFRA 2023"/>
    <s v="-"/>
    <s v="-"/>
    <s v="-"/>
    <s v="-"/>
    <n v="0.12500156911003801"/>
    <s v=""/>
    <n v="0.12500156911003801"/>
  </r>
  <r>
    <s v="Scope 3"/>
    <s v="Category 5"/>
    <s v="Ελλάδα"/>
    <x v="1"/>
    <x v="0"/>
    <s v="MOREAS"/>
    <s v="Indirect GHG emissions from third-party disposal and treatment of Waste Generated in Operations"/>
    <s v="Scrap Mετάλλων (ανάμεικτο)  / Scrap metal (mix)"/>
    <x v="32"/>
    <n v="3.3902025727111561E-2"/>
    <s v="tn"/>
    <s v="Recycling"/>
    <s v="Waste_Metal: mixed cans"/>
    <s v="Σ.Ε. CO₂ eq"/>
    <n v="2.1280999999999998E-2"/>
    <s v="tn CO2e/tn"/>
    <s v="DEFRA 2023"/>
    <s v="-"/>
    <s v="-"/>
    <s v="-"/>
    <s v="-"/>
    <n v="7.2146900949866105E-4"/>
    <s v=""/>
    <n v="7.2146900949866105E-4"/>
  </r>
  <r>
    <s v="Scope 3"/>
    <s v="Category 5"/>
    <s v="Ελλάδα"/>
    <x v="3"/>
    <x v="0"/>
    <s v="REDS"/>
    <s v="Indirect GHG emissions from third-party disposal and treatment of Waste Generated in Operations"/>
    <s v="Scrap Mετάλλων (ανάμεικτο)  / Scrap metal (mix)"/>
    <x v="32"/>
    <n v="1.991776377833944E-3"/>
    <s v="tn"/>
    <s v="Recycling"/>
    <s v="Waste_Metal: mixed cans"/>
    <s v="Σ.Ε. CO₂ eq"/>
    <n v="2.1280999999999998E-2"/>
    <s v="tn CO2e/tn"/>
    <s v="DEFRA 2023"/>
    <s v="-"/>
    <s v="-"/>
    <s v="-"/>
    <s v="-"/>
    <n v="4.2386993096684156E-5"/>
    <s v=""/>
    <n v="4.2386993096684156E-5"/>
  </r>
  <r>
    <s v="Scope 3"/>
    <s v="Category 5"/>
    <s v="Ελλάδα"/>
    <x v="0"/>
    <x v="0"/>
    <s v="HELECTOR &amp; Subsidiaries"/>
    <s v="Indirect GHG emissions from third-party disposal and treatment of Waste Generated in Operations"/>
    <s v="Scrap αλουμινίου / Scrap Aluminium"/>
    <x v="32"/>
    <n v="1216.876"/>
    <s v="tn"/>
    <s v="Recycling"/>
    <s v="Waste_Metal: aluminium cans and foil (excl. forming)"/>
    <s v="Σ.Ε. CO₂ eq"/>
    <n v="2.1280999999999998E-2"/>
    <s v="tn CO2e/tn"/>
    <s v="DEFRA 2023"/>
    <s v="-"/>
    <s v="-"/>
    <s v="-"/>
    <s v="-"/>
    <n v="25.896338155999995"/>
    <s v=""/>
    <n v="25.896338155999995"/>
  </r>
  <r>
    <s v="Scope 3"/>
    <s v="Category 5"/>
    <s v="Ελλάδα"/>
    <x v="1"/>
    <x v="0"/>
    <s v="MOREAS"/>
    <s v="Indirect GHG emissions from third-party disposal and treatment of Waste Generated in Operations"/>
    <s v="Scrap αλουμινίου/aluminium scrap"/>
    <x v="32"/>
    <n v="1.1320000000000001"/>
    <s v="tn"/>
    <s v="Recycling"/>
    <s v="Waste_Metal: aluminium cans and foil (excl. forming)"/>
    <s v="Σ.Ε. CO₂ eq"/>
    <n v="2.1280999999999998E-2"/>
    <s v="tn CO2e/tn"/>
    <s v="DEFRA 2023"/>
    <s v="-"/>
    <s v="-"/>
    <s v="-"/>
    <s v="-"/>
    <n v="2.4090092E-2"/>
    <s v=""/>
    <n v="2.4090092E-2"/>
  </r>
  <r>
    <s v="Scope 3"/>
    <s v="Category 5"/>
    <s v="Ελλάδα"/>
    <x v="0"/>
    <x v="0"/>
    <s v="HELECTOR &amp; Subsidiaries"/>
    <s v="Indirect GHG emissions from third-party disposal and treatment of Waste Generated in Operations"/>
    <s v="Scrap σιδήρου / Scrap Metal"/>
    <x v="32"/>
    <n v="6888.5005000000001"/>
    <s v="tn"/>
    <s v="Recycling"/>
    <s v="Waste_Metal: scrap metal"/>
    <s v="Σ.Ε. CO₂ eq"/>
    <n v="2.1280999999999998E-2"/>
    <s v="tn CO2e/tn"/>
    <s v="DEFRA 2023"/>
    <s v="-"/>
    <s v="-"/>
    <s v="-"/>
    <s v="-"/>
    <n v="146.59417914049999"/>
    <s v=""/>
    <n v="146.59417914049999"/>
  </r>
  <r>
    <s v="Scope 3"/>
    <s v="Category 5"/>
    <s v="Ελλάδα"/>
    <x v="1"/>
    <x v="0"/>
    <s v="AD"/>
    <s v="Indirect GHG emissions from third-party disposal and treatment of Waste Generated in Operations"/>
    <s v="Scrap σιδήρου/metal scrap"/>
    <x v="32"/>
    <n v="13.790000000000001"/>
    <s v="tn"/>
    <s v="Recycling"/>
    <s v="Waste_Metal: scrap metal"/>
    <s v="Σ.Ε. CO₂ eq"/>
    <n v="2.1280999999999998E-2"/>
    <s v="tn CO2e/tn"/>
    <s v="DEFRA 2023"/>
    <s v="-"/>
    <s v="-"/>
    <s v="-"/>
    <s v="-"/>
    <n v="0.29346498999999998"/>
    <s v=""/>
    <n v="0.29346498999999998"/>
  </r>
  <r>
    <s v="Scope 3"/>
    <s v="Category 5"/>
    <s v="Ελλάδα"/>
    <x v="0"/>
    <x v="0"/>
    <s v="HELECTOR &amp; Subsidiaries"/>
    <s v="Indirect GHG emissions from third-party disposal and treatment of Waste Generated in Operations"/>
    <s v="Scrap σιδήρου/metal scrap"/>
    <x v="32"/>
    <n v="8.1720000000000006"/>
    <s v="tn"/>
    <s v="Recycling"/>
    <s v="Waste_Metal: scrap metal"/>
    <s v="Σ.Ε. CO₂ eq"/>
    <n v="2.1280999999999998E-2"/>
    <s v="tn CO2e/tn"/>
    <s v="DEFRA 2023"/>
    <s v="-"/>
    <s v="-"/>
    <s v="-"/>
    <s v="-"/>
    <n v="0.173908332"/>
    <s v=""/>
    <n v="0.173908332"/>
  </r>
  <r>
    <s v="Scope 3"/>
    <s v="Category 5"/>
    <s v="Ελλάδα"/>
    <x v="1"/>
    <x v="0"/>
    <s v="MOREAS"/>
    <s v="Indirect GHG emissions from third-party disposal and treatment of Waste Generated in Operations"/>
    <s v="Scrap σιδήρου/metal scrap"/>
    <x v="32"/>
    <n v="25.650000000000002"/>
    <s v="tn"/>
    <s v="Recycling"/>
    <s v="Waste_Metal: scrap metal"/>
    <s v="Σ.Ε. CO₂ eq"/>
    <n v="2.1280999999999998E-2"/>
    <s v="tn CO2e/tn"/>
    <s v="DEFRA 2023"/>
    <s v="-"/>
    <s v="-"/>
    <s v="-"/>
    <s v="-"/>
    <n v="0.54585764999999997"/>
    <s v=""/>
    <n v="0.54585764999999997"/>
  </r>
  <r>
    <s v="Scope 3"/>
    <s v="Category 5"/>
    <s v="Ελλάδα"/>
    <x v="0"/>
    <x v="0"/>
    <s v="HELECTOR &amp; Subsidiaries"/>
    <s v="Indirect GHG emissions from third-party disposal and treatment of Waste Generated in Operations"/>
    <s v="Tetrapack"/>
    <x v="32"/>
    <n v="349.39949999999999"/>
    <s v="tn"/>
    <s v="Recycling"/>
    <s v="Waste_Mixed Paper (general)_Recycling"/>
    <s v="Σ.Ε. CO₂ eq"/>
    <n v="7.7177508269018744E-2"/>
    <s v="tn CO2e/tn"/>
    <s v="EPA 2023"/>
    <s v="-"/>
    <s v="-"/>
    <s v="-"/>
    <s v="-"/>
    <n v="26.965782800441012"/>
    <s v=""/>
    <n v="26.965782800441012"/>
  </r>
  <r>
    <s v="Scope 3"/>
    <s v="Category 5"/>
    <s v="Ελλάδα"/>
    <x v="0"/>
    <x v="0"/>
    <s v="HELECTOR &amp; Subsidiaries"/>
    <s v="Indirect GHG emissions from third-party disposal and treatment of Waste Generated in Operations"/>
    <s v="Toner"/>
    <x v="32"/>
    <n v="0.01"/>
    <s v="tn"/>
    <s v="Recycling"/>
    <s v="Waste_Mixed Recycables_Recycling"/>
    <s v="Σ.Ε. CO₂ eq"/>
    <n v="9.9228224917309815E-2"/>
    <s v="tn CO2e/tn"/>
    <s v="EPA 2023"/>
    <s v="-"/>
    <s v="-"/>
    <s v="-"/>
    <s v="-"/>
    <n v="9.922822491730981E-4"/>
    <s v=""/>
    <n v="9.922822491730981E-4"/>
  </r>
  <r>
    <s v="Scope 3"/>
    <s v="Category 5"/>
    <s v="Ελλάδα"/>
    <x v="1"/>
    <x v="0"/>
    <s v="MOREAS"/>
    <s v="Indirect GHG emissions from third-party disposal and treatment of Waste Generated in Operations"/>
    <s v="Toner"/>
    <x v="32"/>
    <n v="6.9000000000000006E-2"/>
    <s v="tn"/>
    <s v="Recycling"/>
    <s v="Waste_Mixed Recycables_Recycling"/>
    <s v="Σ.Ε. CO₂ eq"/>
    <n v="9.9228224917309815E-2"/>
    <s v="tn CO2e/tn"/>
    <s v="EPA 2023"/>
    <s v="-"/>
    <s v="-"/>
    <s v="-"/>
    <s v="-"/>
    <n v="6.8467475192943777E-3"/>
    <s v=""/>
    <n v="6.8467475192943777E-3"/>
  </r>
  <r>
    <s v="Scope 3"/>
    <s v="Category 5"/>
    <s v="Ελλάδα"/>
    <x v="0"/>
    <x v="0"/>
    <s v="HELECTOR &amp; Subsidiaries"/>
    <s v="Indirect GHG emissions from third-party disposal and treatment of Waste Generated in Operations"/>
    <s v="Yπολλείματα (για ΧΥΤΑ) /  Residues (for landfil)"/>
    <x v="32"/>
    <n v="344067.35000000003"/>
    <s v="tn"/>
    <s v="Landfill"/>
    <s v="Waste_Residues_landfill"/>
    <s v="Σ.Ε. CO₂ eq"/>
    <n v="0.33951999999999999"/>
    <s v="tn CO2e/tn"/>
    <s v="ecoinvent 3.10"/>
    <s v="-"/>
    <s v="-"/>
    <s v="-"/>
    <s v="-"/>
    <n v="116817.74667200001"/>
    <s v=""/>
    <n v="116817.74667200001"/>
  </r>
  <r>
    <s v="Scope 3"/>
    <s v="Category 5"/>
    <s v="Ελλάδα"/>
    <x v="1"/>
    <x v="0"/>
    <s v="AD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6.0999999999999999E-2"/>
    <s v="tn"/>
    <s v="Recycling"/>
    <s v="Waste_WEEE-mixed"/>
    <s v="Σ.Ε. CO₂ eq"/>
    <n v="2.1280999999999998E-2"/>
    <s v="tn CO2e/tn"/>
    <s v="DEFRA 2023"/>
    <s v="-"/>
    <s v="-"/>
    <s v="-"/>
    <s v="-"/>
    <n v="1.2981409999999998E-3"/>
    <s v=""/>
    <n v="1.2981409999999998E-3"/>
  </r>
  <r>
    <s v="Scope 3"/>
    <s v="Category 5"/>
    <s v="Ελλάδα"/>
    <x v="1"/>
    <x v="0"/>
    <s v="AKTOR CONCESSION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4.7257912407107036E-4"/>
    <s v="tn"/>
    <s v="Recycling"/>
    <s v="Waste_WEEE-mixed"/>
    <s v="Σ.Ε. CO₂ eq"/>
    <n v="2.1280999999999998E-2"/>
    <s v="tn CO2e/tn"/>
    <s v="DEFRA 2023"/>
    <s v="-"/>
    <s v="-"/>
    <s v="-"/>
    <s v="-"/>
    <n v="1.0056956339356447E-5"/>
    <s v=""/>
    <n v="1.0056956339356447E-5"/>
  </r>
  <r>
    <s v="Scope 3"/>
    <s v="Category 5"/>
    <s v="Ελλάδα"/>
    <x v="1"/>
    <x v="0"/>
    <s v="AO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28500000000000003"/>
    <s v="tn"/>
    <s v="Recycling"/>
    <s v="Waste_WEEE-mixed"/>
    <s v="Σ.Ε. CO₂ eq"/>
    <n v="2.1280999999999998E-2"/>
    <s v="tn CO2e/tn"/>
    <s v="DEFRA 2023"/>
    <s v="-"/>
    <s v="-"/>
    <s v="-"/>
    <s v="-"/>
    <n v="6.0650850000000004E-3"/>
    <s v=""/>
    <n v="6.0650850000000004E-3"/>
  </r>
  <r>
    <s v="Scope 3"/>
    <s v="Category 5"/>
    <s v="Ελλάδα"/>
    <x v="2"/>
    <x v="0"/>
    <s v="ELLAKTOR S.A.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2.3267116828247017E-3"/>
    <s v="tn"/>
    <s v="Recycling"/>
    <s v="Waste_WEEE-mixed"/>
    <s v="Σ.Ε. CO₂ eq"/>
    <n v="2.1280999999999998E-2"/>
    <s v="tn CO2e/tn"/>
    <s v="DEFRA 2023"/>
    <s v="-"/>
    <s v="-"/>
    <s v="-"/>
    <s v="-"/>
    <n v="4.951475132219247E-5"/>
    <s v=""/>
    <n v="4.951475132219247E-5"/>
  </r>
  <r>
    <s v="Scope 3"/>
    <s v="Category 5"/>
    <s v="Ελλάδα"/>
    <x v="0"/>
    <x v="0"/>
    <s v="HELECTOR &amp; Subsidiarie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39718020294994155"/>
    <s v="tn"/>
    <s v="Recycling"/>
    <s v="Waste_WEEE-mixed"/>
    <s v="Σ.Ε. CO₂ eq"/>
    <n v="2.1280999999999998E-2"/>
    <s v="tn CO2e/tn"/>
    <s v="DEFRA 2023"/>
    <s v="-"/>
    <s v="-"/>
    <s v="-"/>
    <s v="-"/>
    <n v="8.4523918989777048E-3"/>
    <s v=""/>
    <n v="8.4523918989777048E-3"/>
  </r>
  <r>
    <s v="Scope 3"/>
    <s v="Category 5"/>
    <s v="Ελλάδα"/>
    <x v="0"/>
    <x v="0"/>
    <s v="HELECTOR &amp; Subsidiarie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92.29"/>
    <s v="tn"/>
    <s v="Recycling"/>
    <s v="Waste_WEEE-mixed"/>
    <s v="Σ.Ε. CO₂ eq"/>
    <n v="2.1280999999999998E-2"/>
    <s v="tn CO2e/tn"/>
    <s v="DEFRA 2023"/>
    <s v="-"/>
    <s v="-"/>
    <s v="-"/>
    <s v="-"/>
    <n v="1.96402349"/>
    <s v=""/>
    <n v="1.96402349"/>
  </r>
  <r>
    <s v="Scope 3"/>
    <s v="Category 5"/>
    <s v="Ελλάδα"/>
    <x v="1"/>
    <x v="0"/>
    <s v="MOREA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7.2693852502923537"/>
    <s v="tn"/>
    <s v="Recycling"/>
    <s v="Waste_WEEE-mixed"/>
    <s v="Σ.Ε. CO₂ eq"/>
    <n v="2.1280999999999998E-2"/>
    <s v="tn CO2e/tn"/>
    <s v="DEFRA 2023"/>
    <s v="-"/>
    <s v="-"/>
    <s v="-"/>
    <s v="-"/>
    <n v="0.15469978751147156"/>
    <s v=""/>
    <n v="0.15469978751147156"/>
  </r>
  <r>
    <s v="Scope 3"/>
    <s v="Category 5"/>
    <s v="Ελλάδα"/>
    <x v="1"/>
    <x v="0"/>
    <s v="MOREA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23500000000000001"/>
    <s v="tn"/>
    <s v="Recycling"/>
    <s v="Waste_WEEE-mixed"/>
    <s v="Σ.Ε. CO₂ eq"/>
    <n v="2.1280999999999998E-2"/>
    <s v="tn CO2e/tn"/>
    <s v="DEFRA 2023"/>
    <s v="-"/>
    <s v="-"/>
    <s v="-"/>
    <s v="-"/>
    <n v="5.001035E-3"/>
    <s v=""/>
    <n v="5.001035E-3"/>
  </r>
  <r>
    <s v="Scope 3"/>
    <s v="Category 5"/>
    <s v="Ελλάδα"/>
    <x v="3"/>
    <x v="0"/>
    <s v="RED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62302263382247547"/>
    <s v="tn"/>
    <s v="Recycling"/>
    <s v="Waste_WEEE-mixed"/>
    <s v="Σ.Ε. CO₂ eq"/>
    <n v="2.1280999999999998E-2"/>
    <s v="tn CO2e/tn"/>
    <s v="DEFRA 2023"/>
    <s v="-"/>
    <s v="-"/>
    <s v="-"/>
    <s v="-"/>
    <n v="1.3258544670376099E-2"/>
    <s v=""/>
    <n v="1.3258544670376099E-2"/>
  </r>
  <r>
    <s v="Scope 3"/>
    <s v="Category 5"/>
    <s v="Ελλάδα"/>
    <x v="1"/>
    <x v="0"/>
    <s v="AD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35100000000000003"/>
    <s v="tn"/>
    <s v="Recycling"/>
    <s v="Waste_WEEE-mixed"/>
    <s v="Σ.Ε. CO₂ eq"/>
    <n v="2.1280999999999998E-2"/>
    <s v="tn CO2e/tn"/>
    <s v="DEFRA 2023"/>
    <s v="-"/>
    <s v="-"/>
    <s v="-"/>
    <s v="-"/>
    <n v="7.469631E-3"/>
    <s v=""/>
    <n v="7.469631E-3"/>
  </r>
  <r>
    <s v="Scope 3"/>
    <s v="Category 5"/>
    <s v="Ελλάδα"/>
    <x v="1"/>
    <x v="0"/>
    <s v="AO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4.6550000000000002"/>
    <s v="tn"/>
    <s v="Recycling"/>
    <s v="Waste_WEEE-mixed"/>
    <s v="Σ.Ε. CO₂ eq"/>
    <n v="2.1280999999999998E-2"/>
    <s v="tn CO2e/tn"/>
    <s v="DEFRA 2023"/>
    <s v="-"/>
    <s v="-"/>
    <s v="-"/>
    <s v="-"/>
    <n v="9.9063054999999997E-2"/>
    <s v=""/>
    <n v="9.9063054999999997E-2"/>
  </r>
  <r>
    <s v="Scope 3"/>
    <s v="Category 5"/>
    <s v="Ελλάδα"/>
    <x v="0"/>
    <x v="0"/>
    <s v="HELECTOR &amp; Subsidiaries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30399999999999999"/>
    <s v="tn"/>
    <s v="Recycling"/>
    <s v="Waste_WEEE-mixed"/>
    <s v="Σ.Ε. CO₂ eq"/>
    <n v="2.1280999999999998E-2"/>
    <s v="tn CO2e/tn"/>
    <s v="DEFRA 2023"/>
    <s v="-"/>
    <s v="-"/>
    <s v="-"/>
    <s v="-"/>
    <n v="6.4694239999999988E-3"/>
    <s v=""/>
    <n v="6.4694239999999988E-3"/>
  </r>
  <r>
    <s v="Scope 3"/>
    <s v="Category 5"/>
    <s v="Ελλάδα"/>
    <x v="1"/>
    <x v="0"/>
    <s v="MOREAS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28700000000000003"/>
    <s v="tn"/>
    <s v="Recycling"/>
    <s v="Waste_WEEE-mixed"/>
    <s v="Σ.Ε. CO₂ eq"/>
    <n v="2.1280999999999998E-2"/>
    <s v="tn CO2e/tn"/>
    <s v="DEFRA 2023"/>
    <s v="-"/>
    <s v="-"/>
    <s v="-"/>
    <s v="-"/>
    <n v="6.1076469999999999E-3"/>
    <s v=""/>
    <n v="6.1076469999999999E-3"/>
  </r>
  <r>
    <s v="Scope 3"/>
    <s v="Category 5"/>
    <s v="Ελλάδα"/>
    <x v="0"/>
    <x v="0"/>
    <s v="HELECTOR &amp; Subsidiaries"/>
    <s v="Indirect GHG emissions from third-party disposal and treatment of Waste Generated in Operations"/>
    <s v="Άλλα επικίνδυνα απόβλητα/Other hazardous waste"/>
    <x v="32"/>
    <n v="3635.502"/>
    <s v="tn"/>
    <s v="Recycling"/>
    <s v="Waste_Mixed Recycables_Recycling"/>
    <s v="Σ.Ε. CO₂ eq"/>
    <n v="9.9228224917309815E-2"/>
    <s v="tn CO2e/tn"/>
    <s v="EPA 2023"/>
    <s v="-"/>
    <s v="-"/>
    <s v="-"/>
    <s v="-"/>
    <n v="360.74441014332967"/>
    <s v=""/>
    <n v="360.74441014332967"/>
  </r>
  <r>
    <s v="Scope 3"/>
    <s v="Category 5"/>
    <s v="Ελλάδα"/>
    <x v="1"/>
    <x v="0"/>
    <s v="AD"/>
    <s v="Indirect GHG emissions from third-party disposal and treatment of Waste Generated in Operations"/>
    <s v="Άλλα μη επικίνδυνα (προσδιορίστε) / Other non hazardous waste (please specify)"/>
    <x v="32"/>
    <n v="0.78500000000000003"/>
    <s v="tn"/>
    <s v="Recycling"/>
    <s v="Waste_Mixed Recycables_Recycling"/>
    <s v="Σ.Ε. CO₂ eq"/>
    <n v="9.9228224917309815E-2"/>
    <s v="tn CO2e/tn"/>
    <s v="EPA 2023"/>
    <s v="-"/>
    <s v="-"/>
    <s v="-"/>
    <s v="-"/>
    <n v="7.7894156560088204E-2"/>
    <s v=""/>
    <n v="7.7894156560088204E-2"/>
  </r>
  <r>
    <s v="Scope 3"/>
    <s v="Category 5"/>
    <s v="Ελλάδα"/>
    <x v="1"/>
    <x v="0"/>
    <s v="AO"/>
    <s v="Indirect GHG emissions from third-party disposal and treatment of Waste Generated in Operations"/>
    <s v="Άλλα μη επικίνδυνα (προσδιορίστε) / Other non hazardous waste (please specify)"/>
    <x v="32"/>
    <n v="1.5326"/>
    <s v="tn"/>
    <s v="Incineration"/>
    <s v="Waste_Mixed Plastics_Combusted"/>
    <s v="Σ.Ε. CO₂ eq"/>
    <n v="2.597114317425083"/>
    <s v="tn CO2e/tn"/>
    <s v="EPA 2023"/>
    <s v="-"/>
    <s v="-"/>
    <s v="-"/>
    <s v="-"/>
    <n v="3.9803374028856822"/>
    <s v=""/>
    <n v="3.9803374028856822"/>
  </r>
  <r>
    <s v="Scope 3"/>
    <s v="Category 5"/>
    <s v="Ελλάδα"/>
    <x v="0"/>
    <x v="0"/>
    <s v="HELECTOR &amp; Subsidiaries"/>
    <s v="Indirect GHG emissions from third-party disposal and treatment of Waste Generated in Operations"/>
    <s v="Άλλα μη επικίνδυνα (προσδιορίστε) / Other non hazardous waste (please specify)"/>
    <x v="32"/>
    <n v="79775"/>
    <s v="tn"/>
    <s v="Other disposal operations"/>
    <s v="Waste_Mixed Recycables_Landfilled"/>
    <s v="Σ.Ε. CO₂ eq"/>
    <n v="0.74972436604189641"/>
    <s v="tn CO2e/tn"/>
    <s v="EPA 2023"/>
    <s v="-"/>
    <s v="-"/>
    <s v="-"/>
    <s v="-"/>
    <n v="59809.261300992286"/>
    <s v=""/>
    <n v="59809.261300992286"/>
  </r>
  <r>
    <s v="Scope 3"/>
    <s v="Category 5"/>
    <s v="Ελλάδα"/>
    <x v="0"/>
    <x v="0"/>
    <s v="HELECTOR &amp; Subsidiaries"/>
    <s v="Indirect GHG emissions from third-party disposal and treatment of Waste Generated in Operations"/>
    <s v="Άλμη - Concentrate "/>
    <x v="32"/>
    <n v="29690.846512"/>
    <s v="tn"/>
    <s v="Landfill"/>
    <s v="Waste_Waste Food_Landfilled"/>
    <s v="Σ.Ε. CO₂ eq"/>
    <n v="0.63947078280044101"/>
    <s v="tn CO2e/tn"/>
    <s v="EPA 2023"/>
    <s v="-"/>
    <s v="-"/>
    <s v="-"/>
    <s v="-"/>
    <n v="18986.428861036384"/>
    <s v=""/>
    <n v="18986.428861036384"/>
  </r>
  <r>
    <s v="Scope 3"/>
    <s v="Category 5"/>
    <s v="Ελλάδα"/>
    <x v="0"/>
    <x v="0"/>
    <s v="HELECTOR &amp; Subsidiaries"/>
    <s v="Indirect GHG emissions from third-party disposal and treatment of Waste Generated in Operations"/>
    <s v="Άλμη - Concentrate "/>
    <x v="32"/>
    <n v="16568"/>
    <s v="tn"/>
    <s v="Other disposal operations"/>
    <s v="Waste_Waste Food_Landfilled"/>
    <s v="Σ.Ε. CO₂ eq"/>
    <n v="0.63947078280044101"/>
    <s v="tn CO2e/tn"/>
    <s v="EPA 2023"/>
    <s v="-"/>
    <s v="-"/>
    <s v="-"/>
    <s v="-"/>
    <n v="10594.751929437707"/>
    <s v=""/>
    <n v="10594.751929437707"/>
  </r>
  <r>
    <s v="Scope 3"/>
    <s v="Category 5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3.96"/>
    <s v="tn"/>
    <s v="Recycling"/>
    <s v="Waste_Mixed Paper (general)_Recycling"/>
    <s v="Σ.Ε. CO₂ eq"/>
    <n v="7.7177508269018744E-2"/>
    <s v="tn CO2e/tn"/>
    <s v="EPA 2023"/>
    <s v="-"/>
    <s v="-"/>
    <s v="-"/>
    <s v="-"/>
    <n v="0.30562293274531421"/>
    <s v=""/>
    <n v="0.30562293274531421"/>
  </r>
  <r>
    <s v="Scope 3"/>
    <s v="Category 5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7414.1500000000005"/>
    <s v="tn"/>
    <s v="Recycling"/>
    <s v="Waste_Mixed Paper (general)_Recycling"/>
    <s v="Σ.Ε. CO₂ eq"/>
    <n v="7.7177508269018744E-2"/>
    <s v="tn CO2e/tn"/>
    <s v="EPA 2023"/>
    <s v="-"/>
    <s v="-"/>
    <s v="-"/>
    <s v="-"/>
    <n v="572.20562293274531"/>
    <s v=""/>
    <n v="572.20562293274531"/>
  </r>
  <r>
    <s v="Scope 3"/>
    <s v="Category 5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2776.04"/>
    <s v="tn"/>
    <s v="Landfill"/>
    <s v="Waste_Mixed Paper (general)_Lanfilled"/>
    <s v="Σ.Ε. CO₂ eq"/>
    <n v="0.88202866593164286"/>
    <s v="tn CO2e/tn"/>
    <s v="EPA 2023"/>
    <s v="-"/>
    <s v="-"/>
    <s v="-"/>
    <s v="-"/>
    <n v="2448.546857772878"/>
    <s v=""/>
    <n v="2448.546857772878"/>
  </r>
  <r>
    <s v="Scope 3"/>
    <s v="Category 5"/>
    <s v="Ελλάδα"/>
    <x v="3"/>
    <x v="0"/>
    <s v="REDS"/>
    <s v="Indirect GHG emissions from third-party disposal and treatment of Waste Generated in Operations"/>
    <s v="Ανάμεικτο Χαρτί (Mixed Paper)"/>
    <x v="32"/>
    <n v="18.440000000000001"/>
    <s v="tn"/>
    <s v="Recycling"/>
    <s v="Waste_Mixed Paper (general)_Recycling"/>
    <s v="Σ.Ε. CO₂ eq"/>
    <n v="7.7177508269018744E-2"/>
    <s v="tn CO2e/tn"/>
    <s v="EPA 2023"/>
    <s v="-"/>
    <s v="-"/>
    <s v="-"/>
    <s v="-"/>
    <n v="1.4231532524807058"/>
    <s v=""/>
    <n v="1.4231532524807058"/>
  </r>
  <r>
    <s v="Scope 3"/>
    <s v="Category 5"/>
    <s v="Ελλάδα"/>
    <x v="1"/>
    <x v="0"/>
    <s v="MOREAS"/>
    <s v="Indirect GHG emissions from third-party disposal and treatment of Waste Generated in Operations"/>
    <s v="Απόβλητα Καύσιμα/Fuel waste"/>
    <x v="32"/>
    <n v="0.4"/>
    <s v="tn"/>
    <s v="Recycling"/>
    <s v="Waste_Mineral Oil"/>
    <s v="Σ.Ε. CO₂ eq"/>
    <n v="2.2675999999999998"/>
    <s v="tn CO2e/tn"/>
    <s v="ecoinvent 3.10"/>
    <s v="-"/>
    <s v="-"/>
    <s v="-"/>
    <s v="-"/>
    <n v="0.90703999999999996"/>
    <s v=""/>
    <n v="0.90703999999999996"/>
  </r>
  <r>
    <s v="Scope 3"/>
    <s v="Category 5"/>
    <s v="Ελλάδα"/>
    <x v="0"/>
    <x v="0"/>
    <s v="HELECTOR &amp; Subsidiaries"/>
    <s v="Indirect GHG emissions from third-party disposal and treatment of Waste Generated in Operations"/>
    <s v="Απόβλητα Λιπαντικά Έλαια /  Used mineral oils"/>
    <x v="32"/>
    <n v="73.632000000000005"/>
    <s v="tn"/>
    <s v="Recycling"/>
    <s v="Waste_Mineral Oil"/>
    <s v="Σ.Ε. CO₂ eq"/>
    <n v="2.2675999999999998"/>
    <s v="tn CO2e/tn"/>
    <s v="ecoinvent 3.10"/>
    <s v="-"/>
    <s v="-"/>
    <s v="-"/>
    <s v="-"/>
    <n v="166.9679232"/>
    <s v=""/>
    <n v="166.9679232"/>
  </r>
  <r>
    <s v="Scope 3"/>
    <s v="Category 5"/>
    <s v="Ελλάδα"/>
    <x v="1"/>
    <x v="0"/>
    <s v="MOREAS"/>
    <s v="Indirect GHG emissions from third-party disposal and treatment of Waste Generated in Operations"/>
    <s v="Απόβλητα Λιπαντικά Έλαια /  Used mineral oils"/>
    <x v="32"/>
    <n v="1.591"/>
    <s v="tn"/>
    <s v="Recycling"/>
    <s v="Waste_Mineral Oil"/>
    <s v="Σ.Ε. CO₂ eq"/>
    <n v="2.2675999999999998"/>
    <s v="tn CO2e/tn"/>
    <s v="ecoinvent 3.10"/>
    <s v="-"/>
    <s v="-"/>
    <s v="-"/>
    <s v="-"/>
    <n v="3.6077515999999998"/>
    <s v=""/>
    <n v="3.6077515999999998"/>
  </r>
  <r>
    <s v="Scope 3"/>
    <s v="Category 5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134.27000000000001"/>
    <s v="tn"/>
    <s v="Composting"/>
    <s v="Waste_Grass_Composted"/>
    <s v="Σ.Ε. CO₂ eq"/>
    <n v="0.20948180815876516"/>
    <s v="tn CO2 eq/ tn"/>
    <s v="EPA 2023"/>
    <s v="-"/>
    <s v="-"/>
    <s v="-"/>
    <s v="-"/>
    <n v="28.127122381477399"/>
    <s v=""/>
    <n v="28.127122381477399"/>
  </r>
  <r>
    <s v="Scope 3"/>
    <s v="Category 5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9334.4600000000009"/>
    <s v="tn"/>
    <s v="Incineration with energy recovery"/>
    <s v="Waste_Grass_Combusted"/>
    <s v="Σ.Ε. CO₂ eq"/>
    <n v="5.5126791620727679E-2"/>
    <s v="tn CO2e/tn"/>
    <s v="EPA 2023"/>
    <s v="-"/>
    <s v="-"/>
    <s v="-"/>
    <s v="-"/>
    <n v="514.57883131201777"/>
    <s v=""/>
    <n v="514.57883131201777"/>
  </r>
  <r>
    <s v="Scope 3"/>
    <s v="Category 5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7227.7"/>
    <s v="tn"/>
    <s v="Landfill"/>
    <s v="Waste_Grass_Landfilled"/>
    <s v="Σ.Ε. CO₂ eq"/>
    <n v="0.26"/>
    <s v="tn CO2e/tn"/>
    <s v="EPA 2023"/>
    <s v="-"/>
    <s v="-"/>
    <s v="-"/>
    <s v="-"/>
    <n v="1879.202"/>
    <s v=""/>
    <n v="1879.202"/>
  </r>
  <r>
    <s v="Scope 3"/>
    <s v="Category 5"/>
    <s v="Ελλάδα"/>
    <x v="0"/>
    <x v="0"/>
    <s v="HELECTOR &amp; Subsidiaries"/>
    <s v="Indirect GHG emissions from third-party disposal and treatment of Waste Generated in Operations"/>
    <s v="Αποστειρωμένα Απόβλητα/ Sterilized Waste "/>
    <x v="32"/>
    <n v="4127.8999999999996"/>
    <s v="tn"/>
    <s v="Landfill"/>
    <s v="Waste_Commercial and Industrial Waste_Landfill"/>
    <s v="Σ.Ε. CO₂ eq"/>
    <n v="0.52033474346299502"/>
    <s v="tn CO2e/tn"/>
    <s v="DEFRA 2023"/>
    <s v="-"/>
    <s v="-"/>
    <s v="-"/>
    <s v="-"/>
    <n v="2147.889787540897"/>
    <s v=""/>
    <n v="2147.889787540897"/>
  </r>
  <r>
    <s v="Scope 3"/>
    <s v="Category 5"/>
    <s v="Ελλάδα"/>
    <x v="1"/>
    <x v="0"/>
    <s v="AKTOR CONCESSIONS"/>
    <s v="Indirect GHG emissions from third-party disposal and treatment of Waste Generated in Operations"/>
    <s v="Γυαλί"/>
    <x v="32"/>
    <n v="3.7333750801614565E-2"/>
    <s v="tn"/>
    <s v="Recycling"/>
    <s v="Waste_Glass_Recycling"/>
    <s v="Σ.Ε. CO₂ eq"/>
    <n v="5.5126791620727679E-2"/>
    <s v="tn CO2e/tn"/>
    <s v="EPA 2023"/>
    <s v="-"/>
    <s v="-"/>
    <s v="-"/>
    <s v="-"/>
    <n v="2.0580899008607813E-3"/>
    <s v=""/>
    <n v="2.0580899008607813E-3"/>
  </r>
  <r>
    <s v="Scope 3"/>
    <s v="Category 5"/>
    <s v="Ελλάδα"/>
    <x v="2"/>
    <x v="0"/>
    <s v="ELLAKTOR S.A."/>
    <s v="Indirect GHG emissions from third-party disposal and treatment of Waste Generated in Operations"/>
    <s v="Γυαλί"/>
    <x v="32"/>
    <n v="0.18381022294315144"/>
    <s v="tn"/>
    <s v="Recycling"/>
    <s v="Waste_Glass_Recycling"/>
    <s v="Σ.Ε. CO₂ eq"/>
    <n v="5.5126791620727679E-2"/>
    <s v="tn CO2e/tn"/>
    <s v="EPA 2023"/>
    <s v="-"/>
    <s v="-"/>
    <s v="-"/>
    <s v="-"/>
    <n v="1.0132867857946608E-2"/>
    <s v=""/>
    <n v="1.0132867857946608E-2"/>
  </r>
  <r>
    <s v="Scope 3"/>
    <s v="Category 5"/>
    <s v="Ελλάδα"/>
    <x v="0"/>
    <x v="0"/>
    <s v="HELECTOR &amp; Subsidiaries"/>
    <s v="Indirect GHG emissions from third-party disposal and treatment of Waste Generated in Operations"/>
    <s v="Γυαλί"/>
    <x v="32"/>
    <n v="9.3236033045380834E-2"/>
    <s v="tn"/>
    <s v="Recycling"/>
    <s v="Waste_Glass_Recycling"/>
    <s v="Σ.Ε. CO₂ eq"/>
    <n v="5.5126791620727679E-2"/>
    <s v="tn CO2e/tn"/>
    <s v="EPA 2023"/>
    <s v="-"/>
    <s v="-"/>
    <s v="-"/>
    <s v="-"/>
    <n v="5.1398033652359891E-3"/>
    <s v=""/>
    <n v="5.1398033652359891E-3"/>
  </r>
  <r>
    <s v="Scope 3"/>
    <s v="Category 5"/>
    <s v="Ελλάδα"/>
    <x v="1"/>
    <x v="0"/>
    <s v="MOREAS"/>
    <s v="Indirect GHG emissions from third-party disposal and treatment of Waste Generated in Operations"/>
    <s v="Γυαλί"/>
    <x v="32"/>
    <n v="3.0434773095929697E-2"/>
    <s v="tn"/>
    <s v="Recycling"/>
    <s v="Waste_Glass_Recycling"/>
    <s v="Σ.Ε. CO₂ eq"/>
    <n v="5.5126791620727679E-2"/>
    <s v="tn CO2e/tn"/>
    <s v="EPA 2023"/>
    <s v="-"/>
    <s v="-"/>
    <s v="-"/>
    <s v="-"/>
    <n v="1.6777713944834455E-3"/>
    <s v=""/>
    <n v="1.6777713944834455E-3"/>
  </r>
  <r>
    <s v="Scope 3"/>
    <s v="Category 5"/>
    <s v="Ελλάδα"/>
    <x v="3"/>
    <x v="0"/>
    <s v="REDS"/>
    <s v="Indirect GHG emissions from third-party disposal and treatment of Waste Generated in Operations"/>
    <s v="Γυαλί"/>
    <x v="32"/>
    <n v="1.7880719755554724E-3"/>
    <s v="tn"/>
    <s v="Recycling"/>
    <s v="Waste_Glass_Recycling"/>
    <s v="Σ.Ε. CO₂ eq"/>
    <n v="5.5126791620727679E-2"/>
    <s v="tn CO2e/tn"/>
    <s v="EPA 2023"/>
    <s v="-"/>
    <s v="-"/>
    <s v="-"/>
    <s v="-"/>
    <n v="9.8570671199309402E-5"/>
    <s v=""/>
    <n v="9.8570671199309402E-5"/>
  </r>
  <r>
    <s v="Scope 3"/>
    <s v="Category 5"/>
    <s v="Ελλάδα"/>
    <x v="0"/>
    <x v="0"/>
    <s v="HELECTOR &amp; Subsidiaries"/>
    <s v="Indirect GHG emissions from third-party disposal and treatment of Waste Generated in Operations"/>
    <s v="Γυαλί / Glass"/>
    <x v="32"/>
    <n v="32545.958999999999"/>
    <s v="tn"/>
    <s v="Recycling"/>
    <s v="Waste_Glass_Recycling"/>
    <s v="Σ.Ε. CO₂ eq"/>
    <n v="5.5126791620727679E-2"/>
    <s v="tn CO2e/tn"/>
    <s v="EPA 2023"/>
    <s v="-"/>
    <s v="-"/>
    <s v="-"/>
    <s v="-"/>
    <n v="1794.1542998897464"/>
    <s v=""/>
    <n v="1794.1542998897464"/>
  </r>
  <r>
    <s v="Scope 3"/>
    <s v="Category 5"/>
    <s v="Ελλάδα"/>
    <x v="0"/>
    <x v="0"/>
    <s v="HELECTOR &amp; Subsidiaries"/>
    <s v="Indirect GHG emissions from third-party disposal and treatment of Waste Generated in Operations"/>
    <s v="Γυαλί / Glass"/>
    <x v="32"/>
    <n v="65.61"/>
    <s v="tn"/>
    <s v="Other recovery operations"/>
    <s v="Waste_Glass_Landfilled"/>
    <s v="Σ.Ε. CO₂ eq"/>
    <n v="2.2050716648291068E-2"/>
    <s v="tn CO2e/tn"/>
    <s v="EPA 2023"/>
    <s v="-"/>
    <s v="-"/>
    <s v="-"/>
    <s v="-"/>
    <n v="1.4467475192943771"/>
    <s v=""/>
    <n v="1.4467475192943771"/>
  </r>
  <r>
    <s v="Scope 3"/>
    <s v="Category 5"/>
    <s v="Ελλάδα"/>
    <x v="0"/>
    <x v="0"/>
    <s v="HELECTOR &amp; Subsidiaries"/>
    <s v="Indirect GHG emissions from third-party disposal and treatment of Waste Generated in Operations"/>
    <s v="Γυαλί / Glass"/>
    <x v="32"/>
    <n v="106.19"/>
    <s v="tn"/>
    <s v="Incineration with energy recovery"/>
    <s v="Waste_Glass_Combusted"/>
    <s v="Σ.Ε. CO₂ eq"/>
    <n v="1.1025358324145534E-2"/>
    <s v="tn CO2e/tn"/>
    <s v="EPA 2023"/>
    <s v="-"/>
    <s v="-"/>
    <s v="-"/>
    <s v="-"/>
    <n v="1.1707828004410141"/>
    <s v=""/>
    <n v="1.1707828004410141"/>
  </r>
  <r>
    <s v="Scope 3"/>
    <s v="Category 5"/>
    <s v="Ελλάδα"/>
    <x v="0"/>
    <x v="0"/>
    <s v="HELECTOR &amp; Subsidiaries"/>
    <s v="Indirect GHG emissions from third-party disposal and treatment of Waste Generated in Operations"/>
    <s v="Γυαλί / Glass"/>
    <x v="32"/>
    <n v="142.97999999999999"/>
    <s v="tn"/>
    <s v="Landfill"/>
    <s v="Waste_Glass_Lanfilled"/>
    <s v="Σ.Ε. CO₂ eq"/>
    <n v="2.2050716648291068E-2"/>
    <s v="tn CO2e/tn"/>
    <s v="EPA 2023"/>
    <s v="-"/>
    <s v="-"/>
    <s v="-"/>
    <s v="-"/>
    <n v="3.1528114663726567"/>
    <s v=""/>
    <n v="3.1528114663726567"/>
  </r>
  <r>
    <s v="Scope 3"/>
    <s v="Category 5"/>
    <s v="Ελλάδα"/>
    <x v="0"/>
    <x v="0"/>
    <s v="HELECTOR &amp; Subsidiaries"/>
    <s v="Indirect GHG emissions from third-party disposal and treatment of Waste Generated in Operations"/>
    <s v="Γυαλί / Glass"/>
    <x v="32"/>
    <n v="2231.2200000000003"/>
    <s v="tn"/>
    <s v="Other disposal operations"/>
    <s v="Waste_Glass_Lanfilled"/>
    <s v="Σ.Ε. CO₂ eq"/>
    <n v="2.2050716648291068E-2"/>
    <s v="tn CO2e/tn"/>
    <s v="EPA 2023"/>
    <s v="-"/>
    <s v="-"/>
    <s v="-"/>
    <s v="-"/>
    <n v="49.2"/>
    <s v=""/>
    <n v="49.2"/>
  </r>
  <r>
    <s v="Scope 3"/>
    <s v="Category 5"/>
    <s v="Ελλάδα"/>
    <x v="1"/>
    <x v="0"/>
    <s v="AO"/>
    <s v="Indirect GHG emissions from third-party disposal and treatment of Waste Generated in Operations"/>
    <s v="Εκσκαφές / Excavations"/>
    <x v="32"/>
    <n v="94932.14"/>
    <s v="tn"/>
    <s v="Recycling"/>
    <s v="Waste_Aggregates"/>
    <s v="Σ.Ε. CO₂ eq"/>
    <n v="9.8491172324161112E-4"/>
    <s v="tn CO2e/tn"/>
    <s v="DEFRA 2023"/>
    <s v="-"/>
    <s v="-"/>
    <s v="-"/>
    <s v="-"/>
    <n v="93.499777598413885"/>
    <s v=""/>
    <n v="93.499777598413885"/>
  </r>
  <r>
    <s v="Scope 3"/>
    <s v="Category 5"/>
    <s v="Ελλάδα"/>
    <x v="1"/>
    <x v="0"/>
    <s v="MOREAS"/>
    <s v="Indirect GHG emissions from third-party disposal and treatment of Waste Generated in Operations"/>
    <s v="Εκσκαφές / Excavations"/>
    <x v="32"/>
    <n v="322.28000000000003"/>
    <s v="tn"/>
    <s v="Recycling"/>
    <s v="Waste_Aggregates"/>
    <s v="Σ.Ε. CO₂ eq"/>
    <n v="9.8491172324161112E-4"/>
    <s v="tn CO2e/tn"/>
    <s v="DEFRA 2023"/>
    <s v="-"/>
    <s v="-"/>
    <s v="-"/>
    <s v="-"/>
    <n v="0.31741735016630646"/>
    <s v=""/>
    <n v="0.31741735016630646"/>
  </r>
  <r>
    <s v="Scope 3"/>
    <s v="Category 5"/>
    <s v="Ελλάδα"/>
    <x v="1"/>
    <x v="0"/>
    <s v="AD"/>
    <s v="Indirect GHG emissions from third-party disposal and treatment of Waste Generated in Operations"/>
    <s v="Ελαστικά / Tyres"/>
    <x v="32"/>
    <n v="0.88"/>
    <s v="tn"/>
    <s v="Recycling"/>
    <s v="Waste_Tires_Recycling"/>
    <s v="Σ.Ε. CO₂ eq"/>
    <n v="0.11025358324145536"/>
    <s v="tn CO2e/tn"/>
    <s v="EPA 2023"/>
    <s v="-"/>
    <s v="-"/>
    <s v="-"/>
    <s v="-"/>
    <n v="9.7023153252480718E-2"/>
    <s v=""/>
    <n v="9.7023153252480718E-2"/>
  </r>
  <r>
    <s v="Scope 3"/>
    <s v="Category 5"/>
    <s v="Ελλάδα"/>
    <x v="0"/>
    <x v="0"/>
    <s v="HELECTOR &amp; Subsidiaries"/>
    <s v="Indirect GHG emissions from third-party disposal and treatment of Waste Generated in Operations"/>
    <s v="Ελαστικά / Tyres"/>
    <x v="32"/>
    <n v="14.49"/>
    <s v="tn"/>
    <s v="Recycling"/>
    <s v="Waste_Tires_Recycling"/>
    <s v="Σ.Ε. CO₂ eq"/>
    <n v="0.11025358324145536"/>
    <s v="tn CO2e/tn"/>
    <s v="EPA 2023"/>
    <s v="-"/>
    <s v="-"/>
    <s v="-"/>
    <s v="-"/>
    <n v="1.5975744211686882"/>
    <s v=""/>
    <n v="1.5975744211686882"/>
  </r>
  <r>
    <s v="Scope 3"/>
    <s v="Category 5"/>
    <s v="Ελλάδα"/>
    <x v="0"/>
    <x v="0"/>
    <s v="HELECTOR &amp; Subsidiaries"/>
    <s v="Indirect GHG emissions from third-party disposal and treatment of Waste Generated in Operations"/>
    <s v="Εναλλακτικό Καύσιμο RDF/ RDF Waste"/>
    <x v="32"/>
    <n v="2814.4"/>
    <s v="tn"/>
    <s v="Incineration"/>
    <s v="Waste_Mixed Organics_Combusted"/>
    <s v="Σ.Ε. CO₂ eq"/>
    <n v="5.5126791620727679E-2"/>
    <s v="tn CO2e/tn"/>
    <s v="EPA 2023"/>
    <s v="-"/>
    <s v="-"/>
    <s v="-"/>
    <s v="-"/>
    <n v="155.14884233737598"/>
    <s v=""/>
    <n v="155.14884233737598"/>
  </r>
  <r>
    <s v="Scope 3"/>
    <s v="Category 5"/>
    <s v="Ελλάδα"/>
    <x v="0"/>
    <x v="0"/>
    <s v="HELECTOR &amp; Subsidiaries"/>
    <s v="Indirect GHG emissions from third-party disposal and treatment of Waste Generated in Operations"/>
    <s v="Εναλλακτικό Καύσιμο SRF/ SRF Waste"/>
    <x v="32"/>
    <n v="6270.47"/>
    <s v="tn"/>
    <s v="Incineration with energy recovery"/>
    <s v="Waste_Mixed Organics_Combusted"/>
    <s v="Σ.Ε. CO₂ eq"/>
    <n v="5.5126791620727679E-2"/>
    <s v="tn CO2e/tn"/>
    <s v="EPA 2023"/>
    <s v="-"/>
    <s v="-"/>
    <s v="-"/>
    <s v="-"/>
    <n v="345.6708930540243"/>
    <s v=""/>
    <n v="345.6708930540243"/>
  </r>
  <r>
    <s v="Scope 3"/>
    <s v="Category 5"/>
    <s v="Ελλάδα"/>
    <x v="0"/>
    <x v="0"/>
    <s v="HELECTOR &amp; Subsidiaries"/>
    <s v="Indirect GHG emissions from third-party disposal and treatment of Waste Generated in Operations"/>
    <s v="Εργαστηριακά χημικά / Laboratory waste"/>
    <x v="32"/>
    <n v="0.02"/>
    <s v="tn"/>
    <s v="Recycling"/>
    <s v="Waste_Commercial and Industrial Waste_Recycling"/>
    <s v="Σ.Ε. CO₂ eq"/>
    <n v="2.1280999999999998E-2"/>
    <s v="tn CO2e/tn"/>
    <s v="DEFRA 2023"/>
    <s v="-"/>
    <s v="-"/>
    <s v="-"/>
    <s v="-"/>
    <n v="4.2561999999999998E-4"/>
    <s v=""/>
    <n v="4.2561999999999998E-4"/>
  </r>
  <r>
    <s v="Scope 3"/>
    <s v="Category 5"/>
    <s v="Ελλάδα"/>
    <x v="0"/>
    <x v="0"/>
    <s v="HELECTOR &amp; Subsidiaries"/>
    <s v="Indirect GHG emissions from third-party disposal and treatment of Waste Generated in Operations"/>
    <s v="Ιπτάμενη τέφρα / Fly ash"/>
    <x v="32"/>
    <n v="355.21"/>
    <s v="tn"/>
    <s v="Recycling"/>
    <s v="Waste_Fly Ash_Recycled"/>
    <s v="Σ.Ε. CO₂ eq"/>
    <n v="1.1025358324145534E-2"/>
    <s v="tn CO2e/tn"/>
    <s v="EPA 2023"/>
    <s v="-"/>
    <s v="-"/>
    <s v="-"/>
    <s v="-"/>
    <n v="3.9163175303197351"/>
    <s v=""/>
    <n v="3.9163175303197351"/>
  </r>
  <r>
    <s v="Scope 3"/>
    <s v="Category 5"/>
    <s v="Ελλάδα"/>
    <x v="0"/>
    <x v="0"/>
    <s v="HELECTOR &amp; Subsidiaries"/>
    <s v="Indirect GHG emissions from third-party disposal and treatment of Waste Generated in Operations"/>
    <s v="Καλώδια/ Cables"/>
    <x v="32"/>
    <n v="19.330000000000002"/>
    <s v="tn"/>
    <s v="Recycling"/>
    <s v="Waste_Copper Wire_Recycling"/>
    <s v="Σ.Ε. CO₂ eq"/>
    <n v="0.19845644983461963"/>
    <s v="tn CO2e/tn"/>
    <s v="EPA 2023"/>
    <s v="-"/>
    <s v="-"/>
    <s v="-"/>
    <s v="-"/>
    <n v="3.8361631753031977"/>
    <s v=""/>
    <n v="3.8361631753031977"/>
  </r>
  <r>
    <s v="Scope 3"/>
    <s v="Category 5"/>
    <s v="Ελλάδα"/>
    <x v="1"/>
    <x v="0"/>
    <s v="MOREAS"/>
    <s v="Indirect GHG emissions from third-party disposal and treatment of Waste Generated in Operations"/>
    <s v="Καλώδια/ Cables"/>
    <x v="32"/>
    <n v="2.2650000000000001"/>
    <s v="tn"/>
    <s v="Recycling"/>
    <s v="Waste_Copper Wire_Recycling"/>
    <s v="Σ.Ε. CO₂ eq"/>
    <n v="0.19845644983461963"/>
    <s v="tn CO2e/tn"/>
    <s v="EPA 2023"/>
    <s v="-"/>
    <s v="-"/>
    <s v="-"/>
    <s v="-"/>
    <n v="0.4495038588754135"/>
    <s v=""/>
    <n v="0.4495038588754135"/>
  </r>
  <r>
    <s v="Scope 3"/>
    <s v="Category 5"/>
    <s v="Ελλάδα"/>
    <x v="1"/>
    <x v="0"/>
    <s v="MOREAS"/>
    <s v="Indirect GHG emissions from third-party disposal and treatment of Waste Generated in Operations"/>
    <s v="Κατεδαφίσεις / Demolitions"/>
    <x v="32"/>
    <n v="579.25"/>
    <s v="tn"/>
    <s v="Recycling"/>
    <s v="Waste_Aggregates"/>
    <s v="Σ.Ε. CO₂ eq"/>
    <n v="9.8491172324161112E-4"/>
    <s v="tn CO2e/tn"/>
    <s v="DEFRA 2023"/>
    <s v="-"/>
    <s v="-"/>
    <s v="-"/>
    <s v="-"/>
    <n v="0.57051011568770327"/>
    <s v=""/>
    <n v="0.57051011568770327"/>
  </r>
  <r>
    <s v="Scope 3"/>
    <s v="Category 5"/>
    <s v="Ελλάδα"/>
    <x v="1"/>
    <x v="0"/>
    <s v="MOREAS"/>
    <s v="Indirect GHG emissions from third-party disposal and treatment of Waste Generated in Operations"/>
    <s v="Κατεδαφίσεις / Demolitions"/>
    <x v="32"/>
    <n v="1527.17"/>
    <s v="tn"/>
    <s v="Recycling"/>
    <s v="Waste_Aggregates"/>
    <s v="Σ.Ε. CO₂ eq"/>
    <n v="9.8491172324161112E-4"/>
    <s v="tn CO2e/tn"/>
    <s v="DEFRA 2023"/>
    <s v="-"/>
    <s v="-"/>
    <s v="-"/>
    <s v="-"/>
    <n v="1.5041276363828913"/>
    <s v=""/>
    <n v="1.5041276363828913"/>
  </r>
  <r>
    <s v="Scope 3"/>
    <s v="Category 5"/>
    <s v="Ελλάδα"/>
    <x v="0"/>
    <x v="0"/>
    <s v="HELECTOR &amp; Subsidiaries"/>
    <s v="Indirect GHG emissions from third-party disposal and treatment of Waste Generated in Operations"/>
    <s v="Λάσπες / Sludges"/>
    <x v="32"/>
    <n v="282.27"/>
    <s v="tn"/>
    <s v="Other disposal operations"/>
    <s v="Waste_sludge"/>
    <s v="Σ.Ε. CO₂ eq"/>
    <n v="4.4005000000000002E-2"/>
    <s v="tn CO2e/tn"/>
    <s v="ecoinvent 3.10"/>
    <s v="-"/>
    <s v="-"/>
    <s v="-"/>
    <s v="-"/>
    <n v="12.421291350000001"/>
    <s v=""/>
    <n v="12.421291350000001"/>
  </r>
  <r>
    <s v="Scope 3"/>
    <s v="Category 5"/>
    <s v="Ελλάδα"/>
    <x v="1"/>
    <x v="0"/>
    <s v="AD"/>
    <s v="Indirect GHG emissions from third-party disposal and treatment of Waste Generated in Operations"/>
    <s v="Μπαταρίες (ΑΦΗΣ) / Small Batteries"/>
    <x v="32"/>
    <n v="0.25600000000000001"/>
    <s v="tn"/>
    <s v="Recycling"/>
    <s v="Waste_Batteries"/>
    <s v="Σ.Ε. CO₂ eq"/>
    <n v="2.1280999999999998E-2"/>
    <s v="tn CO2e/tn"/>
    <s v="DEFRA 2023"/>
    <s v="-"/>
    <s v="-"/>
    <s v="-"/>
    <s v="-"/>
    <n v="5.4479359999999996E-3"/>
    <s v=""/>
    <n v="5.4479359999999996E-3"/>
  </r>
  <r>
    <s v="Scope 3"/>
    <s v="Category 5"/>
    <s v="Ελλάδα"/>
    <x v="1"/>
    <x v="0"/>
    <s v="AKTOR CONCESSIONS"/>
    <s v="Indirect GHG emissions from third-party disposal and treatment of Waste Generated in Operations"/>
    <s v="Μπαταρίες (ΑΦΗΣ) / Small Batteries"/>
    <x v="32"/>
    <n v="3.9224067297898846E-3"/>
    <s v="tn"/>
    <s v="Recycling"/>
    <s v="Waste_Batteries"/>
    <s v="Σ.Ε. CO₂ eq"/>
    <n v="2.1280999999999998E-2"/>
    <s v="tn CO2e/tn"/>
    <s v="DEFRA 2023"/>
    <s v="-"/>
    <s v="-"/>
    <s v="-"/>
    <s v="-"/>
    <n v="8.3472737616658525E-5"/>
    <s v=""/>
    <n v="8.3472737616658525E-5"/>
  </r>
  <r>
    <s v="Scope 3"/>
    <s v="Category 5"/>
    <s v="Ελλάδα"/>
    <x v="2"/>
    <x v="0"/>
    <s v="ELLAKTOR S.A."/>
    <s v="Indirect GHG emissions from third-party disposal and treatment of Waste Generated in Operations"/>
    <s v="Μπαταρίες (ΑΦΗΣ) / Small Batteries"/>
    <x v="32"/>
    <n v="1.9311706967445025E-2"/>
    <s v="tn"/>
    <s v="Recycling"/>
    <s v="Waste_Batteries"/>
    <s v="Σ.Ε. CO₂ eq"/>
    <n v="2.1280999999999998E-2"/>
    <s v="tn CO2e/tn"/>
    <s v="DEFRA 2023"/>
    <s v="-"/>
    <s v="-"/>
    <s v="-"/>
    <s v="-"/>
    <n v="4.1097243597419751E-4"/>
    <s v=""/>
    <n v="4.1097243597419751E-4"/>
  </r>
  <r>
    <s v="Scope 3"/>
    <s v="Category 5"/>
    <s v="Ελλάδα"/>
    <x v="0"/>
    <x v="0"/>
    <s v="HELECTOR &amp; Subsidiaries"/>
    <s v="Indirect GHG emissions from third-party disposal and treatment of Waste Generated in Operations"/>
    <s v="Μπαταρίες (ΑΦΗΣ) / Small Batteries"/>
    <x v="32"/>
    <n v="1.979568448451469E-2"/>
    <s v="tn"/>
    <s v="Recycling"/>
    <s v="Waste_Batteries"/>
    <s v="Σ.Ε. CO₂ eq"/>
    <n v="2.1280999999999998E-2"/>
    <s v="tn CO2e/tn"/>
    <s v="DEFRA 2023"/>
    <s v="-"/>
    <s v="-"/>
    <s v="-"/>
    <s v="-"/>
    <n v="4.2127196151495709E-4"/>
    <s v=""/>
    <n v="4.2127196151495709E-4"/>
  </r>
  <r>
    <s v="Scope 3"/>
    <s v="Category 5"/>
    <s v="Ελλάδα"/>
    <x v="1"/>
    <x v="0"/>
    <s v="MOREAS"/>
    <s v="Indirect GHG emissions from third-party disposal and treatment of Waste Generated in Operations"/>
    <s v="Μπαταρίες (ΑΦΗΣ) / Small Batteries"/>
    <x v="32"/>
    <n v="7.3197577426534391E-2"/>
    <s v="tn"/>
    <s v="Recycling"/>
    <s v="Waste_Batteries"/>
    <s v="Σ.Ε. CO₂ eq"/>
    <n v="2.1280999999999998E-2"/>
    <s v="tn CO2e/tn"/>
    <s v="DEFRA 2023"/>
    <s v="-"/>
    <s v="-"/>
    <s v="-"/>
    <s v="-"/>
    <n v="1.5577176452140783E-3"/>
    <s v=""/>
    <n v="1.5577176452140783E-3"/>
  </r>
  <r>
    <s v="Scope 3"/>
    <s v="Category 5"/>
    <s v="Ελλάδα"/>
    <x v="3"/>
    <x v="0"/>
    <s v="REDS"/>
    <s v="Indirect GHG emissions from third-party disposal and treatment of Waste Generated in Operations"/>
    <s v="Μπαταρίες (ΑΦΗΣ) / Small Batteries"/>
    <x v="32"/>
    <n v="1.8786072654570151E-4"/>
    <s v="tn"/>
    <s v="Recycling"/>
    <s v="Waste_Batteries"/>
    <s v="Σ.Ε. CO₂ eq"/>
    <n v="2.1280999999999998E-2"/>
    <s v="tn CO2e/tn"/>
    <s v="DEFRA 2023"/>
    <s v="-"/>
    <s v="-"/>
    <s v="-"/>
    <s v="-"/>
    <n v="3.9978641216190736E-6"/>
    <s v=""/>
    <n v="3.9978641216190736E-6"/>
  </r>
  <r>
    <s v="Scope 3"/>
    <s v="Category 5"/>
    <s v="Ελλάδα"/>
    <x v="0"/>
    <x v="0"/>
    <s v="HELECTOR &amp; Subsidiaries"/>
    <s v="Indirect GHG emissions from third-party disposal and treatment of Waste Generated in Operations"/>
    <s v="Ξύλινη συσκευασία /  Wood packaging"/>
    <x v="32"/>
    <n v="124.815"/>
    <s v="tn"/>
    <s v="Recycling"/>
    <s v="Waste_Wood_Recycling"/>
    <s v="Σ.Ε. CO₂ eq"/>
    <n v="2.1280999999999998E-2"/>
    <s v="tn CO2e/tn"/>
    <s v="DEFRA 2023"/>
    <s v="-"/>
    <s v="-"/>
    <s v="-"/>
    <s v="-"/>
    <n v="2.6561880149999997"/>
    <s v=""/>
    <n v="2.6561880149999997"/>
  </r>
  <r>
    <s v="Scope 3"/>
    <s v="Category 5"/>
    <s v="Ελλάδα"/>
    <x v="1"/>
    <x v="0"/>
    <s v="MOREAS"/>
    <s v="Indirect GHG emissions from third-party disposal and treatment of Waste Generated in Operations"/>
    <s v="Ξύλινη συσκευασία /  Wood packaging"/>
    <x v="32"/>
    <n v="3.14"/>
    <s v="tn"/>
    <s v="Recycling"/>
    <s v="Waste_Wood_Recycling"/>
    <s v="Σ.Ε. CO₂ eq"/>
    <n v="2.1280999999999998E-2"/>
    <s v="tn CO2e/tn"/>
    <s v="DEFRA 2023"/>
    <s v="-"/>
    <s v="-"/>
    <s v="-"/>
    <s v="-"/>
    <n v="6.6822339999999994E-2"/>
    <s v=""/>
    <n v="6.6822339999999994E-2"/>
  </r>
  <r>
    <s v="Scope 3"/>
    <s v="Category 5"/>
    <s v="Ελλάδα"/>
    <x v="1"/>
    <x v="0"/>
    <s v="AD"/>
    <s v="Indirect GHG emissions from third-party disposal and treatment of Waste Generated in Operations"/>
    <s v="Οικιακά απορρίμματα/Municipal waste"/>
    <x v="32"/>
    <n v="0.5216054582320313"/>
    <s v="tn"/>
    <s v="Recycling"/>
    <s v="Waste_MSW_Landilled"/>
    <s v="Σ.Ε. CO₂ eq"/>
    <n v="0.57331863285556783"/>
    <s v="tn CO2e/tn"/>
    <s v="EPA 2023"/>
    <s v="-"/>
    <s v="-"/>
    <s v="-"/>
    <s v="-"/>
    <n v="0.29904612820359017"/>
    <s v=""/>
    <n v="0.29904612820359017"/>
  </r>
  <r>
    <s v="Scope 3"/>
    <s v="Category 5"/>
    <s v="Ελλάδα"/>
    <x v="1"/>
    <x v="0"/>
    <s v="AD"/>
    <s v="Indirect GHG emissions from third-party disposal and treatment of Waste Generated in Operations"/>
    <s v="Οικιακά απορρίμματα/Municipal waste"/>
    <x v="32"/>
    <n v="34.045045156104663"/>
    <s v="tn"/>
    <s v="Landfill"/>
    <s v="Waste_Mixed MSW_Landfilled"/>
    <s v="Σ.Ε. CO₂ eq"/>
    <n v="0.57713651498335183"/>
    <s v="tn CO2e/tn"/>
    <s v="EPA 2023"/>
    <s v="-"/>
    <s v="-"/>
    <s v="-"/>
    <s v="-"/>
    <n v="19.648638713845088"/>
    <s v=""/>
    <n v="19.648638713845088"/>
  </r>
  <r>
    <s v="Scope 3"/>
    <s v="Category 5"/>
    <s v="Ελλάδα"/>
    <x v="1"/>
    <x v="0"/>
    <s v="AD"/>
    <s v="Indirect GHG emissions from third-party disposal and treatment of Waste Generated in Operations"/>
    <s v="Οικιακά απορρίμματα/Municipal waste"/>
    <x v="32"/>
    <n v="11.227937879183424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0.24758407671848784"/>
    <s v=""/>
    <n v="0.24758407671848784"/>
  </r>
  <r>
    <s v="Scope 3"/>
    <s v="Category 5"/>
    <s v="Ελλάδα"/>
    <x v="1"/>
    <x v="0"/>
    <s v="AD"/>
    <s v="Indirect GHG emissions from third-party disposal and treatment of Waste Generated in Operations"/>
    <s v="Οικιακά απορρίμματα/Municipal waste"/>
    <x v="32"/>
    <n v="3.2004115064799112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1.5273883993189366"/>
    <s v=""/>
    <n v="1.5273883993189366"/>
  </r>
  <r>
    <s v="Scope 3"/>
    <s v="Category 5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0.13027098478513716"/>
    <s v="tn"/>
    <s v="Recycling"/>
    <s v="Waste_MSW_Landilled"/>
    <s v="Σ.Ε. CO₂ eq"/>
    <n v="0.57331863285556783"/>
    <s v="tn CO2e/tn"/>
    <s v="EPA 2023"/>
    <s v="-"/>
    <s v="-"/>
    <s v="-"/>
    <s v="-"/>
    <n v="7.4686782897763315E-2"/>
    <s v=""/>
    <n v="7.4686782897763315E-2"/>
  </r>
  <r>
    <s v="Scope 3"/>
    <s v="Category 5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8.5027514370206507"/>
    <s v="tn"/>
    <s v="Landfill"/>
    <s v="Waste_Mixed MSW_Landfilled"/>
    <s v="Σ.Ε. CO₂ eq"/>
    <n v="0.57713651498335183"/>
    <s v="tn CO2e/tn"/>
    <s v="EPA 2023"/>
    <s v="-"/>
    <s v="-"/>
    <s v="-"/>
    <s v="-"/>
    <n v="4.9072483321317852"/>
    <s v=""/>
    <n v="4.9072483321317852"/>
  </r>
  <r>
    <s v="Scope 3"/>
    <s v="Category 5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2.8041779501028765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6.1834133409104222E-2"/>
    <s v=""/>
    <n v="6.1834133409104222E-2"/>
  </r>
  <r>
    <s v="Scope 3"/>
    <s v="Category 5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0.79930290622334543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38146531595564764"/>
    <s v=""/>
    <n v="0.38146531595564764"/>
  </r>
  <r>
    <s v="Scope 3"/>
    <s v="Category 5"/>
    <s v="Ελλάδα"/>
    <x v="1"/>
    <x v="0"/>
    <s v="AO"/>
    <s v="Indirect GHG emissions from third-party disposal and treatment of Waste Generated in Operations"/>
    <s v="Οικιακά απορρίμματα/Municipal waste"/>
    <x v="32"/>
    <n v="0.18936210400190104"/>
    <s v="tn"/>
    <s v="Recycling"/>
    <s v="Waste_MSW_Landilled"/>
    <s v="Σ.Ε. CO₂ eq"/>
    <n v="0.57331863285556783"/>
    <s v="tn CO2e/tn"/>
    <s v="EPA 2023"/>
    <s v="-"/>
    <s v="-"/>
    <s v="-"/>
    <s v="-"/>
    <n v="0.10856482258102375"/>
    <s v=""/>
    <n v="0.10856482258102375"/>
  </r>
  <r>
    <s v="Scope 3"/>
    <s v="Category 5"/>
    <s v="Ελλάδα"/>
    <x v="1"/>
    <x v="0"/>
    <s v="AO"/>
    <s v="Indirect GHG emissions from third-party disposal and treatment of Waste Generated in Operations"/>
    <s v="Οικιακά απορρίμματα/Municipal waste"/>
    <x v="32"/>
    <n v="12.359612576622792"/>
    <s v="tn"/>
    <s v="Landfill"/>
    <s v="Waste_Mixed MSW_Landfilled"/>
    <s v="Σ.Ε. CO₂ eq"/>
    <n v="0.57713651498335183"/>
    <s v="tn CO2e/tn"/>
    <s v="EPA 2023"/>
    <s v="-"/>
    <s v="-"/>
    <s v="-"/>
    <s v="-"/>
    <n v="7.1331837290164843"/>
    <s v=""/>
    <n v="7.1331837290164843"/>
  </r>
  <r>
    <s v="Scope 3"/>
    <s v="Category 5"/>
    <s v="Ελλάδα"/>
    <x v="1"/>
    <x v="0"/>
    <s v="AO"/>
    <s v="Indirect GHG emissions from third-party disposal and treatment of Waste Generated in Operations"/>
    <s v="Οικιακά απορρίμματα/Municipal waste"/>
    <x v="32"/>
    <n v="4.0761573845705801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8.9882191501005071E-2"/>
    <s v=""/>
    <n v="8.9882191501005071E-2"/>
  </r>
  <r>
    <s v="Scope 3"/>
    <s v="Category 5"/>
    <s v="Ελλάδα"/>
    <x v="1"/>
    <x v="0"/>
    <s v="AO"/>
    <s v="Indirect GHG emissions from third-party disposal and treatment of Waste Generated in Operations"/>
    <s v="Οικιακά απορρίμματα/Municipal waste"/>
    <x v="32"/>
    <n v="1.1618679348047387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55449857043955342"/>
    <s v=""/>
    <n v="0.55449857043955342"/>
  </r>
  <r>
    <s v="Scope 3"/>
    <s v="Category 5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6.4811739076558864E-2"/>
    <s v="tn"/>
    <s v="Recycling"/>
    <s v="Waste_MSW_Landilled"/>
    <s v="Σ.Ε. CO₂ eq"/>
    <n v="0.57331863285556783"/>
    <s v="tn CO2e/tn"/>
    <s v="EPA 2023"/>
    <s v="-"/>
    <s v="-"/>
    <s v="-"/>
    <s v="-"/>
    <n v="3.7157777640364507E-2"/>
    <s v=""/>
    <n v="3.7157777640364507E-2"/>
  </r>
  <r>
    <s v="Scope 3"/>
    <s v="Category 5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4.2302444283962428"/>
    <s v="tn"/>
    <s v="Landfill"/>
    <s v="Waste_Mixed MSW_Landfilled"/>
    <s v="Σ.Ε. CO₂ eq"/>
    <n v="0.57713651498335183"/>
    <s v="tn CO2e/tn"/>
    <s v="EPA 2023"/>
    <s v="-"/>
    <s v="-"/>
    <s v="-"/>
    <s v="-"/>
    <n v="2.441428526932349"/>
    <s v=""/>
    <n v="2.441428526932349"/>
  </r>
  <r>
    <s v="Scope 3"/>
    <s v="Category 5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1.3951199488210426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3.0763394681831147E-2"/>
    <s v=""/>
    <n v="3.0763394681831147E-2"/>
  </r>
  <r>
    <s v="Scope 3"/>
    <s v="Category 5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0.3976650018169901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18978462905805299"/>
    <s v=""/>
    <n v="0.18978462905805299"/>
  </r>
  <r>
    <s v="Scope 3"/>
    <s v="Category 5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0.30298789412287469"/>
    <s v="tn"/>
    <s v="Recycling"/>
    <s v="Waste_MSW_Landilled"/>
    <s v="Σ.Ε. CO₂ eq"/>
    <n v="0.57331863285556783"/>
    <s v="tn CO2e/tn"/>
    <s v="EPA 2023"/>
    <s v="-"/>
    <s v="-"/>
    <s v="-"/>
    <s v="-"/>
    <n v="0.17370860523031406"/>
    <s v=""/>
    <n v="0.17370860523031406"/>
  </r>
  <r>
    <s v="Scope 3"/>
    <s v="Category 5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19.775936724530389"/>
    <s v="tn"/>
    <s v="Landfill"/>
    <s v="Waste_Mixed MSW_Landfilled"/>
    <s v="Σ.Ε. CO₂ eq"/>
    <n v="0.57713651498335183"/>
    <s v="tn CO2e/tn"/>
    <s v="EPA 2023"/>
    <s v="-"/>
    <s v="-"/>
    <s v="-"/>
    <s v="-"/>
    <n v="11.413415201726751"/>
    <s v=""/>
    <n v="11.413415201726751"/>
  </r>
  <r>
    <s v="Scope 3"/>
    <s v="Category 5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6.5220353807013369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0.14381555414997435"/>
    <s v=""/>
    <n v="0.14381555414997435"/>
  </r>
  <r>
    <s v="Scope 3"/>
    <s v="Category 5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1.8590410191674211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88722268395337522"/>
    <s v=""/>
    <n v="0.88722268395337522"/>
  </r>
  <r>
    <s v="Scope 3"/>
    <s v="Category 5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1.0731343127513282E-2"/>
    <s v="tn"/>
    <s v="Recycling"/>
    <s v="Waste_MSW_Landilled"/>
    <s v="Σ.Ε. CO₂ eq"/>
    <n v="0.57331863285556783"/>
    <s v="tn CO2e/tn"/>
    <s v="EPA 2023"/>
    <s v="-"/>
    <s v="-"/>
    <s v="-"/>
    <s v="-"/>
    <n v="6.1524789705699086E-3"/>
    <s v=""/>
    <n v="6.1524789705699086E-3"/>
  </r>
  <r>
    <s v="Scope 3"/>
    <s v="Category 5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0.70043182178381469"/>
    <s v="tn"/>
    <s v="Landfill"/>
    <s v="Waste_Mixed MSW_Landfilled"/>
    <s v="Σ.Ε. CO₂ eq"/>
    <n v="0.57713651498335183"/>
    <s v="tn CO2e/tn"/>
    <s v="EPA 2023"/>
    <s v="-"/>
    <s v="-"/>
    <s v="-"/>
    <s v="-"/>
    <n v="0.40424478060775099"/>
    <s v=""/>
    <n v="0.40424478060775099"/>
  </r>
  <r>
    <s v="Scope 3"/>
    <s v="Category 5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0.23099998685658285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5.0937152559334693E-3"/>
    <s v=""/>
    <n v="5.0937152559334693E-3"/>
  </r>
  <r>
    <s v="Scope 3"/>
    <s v="Category 5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6.5844238175129882E-2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3.1423998241182964E-2"/>
    <s v=""/>
    <n v="3.1423998241182964E-2"/>
  </r>
  <r>
    <s v="Scope 3"/>
    <s v="Category 5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6.3047665398703221E-4"/>
    <s v="tn"/>
    <s v="Recycling"/>
    <s v="Waste_MSW_Landilled"/>
    <s v="Σ.Ε. CO₂ eq"/>
    <n v="0.57331863285556783"/>
    <s v="tn CO2e/tn"/>
    <s v="EPA 2023"/>
    <s v="-"/>
    <s v="-"/>
    <s v="-"/>
    <s v="-"/>
    <n v="3.6146401331119821E-4"/>
    <s v=""/>
    <n v="3.6146401331119821E-4"/>
  </r>
  <r>
    <s v="Scope 3"/>
    <s v="Category 5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4.1151038234170392E-2"/>
    <s v="tn"/>
    <s v="Landfill"/>
    <s v="Waste_Mixed MSW_Landfilled"/>
    <s v="Σ.Ε. CO₂ eq"/>
    <n v="0.57713651498335183"/>
    <s v="tn CO2e/tn"/>
    <s v="EPA 2023"/>
    <s v="-"/>
    <s v="-"/>
    <s v="-"/>
    <s v="-"/>
    <n v="2.3749766794415764E-2"/>
    <s v=""/>
    <n v="2.3749766794415764E-2"/>
  </r>
  <r>
    <s v="Scope 3"/>
    <s v="Category 5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1.3571469764207899E-2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2.9926063427139797E-4"/>
    <s v=""/>
    <n v="2.9926063427139797E-4"/>
  </r>
  <r>
    <s v="Scope 3"/>
    <s v="Category 5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3.8684118544815129E-3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1.846189897255328E-3"/>
    <s v=""/>
    <n v="1.846189897255328E-3"/>
  </r>
  <r>
    <s v="Scope 3"/>
    <s v="Category 5"/>
    <s v="Ελλάδα"/>
    <x v="1"/>
    <x v="0"/>
    <s v="AD"/>
    <s v="Indirect GHG emissions from third-party disposal and treatment of Waste Generated in Operations"/>
    <s v="Πλαστικά και Πλαστικές συσκευασίες (mix) / Plastics and Plastic Packaging (mix)"/>
    <x v="32"/>
    <n v="4.12"/>
    <s v="tn"/>
    <s v="Recycling"/>
    <s v="Waste_Mixed Plastics_Recycling"/>
    <s v="Σ.Ε. CO₂ eq"/>
    <n v="0.242557883131202"/>
    <s v="tn CO2e/tn"/>
    <s v="EPA 2023"/>
    <s v="-"/>
    <s v="-"/>
    <s v="-"/>
    <s v="-"/>
    <n v="0.99933847850055224"/>
    <s v=""/>
    <n v="0.99933847850055224"/>
  </r>
  <r>
    <s v="Scope 3"/>
    <s v="Category 5"/>
    <s v="Ελλάδα"/>
    <x v="1"/>
    <x v="0"/>
    <s v="AKTOR CONCESSIONS"/>
    <s v="Indirect GHG emissions from third-party disposal and treatment of Waste Generated in Operations"/>
    <s v="Πλαστικά και Πλαστικές συσκευασίες (mix) / Plastics and Plastic Packaging (mix)"/>
    <x v="32"/>
    <n v="9.0262612697574449E-2"/>
    <s v="tn"/>
    <s v="Recycling"/>
    <s v="Waste_Mixed Plastics_Recycling"/>
    <s v="Σ.Ε. CO₂ eq"/>
    <n v="0.242557883131202"/>
    <s v="tn CO2e/tn"/>
    <s v="EPA 2023"/>
    <s v="-"/>
    <s v="-"/>
    <s v="-"/>
    <s v="-"/>
    <n v="2.1893908261815212E-2"/>
    <s v=""/>
    <n v="2.1893908261815212E-2"/>
  </r>
  <r>
    <s v="Scope 3"/>
    <s v="Category 5"/>
    <s v="Ελλάδα"/>
    <x v="2"/>
    <x v="0"/>
    <s v="ELLAKTOR S.A."/>
    <s v="Indirect GHG emissions from third-party disposal and treatment of Waste Generated in Operations"/>
    <s v="Πλαστικά και Πλαστικές συσκευασίες (mix) / Plastics and Plastic Packaging (mix)"/>
    <x v="32"/>
    <n v="0.444401931419518"/>
    <s v="tn"/>
    <s v="Recycling"/>
    <s v="Waste_Mixed Plastics_Recycling"/>
    <s v="Σ.Ε. CO₂ eq"/>
    <n v="0.242557883131202"/>
    <s v="tn CO2e/tn"/>
    <s v="EPA 2023"/>
    <s v="-"/>
    <s v="-"/>
    <s v="-"/>
    <s v="-"/>
    <n v="0.10779319174453589"/>
    <s v=""/>
    <n v="0.10779319174453589"/>
  </r>
  <r>
    <s v="Scope 3"/>
    <s v="Category 5"/>
    <s v="Ελλάδα"/>
    <x v="0"/>
    <x v="0"/>
    <s v="HELECTOR &amp; Subsidiaries"/>
    <s v="Indirect GHG emissions from third-party disposal and treatment of Waste Generated in Operations"/>
    <s v="Πλαστικά και Πλαστικές συσκευασίες (mix) / Plastics and Plastic Packaging (mix)"/>
    <x v="32"/>
    <n v="0.22554676343883198"/>
    <s v="tn"/>
    <s v="Recycling"/>
    <s v="Waste_Mixed Plastics_Recycling"/>
    <s v="Σ.Ε. CO₂ eq"/>
    <n v="0.242557883131202"/>
    <s v="tn CO2e/tn"/>
    <s v="EPA 2023"/>
    <s v="-"/>
    <s v="-"/>
    <s v="-"/>
    <s v="-"/>
    <n v="5.4708145486817072E-2"/>
    <s v=""/>
    <n v="5.4708145486817072E-2"/>
  </r>
  <r>
    <s v="Scope 3"/>
    <s v="Category 5"/>
    <s v="Ελλάδα"/>
    <x v="0"/>
    <x v="0"/>
    <s v="HELECTOR &amp; Subsidiaries"/>
    <s v="Indirect GHG emissions from third-party disposal and treatment of Waste Generated in Operations"/>
    <s v="Πλαστικά και Πλαστικές συσκευασίες (mix) / Plastics and Plastic Packaging (mix)"/>
    <x v="32"/>
    <n v="2445.6295"/>
    <s v="tn"/>
    <s v="Recycling"/>
    <s v="Waste_Mixed Plastics_Recycling"/>
    <s v="Σ.Ε. CO₂ eq"/>
    <n v="0.242557883131202"/>
    <s v="tn CO2e/tn"/>
    <s v="EPA 2023"/>
    <s v="-"/>
    <s v="-"/>
    <s v="-"/>
    <s v="-"/>
    <n v="593.20671444321999"/>
    <s v=""/>
    <n v="593.20671444321999"/>
  </r>
  <r>
    <s v="Scope 3"/>
    <s v="Category 5"/>
    <s v="Ελλάδα"/>
    <x v="1"/>
    <x v="0"/>
    <s v="MOREAS"/>
    <s v="Indirect GHG emissions from third-party disposal and treatment of Waste Generated in Operations"/>
    <s v="Πλαστικά και Πλαστικές συσκευασίες (mix) / Plastics and Plastic Packaging (mix)"/>
    <x v="32"/>
    <n v="9.8835828058395254"/>
    <s v="tn"/>
    <s v="Recycling"/>
    <s v="Waste_Mixed Plastics_Recycling"/>
    <s v="Σ.Ε. CO₂ eq"/>
    <n v="0.242557883131202"/>
    <s v="tn CO2e/tn"/>
    <s v="EPA 2023"/>
    <s v="-"/>
    <s v="-"/>
    <s v="-"/>
    <s v="-"/>
    <n v="2.3973409231363809"/>
    <s v=""/>
    <n v="2.3973409231363809"/>
  </r>
  <r>
    <s v="Scope 3"/>
    <s v="Category 5"/>
    <s v="Ελλάδα"/>
    <x v="1"/>
    <x v="0"/>
    <s v="MOREAS"/>
    <s v="Indirect GHG emissions from third-party disposal and treatment of Waste Generated in Operations"/>
    <s v="Πλαστικά και Πλαστικές συσκευασίες (mix) / Plastics and Plastic Packaging (mix)"/>
    <x v="32"/>
    <n v="1.42"/>
    <s v="tn"/>
    <s v="Recycling"/>
    <s v="Waste_Mixed Plastics_Recycling"/>
    <s v="Σ.Ε. CO₂ eq"/>
    <n v="0.242557883131202"/>
    <s v="tn CO2e/tn"/>
    <s v="EPA 2023"/>
    <s v="-"/>
    <s v="-"/>
    <s v="-"/>
    <s v="-"/>
    <n v="0.34443219404630682"/>
    <s v=""/>
    <n v="0.34443219404630682"/>
  </r>
  <r>
    <s v="Scope 3"/>
    <s v="Category 5"/>
    <s v="Ελλάδα"/>
    <x v="3"/>
    <x v="0"/>
    <s v="REDS"/>
    <s v="Indirect GHG emissions from third-party disposal and treatment of Waste Generated in Operations"/>
    <s v="Πλαστικά και Πλαστικές συσκευασίες (mix) / Plastics and Plastic Packaging (mix)"/>
    <x v="32"/>
    <n v="4.3230600927986734E-3"/>
    <s v="tn"/>
    <s v="Recycling"/>
    <s v="Waste_Mixed Plastics_Recycling"/>
    <s v="Σ.Ε. CO₂ eq"/>
    <n v="0.242557883131202"/>
    <s v="tn CO2e/tn"/>
    <s v="EPA 2023"/>
    <s v="-"/>
    <s v="-"/>
    <s v="-"/>
    <s v="-"/>
    <n v="1.048592304758224E-3"/>
    <s v=""/>
    <n v="1.048592304758224E-3"/>
  </r>
  <r>
    <s v="Scope 3"/>
    <s v="Category 5"/>
    <s v="Ελλάδα"/>
    <x v="0"/>
    <x v="0"/>
    <s v="HELECTOR &amp; Subsidiaries"/>
    <s v="Indirect GHG emissions from third-party disposal and treatment of Waste Generated in Operations"/>
    <s v="Πλαστικό film / Plastic Film"/>
    <x v="32"/>
    <n v="8141.8035"/>
    <s v="tn"/>
    <s v="Recycling"/>
    <s v="Waste_Mixed Plastics_Recycling"/>
    <s v="Σ.Ε. CO₂ eq"/>
    <n v="0.242557883131202"/>
    <s v="tn CO2e/tn"/>
    <s v="EPA 2023"/>
    <s v="-"/>
    <s v="-"/>
    <s v="-"/>
    <s v="-"/>
    <n v="1974.8586218302114"/>
    <s v=""/>
    <n v="1974.8586218302114"/>
  </r>
  <r>
    <s v="Scope 3"/>
    <s v="Category 5"/>
    <s v="Ελλάδα"/>
    <x v="0"/>
    <x v="0"/>
    <s v="HELECTOR &amp; Subsidiaries"/>
    <s v="Indirect GHG emissions from third-party disposal and treatment of Waste Generated in Operations"/>
    <s v="Πλαστικό film / Plastic Film"/>
    <x v="32"/>
    <n v="3854.34"/>
    <s v="tn"/>
    <s v="Landfill"/>
    <s v="Waste_Plastic Film_Landfilled"/>
    <s v="Σ.Ε. CO₂ eq"/>
    <n v="8.8841301316268592E-3"/>
    <s v="tn CO2e/tn"/>
    <s v="DEFRA 2023"/>
    <s v="-"/>
    <s v="-"/>
    <s v="-"/>
    <s v="-"/>
    <n v="34.242458131534669"/>
    <s v=""/>
    <n v="34.242458131534669"/>
  </r>
  <r>
    <s v="Scope 3"/>
    <s v="Category 5"/>
    <s v="Ελλάδα"/>
    <x v="0"/>
    <x v="0"/>
    <s v="HELECTOR &amp; Subsidiaries"/>
    <s v="Indirect GHG emissions from third-party disposal and treatment of Waste Generated in Operations"/>
    <s v="Πλαστικό HDPE /  Plastics HDPE "/>
    <x v="32"/>
    <n v="678.67849999999999"/>
    <s v="tn"/>
    <s v="Recycling"/>
    <s v="Waste_HDPE_Recycling"/>
    <s v="Σ.Ε. CO₂ eq"/>
    <n v="0.23153252480705622"/>
    <s v="tn CO2e/tn"/>
    <s v="EPA 2023"/>
    <s v="-"/>
    <s v="-"/>
    <s v="-"/>
    <s v="-"/>
    <n v="157.13614663726571"/>
    <s v=""/>
    <n v="157.13614663726571"/>
  </r>
  <r>
    <s v="Scope 3"/>
    <s v="Category 5"/>
    <s v="Ελλάδα"/>
    <x v="0"/>
    <x v="0"/>
    <s v="HELECTOR &amp; Subsidiaries"/>
    <s v="Indirect GHG emissions from third-party disposal and treatment of Waste Generated in Operations"/>
    <s v="Πλαστικό PE / Plastics PE"/>
    <x v="32"/>
    <n v="865.62"/>
    <s v="tn"/>
    <s v="Recycling"/>
    <s v="Waste_Mixed Plastics_Recycling"/>
    <s v="Σ.Ε. CO₂ eq"/>
    <n v="0.242557883131202"/>
    <s v="tn CO2e/tn"/>
    <s v="EPA 2023"/>
    <s v="-"/>
    <s v="-"/>
    <s v="-"/>
    <s v="-"/>
    <n v="209.96295479603108"/>
    <s v=""/>
    <n v="209.96295479603108"/>
  </r>
  <r>
    <s v="Scope 3"/>
    <s v="Category 5"/>
    <s v="Ελλάδα"/>
    <x v="0"/>
    <x v="0"/>
    <s v="HELECTOR &amp; Subsidiaries"/>
    <s v="Indirect GHG emissions from third-party disposal and treatment of Waste Generated in Operations"/>
    <s v="Πλαστικό PET / Plastics PET"/>
    <x v="32"/>
    <n v="5564.4525000000003"/>
    <s v="tn"/>
    <s v="Recycling"/>
    <s v="Waste_PET_Recycling"/>
    <s v="Σ.Ε. CO₂ eq"/>
    <n v="0.25358324145534727"/>
    <s v="tn CO2e/tn"/>
    <s v="EPA 2023"/>
    <s v="-"/>
    <s v="-"/>
    <s v="-"/>
    <s v="-"/>
    <n v="1411.0519018743109"/>
    <s v=""/>
    <n v="1411.0519018743109"/>
  </r>
  <r>
    <s v="Scope 3"/>
    <s v="Category 5"/>
    <s v="Ελλάδα"/>
    <x v="0"/>
    <x v="0"/>
    <s v="HELECTOR &amp; Subsidiaries"/>
    <s v="Indirect GHG emissions from third-party disposal and treatment of Waste Generated in Operations"/>
    <s v="Πλαστικό PP / Plastics PP"/>
    <x v="32"/>
    <n v="2280.4014999999999"/>
    <s v="tn"/>
    <s v="Recycling"/>
    <s v="Waste_Mixed Plastics_Recycling"/>
    <s v="Σ.Ε. CO₂ eq"/>
    <n v="0.242557883131202"/>
    <s v="tn CO2e/tn"/>
    <s v="EPA 2023"/>
    <s v="-"/>
    <s v="-"/>
    <s v="-"/>
    <s v="-"/>
    <n v="553.12936052921771"/>
    <s v=""/>
    <n v="553.12936052921771"/>
  </r>
  <r>
    <s v="Scope 3"/>
    <s v="Category 5"/>
    <s v="Ελλάδα"/>
    <x v="0"/>
    <x v="0"/>
    <s v="HELECTOR &amp; Subsidiaries"/>
    <s v="Indirect GHG emissions from third-party disposal and treatment of Waste Generated in Operations"/>
    <s v="Ρυπασμ. Απορροφητικά υλικά / Contaminated Absorbent Materials "/>
    <x v="32"/>
    <n v="3.1120000000000001"/>
    <s v="tn"/>
    <s v="Recycling"/>
    <s v="Waste_Yarn and textile_Recycling"/>
    <s v="Σ.Ε. CO₂ eq"/>
    <n v="1.0512999999999999"/>
    <s v="tn CO2e/tn"/>
    <s v="ecoinvent 3.10"/>
    <s v="-"/>
    <s v="-"/>
    <s v="-"/>
    <s v="-"/>
    <n v="3.2716455999999998"/>
    <s v=""/>
    <n v="3.2716455999999998"/>
  </r>
  <r>
    <s v="Scope 3"/>
    <s v="Category 5"/>
    <s v="Ελλάδα"/>
    <x v="1"/>
    <x v="0"/>
    <s v="MOREAS"/>
    <s v="Indirect GHG emissions from third-party disposal and treatment of Waste Generated in Operations"/>
    <s v="Ρυπασμ. Απορροφητικά υλικά / Contaminated Absorbent Materials "/>
    <x v="32"/>
    <n v="0.13"/>
    <s v="tn"/>
    <s v="Recycling"/>
    <s v="Waste_Yarn and textile_Recycling"/>
    <s v="Σ.Ε. CO₂ eq"/>
    <n v="1.0512999999999999"/>
    <s v="tn CO2e/tn"/>
    <s v="ecoinvent 3.10"/>
    <s v="-"/>
    <s v="-"/>
    <s v="-"/>
    <s v="-"/>
    <n v="0.13666899999999998"/>
    <s v=""/>
    <n v="0.13666899999999998"/>
  </r>
  <r>
    <s v="Scope 3"/>
    <s v="Category 5"/>
    <s v="Ελλάδα"/>
    <x v="1"/>
    <x v="0"/>
    <s v="MOREAS"/>
    <s v="Indirect GHG emissions from third-party disposal and treatment of Waste Generated in Operations"/>
    <s v="Ρυπασμένες συσκευασίες (π.χ λιπαντικών, χημικών) / Contaminated packaging (from lubricants, chemicals, etc.)"/>
    <x v="32"/>
    <n v="0.09"/>
    <s v="tn"/>
    <s v="Recycling"/>
    <s v="Waste_Mixed Recycables_Recycling"/>
    <s v="Σ.Ε. CO₂ eq"/>
    <n v="9.9228224917309815E-2"/>
    <s v="tn CO2e/tn"/>
    <s v="EPA 2023"/>
    <s v="-"/>
    <s v="-"/>
    <s v="-"/>
    <s v="-"/>
    <n v="8.9305402425578825E-3"/>
    <s v=""/>
    <n v="8.9305402425578825E-3"/>
  </r>
  <r>
    <s v="Scope 3"/>
    <s v="Category 5"/>
    <s v="Ελλάδα"/>
    <x v="1"/>
    <x v="0"/>
    <s v="AO"/>
    <s v="Indirect GHG emissions from third-party disposal and treatment of Waste Generated in Operations"/>
    <s v="Σύμμεικτα μη επικ. Απόβλητα / Mixed non hazardous waste"/>
    <x v="32"/>
    <n v="10.43"/>
    <s v="tn"/>
    <s v="Recycling"/>
    <s v="Waste_Mixed Recycables_Recycling"/>
    <s v="Σ.Ε. CO₂ eq"/>
    <n v="9.9228224917309815E-2"/>
    <s v="tn CO2e/tn"/>
    <s v="EPA 2023"/>
    <s v="-"/>
    <s v="-"/>
    <s v="-"/>
    <s v="-"/>
    <n v="1.0349503858875413"/>
    <s v=""/>
    <n v="1.0349503858875413"/>
  </r>
  <r>
    <s v="Scope 3"/>
    <s v="Category 5"/>
    <s v="Ελλάδα"/>
    <x v="0"/>
    <x v="0"/>
    <s v="HELECTOR &amp; Subsidiaries"/>
    <s v="Indirect GHG emissions from third-party disposal and treatment of Waste Generated in Operations"/>
    <s v="Σύμμεικτα μη επικ. Απόβλητα / Mixed non hazardous waste"/>
    <x v="32"/>
    <n v="118991.39"/>
    <s v="tn"/>
    <s v="Landfill"/>
    <s v="Waste_Commercial and Industrial Waste_Landfill"/>
    <s v="Σ.Ε. CO₂ eq"/>
    <n v="0.52033474346299502"/>
    <s v="tn CO2e/tn"/>
    <s v="DEFRA 2023"/>
    <s v="-"/>
    <s v="-"/>
    <s v="-"/>
    <s v="-"/>
    <n v="61915.354389955188"/>
    <s v=""/>
    <n v="61915.354389955188"/>
  </r>
  <r>
    <s v="Scope 3"/>
    <s v="Category 5"/>
    <s v="Ελλάδα"/>
    <x v="1"/>
    <x v="0"/>
    <s v="MOREAS"/>
    <s v="Indirect GHG emissions from third-party disposal and treatment of Waste Generated in Operations"/>
    <s v="Σύμμεικτα μη επικ. Απόβλητα / Mixed non hazardous waste"/>
    <x v="32"/>
    <n v="60.06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1.3243660418963616"/>
    <s v=""/>
    <n v="1.3243660418963616"/>
  </r>
  <r>
    <s v="Scope 3"/>
    <s v="Category 5"/>
    <s v="Ελλάδα"/>
    <x v="1"/>
    <x v="0"/>
    <s v="AO"/>
    <s v="Indirect GHG emissions from third-party disposal and treatment of Waste Generated in Operations"/>
    <s v="Σύμμεικτες συσκευασίες / Mixed Packaging"/>
    <x v="32"/>
    <n v="6.63"/>
    <s v="tn"/>
    <s v="Recycling"/>
    <s v="Waste_Mixed Recycables_Recycling"/>
    <s v="Σ.Ε. CO₂ eq"/>
    <n v="9.9228224917309815E-2"/>
    <s v="tn CO2e/tn"/>
    <s v="EPA 2023"/>
    <s v="-"/>
    <s v="-"/>
    <s v="-"/>
    <s v="-"/>
    <n v="0.65788313120176412"/>
    <s v=""/>
    <n v="0.65788313120176412"/>
  </r>
  <r>
    <s v="Scope 3"/>
    <s v="Category 5"/>
    <s v="Ελλάδα"/>
    <x v="1"/>
    <x v="0"/>
    <s v="AO"/>
    <s v="Indirect GHG emissions from third-party disposal and treatment of Waste Generated in Operations"/>
    <s v="Συσσωρευτές μολύβδου   (Pb-οξέος) / Lead-acid accumulators"/>
    <x v="32"/>
    <n v="3.9650000000000003"/>
    <s v="tn"/>
    <s v="Recycling"/>
    <s v="Waste_Batteries"/>
    <s v="Σ.Ε. CO₂ eq"/>
    <n v="2.1280999999999998E-2"/>
    <s v="tn CO2e/tn"/>
    <s v="DEFRA 2023"/>
    <s v="-"/>
    <s v="-"/>
    <s v="-"/>
    <s v="-"/>
    <n v="8.4379164999999992E-2"/>
    <s v=""/>
    <n v="8.4379164999999992E-2"/>
  </r>
  <r>
    <s v="Scope 3"/>
    <s v="Category 5"/>
    <s v="Ελλάδα"/>
    <x v="0"/>
    <x v="0"/>
    <s v="HELECTOR &amp; Subsidiaries"/>
    <s v="Indirect GHG emissions from third-party disposal and treatment of Waste Generated in Operations"/>
    <s v="Συσσωρευτές μολύβδου   (Pb-οξέος) / Lead-acid accumulators"/>
    <x v="32"/>
    <n v="3.5910000000000002"/>
    <s v="tn"/>
    <s v="Recycling"/>
    <s v="Waste_Batteries"/>
    <s v="Σ.Ε. CO₂ eq"/>
    <n v="2.1280999999999998E-2"/>
    <s v="tn CO2e/tn"/>
    <s v="DEFRA 2023"/>
    <s v="-"/>
    <s v="-"/>
    <s v="-"/>
    <s v="-"/>
    <n v="7.6420070999999992E-2"/>
    <s v=""/>
    <n v="7.6420070999999992E-2"/>
  </r>
  <r>
    <s v="Scope 3"/>
    <s v="Category 5"/>
    <s v="Ελλάδα"/>
    <x v="0"/>
    <x v="0"/>
    <s v="HELECTOR &amp; Subsidiaries"/>
    <s v="Indirect GHG emissions from third-party disposal and treatment of Waste Generated in Operations"/>
    <s v="Συσσωρευτές μολύβδου   (Pb-οξέος) / Lead-acid accumulators"/>
    <x v="32"/>
    <n v="9.2270000000000003"/>
    <s v="tn"/>
    <s v="Recycling"/>
    <s v="Waste_Batteries"/>
    <s v="Σ.Ε. CO₂ eq"/>
    <n v="2.1280999999999998E-2"/>
    <s v="tn CO2e/tn"/>
    <s v="DEFRA 2023"/>
    <s v="-"/>
    <s v="-"/>
    <s v="-"/>
    <s v="-"/>
    <n v="0.19635978699999998"/>
    <s v=""/>
    <n v="0.19635978699999998"/>
  </r>
  <r>
    <s v="Scope 3"/>
    <s v="Category 5"/>
    <s v="Ελλάδα"/>
    <x v="1"/>
    <x v="0"/>
    <s v="MOREAS"/>
    <s v="Indirect GHG emissions from third-party disposal and treatment of Waste Generated in Operations"/>
    <s v="Συσσωρευτές μολύβδου   (Pb-οξέος) / Lead-acid accumulators"/>
    <x v="32"/>
    <n v="4.5940000000000003"/>
    <s v="tn"/>
    <s v="Recycling"/>
    <s v="Waste_Batteries"/>
    <s v="Σ.Ε. CO₂ eq"/>
    <n v="2.1280999999999998E-2"/>
    <s v="tn CO2e/tn"/>
    <s v="DEFRA 2023"/>
    <s v="-"/>
    <s v="-"/>
    <s v="-"/>
    <s v="-"/>
    <n v="9.7764913999999994E-2"/>
    <s v=""/>
    <n v="9.7764913999999994E-2"/>
  </r>
  <r>
    <s v="Scope 3"/>
    <s v="Category 5"/>
    <s v="Ελλάδα"/>
    <x v="1"/>
    <x v="0"/>
    <s v="AD"/>
    <s v="Indirect GHG emissions from third-party disposal and treatment of Waste Generated in Operations"/>
    <s v="Σωλήνες φθορισμού / Lighting bulbs"/>
    <x v="32"/>
    <n v="0.55100000000000005"/>
    <s v="tn"/>
    <s v="Recycling"/>
    <s v="Waste_WEEE-mixed"/>
    <s v="Σ.Ε. CO₂ eq"/>
    <n v="2.1280999999999998E-2"/>
    <s v="tn CO2e/tn"/>
    <s v="DEFRA 2023"/>
    <s v="-"/>
    <s v="-"/>
    <s v="-"/>
    <s v="-"/>
    <n v="1.1725830999999999E-2"/>
    <s v=""/>
    <n v="1.1725830999999999E-2"/>
  </r>
  <r>
    <s v="Scope 3"/>
    <s v="Category 5"/>
    <s v="Ελλάδα"/>
    <x v="0"/>
    <x v="0"/>
    <s v="HELECTOR &amp; Subsidiaries"/>
    <s v="Indirect GHG emissions from third-party disposal and treatment of Waste Generated in Operations"/>
    <s v="Σωλήνες φθορισμού / Lighting bulbs"/>
    <x v="32"/>
    <n v="0.08"/>
    <s v="tn"/>
    <s v="Recycling"/>
    <s v="Waste_WEEE-mixed"/>
    <s v="Σ.Ε. CO₂ eq"/>
    <n v="2.1280999999999998E-2"/>
    <s v="tn CO2e/tn"/>
    <s v="DEFRA 2023"/>
    <s v="-"/>
    <s v="-"/>
    <s v="-"/>
    <s v="-"/>
    <n v="1.7024799999999999E-3"/>
    <s v=""/>
    <n v="1.7024799999999999E-3"/>
  </r>
  <r>
    <s v="Scope 3"/>
    <s v="Category 5"/>
    <s v="Ελλάδα"/>
    <x v="0"/>
    <x v="0"/>
    <s v="HELECTOR &amp; Subsidiaries"/>
    <s v="Indirect GHG emissions from third-party disposal and treatment of Waste Generated in Operations"/>
    <s v="Σωλήνες φθορισμού / Lighting bulbs"/>
    <x v="32"/>
    <n v="0.14000000000000001"/>
    <s v="tn"/>
    <s v="Recycling"/>
    <s v="Waste_WEEE-mixed"/>
    <s v="Σ.Ε. CO₂ eq"/>
    <n v="2.1280999999999998E-2"/>
    <s v="tn CO2e/tn"/>
    <s v="DEFRA 2023"/>
    <s v="-"/>
    <s v="-"/>
    <s v="-"/>
    <s v="-"/>
    <n v="2.97934E-3"/>
    <s v=""/>
    <n v="2.97934E-3"/>
  </r>
  <r>
    <s v="Scope 3"/>
    <s v="Category 5"/>
    <s v="Ελλάδα"/>
    <x v="1"/>
    <x v="0"/>
    <s v="MOREAS"/>
    <s v="Indirect GHG emissions from third-party disposal and treatment of Waste Generated in Operations"/>
    <s v="Σωλήνες φθορισμού / Lighting bulbs"/>
    <x v="32"/>
    <n v="0.67800000000000005"/>
    <s v="tn"/>
    <s v="Recycling"/>
    <s v="Waste_WEEE-mixed"/>
    <s v="Σ.Ε. CO₂ eq"/>
    <n v="2.1280999999999998E-2"/>
    <s v="tn CO2e/tn"/>
    <s v="DEFRA 2023"/>
    <s v="-"/>
    <s v="-"/>
    <s v="-"/>
    <s v="-"/>
    <n v="1.4428518E-2"/>
    <s v=""/>
    <n v="1.4428518E-2"/>
  </r>
  <r>
    <s v="Scope 3"/>
    <s v="Category 5"/>
    <s v="Ελλάδα"/>
    <x v="0"/>
    <x v="0"/>
    <s v="HELECTOR &amp; Subsidiaries"/>
    <s v="Indirect GHG emissions from third-party disposal and treatment of Waste Generated in Operations"/>
    <s v="Τέφρα Πυθμένα / Bottom Ash"/>
    <x v="32"/>
    <n v="631.399"/>
    <s v="tn"/>
    <s v="Recycling"/>
    <s v="Waste_Fly Ash_Recycled"/>
    <s v="Σ.Ε. CO₂ eq"/>
    <n v="1.1025358324145534E-2"/>
    <s v="tn CO2e/tn"/>
    <s v="EPA 2023"/>
    <s v="-"/>
    <s v="-"/>
    <s v="-"/>
    <s v="-"/>
    <n v="6.9614002205071657"/>
    <s v=""/>
    <n v="6.9614002205071657"/>
  </r>
  <r>
    <s v="Scope 3"/>
    <s v="Category 5"/>
    <s v="Ελλάδα"/>
    <x v="0"/>
    <x v="0"/>
    <s v="HELECTOR &amp; Subsidiaries"/>
    <s v="Indirect GHG emissions from third-party disposal and treatment of Waste Generated in Operations"/>
    <s v="Φίλτρα λαδιού / Oil Filters "/>
    <x v="32"/>
    <n v="4.7569999999999997"/>
    <s v="tn"/>
    <s v="Recycling"/>
    <s v="Waste_Yarn and textile_Recycling"/>
    <s v="Σ.Ε. CO₂ eq"/>
    <n v="1.0512999999999999"/>
    <s v="tn CO2e/tn"/>
    <s v="ecoinvent 3.10"/>
    <s v="-"/>
    <s v="-"/>
    <s v="-"/>
    <s v="-"/>
    <n v="5.0010340999999991"/>
    <s v=""/>
    <n v="5.0010340999999991"/>
  </r>
  <r>
    <s v="Scope 3"/>
    <s v="Category 5"/>
    <s v="Ελλάδα"/>
    <x v="1"/>
    <x v="0"/>
    <s v="AKTOR CONCESSIONS"/>
    <s v="Indirect GHG emissions from third-party disposal and treatment of Waste Generated in Operations"/>
    <s v="Χαρτί (Paper)"/>
    <x v="32"/>
    <n v="7.0721604285337101"/>
    <s v="tn"/>
    <s v="Recycling"/>
    <s v="Waste_Mixed Paper (general)_Recycling"/>
    <s v="Σ.Ε. CO₂ eq"/>
    <n v="7.7177508269018744E-2"/>
    <s v="tn CO2e/tn"/>
    <s v="EPA 2023"/>
    <s v="-"/>
    <s v="-"/>
    <s v="-"/>
    <s v="-"/>
    <n v="0.5458117199529875"/>
    <s v=""/>
    <n v="0.5458117199529875"/>
  </r>
  <r>
    <s v="Scope 3"/>
    <s v="Category 5"/>
    <s v="Ελλάδα"/>
    <x v="2"/>
    <x v="0"/>
    <s v="ELLAKTOR S.A."/>
    <s v="Indirect GHG emissions from third-party disposal and treatment of Waste Generated in Operations"/>
    <s v="Χαρτί (Paper)"/>
    <x v="32"/>
    <n v="11.186829771021166"/>
    <s v="tn"/>
    <s v="Recycling"/>
    <s v="Waste_Mixed Paper (general)_Recycling"/>
    <s v="Σ.Ε. CO₂ eq"/>
    <n v="7.7177508269018744E-2"/>
    <s v="tn CO2e/tn"/>
    <s v="EPA 2023"/>
    <s v="-"/>
    <s v="-"/>
    <s v="-"/>
    <s v="-"/>
    <n v="0.86337164715709114"/>
    <s v=""/>
    <n v="0.86337164715709114"/>
  </r>
  <r>
    <s v="Scope 3"/>
    <s v="Category 5"/>
    <s v="Ελλάδα"/>
    <x v="0"/>
    <x v="0"/>
    <s v="HELECTOR &amp; Subsidiaries"/>
    <s v="Indirect GHG emissions from third-party disposal and treatment of Waste Generated in Operations"/>
    <s v="Χαρτί (Paper)"/>
    <x v="32"/>
    <n v="5.6744157833188735"/>
    <s v="tn"/>
    <s v="Recycling"/>
    <s v="Waste_Mixed Paper (general)_Recycling"/>
    <s v="Σ.Ε. CO₂ eq"/>
    <n v="7.7177508269018744E-2"/>
    <s v="tn CO2e/tn"/>
    <s v="EPA 2023"/>
    <s v="-"/>
    <s v="-"/>
    <s v="-"/>
    <s v="-"/>
    <n v="0.43793727103894281"/>
    <s v=""/>
    <n v="0.43793727103894281"/>
  </r>
  <r>
    <s v="Scope 3"/>
    <s v="Category 5"/>
    <s v="Ελλάδα"/>
    <x v="0"/>
    <x v="0"/>
    <s v="HELECTOR &amp; Subsidiaries"/>
    <s v="Indirect GHG emissions from third-party disposal and treatment of Waste Generated in Operations"/>
    <s v="Χαρτί (Paper)"/>
    <x v="32"/>
    <n v="3083.3429999999998"/>
    <s v="tn"/>
    <s v="Recycling"/>
    <s v="Waste_Mixed Paper (general)_Recycling"/>
    <s v="Σ.Ε. CO₂ eq"/>
    <n v="7.7177508269018744E-2"/>
    <s v="tn CO2e/tn"/>
    <s v="EPA 2023"/>
    <s v="-"/>
    <s v="-"/>
    <s v="-"/>
    <s v="-"/>
    <n v="237.96472987872104"/>
    <s v=""/>
    <n v="237.96472987872104"/>
  </r>
  <r>
    <s v="Scope 3"/>
    <s v="Category 5"/>
    <s v="Ελλάδα"/>
    <x v="1"/>
    <x v="0"/>
    <s v="MOREAS"/>
    <s v="Indirect GHG emissions from third-party disposal and treatment of Waste Generated in Operations"/>
    <s v="Χαρτί (Paper)"/>
    <x v="32"/>
    <n v="1.8522834056358224"/>
    <s v="tn"/>
    <s v="Recycling"/>
    <s v="Waste_Mixed Paper (general)_Recycling"/>
    <s v="Σ.Ε. CO₂ eq"/>
    <n v="7.7177508269018744E-2"/>
    <s v="tn CO2e/tn"/>
    <s v="EPA 2023"/>
    <s v="-"/>
    <s v="-"/>
    <s v="-"/>
    <s v="-"/>
    <n v="0.14295461785502489"/>
    <s v=""/>
    <n v="0.14295461785502489"/>
  </r>
  <r>
    <s v="Scope 3"/>
    <s v="Category 5"/>
    <s v="Ελλάδα"/>
    <x v="3"/>
    <x v="0"/>
    <s v="REDS"/>
    <s v="Indirect GHG emissions from third-party disposal and treatment of Waste Generated in Operations"/>
    <s v="Χαρτί (Paper)"/>
    <x v="32"/>
    <n v="76.538823418461661"/>
    <s v="tn"/>
    <s v="Recycling"/>
    <s v="Waste_Mixed Paper (general)_Recycling"/>
    <s v="Σ.Ε. CO₂ eq"/>
    <n v="7.7177508269018744E-2"/>
    <s v="tn CO2e/tn"/>
    <s v="EPA 2023"/>
    <s v="-"/>
    <s v="-"/>
    <s v="-"/>
    <s v="-"/>
    <n v="5.9070756772792903"/>
    <s v=""/>
    <n v="5.9070756772792903"/>
  </r>
  <r>
    <s v="Scope 3"/>
    <s v="Category 5"/>
    <s v="Ελλάδα"/>
    <x v="0"/>
    <x v="0"/>
    <s v="HELECTOR &amp; Subsidiaries"/>
    <s v="Indirect GHG emissions from third-party disposal and treatment of Waste Generated in Operations"/>
    <s v="Χαρτόνι (Cardboard)"/>
    <x v="32"/>
    <n v="15001.949500000001"/>
    <s v="tn"/>
    <s v="Recycling"/>
    <s v="Waste_Paper Board_Recycling"/>
    <s v="Σ.Ε. CO₂ eq"/>
    <n v="2.1280999999999998E-2"/>
    <s v="tn CO2e/tn"/>
    <s v="DEFRA 2023"/>
    <s v="-"/>
    <s v="-"/>
    <s v="-"/>
    <s v="-"/>
    <n v="319.25648730949996"/>
    <s v=""/>
    <n v="319.25648730949996"/>
  </r>
  <r>
    <s v="Scope 3"/>
    <s v="Category 5"/>
    <s v="Ελλάδα"/>
    <x v="1"/>
    <x v="0"/>
    <s v="MOREAS"/>
    <s v="Indirect GHG emissions from third-party disposal and treatment of Waste Generated in Operations"/>
    <s v="Χαρτόνι (Cardboard)"/>
    <x v="32"/>
    <n v="5.45"/>
    <s v="tn"/>
    <s v="Recycling"/>
    <s v="Waste_Paper Board_Recycling"/>
    <s v="Σ.Ε. CO₂ eq"/>
    <n v="2.1280999999999998E-2"/>
    <s v="tn CO2e/tn"/>
    <s v="DEFRA 2023"/>
    <s v="-"/>
    <s v="-"/>
    <s v="-"/>
    <s v="-"/>
    <n v="0.11598144999999999"/>
    <s v=""/>
    <n v="0.11598144999999999"/>
  </r>
  <r>
    <s v="Scope 3"/>
    <s v="Category 6"/>
    <s v="Ελλάδα"/>
    <x v="1"/>
    <x v="0"/>
    <s v="AKTOR CONCESSIONS"/>
    <s v="Indirect GHG emissions from Business Travel"/>
    <s v="Indirect GHG emissions from Business Travel"/>
    <x v="33"/>
    <n v="2.6516000000000006"/>
    <s v="tn CO2"/>
    <s v="Icao carbon calculator"/>
    <s v="CO₂ "/>
    <s v="CO₂"/>
    <n v="1"/>
    <n v="0"/>
    <n v="0"/>
    <n v="2.6516000000000006"/>
    <s v="-"/>
    <s v="-"/>
    <s v="-"/>
    <s v="-"/>
    <s v=""/>
    <n v="2.6516000000000006"/>
  </r>
  <r>
    <s v="Scope 3"/>
    <s v="Category 6"/>
    <s v="Ελλάδα"/>
    <x v="1"/>
    <x v="12"/>
    <s v="AO"/>
    <s v="Indirect GHG emissions from Business Travel"/>
    <s v="Indirect GHG emissions from Business Travel"/>
    <x v="33"/>
    <n v="0.47699999999999998"/>
    <s v="tn CO2"/>
    <s v="Icao carbon calculator"/>
    <s v="CO₂ "/>
    <s v="CO₂"/>
    <n v="1"/>
    <n v="0"/>
    <n v="0"/>
    <n v="0.47699999999999998"/>
    <s v="-"/>
    <s v="-"/>
    <s v="-"/>
    <s v="-"/>
    <s v=""/>
    <n v="0.47699999999999998"/>
  </r>
  <r>
    <s v="Scope 3"/>
    <s v="Category 6"/>
    <s v="Ελλάδα"/>
    <x v="2"/>
    <x v="0"/>
    <s v="ELLAKTOR S.A."/>
    <s v="Indirect GHG emissions from Business Travel"/>
    <s v="Indirect GHG emissions from Business Travel"/>
    <x v="33"/>
    <n v="36753"/>
    <s v="EURO"/>
    <m/>
    <s v="Air_Travel_Euro"/>
    <s v="Σ.Ε. CO₂ eq"/>
    <n v="6.7813200000000002E-4"/>
    <s v="tn CO2 eq/ €"/>
    <s v="EPA 2022"/>
    <s v="-"/>
    <s v="-"/>
    <s v="-"/>
    <s v="-"/>
    <n v="24.923385396"/>
    <s v=""/>
    <n v="24.923385396"/>
  </r>
  <r>
    <s v="Scope 3"/>
    <s v="Category 6"/>
    <s v="Ελλάδα"/>
    <x v="0"/>
    <x v="0"/>
    <s v="HELECTOR &amp; Subsidiaries"/>
    <s v="Indirect GHG emissions from Business Travel"/>
    <s v="Indirect GHG emissions from Business Travel"/>
    <x v="33"/>
    <n v="27.370599999999953"/>
    <s v="tn CO2"/>
    <s v="Icao carbon calculator"/>
    <s v="CO₂ "/>
    <s v="CO₂"/>
    <n v="1"/>
    <n v="0"/>
    <n v="0"/>
    <n v="27.370599999999953"/>
    <s v="-"/>
    <s v="-"/>
    <s v="-"/>
    <s v="-"/>
    <s v=""/>
    <n v="27.370599999999953"/>
  </r>
  <r>
    <s v="Scope 3"/>
    <s v="Category 6"/>
    <s v="Ελλάδα"/>
    <x v="3"/>
    <x v="0"/>
    <s v="REDS"/>
    <s v="Indirect GHG emissions from Business Travel"/>
    <s v="Indirect GHG emissions from Business Travel"/>
    <x v="33"/>
    <n v="3.5040000000000009"/>
    <s v="tn CO2"/>
    <s v="Icao carbon calculator"/>
    <s v="CO₂ "/>
    <s v="CO₂"/>
    <n v="1"/>
    <n v="0"/>
    <n v="0"/>
    <n v="3.5040000000000009"/>
    <s v="-"/>
    <s v="-"/>
    <s v="-"/>
    <s v="-"/>
    <s v=""/>
    <n v="3.5040000000000009"/>
  </r>
  <r>
    <s v="Scope 3"/>
    <s v="Category 6"/>
    <s v="Ελλάδα"/>
    <x v="0"/>
    <x v="0"/>
    <s v="HELECTOR &amp; Subsidiaries"/>
    <s v="Indirect GHG emissions from Business Travel"/>
    <s v="Indirect GHG emissions from Business Travel"/>
    <x v="34"/>
    <n v="9765.0000000000036"/>
    <s v="passenger.km"/>
    <m/>
    <s v="Ship_Travel"/>
    <s v="Σ.Ε. CO₂ eq"/>
    <n v="1.3686000000000001E-4"/>
    <s v="t CO2 eq/passenger.km"/>
    <s v="DEFRA 2024"/>
    <s v="-"/>
    <s v="-"/>
    <s v="-"/>
    <s v="-"/>
    <n v="1.3364379000000006"/>
    <s v=""/>
    <n v="1.3364379000000006"/>
  </r>
  <r>
    <s v="Scope 3"/>
    <s v="Category 6"/>
    <s v="Ελλάδα"/>
    <x v="1"/>
    <x v="0"/>
    <s v="AKTOR CONCESSIONS"/>
    <s v="Indirect GHG emissions from Business Travel"/>
    <s v="Indirect GHG emissions from Business Travel"/>
    <x v="35"/>
    <n v="10295"/>
    <s v="km"/>
    <m/>
    <s v="Car_Travel"/>
    <s v="Σ.Ε. CO₂ eq"/>
    <n v="2.1049000000000003E-4"/>
    <s v="t CO2 eq/km"/>
    <s v="DEFRA 2024"/>
    <s v="-"/>
    <s v="-"/>
    <s v="-"/>
    <s v="-"/>
    <n v="2.1669945500000001"/>
    <s v=""/>
    <n v="2.1669945500000001"/>
  </r>
  <r>
    <s v="Scope 3"/>
    <s v="Category 6"/>
    <s v="Ελλάδα"/>
    <x v="0"/>
    <x v="0"/>
    <s v="HELECTOR &amp; Subsidiaries"/>
    <s v="Indirect GHG emissions from Business Travel"/>
    <s v="Indirect GHG emissions from Business Travel"/>
    <x v="35"/>
    <n v="4198.18"/>
    <s v="EURO"/>
    <m/>
    <s v="Car_Travel_Euro"/>
    <s v="Σ.Ε. CO₂ eq"/>
    <n v="1.1582999999999999E-4"/>
    <s v="tn CO2 eq/ €"/>
    <s v="EPA 2022"/>
    <s v="-"/>
    <s v="-"/>
    <s v="-"/>
    <s v="-"/>
    <n v="0.48627518940000003"/>
    <s v=""/>
    <n v="0.48627518940000003"/>
  </r>
  <r>
    <s v="Scope 3"/>
    <s v="Category 6"/>
    <s v="Ελλάδα"/>
    <x v="1"/>
    <x v="0"/>
    <s v="AKTOR CONCESSIONS"/>
    <s v="Indirect GHG emissions from Business Travel"/>
    <s v="Indirect GHG emissions from Business Travel"/>
    <x v="36"/>
    <n v="2.8411000000000004"/>
    <s v="tn eCO2"/>
    <s v="HotelFootprint"/>
    <s v="CO₂ eq"/>
    <s v="CO₂ eq"/>
    <n v="1"/>
    <n v="0"/>
    <n v="0"/>
    <s v="-"/>
    <s v="-"/>
    <s v="-"/>
    <s v="-"/>
    <n v="2.8411000000000004"/>
    <s v=""/>
    <n v="2.8411000000000004"/>
  </r>
  <r>
    <s v="Scope 3"/>
    <s v="Category 6"/>
    <s v="Ελλάδα"/>
    <x v="1"/>
    <x v="12"/>
    <s v="AO"/>
    <s v="Indirect GHG emissions from Business Travel"/>
    <s v="Indirect GHG emissions from Business Travel"/>
    <x v="36"/>
    <n v="7.6782000000000017E-2"/>
    <s v="tn eCO2"/>
    <s v="HotelFootprint"/>
    <s v="CO₂ eq"/>
    <s v="CO₂ eq"/>
    <n v="1"/>
    <n v="0"/>
    <n v="0"/>
    <s v="-"/>
    <s v="-"/>
    <s v="-"/>
    <s v="-"/>
    <n v="7.6782000000000017E-2"/>
    <s v=""/>
    <n v="7.6782000000000017E-2"/>
  </r>
  <r>
    <s v="Scope 3"/>
    <s v="Category 6"/>
    <s v="Ελλάδα"/>
    <x v="0"/>
    <x v="0"/>
    <s v="HELECTOR &amp; Subsidiaries"/>
    <s v="Indirect GHG emissions from Business Travel"/>
    <s v="Indirect GHG emissions from Business Travel"/>
    <x v="36"/>
    <n v="9.2881290000000032"/>
    <s v="tn eCO2"/>
    <s v="HotelFootprint"/>
    <s v="CO₂ eq"/>
    <s v="CO₂ eq"/>
    <n v="1"/>
    <n v="0"/>
    <n v="0"/>
    <s v="-"/>
    <s v="-"/>
    <s v="-"/>
    <s v="-"/>
    <n v="9.2881290000000032"/>
    <s v=""/>
    <n v="9.2881290000000032"/>
  </r>
  <r>
    <s v="Scope 3"/>
    <s v="Category 6"/>
    <s v="Ελλάδα"/>
    <x v="3"/>
    <x v="0"/>
    <s v="REDS"/>
    <s v="Indirect GHG emissions from Business Travel"/>
    <s v="Indirect GHG emissions from Business Travel"/>
    <x v="36"/>
    <n v="0.86096799999999984"/>
    <s v="tn eCO2"/>
    <s v="HotelFootprint"/>
    <s v="CO₂ eq"/>
    <s v="CO₂ eq"/>
    <n v="1"/>
    <n v="0"/>
    <n v="0"/>
    <s v="-"/>
    <s v="-"/>
    <s v="-"/>
    <s v="-"/>
    <n v="0.86096799999999984"/>
    <s v=""/>
    <n v="0.86096799999999984"/>
  </r>
  <r>
    <s v="Scope 3"/>
    <s v="Category 7"/>
    <s v="Ελλάδα"/>
    <x v="1"/>
    <x v="2"/>
    <s v="AD"/>
    <s v="Indirect GHG emissions from Employee Commuting"/>
    <s v="Indirect GHG emissions from Employee Commuting"/>
    <x v="37"/>
    <n v="89.6387878580164"/>
    <s v="tn eCO2"/>
    <s v="Survey"/>
    <s v="CO₂ eq"/>
    <s v="CO₂ eq"/>
    <n v="1"/>
    <n v="0"/>
    <n v="0"/>
    <s v="-"/>
    <s v="-"/>
    <s v="-"/>
    <s v="-"/>
    <n v="89.6387878580164"/>
    <s v=""/>
    <n v="89.6387878580164"/>
  </r>
  <r>
    <s v="Scope 3"/>
    <s v="Category 7"/>
    <s v="Ελλάδα"/>
    <x v="1"/>
    <x v="0"/>
    <s v="AKTOR CONCESSIONS"/>
    <s v="Indirect GHG emissions from Employee Commuting"/>
    <s v="Indirect GHG emissions from Employee Commuting"/>
    <x v="37"/>
    <n v="65.383586437611967"/>
    <s v="tn eCO2"/>
    <s v="Survey"/>
    <s v="CO₂ eq"/>
    <s v="CO₂ eq"/>
    <n v="1"/>
    <n v="0"/>
    <n v="0"/>
    <s v="-"/>
    <s v="-"/>
    <s v="-"/>
    <s v="-"/>
    <n v="65.383586437611967"/>
    <s v=""/>
    <n v="65.383586437611967"/>
  </r>
  <r>
    <s v="Scope 3"/>
    <s v="Category 7"/>
    <s v="Ελλάδα"/>
    <x v="1"/>
    <x v="12"/>
    <s v="AO"/>
    <s v="Indirect GHG emissions from Employee Commuting"/>
    <s v="Indirect GHG emissions from Employee Commuting"/>
    <x v="37"/>
    <n v="25.309775395204632"/>
    <s v="tn eCO2"/>
    <s v="Survey"/>
    <s v="CO₂ eq"/>
    <s v="CO₂ eq"/>
    <n v="1"/>
    <n v="0"/>
    <n v="0"/>
    <s v="-"/>
    <s v="-"/>
    <s v="-"/>
    <s v="-"/>
    <n v="25.309775395204632"/>
    <s v=""/>
    <n v="25.309775395204632"/>
  </r>
  <r>
    <s v="Scope 3"/>
    <s v="Category 7"/>
    <s v="Ελλάδα"/>
    <x v="2"/>
    <x v="0"/>
    <s v="ELLAKTOR S.A."/>
    <s v="Indirect GHG emissions from Employee Commuting"/>
    <s v="Indirect GHG emissions from Employee Commuting"/>
    <x v="37"/>
    <n v="72.765604261213312"/>
    <s v="tn eCO2"/>
    <s v="Survey"/>
    <s v="CO₂ eq"/>
    <s v="CO₂ eq"/>
    <n v="1"/>
    <n v="0"/>
    <n v="0"/>
    <s v="-"/>
    <s v="-"/>
    <s v="-"/>
    <s v="-"/>
    <n v="72.765604261213312"/>
    <s v=""/>
    <n v="72.765604261213312"/>
  </r>
  <r>
    <s v="Scope 3"/>
    <s v="Category 7"/>
    <s v="Ελλάδα"/>
    <x v="0"/>
    <x v="0"/>
    <s v="HELECTOR &amp; Subsidiaries"/>
    <s v="Indirect GHG emissions from Employee Commuting"/>
    <s v="Indirect GHG emissions from Employee Commuting"/>
    <x v="37"/>
    <n v="972.31720476577789"/>
    <s v="tn eCO2"/>
    <s v="Survey"/>
    <s v="CO₂ eq"/>
    <s v="CO₂ eq"/>
    <n v="1"/>
    <n v="0"/>
    <n v="0"/>
    <s v="-"/>
    <s v="-"/>
    <s v="-"/>
    <s v="-"/>
    <n v="972.31720476577789"/>
    <s v=""/>
    <n v="972.31720476577789"/>
  </r>
  <r>
    <s v="Scope 3"/>
    <s v="Category 7"/>
    <s v="Ελλάδα"/>
    <x v="1"/>
    <x v="3"/>
    <s v="MOREAS"/>
    <s v="Indirect GHG emissions from Employee Commuting"/>
    <s v="Indirect GHG emissions from Employee Commuting"/>
    <x v="37"/>
    <n v="317.42676641485809"/>
    <s v="tn eCO2"/>
    <s v="Survey"/>
    <s v="CO₂ eq"/>
    <s v="CO₂ eq"/>
    <n v="1"/>
    <n v="0"/>
    <n v="0"/>
    <s v="-"/>
    <s v="-"/>
    <s v="-"/>
    <s v="-"/>
    <n v="317.42676641485809"/>
    <s v=""/>
    <n v="317.42676641485809"/>
  </r>
  <r>
    <s v="Scope 3"/>
    <s v="Category 7"/>
    <s v="Ελλάδα"/>
    <x v="3"/>
    <x v="0"/>
    <s v="REDS"/>
    <s v="Indirect GHG emissions from Employee Commuting"/>
    <s v="Indirect GHG emissions from Employee Commuting"/>
    <x v="37"/>
    <n v="78.038474135214287"/>
    <s v="tn eCO2"/>
    <s v="Survey"/>
    <s v="CO₂ eq"/>
    <s v="CO₂ eq"/>
    <n v="1"/>
    <n v="0"/>
    <n v="0"/>
    <s v="-"/>
    <s v="-"/>
    <s v="-"/>
    <s v="-"/>
    <n v="78.038474135214287"/>
    <s v=""/>
    <n v="78.038474135214287"/>
  </r>
  <r>
    <s v="Scope 3"/>
    <s v="Category 13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CO2"/>
    <s v="Σ.Ε. CO2 - Χώρας"/>
    <n v="2.5244139999999998E-4"/>
    <s v="tn CO2/KWh"/>
    <s v="ΔΑΠΕΕΠ 2024"/>
    <n v="345.08312754034"/>
    <s v="-"/>
    <s v="-"/>
    <s v="-"/>
    <s v="-"/>
    <s v=""/>
    <n v="345.08312754034"/>
  </r>
  <r>
    <s v="Scope 3"/>
    <s v="Category 13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CH4"/>
    <s v="Σ.Ε. CH4 - Χώρας"/>
    <n v="6.3220000000000003E-9"/>
    <s v="tn CH4/KWh"/>
    <s v="Έκθεση ΔΑΠΕΕΠ 2022 και NIR 2022"/>
    <s v="-"/>
    <n v="8.6420671582000015E-3"/>
    <s v="-"/>
    <s v="-"/>
    <s v="-"/>
    <s v=""/>
    <n v="0.24197788042960006"/>
  </r>
  <r>
    <s v="Scope 3"/>
    <s v="Category 13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N2O"/>
    <s v="Σ.Ε. N2O - Χώρας"/>
    <n v="2.6031000000000002E-9"/>
    <s v="tn N2O/kWh"/>
    <s v="Έκθεση ΔΑΠΕΕΠ 2022 και NIR 2022"/>
    <s v="-"/>
    <s v="-"/>
    <n v="3.5583937076100005E-3"/>
    <s v="-"/>
    <s v="-"/>
    <s v=""/>
    <n v="0.94297433251665008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CO2"/>
    <s v="Σ.Ε. CO2 - Χώρας"/>
    <n v="2.5244139999999998E-4"/>
    <s v="tn CO2/KWh"/>
    <s v="ΔΑΠΕΕΠ 2024"/>
    <n v="797.98467880777196"/>
    <s v="-"/>
    <s v="-"/>
    <s v="-"/>
    <s v="-"/>
    <s v=""/>
    <n v="797.98467880777196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CH4"/>
    <s v="Σ.Ε. CH4 - Χώρας"/>
    <n v="6.3220000000000003E-9"/>
    <s v="tn CH4/KWh"/>
    <s v="Έκθεση ΔΑΠΕΕΠ 2022 και NIR 2022"/>
    <s v="-"/>
    <n v="1.998427809156E-2"/>
    <s v="-"/>
    <s v="-"/>
    <s v="-"/>
    <s v=""/>
    <n v="0.55955978656368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N2O"/>
    <s v="Σ.Ε. N2O - Χώρας"/>
    <n v="2.6031000000000002E-9"/>
    <s v="tn N2O/kWh"/>
    <s v="Έκθεση ΔΑΠΕΕΠ 2022 και NIR 2022"/>
    <s v="-"/>
    <s v="-"/>
    <n v="8.2285786618380014E-3"/>
    <s v="-"/>
    <s v="-"/>
    <s v=""/>
    <n v="2.1805733453870704"/>
  </r>
  <r>
    <s v="Scope 3"/>
    <s v="Category 13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CO2"/>
    <s v="Σ.Ε. CO2 - Χώρας"/>
    <n v="2.5244139999999998E-4"/>
    <s v="tn CO2/KWh"/>
    <s v="ΔΑΠΕΕΠ 2024"/>
    <n v="123.10834997939999"/>
    <s v="-"/>
    <s v="-"/>
    <s v="-"/>
    <s v="-"/>
    <s v=""/>
    <n v="123.10834997939999"/>
  </r>
  <r>
    <s v="Scope 3"/>
    <s v="Category 13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CH4"/>
    <s v="Σ.Ε. CH4 - Χώρας"/>
    <n v="6.3220000000000003E-9"/>
    <s v="tn CH4/KWh"/>
    <s v="Έκθεση ΔΑΠΕΕΠ 2022 και NIR 2022"/>
    <s v="-"/>
    <n v="3.083056062E-3"/>
    <s v="-"/>
    <s v="-"/>
    <s v="-"/>
    <s v=""/>
    <n v="8.6325569736000002E-2"/>
  </r>
  <r>
    <s v="Scope 3"/>
    <s v="Category 13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N2O"/>
    <s v="Σ.Ε. N2O - Χώρας"/>
    <n v="2.6031000000000002E-9"/>
    <s v="tn N2O/kWh"/>
    <s v="Έκθεση ΔΑΠΕΕΠ 2022 και NIR 2022"/>
    <s v="-"/>
    <s v="-"/>
    <n v="1.2694563801000001E-3"/>
    <s v="-"/>
    <s v="-"/>
    <s v=""/>
    <n v="0.33640594072650004"/>
  </r>
  <r>
    <s v="Scope 3"/>
    <s v="Category 13"/>
    <s v="Ελλάδα"/>
    <x v="1"/>
    <x v="12"/>
    <s v="AO"/>
    <s v="Indirect GHG emissions from Downsream leased assets"/>
    <s v="Indirect GHG emissions from Downsream leased assets"/>
    <x v="38"/>
    <n v="5347482"/>
    <s v="kWh"/>
    <m/>
    <s v=" Electricity GR_CO2"/>
    <s v="Σ.Ε. CO2 - Χώρας"/>
    <n v="2.5244139999999998E-4"/>
    <s v="tn CO2/KWh"/>
    <s v="ΔΑΠΕΕΠ 2024"/>
    <n v="1349.9258425547998"/>
    <s v="-"/>
    <s v="-"/>
    <s v="-"/>
    <s v="-"/>
    <s v=""/>
    <n v="1349.9258425547998"/>
  </r>
  <r>
    <s v="Scope 3"/>
    <s v="Category 13"/>
    <s v="Ελλάδα"/>
    <x v="1"/>
    <x v="12"/>
    <s v="AO"/>
    <s v="Indirect GHG emissions from Downsream leased assets"/>
    <s v="Indirect GHG emissions from Downsream leased assets"/>
    <x v="38"/>
    <n v="24964867"/>
    <s v="kWh"/>
    <m/>
    <s v=" Electricity GR_CH4"/>
    <s v="Σ.Ε. CH4 - Χώρας"/>
    <n v="6.3220000000000003E-9"/>
    <s v="tn CH4/KWh"/>
    <s v="Έκθεση ΔΑΠΕΕΠ 2022 και NIR 2022"/>
    <s v="-"/>
    <n v="0.15782788917400001"/>
    <s v="-"/>
    <s v="-"/>
    <s v="-"/>
    <s v=""/>
    <n v="4.4191808968720006"/>
  </r>
  <r>
    <s v="Scope 3"/>
    <s v="Category 13"/>
    <s v="Ελλάδα"/>
    <x v="1"/>
    <x v="12"/>
    <s v="AO"/>
    <s v="Indirect GHG emissions from Downsream leased assets"/>
    <s v="Indirect GHG emissions from Downsream leased assets"/>
    <x v="38"/>
    <n v="24964867"/>
    <s v="kWh"/>
    <m/>
    <s v=" Electricity GR_N2O"/>
    <s v="Σ.Ε. N2O - Χώρας"/>
    <n v="2.6031000000000002E-9"/>
    <s v="tn N2O/kWh"/>
    <s v="Έκθεση ΔΑΠΕΕΠ 2022 και NIR 2022"/>
    <s v="-"/>
    <s v="-"/>
    <n v="6.4986045287700009E-2"/>
    <s v="-"/>
    <s v="-"/>
    <s v=""/>
    <n v="17.221302001240502"/>
  </r>
  <r>
    <s v="Scope 3"/>
    <s v="Category 13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CO2_Diesel_lt"/>
    <s v="Σ.Ε. CO₂ m."/>
    <n v="2.7370491168929394E-3"/>
    <s v="tn CO2/lt"/>
    <s v="Greece. National Inventory Submissions 2024"/>
    <n v="1.3685245584464698"/>
    <s v="-"/>
    <s v="-"/>
    <s v="-"/>
    <s v="-"/>
    <s v=""/>
    <n v="1.3685245584464698"/>
  </r>
  <r>
    <s v="Scope 3"/>
    <s v="Category 13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CH4_diesel_lt"/>
    <s v="Σ.Ε. CH₄ m."/>
    <n v="1.0689300000000002E-7"/>
    <s v="tn CH₄/lt"/>
    <s v="Greece. National Inventory Submissions 2024"/>
    <s v="-"/>
    <n v="5.3446500000000011E-5"/>
    <s v="-"/>
    <s v="-"/>
    <s v="-"/>
    <s v=""/>
    <n v="1.4965020000000002E-3"/>
  </r>
  <r>
    <s v="Scope 3"/>
    <s v="Category 13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N2O_diesel_lt"/>
    <s v="Σ.Ε. N2O m."/>
    <n v="2.1378600000000001E-8"/>
    <s v="tn N2O/lt"/>
    <s v="Greece. National Inventory Submissions 2024"/>
    <s v="-"/>
    <s v="-"/>
    <n v="1.0689299999999999E-5"/>
    <s v="-"/>
    <s v="-"/>
    <s v=""/>
    <n v="2.8326644999999997E-3"/>
  </r>
  <r>
    <s v="Scope 3"/>
    <s v="Category 13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CO2_lt"/>
    <s v="Σ.Ε. CO₂ st."/>
    <n v="2.6288551800000004E-3"/>
    <s v="tn CO2/lt"/>
    <s v="Greece. National Inventory Submissions 2024"/>
    <n v="13.144275900000002"/>
    <s v="-"/>
    <s v="-"/>
    <s v="-"/>
    <s v="-"/>
    <s v=""/>
    <n v="13.144275900000002"/>
  </r>
  <r>
    <s v="Scope 3"/>
    <s v="Category 13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CH4_lt"/>
    <s v="Σ.Ε. CH₄ st."/>
    <n v="2.6069673432920342E-8"/>
    <s v="tn CH4/lt"/>
    <s v="Greece. National Inventory Submissions 2024"/>
    <s v="-"/>
    <n v="1.3034836716460172E-4"/>
    <s v="-"/>
    <s v="-"/>
    <s v="-"/>
    <s v=""/>
    <n v="3.6497542806088481E-3"/>
  </r>
  <r>
    <s v="Scope 3"/>
    <s v="Category 13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N2O_lt"/>
    <s v="Σ.Ε. N2O st."/>
    <n v="6.7698900000000009E-9"/>
    <s v="tn N2O/lt"/>
    <s v="Greece. National Inventory Submissions 2024"/>
    <s v="-"/>
    <s v="-"/>
    <n v="3.3849450000000005E-5"/>
    <s v="-"/>
    <s v="-"/>
    <s v=""/>
    <n v="8.9701042500000012E-3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CO2_Diesel_lt"/>
    <s v="Σ.Ε. CO₂ m."/>
    <n v="2.7370491168929394E-3"/>
    <s v="tn CO2/lt"/>
    <s v="Greece. National Inventory Submissions 2024"/>
    <n v="4.4011749799638462"/>
    <s v="-"/>
    <s v="-"/>
    <s v="-"/>
    <s v="-"/>
    <s v=""/>
    <n v="4.4011749799638462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CH4_diesel_lt"/>
    <s v="Σ.Ε. CH₄ m."/>
    <n v="1.0689300000000002E-7"/>
    <s v="tn CH₄/lt"/>
    <s v="Greece. National Inventory Submissions 2024"/>
    <s v="-"/>
    <n v="1.7188394400000003E-4"/>
    <s v="-"/>
    <s v="-"/>
    <s v="-"/>
    <s v=""/>
    <n v="4.8127504320000011E-3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N2O_diesel_lt"/>
    <s v="Σ.Ε. N2O m."/>
    <n v="2.1378600000000001E-8"/>
    <s v="tn N2O/lt"/>
    <s v="Greece. National Inventory Submissions 2024"/>
    <s v="-"/>
    <s v="-"/>
    <n v="3.4376788799999999E-5"/>
    <s v="-"/>
    <s v="-"/>
    <s v=""/>
    <n v="9.1098490319999996E-3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CO2_lt"/>
    <s v="Σ.Ε. CO₂ st."/>
    <n v="2.6288551800000004E-3"/>
    <s v="tn CO2/lt"/>
    <s v="Greece. National Inventory Submissions 2024"/>
    <n v="53.128637416764008"/>
    <s v="-"/>
    <s v="-"/>
    <s v="-"/>
    <s v="-"/>
    <s v=""/>
    <n v="53.128637416764008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CH4_lt"/>
    <s v="Σ.Ε. CH₄ st."/>
    <n v="2.6069673432920342E-8"/>
    <s v="tn CH4/lt"/>
    <s v="Greece. National Inventory Submissions 2024"/>
    <s v="-"/>
    <n v="5.2686288614463349E-4"/>
    <s v="-"/>
    <s v="-"/>
    <s v="-"/>
    <s v=""/>
    <n v="1.4752160812049737E-2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N2O_lt"/>
    <s v="Σ.Ε. N2O st."/>
    <n v="6.7698900000000009E-9"/>
    <s v="tn N2O/lt"/>
    <s v="Greece. National Inventory Submissions 2024"/>
    <s v="-"/>
    <s v="-"/>
    <n v="1.36818122922E-4"/>
    <s v="-"/>
    <s v="-"/>
    <s v=""/>
    <n v="3.6256802574329998E-2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CO2_kg"/>
    <s v="Σ.Ε. CO₂ m."/>
    <n v="3.0234163099848825E-3"/>
    <s v="tn CO2/kg"/>
    <s v="Greece. National Inventory Submissions 2024"/>
    <n v="203.40033225423298"/>
    <s v="-"/>
    <s v="-"/>
    <s v="-"/>
    <s v="-"/>
    <s v=""/>
    <n v="203.40033225423298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CH4_kg"/>
    <s v="Σ.Ε. CH₄ m."/>
    <n v="4.0348812857761131E-7"/>
    <s v="tn CH4/kg"/>
    <s v="Greece. National Inventory Submissions 2024"/>
    <s v="-"/>
    <n v="2.7144663850058801E-2"/>
    <s v="-"/>
    <s v="-"/>
    <s v="-"/>
    <s v=""/>
    <n v="0.76005058780164636"/>
  </r>
  <r>
    <s v="Scope 3"/>
    <s v="Category 13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N2O_kg"/>
    <s v="Σ.Ε. N2O m."/>
    <n v="7.8783876397673207E-8"/>
    <s v="tn N2O/kg"/>
    <s v="Greece. National Inventory Submissions 2024"/>
    <s v="-"/>
    <s v="-"/>
    <n v="5.3001852846534647E-3"/>
    <s v="-"/>
    <s v="-"/>
    <s v=""/>
    <n v="1.4045491004331681"/>
  </r>
  <r>
    <s v="Scope 3"/>
    <s v="Category 15"/>
    <s v="Ελλάδα"/>
    <x v="1"/>
    <x v="0"/>
    <s v="AKTOR CONCESSIONS"/>
    <s v="Indirect GHG emissions from Investments"/>
    <s v="Indirect GHG emissions from Investments"/>
    <x v="39"/>
    <n v="5908201.6749869799"/>
    <m/>
    <s v="ΘΕΡΜΑΪΚΗ ΟΔΟΣ ΑΕ ΠΑΡΑΧΩΡΗΣΗ "/>
    <s v="Investments_bridge"/>
    <s v="Σ.Ε. CO₂ eq"/>
    <n v="3.3249149999999998E-4"/>
    <s v="tn CO2 eq/ €"/>
    <s v="EPA 2019"/>
    <s v="-"/>
    <s v="-"/>
    <s v="-"/>
    <s v="-"/>
    <n v="1964.4268372189333"/>
    <s v=""/>
    <n v="1964.4268372189333"/>
  </r>
  <r>
    <s v="Scope 3"/>
    <s v="Category 15"/>
    <s v="Ελλάδα"/>
    <x v="1"/>
    <x v="0"/>
    <s v="AKTOR CONCESSIONS"/>
    <s v="Indirect GHG emissions from Investments"/>
    <s v="Indirect GHG emissions from Investments"/>
    <x v="39"/>
    <n v="5415386.0681591704"/>
    <s v="EURO"/>
    <s v="ΓΕΦΥΡΑ ΑΕ "/>
    <s v="Investments_bridge"/>
    <s v="Σ.Ε. CO₂ eq"/>
    <n v="3.3249149999999998E-4"/>
    <s v="tn CO2 eq/ €"/>
    <s v="EPA 2019"/>
    <s v="-"/>
    <s v="-"/>
    <s v="-"/>
    <s v="-"/>
    <n v="1800.5698368813446"/>
    <s v=""/>
    <n v="1800.5698368813446"/>
  </r>
  <r>
    <s v="Scope 3"/>
    <s v="Category 15"/>
    <s v="Ελλάδα"/>
    <x v="1"/>
    <x v="0"/>
    <s v="AKTOR CONCESSIONS"/>
    <s v="Indirect GHG emissions from Investments"/>
    <s v="Indirect GHG emissions from Investments"/>
    <x v="39"/>
    <n v="374823.74518869049"/>
    <s v="EURO"/>
    <s v="ΑΘΗΝΑΪΚΟΙ ΣΤΑΘΜΟΙ ΑΥΤΟΚΙΝΗΤΩΝ ΑΕ"/>
    <s v="Investments_parking lots"/>
    <s v="Σ.Ε. CO₂ eq"/>
    <n v="1.108305E-4"/>
    <s v="tn CO2 eq/ €"/>
    <s v="EPA 2019"/>
    <s v="-"/>
    <s v="-"/>
    <s v="-"/>
    <s v="-"/>
    <n v="41.541903091135161"/>
    <s v=""/>
    <n v="41.541903091135161"/>
  </r>
  <r>
    <s v="Scope 3"/>
    <s v="Category 15"/>
    <s v="Ελλάδα"/>
    <x v="1"/>
    <x v="0"/>
    <s v="AKTOR CONCESSIONS"/>
    <s v="Indirect GHG emissions from Investments"/>
    <s v="Indirect GHG emissions from Investments"/>
    <x v="39"/>
    <n v="286671.50667133857"/>
    <s v="EURO"/>
    <s v="ΓΕΦΥΡΑ ΛΕΙΤΟΥΡΓΙΑ ΑΕ"/>
    <s v="Investments_bridge"/>
    <s v="Σ.Ε. CO₂ eq"/>
    <n v="3.3249149999999998E-4"/>
    <s v="tn CO2 eq/ €"/>
    <s v="EPA 2019"/>
    <s v="-"/>
    <s v="-"/>
    <s v="-"/>
    <s v="-"/>
    <n v="95.31583926041337"/>
    <s v=""/>
    <n v="95.31583926041337"/>
  </r>
  <r>
    <s v="Scope 3"/>
    <s v="Category 15"/>
    <s v="Ελλάδα"/>
    <x v="1"/>
    <x v="0"/>
    <s v="AKTOR CONCESSIONS"/>
    <s v="Indirect GHG emissions from Investments"/>
    <s v="Indirect GHG emissions from Investments"/>
    <x v="39"/>
    <n v="653933.81238712219"/>
    <s v="EURO"/>
    <s v="POLISPARK AE"/>
    <s v="Investments_parking lots"/>
    <s v="Σ.Ε. CO₂ eq"/>
    <n v="1.108305E-4"/>
    <s v="tn CO2 eq/ €"/>
    <s v="EPA 2019"/>
    <s v="-"/>
    <s v="-"/>
    <s v="-"/>
    <s v="-"/>
    <n v="72.475811393770954"/>
    <s v=""/>
    <n v="72.475811393770954"/>
  </r>
  <r>
    <s v="Scope 3"/>
    <s v="Category 15"/>
    <s v="Ελλάδα"/>
    <x v="1"/>
    <x v="0"/>
    <s v="AKTOR CONCESSIONS"/>
    <s v="Indirect GHG emissions from Investments"/>
    <s v="Indirect GHG emissions from Investments"/>
    <x v="39"/>
    <n v="70389.165860000008"/>
    <s v="EURO"/>
    <s v="SALONICA PARK ΑΕ"/>
    <s v="Investments_parking lots"/>
    <s v="Σ.Ε. CO₂ eq"/>
    <n v="1.108305E-4"/>
    <s v="tn CO2 eq/ €"/>
    <s v="EPA 2019"/>
    <s v="-"/>
    <s v="-"/>
    <s v="-"/>
    <s v="-"/>
    <n v="7.8012664468467312"/>
    <s v=""/>
    <n v="7.8012664468467312"/>
  </r>
  <r>
    <s v="Scope 3"/>
    <s v="Category 15"/>
    <s v="Ελλάδα"/>
    <x v="1"/>
    <x v="0"/>
    <s v="AKTOR CONCESSIONS"/>
    <s v="Indirect GHG emissions from Investments"/>
    <s v="Indirect GHG emissions from Investments"/>
    <x v="39"/>
    <n v="182829.652"/>
    <s v="EURO"/>
    <s v="ΠΑΣΙΦΑΗ ΟΔΟΣ ΑΕ"/>
    <s v="Investments_bridge"/>
    <s v="Σ.Ε. CO₂ eq"/>
    <n v="3.3249149999999998E-4"/>
    <s v="tn CO2 eq/ €"/>
    <s v="EPA 2019"/>
    <s v="-"/>
    <s v="-"/>
    <s v="-"/>
    <s v="-"/>
    <n v="60.789305237957997"/>
    <s v=""/>
    <n v="60.789305237957997"/>
  </r>
  <r>
    <s v="Scope 3"/>
    <s v="Category 15"/>
    <s v="Ελλάδα"/>
    <x v="1"/>
    <x v="0"/>
    <s v="AKTOR CONCESSIONS"/>
    <s v="Indirect GHG emissions from Investments"/>
    <s v="Indirect GHG emissions from Investments"/>
    <x v="39"/>
    <n v="0.222222"/>
    <s v="Percentage"/>
    <s v="ΑΥΤΟΚΙΝΗΤΟΔΡΟΜΟΣ ΑΙΓΑΙΟΥ ΑΕ"/>
    <s v="Investments_report"/>
    <s v="Σ.Ε. CO₂ eq"/>
    <n v="10926.4"/>
    <s v="tn CO2 eq/ %"/>
    <s v="https://www.aegeanmotorway.gr/wp-content/uploads/2024/07/%CE%94%CE%A013.40_%CE%9515A-Verification-Statement_ISO14064_GHG_GR_AMSA-2023.pdf"/>
    <s v="-"/>
    <s v="-"/>
    <s v="-"/>
    <s v="-"/>
    <n v="2428.0864608000002"/>
    <s v=""/>
    <n v="2428.0864608000002"/>
  </r>
  <r>
    <s v="Scope 3"/>
    <s v="Category 15"/>
    <s v="Ελλάδα"/>
    <x v="0"/>
    <x v="0"/>
    <s v="HELECTOR &amp; Subsidiaries"/>
    <s v="Indirect GHG emissions from Investments"/>
    <s v="Indirect GHG emissions from Investments"/>
    <x v="39"/>
    <n v="314398.38500000001"/>
    <s v="EURO"/>
    <s v="ΗΛΕΚΤΩΡ ΑΕ ΜΕΣΟΓΕΙΟΣ ΑΕ -ΚΞ ΜΕΤΑΒΑΤΙΚΗΣ ΔΙΑΧ ΟΡΓ.ΑΠΟΒΛ.ΠΚΜ ΗΛΕΚΤΩΡ ΑΕ ΜΕΣΟΓΕΙΟΣ ΑΕ"/>
    <s v="Investments_waste collection"/>
    <s v="Σ.Ε. CO₂ eq"/>
    <n v="1.6477244000000003E-3"/>
    <s v="tn CO2 eq/ €"/>
    <s v="BEIS 2020"/>
    <s v="-"/>
    <s v="-"/>
    <s v="-"/>
    <s v="-"/>
    <n v="518.04189028509415"/>
    <s v=""/>
    <n v="518.04189028509415"/>
  </r>
  <r>
    <s v="Scope 3"/>
    <s v="Category 15"/>
    <s v="Ελλάδα"/>
    <x v="0"/>
    <x v="0"/>
    <s v="HELECTOR &amp; Subsidiaries"/>
    <s v="Indirect GHG emissions from Investments"/>
    <s v="Indirect GHG emissions from Investments"/>
    <x v="39"/>
    <n v="257972.97"/>
    <s v="EURO"/>
    <s v="ΗΛΕΚΤΩΡ ΑΕ ΜΕΣΟΓΕΙΟΣ ΑΕ -ΛΕΙΤ ΕΓΚΑΤ ΕΠΕΞ ΛΥΜΑΤΩΝ ΕΕΛ ΑΙΝΕΙΑ ΚΑΙ ΤΩΝ ΑΝΤΛΙΟΣΤΑΣΙΩΝ ΤΟΥΡΙΣΤΙΚΩΝ ΠΕΡΙΟΧΩΝ ΘΕΣΣΑΛΟΝΙΚΗΣ"/>
    <s v="Investments_waste collection"/>
    <s v="Σ.Ε. CO₂ eq"/>
    <n v="1.6477244000000003E-3"/>
    <s v="tn CO2 eq/ €"/>
    <s v="BEIS 2020"/>
    <s v="-"/>
    <s v="-"/>
    <s v="-"/>
    <s v="-"/>
    <n v="425.0683572094681"/>
    <s v=""/>
    <n v="425.0683572094681"/>
  </r>
  <r>
    <s v="Scope 3"/>
    <s v="Category 15"/>
    <s v="Ελλάδα"/>
    <x v="0"/>
    <x v="0"/>
    <s v="HELECTOR &amp; Subsidiaries"/>
    <s v="Indirect GHG emissions from Investments"/>
    <s v="Indirect GHG emissions from Investments"/>
    <x v="39"/>
    <n v="195132.198"/>
    <s v="EURO"/>
    <s v="Κ/ΞΙΑ ΔΕΤΕΑΛΑ -ΗΛΕΚΤΩΡ-ΕDL MON. ΕΠΕ-ΕΚΜΕΤΑΛΛΕΥΣΗ ΒΙΟΑΕΡΙΟΥ"/>
    <s v="Investments_biogas"/>
    <s v="Σ.Ε. CO₂ eq"/>
    <n v="2.8210000000000003E-4"/>
    <s v="tn CO2 eq/ €"/>
    <s v="EXIOBASE 2019 - GR"/>
    <s v="-"/>
    <s v="-"/>
    <s v="-"/>
    <s v="-"/>
    <n v="55.046793055800009"/>
    <s v=""/>
    <n v="55.046793055800009"/>
  </r>
  <r>
    <s v="Scope 3"/>
    <s v="Category 15"/>
    <s v="Ελλάδα"/>
    <x v="0"/>
    <x v="0"/>
    <s v="HELECTOR &amp; Subsidiaries"/>
    <s v="Indirect GHG emissions from Investments"/>
    <s v="Indirect GHG emissions from Investments"/>
    <x v="39"/>
    <n v="182332.9"/>
    <s v="EURO"/>
    <s v="ΚΞ ΗΛΕΚΤΩΡ ΑΕ ΜΗΧ ΠΕΡ ΑΕ-ΛΕΙΤΟΥΡΓΙΑ ΧΥΤΑ ΑΡΝΑΙΑΣ"/>
    <s v="Investments_waste collection"/>
    <s v="Σ.Ε. CO₂ eq"/>
    <n v="1.6477244000000003E-3"/>
    <s v="tn CO2 eq/ €"/>
    <s v="BEIS 2020"/>
    <s v="-"/>
    <s v="-"/>
    <s v="-"/>
    <s v="-"/>
    <n v="300.43436825276007"/>
    <s v=""/>
    <n v="300.43436825276007"/>
  </r>
  <r>
    <s v="Scope 3"/>
    <s v="Category 15"/>
    <s v="Ελλάδα"/>
    <x v="0"/>
    <x v="0"/>
    <s v="HELECTOR &amp; Subsidiaries"/>
    <s v="Indirect GHG emissions from Investments"/>
    <s v="Indirect GHG emissions from Investments"/>
    <x v="39"/>
    <n v="2152.8737999999998"/>
    <s v="EURO"/>
    <s v="Κ/Ξ ΚΩΝ/ΝΙΔΗΣ - ΗΛΕΚΤΩΡ-"/>
    <s v="Investments_waste collection"/>
    <s v="Σ.Ε. CO₂ eq"/>
    <n v="1.6477244000000003E-3"/>
    <s v="tn CO2 eq/ €"/>
    <s v="BEIS 2020"/>
    <s v="-"/>
    <s v="-"/>
    <s v="-"/>
    <s v="-"/>
    <n v="3.5473426903807201"/>
    <s v=""/>
    <n v="3.5473426903807201"/>
  </r>
  <r>
    <s v="Scope 3"/>
    <s v="Category 15"/>
    <s v="Ελλάδα"/>
    <x v="0"/>
    <x v="0"/>
    <s v="HELECTOR &amp; Subsidiaries"/>
    <s v="Indirect GHG emissions from Investments"/>
    <s v="Indirect GHG emissions from Investments"/>
    <x v="39"/>
    <n v="1505.4"/>
    <s v="EURO"/>
    <s v="Κ/ΞΙΑ ΑΚΤΩΡ ΑΤΕ-ΗΛΕΚΤΩΡ ΑΕ (ΚΑΤΑΣΚΕΥΗ Ε.Ε.Ν.Θ. ΦΑΣΗ 2)1-ΚΑΤΑΣΚ.ΕΠΕΚΤΑΣΗΣ ΕΓΚ/ΣΗΣ  ΕΠΕΞΕΡΓΑΣΙΑΣ ΝΕΡΟΥ ΘΕΣ/ΝΙΚΗΣ"/>
    <s v="Investments_water supply"/>
    <s v="Σ.Ε. CO₂ eq"/>
    <n v="4.4990000000000004E-4"/>
    <s v="tn CO2 eq/ €"/>
    <s v="EXIOBASE 2019 - GR"/>
    <s v="-"/>
    <s v="-"/>
    <s v="-"/>
    <s v="-"/>
    <n v="0.67727946000000006"/>
    <s v=""/>
    <n v="0.67727946000000006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CO2_Diesel_lt_CU"/>
    <s v="Σ.Ε. CO₂ m."/>
    <n v="2.707101965305117E-3"/>
    <s v="tn CO2/lt"/>
    <s v="Cyprus. National Inventory Report (NIR) 2024"/>
    <n v="6.8137756466729797"/>
    <s v="-"/>
    <s v="-"/>
    <s v="-"/>
    <s v="-"/>
    <s v=""/>
    <n v="6.8137756466729797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CH4_diesel_lt_CU"/>
    <s v="Σ.Ε. CH₄ m."/>
    <n v="1.92302232501156E-8"/>
    <s v="tn CH₄/lt"/>
    <s v="Cyprus. National Inventory Report (NIR) 2024"/>
    <s v="-"/>
    <n v="4.8402471920540964E-5"/>
    <s v="-"/>
    <s v="-"/>
    <s v="-"/>
    <s v=""/>
    <n v="1.355269213775147E-3"/>
  </r>
  <r>
    <s v="Scope 1"/>
    <s v="Scope 1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N2O_diesel_lt_CU"/>
    <s v="Σ.Ε. N2O m."/>
    <n v="6.4195613913975801E-8"/>
    <s v="tn N2O/lt"/>
    <s v="Cyprus. National Inventory Report (NIR) 2024"/>
    <s v="-"/>
    <s v="-"/>
    <n v="1.6158036022147709E-4"/>
    <s v="-"/>
    <s v="-"/>
    <s v=""/>
    <n v="4.2818795458691425E-2"/>
  </r>
  <r>
    <s v="Scope 3"/>
    <s v="Category 3"/>
    <s v="Κύπρος"/>
    <x v="0"/>
    <x v="1"/>
    <s v="HELECTOR &amp; Subsidiaries"/>
    <s v="Indirect emissions from fuel production and transportation"/>
    <s v="Indirect emissions from fuel production and transportation"/>
    <x v="20"/>
    <n v="436445"/>
    <s v="lt"/>
    <s v="Diesel"/>
    <s v="Production_Diesel"/>
    <s v="Σ.Ε. CO₂ eq"/>
    <n v="6.2665000000000008E-4"/>
    <s v="t CO₂ eq/lt"/>
    <s v="DEFRA 2024"/>
    <s v="-"/>
    <s v="-"/>
    <s v="-"/>
    <s v="-"/>
    <n v="273.49825925000005"/>
    <s v=""/>
    <n v="273.49825925000005"/>
  </r>
  <r>
    <s v="Scope 3"/>
    <s v="Category 3"/>
    <s v="Κύπρος"/>
    <x v="0"/>
    <x v="1"/>
    <s v="HELECTOR &amp; Subsidiaries"/>
    <s v="Indirect emissions from fuel production and transportation"/>
    <s v="Indirect emissions from fuel production and transportation"/>
    <x v="19"/>
    <n v="17643"/>
    <s v="lt"/>
    <s v="Petrol"/>
    <s v="Production_Petrol"/>
    <s v="Σ.Ε. CO₂ eq"/>
    <n v="6.0663999999999998E-4"/>
    <s v="t CO2 eq/lt"/>
    <s v="DEFRA 2024"/>
    <s v="-"/>
    <s v="-"/>
    <s v="-"/>
    <s v="-"/>
    <n v="10.702949519999999"/>
    <s v=""/>
    <n v="10.70294951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EDE547-F7CB-4D76-8E15-E15ED696E39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4" firstHeaderRow="0" firstDataRow="1" firstDataCol="1" rowPageCount="1" colPageCount="1"/>
  <pivotFields count="24">
    <pivotField showAll="0" defaultSubtotal="0"/>
    <pivotField showAll="0" defaultSubtotal="0"/>
    <pivotField showAll="0" defaultSubtotal="0"/>
    <pivotField axis="axisRow" showAll="0" defaultSubtotal="0">
      <items count="5">
        <item x="1"/>
        <item x="2"/>
        <item m="1" x="4"/>
        <item x="0"/>
        <item x="3"/>
      </items>
    </pivotField>
    <pivotField axis="axisRow" showAll="0" defaultSubtotal="0">
      <items count="22">
        <item x="8"/>
        <item x="16"/>
        <item x="19"/>
        <item x="2"/>
        <item x="12"/>
        <item x="4"/>
        <item x="17"/>
        <item x="7"/>
        <item x="6"/>
        <item x="1"/>
        <item x="3"/>
        <item x="5"/>
        <item x="21"/>
        <item x="9"/>
        <item x="11"/>
        <item x="18"/>
        <item x="15"/>
        <item x="20"/>
        <item x="13"/>
        <item x="10"/>
        <item x="14"/>
        <item x="0"/>
      </items>
    </pivotField>
    <pivotField showAll="0" defaultSubtotal="0"/>
    <pivotField showAll="0" defaultSubtotal="0"/>
    <pivotField showAll="0" defaultSubtotal="0"/>
    <pivotField axis="axisPage" multipleItemSelectionAllowed="1" showAll="0" defaultSubtotal="0">
      <items count="42">
        <item h="1" x="33"/>
        <item h="1" x="35"/>
        <item h="1" x="10"/>
        <item h="1" x="11"/>
        <item h="1" m="1" x="40"/>
        <item h="1" x="0"/>
        <item h="1" x="3"/>
        <item h="1" x="28"/>
        <item h="1" x="5"/>
        <item h="1" x="1"/>
        <item h="1" x="2"/>
        <item h="1" x="4"/>
        <item h="1" x="29"/>
        <item h="1" x="8"/>
        <item h="1" x="13"/>
        <item x="14"/>
        <item x="16"/>
        <item h="1" x="12"/>
        <item h="1" x="38"/>
        <item h="1" x="39"/>
        <item h="1" x="15"/>
        <item h="1" x="37"/>
        <item h="1" x="6"/>
        <item h="1" x="25"/>
        <item h="1" x="36"/>
        <item h="1" x="26"/>
        <item h="1" x="24"/>
        <item h="1" x="18"/>
        <item h="1" m="1" x="41"/>
        <item h="1" x="20"/>
        <item h="1" x="31"/>
        <item h="1" x="22"/>
        <item h="1" x="21"/>
        <item h="1" x="19"/>
        <item h="1" x="30"/>
        <item h="1" x="17"/>
        <item h="1" x="23"/>
        <item h="1" x="34"/>
        <item h="1" x="27"/>
        <item h="1" x="32"/>
        <item h="1" x="9"/>
        <item h="1"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</pivotFields>
  <rowFields count="2">
    <field x="3"/>
    <field x="4"/>
  </rowFields>
  <rowItems count="21">
    <i>
      <x/>
    </i>
    <i r="1">
      <x v="4"/>
    </i>
    <i r="1">
      <x v="8"/>
    </i>
    <i r="1">
      <x v="10"/>
    </i>
    <i r="1">
      <x v="11"/>
    </i>
    <i r="1">
      <x v="13"/>
    </i>
    <i r="1">
      <x v="16"/>
    </i>
    <i r="1">
      <x v="18"/>
    </i>
    <i r="1">
      <x v="20"/>
    </i>
    <i>
      <x v="1"/>
    </i>
    <i r="1">
      <x v="1"/>
    </i>
    <i r="1">
      <x v="5"/>
    </i>
    <i>
      <x v="3"/>
    </i>
    <i r="1">
      <x/>
    </i>
    <i r="1">
      <x v="9"/>
    </i>
    <i r="1">
      <x v="21"/>
    </i>
    <i>
      <x v="4"/>
    </i>
    <i r="1">
      <x v="6"/>
    </i>
    <i r="1">
      <x v="7"/>
    </i>
    <i r="1">
      <x v="14"/>
    </i>
    <i t="grand">
      <x/>
    </i>
  </rowItems>
  <colFields count="1">
    <field x="-2"/>
  </colFields>
  <colItems count="2">
    <i>
      <x/>
    </i>
    <i i="1">
      <x v="1"/>
    </i>
  </colItems>
  <pageFields count="1">
    <pageField fld="8" hier="-1"/>
  </pageFields>
  <dataFields count="2">
    <dataField name="Sum of Sum t eCO2-market" fld="22" baseField="3" baseItem="0" numFmtId="4"/>
    <dataField name="Sum of Sum t eCO2" fld="23" baseField="0" baseItem="0"/>
  </dataFields>
  <formats count="1">
    <format dxfId="7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C63AB8-4854-47FF-9A22-776513539A49}" name="Table6" displayName="Table6" ref="A1:D77" totalsRowShown="0">
  <autoFilter ref="A1:D77" xr:uid="{D9C63AB8-4854-47FF-9A22-776513539A49}"/>
  <tableColumns count="4">
    <tableColumn id="1" xr3:uid="{2991B729-06DA-4C80-9CF5-CDD9025F1A00}" name="Sector"/>
    <tableColumn id="2" xr3:uid="{3CFDF074-E806-489F-91BE-F27F6B55F4F3}" name="Project" dataDxfId="70"/>
    <tableColumn id="3" xr3:uid="{DCC846CC-8EFB-4621-8180-24252DECCE14}" name="Company"/>
    <tableColumn id="4" xr3:uid="{145CC09C-E199-4FCE-88ED-0238C31E70C6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E77C4-088A-4868-B427-327A5FAD2F46}" name="Calculations" displayName="Calculations" ref="A1:X1014" totalsRowCount="1" headerRowDxfId="69" dataDxfId="67" headerRowBorderDxfId="68" tableBorderDxfId="66" totalsRowBorderDxfId="65">
  <autoFilter ref="A1:X1013" xr:uid="{3D1E77C4-088A-4868-B427-327A5FAD2F46}">
    <filterColumn colId="1">
      <filters>
        <filter val="Category 4"/>
      </filters>
    </filterColumn>
  </autoFilter>
  <sortState xmlns:xlrd2="http://schemas.microsoft.com/office/spreadsheetml/2017/richdata2" ref="A728:X808">
    <sortCondition ref="A1:A1013"/>
  </sortState>
  <tableColumns count="24">
    <tableColumn id="1" xr3:uid="{DB071706-6CC3-45DC-856B-1E9DBE857A8E}" name="GHG Scope" totalsRowLabel="Total" dataDxfId="64" totalsRowDxfId="63"/>
    <tableColumn id="25" xr3:uid="{257051FF-1AB3-4826-A201-B91DDB1C24E3}" name="GHG Category" dataDxfId="62" totalsRowDxfId="61"/>
    <tableColumn id="19" xr3:uid="{FB56B6D9-CAB4-4238-AEC5-A94A39CCC5FF}" name="Χώρα" dataDxfId="60" totalsRowDxfId="59"/>
    <tableColumn id="23" xr3:uid="{F95A062B-7B3A-49E9-AD03-F3DC34DE2484}" name="Sector" dataDxfId="58" totalsRowDxfId="57"/>
    <tableColumn id="9" xr3:uid="{F55999BF-747F-4B89-A01F-174F7765AA65}" name="Έργο" dataDxfId="56" totalsRowDxfId="55"/>
    <tableColumn id="22" xr3:uid="{A6732558-04C8-4714-B1D6-3F55F38750D0}" name="Εταιρεία" dataDxfId="54" totalsRowDxfId="53"/>
    <tableColumn id="3" xr3:uid="{A8DD8824-96CD-4E18-A602-A0DB9CCF8D63}" name="Ομάδα πηγών εκπομπών" dataDxfId="52" totalsRowDxfId="51"/>
    <tableColumn id="4" xr3:uid="{2BA443A9-CBE3-450C-A659-A64CD7AB389B}" name="Κατηγορία πηγών εκπομπών" dataDxfId="50" totalsRowDxfId="49"/>
    <tableColumn id="5" xr3:uid="{CB937C5A-C63C-4B56-A5FA-82459A67EA12}" name="Πηγή εκπομπών" dataDxfId="48" totalsRowDxfId="47"/>
    <tableColumn id="6" xr3:uid="{E4F969DD-4634-4747-8821-75CCD39D9372}" name="Τιμή" dataDxfId="46" totalsRowDxfId="45"/>
    <tableColumn id="7" xr3:uid="{71C620AD-D903-46CE-8380-DA8B73ABEE91}" name="Μονάδες" dataDxfId="44" totalsRowDxfId="43"/>
    <tableColumn id="8" xr3:uid="{FB3B1D26-72E4-4568-BFC2-E1696E9A4817}" name="Πληροφορίες" dataDxfId="42" totalsRowDxfId="41"/>
    <tableColumn id="10" xr3:uid="{EFD46D61-4066-4A7A-B85A-B39415211CC0}" name="For XLOOKUP" dataDxfId="40" totalsRowDxfId="39"/>
    <tableColumn id="11" xr3:uid="{230BE9F9-AFEF-4646-BD80-87CE720EAF8A}" name="Emission Factor" dataDxfId="38" totalsRowDxfId="37">
      <calculatedColumnFormula>_xlfn.XLOOKUP(Calculations[[#This Row],[For XLOOKUP]],Factors[For XLOOKUP],Factors[Factor],"")</calculatedColumnFormula>
    </tableColumn>
    <tableColumn id="12" xr3:uid="{F85817F8-1FF8-4FF2-B1CE-CDC803C4C66E}" name="Value" dataDxfId="36" totalsRowDxfId="35">
      <calculatedColumnFormula>_xlfn.XLOOKUP(Calculations[[#This Row],[For XLOOKUP]],Factors[For XLOOKUP],Factors[Value],"")</calculatedColumnFormula>
    </tableColumn>
    <tableColumn id="13" xr3:uid="{709C1FE8-9D3D-4DF3-B1B5-61A0A4FF3A45}" name="Units" dataDxfId="34" totalsRowDxfId="33">
      <calculatedColumnFormula>_xlfn.XLOOKUP(Calculations[[#This Row],[For XLOOKUP]],Factors[For XLOOKUP],Factors[Units],"")</calculatedColumnFormula>
    </tableColumn>
    <tableColumn id="14" xr3:uid="{3FCF3D00-A0A1-4363-A434-E7272E763520}" name="Source" dataDxfId="32" totalsRowDxfId="31">
      <calculatedColumnFormula>_xlfn.XLOOKUP(Calculations[[#This Row],[For XLOOKUP]],Factors[For XLOOKUP],Factors[Source],"")</calculatedColumnFormula>
    </tableColumn>
    <tableColumn id="15" xr3:uid="{3EE69494-B19F-419A-9920-CE3AAF705971}" name="t CO2" dataDxfId="30" totalsRowDxfId="29">
      <calculatedColumnFormula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calculatedColumnFormula>
    </tableColumn>
    <tableColumn id="16" xr3:uid="{234B16A5-DEAF-4931-BAA1-AD117D6D9C7F}" name="t CH4" dataDxfId="28" totalsRowDxfId="27">
      <calculatedColumnFormula>IF(LEFT(Calculations[[#This Row],[Emission Factor]],7)="Σ.Ε. CH",Calculations[[#This Row],[Value]]*Calculations[[#This Row],[Τιμή]],"-")</calculatedColumnFormula>
    </tableColumn>
    <tableColumn id="17" xr3:uid="{D5E31335-9BB2-4EE0-B5D6-348BB8057622}" name="t N2O" dataDxfId="26" totalsRowDxfId="25">
      <calculatedColumnFormula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calculatedColumnFormula>
    </tableColumn>
    <tableColumn id="18" xr3:uid="{D987AAA4-B078-425E-8541-1F8A5060503E}" name="t HFCs" dataDxfId="24" totalsRowDxfId="23">
      <calculatedColumnFormula>IF(LEFT(Calculations[[#This Row],[Emission Factor]],3)="GWP",Calculations[[#This Row],[Τιμή]],"-")</calculatedColumnFormula>
    </tableColumn>
    <tableColumn id="20" xr3:uid="{ECD1B25D-AFEB-4021-9DE8-5C7062FD2755}" name="t CO2 eq" dataDxfId="22" totalsRowDxfId="21">
      <calculatedColumnFormula>IF(OR(Calculations[[#This Row],[Emission Factor]]="Σ.Ε. CO₂ eq",Calculations[[#This Row],[Emission Factor]]="CO₂ eq"),Calculations[[#This Row],[Value]]*Calculations[[#This Row],[Τιμή]],"-")</calculatedColumnFormula>
    </tableColumn>
    <tableColumn id="2" xr3:uid="{3982C1D6-F204-463C-A994-AB35D9171DB7}" name="Sum t eCO2-market" dataDxfId="20" totalsRowDxfId="19">
      <calculatedColumnFormula>IF(Calculations[[#This Row],[Πηγή εκπομπών]]="Electricity consumed in office buildings and projects - market based",Calculations[[#This Row],[t CO2]],"")</calculatedColumnFormula>
    </tableColumn>
    <tableColumn id="21" xr3:uid="{B2675EF2-6116-4EE5-8A11-3EE9456F1F2A}" name="Sum t eCO2" totalsRowFunction="sum" dataDxfId="18" totalsRowDxfId="17">
      <calculatedColumnFormula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91ECB2-C61B-47A8-AE28-5CAA6DC2EB13}" name="Factors" displayName="Factors" ref="A1:H431" totalsRowShown="0" headerRowDxfId="16" dataDxfId="14" headerRowBorderDxfId="15" tableBorderDxfId="13" totalsRowBorderDxfId="12">
  <autoFilter ref="A1:H431" xr:uid="{47A406B1-73A6-4A16-A205-FDC32CA758C6}"/>
  <sortState xmlns:xlrd2="http://schemas.microsoft.com/office/spreadsheetml/2017/richdata2" ref="A2:H431">
    <sortCondition ref="A1:A431"/>
  </sortState>
  <tableColumns count="8">
    <tableColumn id="1" xr3:uid="{55BFBE92-FC55-427F-B9E9-77CB29EECBBD}" name="Κατηγορία" dataDxfId="11"/>
    <tableColumn id="8" xr3:uid="{A65A0590-046B-48C9-8CB0-AB429C1BAF53}" name="Πληροφορίες" dataDxfId="10"/>
    <tableColumn id="2" xr3:uid="{86CAD3C2-05E6-434A-B065-C580ADA00360}" name="Factor" dataDxfId="9"/>
    <tableColumn id="3" xr3:uid="{CEFCCE9B-82CF-4B4E-8D12-78299A6A2CA7}" name="Value" dataDxfId="8"/>
    <tableColumn id="4" xr3:uid="{A5E5F258-51D6-4B69-A960-4E948FD25ADC}" name="Units" dataDxfId="7"/>
    <tableColumn id="5" xr3:uid="{AE6A1D58-9E0D-42EB-8D13-EC8683A2DABE}" name="Source" dataDxfId="6"/>
    <tableColumn id="6" xr3:uid="{B728D0F8-BA24-4F66-86F0-C27F95EA8D86}" name="Description" dataDxfId="5"/>
    <tableColumn id="7" xr3:uid="{A86A08AE-A58F-4A7A-B9A5-A2BDF9EEFA70}" name="For XLOOKUP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53053F-C307-4545-9A3F-1F062D8A7008}" name="Μετατροπή" displayName="Μετατροπή" ref="M1:N8" totalsRowShown="0">
  <autoFilter ref="M1:N8" xr:uid="{2353053F-C307-4545-9A3F-1F062D8A7008}"/>
  <tableColumns count="2">
    <tableColumn id="1" xr3:uid="{BF887265-3154-4DB2-8DD9-5350A9265D69}" name="Source"/>
    <tableColumn id="2" xr3:uid="{FCEE7F99-72B3-47CF-991C-BAB5C87DC707}" name="Μετατροπή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4DD08A-74E4-4FBB-A5C9-DF49DADF7198}" name="Un" displayName="Un" ref="A1:A1013" totalsRowShown="0" headerRowDxfId="3" dataDxfId="2">
  <autoFilter ref="A1:A1013" xr:uid="{C1D5DA54-AC6E-499C-A672-6AC9E55D34ED}"/>
  <sortState xmlns:xlrd2="http://schemas.microsoft.com/office/spreadsheetml/2017/richdata2" ref="A2:A61">
    <sortCondition descending="1" ref="A1:A61"/>
  </sortState>
  <tableColumns count="1">
    <tableColumn id="1" xr3:uid="{987ED8EA-1607-48CE-81F0-614280367C10}" name="e tCO2" dataDxfId="1" totalsRowDxfId="0">
      <calculatedColumnFormula>Calculations[[#This Row],[Sum t eCO2]]*IF(Calculations[[#This Row],[GHG Scope]]="BIOGENIC",0,1)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1" dT="2025-03-19T09:44:25.22" personId="{67EC1D54-F469-4E77-9F20-9BF7B0502765}" id="{6934A33F-E4C7-441A-B65A-5B9BB25ECCFA}">
    <text>Including MOREAS ΣΕΑ</text>
  </threadedComment>
  <threadedComment ref="J542" dT="2025-03-20T15:09:01.30" personId="{67EC1D54-F469-4E77-9F20-9BF7B0502765}" id="{F941CBF0-444F-4485-990E-E4889C7F99EA}">
    <text>ΜΟΡΕΑΣ ΣΕΑ</text>
  </threadedComment>
  <threadedComment ref="J545" dT="2025-03-20T15:09:15.68" personId="{67EC1D54-F469-4E77-9F20-9BF7B0502765}" id="{11979B35-2C7A-4D51-A89A-E1E027C1E24F}">
    <text>ΜΟΡΕΑΣ ΣΕΑ</text>
  </threadedComment>
  <threadedComment ref="J551" dT="2025-04-07T07:17:48.10" personId="{67EC1D54-F469-4E77-9F20-9BF7B0502765}" id="{2638E077-43CB-4EBE-AB52-FB5A7023E859}">
    <text>% Κερδών - mail 7/4</text>
  </threadedComment>
  <threadedComment ref="J552" dT="2025-04-07T07:18:29.24" personId="{67EC1D54-F469-4E77-9F20-9BF7B0502765}" id="{F1D7E65C-6D8D-47FB-8BB2-6A51133CF488}">
    <text>% Κερδών - mail 7/4</text>
  </threadedComment>
  <threadedComment ref="J553" dT="2025-04-07T07:18:45.64" personId="{67EC1D54-F469-4E77-9F20-9BF7B0502765}" id="{5C02C951-E296-495B-878E-CA6D6C5A6AD5}">
    <text>% Κερδών - mail 7/4</text>
  </threadedComment>
  <threadedComment ref="J554" dT="2025-04-07T07:21:52.65" personId="{67EC1D54-F469-4E77-9F20-9BF7B0502765}" id="{4081D250-6196-4381-AD97-A5F7B9A4952B}">
    <text>% Πωλήσεων λόγω ζημίας</text>
  </threadedComment>
  <threadedComment ref="J555" dT="2025-04-07T07:22:03.36" personId="{67EC1D54-F469-4E77-9F20-9BF7B0502765}" id="{04737946-B781-45C0-936A-D48D43C17FC0}">
    <text>% Πωλήσεων λόγω ζημίας</text>
  </threadedComment>
  <threadedComment ref="J556" dT="2025-04-07T07:22:07.70" personId="{67EC1D54-F469-4E77-9F20-9BF7B0502765}" id="{8D989019-71FB-4E97-99FA-EF831A3B4362}">
    <text>% Πωλήσεων λόγω ζημίας</text>
  </threadedComment>
  <threadedComment ref="J557" dT="2025-04-07T07:22:12.41" personId="{67EC1D54-F469-4E77-9F20-9BF7B0502765}" id="{73547635-5AAB-42A2-8057-1D1EC6752872}">
    <text>% Πωλήσεων λόγω ζημίας</text>
  </threadedComment>
  <threadedComment ref="J558" dT="2025-04-07T07:22:17.10" personId="{67EC1D54-F469-4E77-9F20-9BF7B0502765}" id="{3BB1E57A-54FB-492B-9D0D-A1E83E19C979}">
    <text>% Πωλήσεων λόγω ζημίας</text>
  </threadedComment>
  <threadedComment ref="J559" dT="2025-04-07T07:22:26.38" personId="{67EC1D54-F469-4E77-9F20-9BF7B0502765}" id="{87540C5B-73FD-4907-8622-99BA2BCBAEDE}">
    <text>% Πωλήσεων λόγω ζημίας</text>
  </threadedComment>
  <threadedComment ref="J560" dT="2025-04-07T07:19:19.61" personId="{67EC1D54-F469-4E77-9F20-9BF7B0502765}" id="{4C5FA127-5407-4EDC-A864-457DF24DD1E5}">
    <text>% Κερδων - mail 7/04</text>
  </threadedComment>
  <threadedComment ref="J746" dT="2025-03-20T14:47:38.94" personId="{67EC1D54-F469-4E77-9F20-9BF7B0502765}" id="{E29B83E8-9A34-4261-ADE4-1CD3DCBAE727}">
    <text>+ΜΟΡΕΑΣ ΣΕΑ</text>
  </threadedComment>
  <threadedComment ref="J776" dT="2025-03-20T14:48:11.85" personId="{67EC1D54-F469-4E77-9F20-9BF7B0502765}" id="{861D8330-F11B-4322-9193-C239AB7DAA0F}">
    <text>+ ΜΟΡΕΑΣ ΣΕΑ</text>
  </threadedComment>
  <threadedComment ref="J782" dT="2025-03-20T14:48:34.00" personId="{67EC1D54-F469-4E77-9F20-9BF7B0502765}" id="{1B66A9B5-ECE0-47C0-B01F-AAF259127134}">
    <text>+ ΜΟΡΕΑΣ ΣΕΑ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4" dT="2025-03-18T11:31:47.58" personId="{67EC1D54-F469-4E77-9F20-9BF7B0502765}" id="{4D083601-A620-4CE4-9E32-5310B4C3EA92}">
    <text xml:space="preserve">Emission factors by NIR due to specified fuel. </text>
  </threadedComment>
  <threadedComment ref="D35" dT="2025-03-18T11:31:47.58" personId="{67EC1D54-F469-4E77-9F20-9BF7B0502765}" id="{3591338A-51F1-49E8-8A0C-804D5C1F4E03}">
    <text xml:space="preserve">Emission factors by NIR due to specified fuel. </text>
  </threadedComment>
  <threadedComment ref="D36" dT="2025-03-18T11:36:51.48" personId="{67EC1D54-F469-4E77-9F20-9BF7B0502765}" id="{294A81A4-325D-4C69-8B96-6BA3AD2AC67A}">
    <text>Emission factors by NIR due to specified fuel.</text>
  </threadedComment>
  <threadedComment ref="D37" dT="2025-03-18T11:36:51.48" personId="{67EC1D54-F469-4E77-9F20-9BF7B0502765}" id="{10F117C9-A387-4DC5-843D-3BA6B178FDC1}">
    <text>Emission factors by NIR due to specified fuel.</text>
  </threadedComment>
  <threadedComment ref="D38" dT="2025-03-18T11:37:18.27" personId="{67EC1D54-F469-4E77-9F20-9BF7B0502765}" id="{C9338526-B52E-46B9-9C81-570BC662E1D7}">
    <text>Emission factors by NIR due to specified fuel.</text>
  </threadedComment>
  <threadedComment ref="D39" dT="2025-03-18T11:37:18.27" personId="{67EC1D54-F469-4E77-9F20-9BF7B0502765}" id="{1725B7AA-F27A-4542-ABAD-885EB15DFCCA}">
    <text>Emission factors by NIR due to specified fuel.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8A97B4-7575-4545-96A9-4C8735ED74DD}">
  <we:reference id="wa200007333" version="1.0.0.12" store="en-GB" storeType="OMEX"/>
  <we:alternateReferences>
    <we:reference id="WA200007333" version="1.0.0.1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_xldudf_CLIMATIQ_CALCULATE_TRAVEL_AIR</we:customFunctionIds>
        <we:customFunctionIds>_xldudf_CLIMATIQ_CALCULATE_TRAVEL_ROAD</we:customFunctionIds>
        <we:customFunctionIds>_xldudf_CLIMATIQ_CALCULATE_TRAVEL_SPEND</we:customFunctionIds>
        <we:customFunctionIds>_xldudf_CLIMATIQ_CALCULATE_CBAM</we:customFunctionIds>
        <we:customFunctionIds>_xldudf_CLIMATIQ_CALCULATE_CLASSIFICATION</we:customFunctionIds>
        <we:customFunctionIds>_xldudf_CLIMATIQ_CALCULATE_PROCUREMENT_BYCLASSIFICATION</we:customFunctionIds>
        <we:customFunctionIds>_xldudf_CLIMATIQ_CALCULATE_PROCUREMENT_BYACTIVITYID</we:customFunctionIds>
        <we:customFunctionIds>_xldudf_CLIMATIQ_CALCULATE_CLOUD_VIRTUALMACHINE</we:customFunctionIds>
        <we:customFunctionIds>_xldudf_CLIMATIQ_CALCULATE</we:customFunctionIds>
        <we:customFunctionIds>_xldudf_CLIMATIQ_CALCULATE_BYCUSTOMLABEL</we:customFunctionIds>
        <we:customFunctionIds>_xldudf_CLIMATIQ_CALCULATE_INTERMODALFREIGHTTRANSPORT</we:customFunctionIds>
        <we:customFunctionIds>_xldudf_CLIMATIQ_CALCULATE_TRAVEL_RAIL</we:customFunctionIds>
        <we:customFunctionIds>_xldudf_CLIMATIQ_CALCULATE_FUEL</we:customFunctionIds>
        <we:customFunctionIds>_xldudf_CLIMATIQ_CALCULATE_ELECTRICITY</we:customFunctionIds>
        <we:customFunctionIds>_xldudf_CLIMATIQ_CALCULATE_AUTOPILOT</we:customFunctionIds>
        <we:customFunctionIds>_xldudf_CLIMATIQ_CALCULATE_AUTOPILOT_REQUESTREVIEW</we:customFunctionIds>
        <we:customFunctionIds>_xldudf_CLIMATIQ_SETKEY</we:customFunctionIds>
        <we:customFunctionIds>_xldudf_CLIMATIQ_CALCULATE_AUTOPILOT_SUGGEST</we:customFunctionIds>
        <we:customFunctionIds>_xldudf_CLIMATIQ_SEARCH_EMISSIONFACTORS</we:customFunctionIds>
        <we:customFunctionIds>_xldudf_CLIMATIQ_SEARCH_REGIONS</we:customFunctionIds>
        <we:customFunctionIds>_xldudf_CLIMATIQ_SEARCH_AVAILABLEFUELTYPES</we:customFunctionIds>
        <we:customFunctionIds>_xldudf_CLIMATIQ_SEARCH_AVAILABLEELECTRICITYSUPPLIERS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ea.blob.core.windows.net/assets/67fb0049-ec99-470d-8412-1ed9201e576f/EnergyStatisticsManual.pdf" TargetMode="External"/><Relationship Id="rId13" Type="http://schemas.openxmlformats.org/officeDocument/2006/relationships/printerSettings" Target="../printerSettings/printerSettings3.bin"/><Relationship Id="rId18" Type="http://schemas.microsoft.com/office/2017/10/relationships/threadedComment" Target="../threadedComments/threadedComment2.xml"/><Relationship Id="rId3" Type="http://schemas.openxmlformats.org/officeDocument/2006/relationships/hyperlink" Target="https://tsoc.org.cy/electrical-system/electrical-energy-generation/percentage-losses/" TargetMode="External"/><Relationship Id="rId7" Type="http://schemas.openxmlformats.org/officeDocument/2006/relationships/hyperlink" Target="https://iea.blob.core.windows.net/assets/67fb0049-ec99-470d-8412-1ed9201e576f/EnergyStatisticsManual.pdf" TargetMode="External"/><Relationship Id="rId12" Type="http://schemas.openxmlformats.org/officeDocument/2006/relationships/hyperlink" Target="https://iea.blob.core.windows.net/assets/67fb0049-ec99-470d-8412-1ed9201e576f/EnergyStatisticsManual.pdf" TargetMode="External"/><Relationship Id="rId17" Type="http://schemas.openxmlformats.org/officeDocument/2006/relationships/comments" Target="../comments2.xml"/><Relationship Id="rId2" Type="http://schemas.openxmlformats.org/officeDocument/2006/relationships/hyperlink" Target="https://www.cera.org.cy/en-gb/apofasis/details/apofasi-169-2022" TargetMode="External"/><Relationship Id="rId16" Type="http://schemas.openxmlformats.org/officeDocument/2006/relationships/table" Target="../tables/table4.xml"/><Relationship Id="rId1" Type="http://schemas.openxmlformats.org/officeDocument/2006/relationships/hyperlink" Target="https://www.dapeep.gr/wp-content/uploads/2024/07/%CE%95%CE%9D%CE%95%CE%A1%CE%93%CE%95%CE%99%CE%91%CE%9A%CE%9F-%CE%9C%CE%95%CE%99%CE%93%CE%9C%CE%91-2023.pdf" TargetMode="External"/><Relationship Id="rId6" Type="http://schemas.openxmlformats.org/officeDocument/2006/relationships/hyperlink" Target="https://www.mof.gov.cy/mof/gpo/gazette.nsf/BD08758942B84F5EC225872C004063A3/$file/4861%2027%203%202015%20PARARTIMA%203o%20MEROS%20I.pdf" TargetMode="External"/><Relationship Id="rId11" Type="http://schemas.openxmlformats.org/officeDocument/2006/relationships/hyperlink" Target="https://iea.blob.core.windows.net/assets/67fb0049-ec99-470d-8412-1ed9201e576f/EnergyStatisticsManual.pdf" TargetMode="External"/><Relationship Id="rId5" Type="http://schemas.openxmlformats.org/officeDocument/2006/relationships/hyperlink" Target="https://www.mof.gov.cy/mof/gpo/gazette.nsf/BD08758942B84F5EC225872C004063A3/$file/4861%2027%203%202015%20PARARTIMA%203o%20MEROS%20I.pdf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https://www.admie.gr/sites/default/files/attached-files/type-file/2025/02/Energy_Report_202412_v2_en.pdf" TargetMode="External"/><Relationship Id="rId4" Type="http://schemas.openxmlformats.org/officeDocument/2006/relationships/hyperlink" Target="https://www.cera.org.cy/en-gb/apofasis/details/apofasi-169-2022" TargetMode="External"/><Relationship Id="rId9" Type="http://schemas.openxmlformats.org/officeDocument/2006/relationships/hyperlink" Target="https://data.worldbank.org/indicator/EG.ELC.LOSS.ZS" TargetMode="External"/><Relationship Id="rId14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77DA-7877-42DD-85FA-19A1EAAA7420}">
  <sheetPr codeName="Sheet1"/>
  <dimension ref="A1:V13"/>
  <sheetViews>
    <sheetView zoomScale="80" zoomScaleNormal="80" workbookViewId="0">
      <selection activeCell="T5" sqref="T5"/>
    </sheetView>
  </sheetViews>
  <sheetFormatPr defaultRowHeight="14.4"/>
  <cols>
    <col min="2" max="2" width="26.6640625" customWidth="1"/>
    <col min="9" max="9" width="40.33203125" customWidth="1"/>
    <col min="10" max="10" width="19" customWidth="1"/>
    <col min="17" max="17" width="19.33203125" customWidth="1"/>
    <col min="20" max="20" width="49.44140625" customWidth="1"/>
    <col min="21" max="22" width="10.44140625" customWidth="1"/>
  </cols>
  <sheetData>
    <row r="1" spans="1:22" ht="15" thickBot="1">
      <c r="D1" t="s">
        <v>1080</v>
      </c>
    </row>
    <row r="2" spans="1:22">
      <c r="A2" s="177" t="s">
        <v>0</v>
      </c>
      <c r="B2" s="183">
        <f>'Result GHG'!G3</f>
        <v>15817.822313662851</v>
      </c>
      <c r="C2" s="186">
        <f>B2/$B$6</f>
        <v>4.5606703902569608E-2</v>
      </c>
      <c r="D2" s="189">
        <f>B2/$B$8</f>
        <v>3.4993266163684096E-2</v>
      </c>
      <c r="I2" s="177" t="s">
        <v>78</v>
      </c>
      <c r="J2" s="178">
        <f>'Result GHG'!G4</f>
        <v>2794.7929386104961</v>
      </c>
      <c r="K2" s="186">
        <f>J2/$J$6</f>
        <v>0.17668632781368754</v>
      </c>
      <c r="P2" s="177" t="s">
        <v>1081</v>
      </c>
      <c r="Q2" s="178">
        <f>'Result GHG'!G34</f>
        <v>22508.220529523638</v>
      </c>
      <c r="R2" s="191">
        <f t="shared" ref="R2:R9" si="0">Q2/$Q$11</f>
        <v>7.2852077201567014E-2</v>
      </c>
      <c r="V2" s="190"/>
    </row>
    <row r="3" spans="1:22">
      <c r="A3" s="179" t="s">
        <v>49</v>
      </c>
      <c r="B3" s="184">
        <f>'Result GHG'!G30</f>
        <v>22055.414838961671</v>
      </c>
      <c r="C3" s="187">
        <f t="shared" ref="C3:C6" si="1">B3/$B$6</f>
        <v>6.3591229820556747E-2</v>
      </c>
      <c r="D3" s="189">
        <f t="shared" ref="D3:D5" si="2">B3/$B$8</f>
        <v>4.8792494093425808E-2</v>
      </c>
      <c r="I3" s="179" t="s">
        <v>80</v>
      </c>
      <c r="J3" s="24">
        <f>'Result GHG'!G17</f>
        <v>6221.9492721241786</v>
      </c>
      <c r="K3" s="187">
        <f t="shared" ref="K3:K5" si="3">J3/$J$6</f>
        <v>0.39335056044661015</v>
      </c>
      <c r="P3" s="179" t="s">
        <v>1082</v>
      </c>
      <c r="Q3" s="24">
        <f>'Result GHG'!G36</f>
        <v>20629.32423670364</v>
      </c>
      <c r="R3" s="192">
        <f t="shared" si="0"/>
        <v>6.6770676959432562E-2</v>
      </c>
      <c r="V3" s="190"/>
    </row>
    <row r="4" spans="1:22">
      <c r="A4" s="179" t="s">
        <v>350</v>
      </c>
      <c r="B4" s="184">
        <f>'Result GHG'!G33</f>
        <v>308957.84161717078</v>
      </c>
      <c r="C4" s="187">
        <f t="shared" si="1"/>
        <v>0.89080206627687364</v>
      </c>
      <c r="D4" s="189">
        <f t="shared" si="2"/>
        <v>0.68349762506362755</v>
      </c>
      <c r="I4" s="179" t="s">
        <v>81</v>
      </c>
      <c r="J4" s="24">
        <f>'Result GHG'!G23</f>
        <v>549.15301404140371</v>
      </c>
      <c r="K4" s="187">
        <f t="shared" si="3"/>
        <v>3.4717358884924734E-2</v>
      </c>
      <c r="P4" s="179" t="s">
        <v>1083</v>
      </c>
      <c r="Q4" s="24">
        <f>'Result GHG'!G38</f>
        <v>7619.1834830189046</v>
      </c>
      <c r="R4" s="192">
        <f t="shared" si="0"/>
        <v>2.4660916334532865E-2</v>
      </c>
      <c r="V4" s="190"/>
    </row>
    <row r="5" spans="1:22">
      <c r="A5" s="179" t="s">
        <v>188</v>
      </c>
      <c r="B5" s="184">
        <f>'Result GHG'!G78</f>
        <v>105193.66906807695</v>
      </c>
      <c r="C5" s="187"/>
      <c r="D5" s="189">
        <f t="shared" si="2"/>
        <v>0.23271661467926261</v>
      </c>
      <c r="I5" s="179" t="s">
        <v>98</v>
      </c>
      <c r="J5" s="24">
        <f>'Result GHG'!G27</f>
        <v>6251.9270888867732</v>
      </c>
      <c r="K5" s="187">
        <f t="shared" si="3"/>
        <v>0.39524575285477759</v>
      </c>
      <c r="P5" s="179" t="s">
        <v>1084</v>
      </c>
      <c r="Q5" s="24">
        <f>'Result GHG'!G51</f>
        <v>6475.5007212143792</v>
      </c>
      <c r="R5" s="192">
        <f t="shared" si="0"/>
        <v>2.0959172576167084E-2</v>
      </c>
      <c r="V5" s="190"/>
    </row>
    <row r="6" spans="1:22" ht="15" thickBot="1">
      <c r="A6" s="180" t="s">
        <v>780</v>
      </c>
      <c r="B6" s="185">
        <f>SUM(B2:B4)</f>
        <v>346831.07876979531</v>
      </c>
      <c r="C6" s="188">
        <f t="shared" si="1"/>
        <v>1</v>
      </c>
      <c r="I6" s="180" t="s">
        <v>780</v>
      </c>
      <c r="J6" s="181">
        <f>SUM(J2:J5)</f>
        <v>15817.822313662851</v>
      </c>
      <c r="K6" s="182"/>
      <c r="P6" s="179" t="s">
        <v>1085</v>
      </c>
      <c r="Q6" s="24">
        <f>'Result GHG'!G59</f>
        <v>235614.19388956315</v>
      </c>
      <c r="R6" s="192">
        <f t="shared" si="0"/>
        <v>0.76260952839485574</v>
      </c>
      <c r="V6" s="190"/>
    </row>
    <row r="7" spans="1:22">
      <c r="P7" s="179" t="s">
        <v>1086</v>
      </c>
      <c r="Q7" s="24">
        <f>'Result GHG'!G61</f>
        <v>75.983272035399949</v>
      </c>
      <c r="R7" s="192">
        <f t="shared" si="0"/>
        <v>2.4593411074366164E-4</v>
      </c>
      <c r="V7" s="190"/>
    </row>
    <row r="8" spans="1:22" ht="16.2" customHeight="1">
      <c r="B8" s="24">
        <f>SUM(B2:B5)</f>
        <v>452024.74783787224</v>
      </c>
      <c r="P8" s="179" t="s">
        <v>1087</v>
      </c>
      <c r="Q8" s="24">
        <f>'Result GHG'!G66</f>
        <v>1620.8801992678966</v>
      </c>
      <c r="R8" s="192">
        <f t="shared" si="0"/>
        <v>5.2462827639646933E-3</v>
      </c>
      <c r="V8" s="190"/>
    </row>
    <row r="9" spans="1:22">
      <c r="P9" s="179" t="s">
        <v>1088</v>
      </c>
      <c r="Q9" s="24">
        <f>'Result GHG'!G73</f>
        <v>2902.7746390513694</v>
      </c>
      <c r="R9" s="192">
        <f t="shared" si="0"/>
        <v>9.3953745399613237E-3</v>
      </c>
      <c r="V9" s="190"/>
    </row>
    <row r="10" spans="1:22">
      <c r="P10" s="179" t="s">
        <v>1089</v>
      </c>
      <c r="Q10" s="24">
        <f>'Result GHG'!G76</f>
        <v>11511.780646792511</v>
      </c>
      <c r="R10" s="192">
        <f>Q10/$Q$11</f>
        <v>3.7260037118775388E-2</v>
      </c>
      <c r="V10" s="190"/>
    </row>
    <row r="11" spans="1:22" ht="15" thickBot="1">
      <c r="P11" s="180" t="s">
        <v>780</v>
      </c>
      <c r="Q11" s="181">
        <f>SUM(Q2:Q10)</f>
        <v>308957.84161717078</v>
      </c>
      <c r="R11" s="182"/>
      <c r="V11" s="190"/>
    </row>
    <row r="13" spans="1:22">
      <c r="U13">
        <f>SUM(U3:U11)</f>
        <v>0</v>
      </c>
    </row>
  </sheetData>
  <phoneticPr fontId="1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V94"/>
  <sheetViews>
    <sheetView tabSelected="1" showOutlineSymbols="0" showWhiteSpace="0" topLeftCell="A21" zoomScale="70" zoomScaleNormal="70" workbookViewId="0">
      <selection activeCell="V31" sqref="V31"/>
    </sheetView>
  </sheetViews>
  <sheetFormatPr defaultRowHeight="14.4"/>
  <cols>
    <col min="1" max="1" width="25.33203125" customWidth="1"/>
    <col min="2" max="2" width="20" customWidth="1"/>
    <col min="3" max="3" width="18" customWidth="1"/>
    <col min="4" max="4" width="16.33203125" customWidth="1"/>
    <col min="5" max="5" width="19.33203125" customWidth="1"/>
    <col min="6" max="6" width="21.6640625" customWidth="1"/>
    <col min="7" max="7" width="21.33203125" bestFit="1" customWidth="1"/>
    <col min="8" max="8" width="11.6640625" customWidth="1"/>
    <col min="9" max="9" width="13.5546875" customWidth="1"/>
    <col min="10" max="10" width="16.6640625" customWidth="1"/>
    <col min="11" max="11" width="11.6640625" customWidth="1"/>
    <col min="12" max="12" width="9.5546875" bestFit="1" customWidth="1"/>
    <col min="13" max="13" width="9" customWidth="1"/>
    <col min="14" max="14" width="13.44140625" bestFit="1" customWidth="1"/>
    <col min="15" max="15" width="9" customWidth="1"/>
    <col min="16" max="16" width="23.44140625" customWidth="1"/>
    <col min="17" max="17" width="16.109375" style="214" customWidth="1"/>
    <col min="19" max="19" width="15.33203125" bestFit="1" customWidth="1"/>
    <col min="20" max="20" width="9.5546875" bestFit="1" customWidth="1"/>
    <col min="21" max="21" width="14.5546875" customWidth="1"/>
  </cols>
  <sheetData>
    <row r="1" spans="1:22" ht="15.6">
      <c r="A1" s="321" t="s">
        <v>293</v>
      </c>
      <c r="B1" s="322"/>
      <c r="C1" s="322"/>
      <c r="D1" s="322"/>
      <c r="E1" s="322"/>
      <c r="F1" s="322"/>
      <c r="G1" s="39" t="s">
        <v>8</v>
      </c>
      <c r="H1" s="35" t="s">
        <v>9</v>
      </c>
      <c r="I1" s="35" t="s">
        <v>10</v>
      </c>
      <c r="J1" s="35" t="s">
        <v>11</v>
      </c>
      <c r="K1" s="35" t="s">
        <v>12</v>
      </c>
      <c r="L1" s="36" t="s">
        <v>52</v>
      </c>
      <c r="P1" s="364">
        <v>2023</v>
      </c>
      <c r="Q1" s="364"/>
    </row>
    <row r="2" spans="1:22" ht="15" thickBot="1">
      <c r="A2" s="323"/>
      <c r="B2" s="324"/>
      <c r="C2" s="324"/>
      <c r="D2" s="324"/>
      <c r="E2" s="324"/>
      <c r="F2" s="324"/>
      <c r="G2" s="44" t="s">
        <v>13</v>
      </c>
      <c r="H2" s="45" t="s">
        <v>14</v>
      </c>
      <c r="I2" s="45">
        <v>1</v>
      </c>
      <c r="J2" s="45">
        <v>28</v>
      </c>
      <c r="K2" s="45">
        <v>265</v>
      </c>
      <c r="L2" s="46" cm="1">
        <f t="array" ref="L2">IFERROR(SUMPRODUCT(IF(Calculations[Πηγή εκπομπών]=A24,1,0),Calculations[Τιμή],Calculations[Value])/SUMIF(Calculations[Πηγή εκπομπών],A24,Calculations[Τιμή]),0)</f>
        <v>1425.2638392595713</v>
      </c>
      <c r="P2" s="222"/>
      <c r="Q2" s="223"/>
    </row>
    <row r="3" spans="1:22" ht="17.399999999999999">
      <c r="A3" s="325" t="s">
        <v>77</v>
      </c>
      <c r="B3" s="326"/>
      <c r="C3" s="326"/>
      <c r="D3" s="326"/>
      <c r="E3" s="326"/>
      <c r="F3" s="327"/>
      <c r="G3" s="38">
        <f>G4+G17+G23+G27</f>
        <v>15817.822313662851</v>
      </c>
      <c r="H3" s="56"/>
      <c r="I3" s="57"/>
      <c r="J3" s="57"/>
      <c r="K3" s="57"/>
      <c r="L3" s="58"/>
      <c r="P3" s="224">
        <v>17303.179940996975</v>
      </c>
      <c r="Q3" s="225">
        <f>(G3-P3)/P3</f>
        <v>-8.5843043440519212E-2</v>
      </c>
      <c r="S3" s="24"/>
      <c r="T3" s="24"/>
      <c r="U3" s="54"/>
    </row>
    <row r="4" spans="1:22">
      <c r="A4" s="318" t="s">
        <v>78</v>
      </c>
      <c r="B4" s="319"/>
      <c r="C4" s="319"/>
      <c r="D4" s="319"/>
      <c r="E4" s="319"/>
      <c r="F4" s="320"/>
      <c r="G4" s="1">
        <f>SUM(H4:L4)</f>
        <v>2794.7929386104961</v>
      </c>
      <c r="H4" s="59">
        <f>SUM(H6:H16)</f>
        <v>0</v>
      </c>
      <c r="I4" s="5">
        <f>SUM(I6:I16)</f>
        <v>2405.1647952431349</v>
      </c>
      <c r="J4" s="5">
        <f>SUM(J6:J16)*J2</f>
        <v>298.03247163431746</v>
      </c>
      <c r="K4" s="5">
        <f>SUM(K6:K16)*K2</f>
        <v>91.595671733043787</v>
      </c>
      <c r="L4" s="28">
        <f>SUM(L6:L16)</f>
        <v>0</v>
      </c>
      <c r="P4" s="226">
        <v>2690.1698014317012</v>
      </c>
      <c r="Q4" s="223">
        <f>(G4-P4)/P4</f>
        <v>3.8890904627326764E-2</v>
      </c>
      <c r="S4" s="24"/>
      <c r="T4" s="24"/>
      <c r="U4" s="54"/>
    </row>
    <row r="5" spans="1:22">
      <c r="A5" s="331" t="s">
        <v>79</v>
      </c>
      <c r="B5" s="332"/>
      <c r="C5" s="332"/>
      <c r="D5" s="332"/>
      <c r="E5" s="332"/>
      <c r="F5" s="333"/>
      <c r="G5" s="2"/>
      <c r="H5" s="60"/>
      <c r="I5" s="3"/>
      <c r="J5" s="3"/>
      <c r="K5" s="3"/>
      <c r="L5" s="26"/>
      <c r="P5" s="222"/>
      <c r="Q5" s="223"/>
      <c r="S5" s="24"/>
      <c r="T5" s="24"/>
      <c r="U5" s="54"/>
      <c r="V5" s="54"/>
    </row>
    <row r="6" spans="1:22">
      <c r="A6" s="328" t="s">
        <v>90</v>
      </c>
      <c r="B6" s="329"/>
      <c r="C6" s="329"/>
      <c r="D6" s="329"/>
      <c r="E6" s="329"/>
      <c r="F6" s="330"/>
      <c r="G6" s="7"/>
      <c r="H6" s="61">
        <f>SUMIFS(Calculations[t CO2 eq],Calculations[Πηγή εκπομπών],A6,Calculations[Κατηγορία πηγών εκπομπών],A5)</f>
        <v>0</v>
      </c>
      <c r="I6" s="41">
        <f>SUMIFS(Calculations[t CO2],Calculations[Πηγή εκπομπών],A6,Calculations[Κατηγορία πηγών εκπομπών],A5)</f>
        <v>451.91099931688444</v>
      </c>
      <c r="J6" s="53">
        <f>SUMIFS(Calculations[t CH4],Calculations[Πηγή εκπομπών],A6,Calculations[Κατηγορία πηγών εκπομπών],A5)</f>
        <v>3.0592726244059003E-2</v>
      </c>
      <c r="K6" s="42">
        <f>SUMIFS(Calculations[t N2O],Calculations[Πηγή εκπομπών],A6,Calculations[Κατηγορία πηγών εκπομπών],A5)</f>
        <v>2.3169177372762001E-3</v>
      </c>
      <c r="L6" s="32">
        <v>0</v>
      </c>
      <c r="P6" s="222"/>
      <c r="Q6" s="223"/>
      <c r="S6" s="24"/>
    </row>
    <row r="7" spans="1:22">
      <c r="A7" s="334" t="s">
        <v>292</v>
      </c>
      <c r="B7" s="335"/>
      <c r="C7" s="335"/>
      <c r="D7" s="335"/>
      <c r="E7" s="335"/>
      <c r="F7" s="336"/>
      <c r="G7" s="7"/>
      <c r="H7" s="61">
        <f>SUMIF(Calculations[Πηγή εκπομπών],A7,Calculations[t CO2 eq])</f>
        <v>0</v>
      </c>
      <c r="I7" s="41">
        <f>SUMIF(Calculations[Πηγή εκπομπών],A7,Calculations[t CO2])</f>
        <v>0</v>
      </c>
      <c r="J7" s="41">
        <f>SUMIF(Calculations[Πηγή εκπομπών],A7,Calculations[t CH4])</f>
        <v>8.6476363631972273</v>
      </c>
      <c r="K7" s="41">
        <f>SUMIF(Calculations[Πηγή εκπομπών],A7,Calculations[t N2O])</f>
        <v>0.13885911761420316</v>
      </c>
      <c r="L7" s="32">
        <f>SUMIF(Calculations[Πηγή εκπομπών],A7,Calculations[t HFCs])</f>
        <v>0</v>
      </c>
      <c r="P7" s="222"/>
      <c r="Q7" s="223"/>
      <c r="S7" s="24"/>
    </row>
    <row r="8" spans="1:22">
      <c r="A8" s="331" t="s">
        <v>91</v>
      </c>
      <c r="B8" s="332"/>
      <c r="C8" s="332"/>
      <c r="D8" s="332"/>
      <c r="E8" s="332"/>
      <c r="F8" s="333"/>
      <c r="G8" s="2"/>
      <c r="H8" s="60"/>
      <c r="I8" s="3"/>
      <c r="J8" s="3"/>
      <c r="K8" s="3"/>
      <c r="L8" s="26"/>
      <c r="P8" s="222"/>
      <c r="Q8" s="223"/>
      <c r="S8" s="24"/>
    </row>
    <row r="9" spans="1:22">
      <c r="A9" s="328" t="s">
        <v>90</v>
      </c>
      <c r="B9" s="329"/>
      <c r="C9" s="329"/>
      <c r="D9" s="329"/>
      <c r="E9" s="329"/>
      <c r="F9" s="330"/>
      <c r="G9" s="7"/>
      <c r="H9" s="61">
        <f>SUMIFS(Calculations[t CO2 eq],Calculations[Πηγή εκπομπών],A9,Calculations[Κατηγορία πηγών εκπομπών],A8)</f>
        <v>0</v>
      </c>
      <c r="I9" s="41">
        <f>SUMIFS(Calculations[t CO2],Calculations[Πηγή εκπομπών],A9,Calculations[Κατηγορία πηγών εκπομπών],A8)</f>
        <v>231.92196481931404</v>
      </c>
      <c r="J9" s="53">
        <f>SUMIFS(Calculations[t CH4],Calculations[Πηγή εκπομπών],A9,Calculations[Κατηγορία πηγών εκπομπών],A8)</f>
        <v>6.7958682502436947E-3</v>
      </c>
      <c r="K9" s="42">
        <f>SUMIFS(Calculations[t N2O],Calculations[Πηγή εκπομπών],A9,Calculations[Κατηγορία πηγών εκπομπών],A8)</f>
        <v>8.1247836009695363E-3</v>
      </c>
      <c r="L9" s="32">
        <v>0</v>
      </c>
      <c r="P9" s="222"/>
      <c r="Q9" s="223"/>
    </row>
    <row r="10" spans="1:22">
      <c r="A10" s="328" t="s">
        <v>259</v>
      </c>
      <c r="B10" s="329"/>
      <c r="C10" s="329"/>
      <c r="D10" s="329"/>
      <c r="E10" s="329"/>
      <c r="F10" s="330"/>
      <c r="G10" s="7"/>
      <c r="H10" s="61">
        <f>SUMIFS(Calculations[t CO2 eq],Calculations[Πηγή εκπομπών],A10,Calculations[Κατηγορία πηγών εκπομπών],A8)</f>
        <v>0</v>
      </c>
      <c r="I10" s="41">
        <f>SUMIFS(Calculations[t CO2],Calculations[Πηγή εκπομπών],A10,Calculations[Κατηγορία πηγών εκπομπών],A8)</f>
        <v>4.6835197507612802</v>
      </c>
      <c r="J10" s="53">
        <f>SUMIFS(Calculations[t CH4],Calculations[Πηγή εκπομπών],A10,Calculations[Κατηγορία πηγών εκπομπών],A8)</f>
        <v>1.3256058548748834E-4</v>
      </c>
      <c r="K10" s="42">
        <f>SUMIFS(Calculations[t N2O],Calculations[Πηγή εκπομπών],A10,Calculations[Κατηγορία πηγών εκπομπών],A8)</f>
        <v>1.6668047885974845E-4</v>
      </c>
      <c r="L10" s="32">
        <v>0</v>
      </c>
      <c r="P10" s="222"/>
      <c r="Q10" s="223"/>
      <c r="S10" s="24"/>
    </row>
    <row r="11" spans="1:22">
      <c r="A11" s="334" t="s">
        <v>89</v>
      </c>
      <c r="B11" s="335"/>
      <c r="C11" s="335"/>
      <c r="D11" s="335"/>
      <c r="E11" s="335"/>
      <c r="F11" s="336"/>
      <c r="G11" s="7"/>
      <c r="H11" s="61">
        <f>SUMIFS(Calculations[t CO2 eq],Calculations[Πηγή εκπομπών],A11,Calculations[Κατηγορία πηγών εκπομπών],A8)</f>
        <v>0</v>
      </c>
      <c r="I11" s="41">
        <f>SUMIFS(Calculations[t CO2],Calculations[Πηγή εκπομπών],A11,Calculations[Κατηγορία πηγών εκπομπών],A8)</f>
        <v>1642.2795892089898</v>
      </c>
      <c r="J11" s="53">
        <f>SUMIFS(Calculations[t CH4],Calculations[Πηγή εκπομπών],A11,Calculations[Κατηγορία πηγών εκπομπών],A8)</f>
        <v>2.9497612738374316E-2</v>
      </c>
      <c r="K11" s="42">
        <f>SUMIFS(Calculations[t N2O],Calculations[Πηγή εκπομπών],A11,Calculations[Κατηγορία πηγών εκπομπών],A8)</f>
        <v>2.949761273837431E-3</v>
      </c>
      <c r="L11" s="32">
        <v>0</v>
      </c>
      <c r="P11" s="222"/>
      <c r="Q11" s="223"/>
    </row>
    <row r="12" spans="1:22">
      <c r="A12" s="328" t="s">
        <v>302</v>
      </c>
      <c r="B12" s="329"/>
      <c r="C12" s="329"/>
      <c r="D12" s="329"/>
      <c r="E12" s="329"/>
      <c r="F12" s="330"/>
      <c r="G12" s="7"/>
      <c r="H12" s="75">
        <f>SUMIF(Calculations[Πηγή εκπομπών],A12,Calculations[t CO2 eq])</f>
        <v>0</v>
      </c>
      <c r="I12" s="53">
        <f>SUMIF(Calculations[Πηγή εκπομπών],A12,Calculations[t CO2])</f>
        <v>0</v>
      </c>
      <c r="J12" s="53">
        <f>SUMIF(Calculations[Πηγή εκπομπών],A12,Calculations[t CH4])</f>
        <v>2.0259182916197648E-4</v>
      </c>
      <c r="K12" s="53">
        <f>SUMIF(Calculations[Πηγή εκπομπών],A12,Calculations[t N2O])</f>
        <v>2.0259182916197648E-5</v>
      </c>
      <c r="L12" s="76">
        <f>SUMIF(Calculations[Πηγή εκπομπών],A12,Calculations[t HFCs])</f>
        <v>0</v>
      </c>
      <c r="P12" s="222"/>
      <c r="Q12" s="223"/>
      <c r="V12" s="24"/>
    </row>
    <row r="13" spans="1:22">
      <c r="A13" s="331" t="s">
        <v>258</v>
      </c>
      <c r="B13" s="332"/>
      <c r="C13" s="332"/>
      <c r="D13" s="332"/>
      <c r="E13" s="332"/>
      <c r="F13" s="333"/>
      <c r="G13" s="2"/>
      <c r="H13" s="60"/>
      <c r="I13" s="3"/>
      <c r="J13" s="3"/>
      <c r="K13" s="3"/>
      <c r="L13" s="26"/>
      <c r="P13" s="222"/>
      <c r="Q13" s="223"/>
      <c r="V13" s="24"/>
    </row>
    <row r="14" spans="1:22">
      <c r="A14" s="328" t="s">
        <v>90</v>
      </c>
      <c r="B14" s="329"/>
      <c r="C14" s="329"/>
      <c r="D14" s="329"/>
      <c r="E14" s="329"/>
      <c r="F14" s="330"/>
      <c r="G14" s="7"/>
      <c r="H14" s="61">
        <f>SUMIFS(Calculations[t CO2 eq],Calculations[Πηγή εκπομπών],A14,Calculations[Κατηγορία πηγών εκπομπών],A13)</f>
        <v>0</v>
      </c>
      <c r="I14" s="41">
        <f>SUMIFS(Calculations[t CO2],Calculations[Πηγή εκπομπών],A14,Calculations[Κατηγορία πηγών εκπομπών],A13)</f>
        <v>68.52844319756197</v>
      </c>
      <c r="J14" s="53">
        <f>SUMIFS(Calculations[t CH4],Calculations[Πηγή εκπομπών],A14,Calculations[Κατηγορία πηγών εκπομπών],A13)</f>
        <v>2.6780357778900007E-3</v>
      </c>
      <c r="K14" s="42">
        <f>SUMIFS(Calculations[t N2O],Calculations[Πηγή εκπομπών],A14,Calculations[Κατηγορία πηγών εκπομπών],A13)</f>
        <v>5.3560715557800004E-4</v>
      </c>
      <c r="L14" s="32">
        <v>0</v>
      </c>
      <c r="P14" s="222"/>
      <c r="Q14" s="223"/>
    </row>
    <row r="15" spans="1:22">
      <c r="A15" s="337" t="s">
        <v>259</v>
      </c>
      <c r="B15" s="338"/>
      <c r="C15" s="338"/>
      <c r="D15" s="338"/>
      <c r="E15" s="338"/>
      <c r="F15" s="339"/>
      <c r="G15" s="7"/>
      <c r="H15" s="61">
        <f>SUMIFS(Calculations[t CO2 eq],Calculations[Πηγή εκπομπών],A15,Calculations[Κατηγορία πηγών εκπομπών],A13)</f>
        <v>0</v>
      </c>
      <c r="I15" s="41">
        <f>SUMIFS(Calculations[t CO2],Calculations[Πηγή εκπομπών],A15,Calculations[Κατηγορία πηγών εκπομπών],A13)</f>
        <v>5.8402789496236931</v>
      </c>
      <c r="J15" s="53">
        <f>SUMIFS(Calculations[t CH4],Calculations[Πηγή εκπομπών],A15,Calculations[Κατηγορία πηγών εκπομπών],A13)</f>
        <v>2.2808685964350003E-4</v>
      </c>
      <c r="K15" s="42">
        <f>SUMIFS(Calculations[t N2O],Calculations[Πηγή εκπομπών],A15,Calculations[Κατηγορία πηγών εκπομπών],A13)</f>
        <v>4.561737192869999E-5</v>
      </c>
      <c r="L15" s="32">
        <v>0</v>
      </c>
      <c r="P15" s="222"/>
      <c r="Q15" s="223"/>
    </row>
    <row r="16" spans="1:22" ht="17.399999999999999" customHeight="1">
      <c r="A16" s="328" t="s">
        <v>301</v>
      </c>
      <c r="B16" s="329"/>
      <c r="C16" s="329"/>
      <c r="D16" s="329"/>
      <c r="E16" s="329"/>
      <c r="F16" s="330"/>
      <c r="G16" s="7"/>
      <c r="H16" s="61">
        <f>SUMIFS(Calculations[t CO2 eq],Calculations[Πηγή εκπομπών],A16,Calculations[Κατηγορία πηγών εκπομπών],A13)</f>
        <v>0</v>
      </c>
      <c r="I16" s="41">
        <f>SUMIF(Calculations[Πηγή εκπομπών],A16,Calculations[t CO2])</f>
        <v>0</v>
      </c>
      <c r="J16" s="41">
        <f>SUMIF(Calculations[Πηγή εκπομπών],A16,Calculations[t CH4])</f>
        <v>1.9262529986006793</v>
      </c>
      <c r="K16" s="41">
        <f>SUMIF(Calculations[Πηγή εκπομπών],A16,Calculations[t N2O])</f>
        <v>0.19262529986006793</v>
      </c>
      <c r="L16" s="32">
        <f>SUMIF(Calculations[Πηγή εκπομπών],A16,Calculations[t HFCs])</f>
        <v>0</v>
      </c>
      <c r="P16" s="222"/>
      <c r="Q16" s="223"/>
    </row>
    <row r="17" spans="1:17">
      <c r="A17" s="318" t="s">
        <v>80</v>
      </c>
      <c r="B17" s="319"/>
      <c r="C17" s="319"/>
      <c r="D17" s="319"/>
      <c r="E17" s="319"/>
      <c r="F17" s="320"/>
      <c r="G17" s="4">
        <f>SUM(H17:L17)</f>
        <v>6221.9492721241786</v>
      </c>
      <c r="H17" s="59">
        <f>SUM(H18:H22)</f>
        <v>0</v>
      </c>
      <c r="I17" s="5">
        <f>SUM(I18:I22)*I$2</f>
        <v>6161.1135214568658</v>
      </c>
      <c r="J17" s="5">
        <f>SUM(J18:J22)*J$2</f>
        <v>10.046299921211176</v>
      </c>
      <c r="K17" s="5">
        <f>SUM(K18:K22)*K$2</f>
        <v>50.789450746101657</v>
      </c>
      <c r="L17" s="28">
        <v>0</v>
      </c>
      <c r="P17" s="226">
        <v>7139.4022964722526</v>
      </c>
      <c r="Q17" s="223">
        <f>(G17-P17)/P17</f>
        <v>-0.128505578793537</v>
      </c>
    </row>
    <row r="18" spans="1:17">
      <c r="A18" s="331" t="s">
        <v>99</v>
      </c>
      <c r="B18" s="332"/>
      <c r="C18" s="332"/>
      <c r="D18" s="332"/>
      <c r="E18" s="332"/>
      <c r="F18" s="333"/>
      <c r="G18" s="6"/>
      <c r="H18" s="62"/>
      <c r="I18" s="63"/>
      <c r="J18" s="63"/>
      <c r="K18" s="63"/>
      <c r="L18" s="31"/>
      <c r="P18" s="222"/>
      <c r="Q18" s="223"/>
    </row>
    <row r="19" spans="1:17">
      <c r="A19" s="328" t="s">
        <v>100</v>
      </c>
      <c r="B19" s="329"/>
      <c r="C19" s="329"/>
      <c r="D19" s="329"/>
      <c r="E19" s="329"/>
      <c r="F19" s="330"/>
      <c r="G19" s="7"/>
      <c r="H19" s="61">
        <f>SUMIFS(Calculations[t CO2 eq],Calculations[Πηγή εκπομπών],A19,Calculations[Κατηγορία πηγών εκπομπών],A18)</f>
        <v>0</v>
      </c>
      <c r="I19" s="41">
        <f>SUMIFS(Calculations[t CO2],Calculations[Πηγή εκπομπών],A19,Calculations[Κατηγορία πηγών εκπομπών],A18)</f>
        <v>5736.2515454383611</v>
      </c>
      <c r="J19" s="53">
        <f>SUMIFS(Calculations[t CH4],Calculations[Πηγή εκπομπών],A19,Calculations[Κατηγορία πηγών εκπομπών],A18)</f>
        <v>0.28240834477530435</v>
      </c>
      <c r="K19" s="42">
        <f>SUMIFS(Calculations[t N2O],Calculations[Πηγή εκπομπών],A19,Calculations[Κατηγορία πηγών εκπομπών],A18)</f>
        <v>0.18314734635148697</v>
      </c>
      <c r="L19" s="32">
        <v>0</v>
      </c>
      <c r="P19" s="222"/>
      <c r="Q19" s="223"/>
    </row>
    <row r="20" spans="1:17">
      <c r="A20" s="328" t="s">
        <v>260</v>
      </c>
      <c r="B20" s="329"/>
      <c r="C20" s="329"/>
      <c r="D20" s="329"/>
      <c r="E20" s="329"/>
      <c r="F20" s="330"/>
      <c r="G20" s="7"/>
      <c r="H20" s="61">
        <f>SUMIFS(Calculations[t CO2 eq],Calculations[Πηγή εκπομπών],A20,Calculations[Κατηγορία πηγών εκπομπών],A18)</f>
        <v>0</v>
      </c>
      <c r="I20" s="41">
        <f>SUMIFS(Calculations[t CO2],Calculations[Πηγή εκπομπών],A20,Calculations[Κατηγορία πηγών εκπομπών],A18)</f>
        <v>405.28705715633964</v>
      </c>
      <c r="J20" s="53">
        <f>SUMIFS(Calculations[t CH4],Calculations[Πηγή εκπομπών],A20,Calculations[Κατηγορία πηγών εκπομπών],A18)</f>
        <v>7.3775722455008227E-2</v>
      </c>
      <c r="K20" s="42">
        <f>SUMIFS(Calculations[t N2O],Calculations[Πηγή εκπομπών],A20,Calculations[Κατηγορία πηγών εκπομπών],A18)</f>
        <v>8.0008770950072763E-3</v>
      </c>
      <c r="L20" s="32">
        <v>0</v>
      </c>
      <c r="P20" s="222"/>
      <c r="Q20" s="223"/>
    </row>
    <row r="21" spans="1:17">
      <c r="A21" s="334" t="s">
        <v>101</v>
      </c>
      <c r="B21" s="335"/>
      <c r="C21" s="335"/>
      <c r="D21" s="335"/>
      <c r="E21" s="335"/>
      <c r="F21" s="336"/>
      <c r="G21" s="7"/>
      <c r="H21" s="61">
        <f>SUMIFS(Calculations[t CO2 eq],Calculations[Πηγή εκπομπών],A21,Calculations[Κατηγορία πηγών εκπομπών],A17)</f>
        <v>0</v>
      </c>
      <c r="I21" s="41">
        <f>SUMIFS(Calculations[t CO2],Calculations[Πηγή εκπομπών],A21,Calculations[Κατηγορία πηγών εκπομπών],A18)</f>
        <v>19.57491886216496</v>
      </c>
      <c r="J21" s="53">
        <f>SUMIFS(Calculations[t CH4],Calculations[Πηγή εκπομπών],A21,Calculations[Κατηγορία πηγών εκπομπών],A18)</f>
        <v>2.6123585272294228E-3</v>
      </c>
      <c r="K21" s="42">
        <f>SUMIFS(Calculations[t N2O],Calculations[Πηγή εκπομπών],A21,Calculations[Κατηγορία πηγών εκπομπών],A18)</f>
        <v>5.1008125577618421E-4</v>
      </c>
      <c r="L21" s="32">
        <v>0</v>
      </c>
      <c r="P21" s="222"/>
      <c r="Q21" s="223"/>
    </row>
    <row r="22" spans="1:17">
      <c r="A22" s="328" t="s">
        <v>262</v>
      </c>
      <c r="B22" s="329"/>
      <c r="C22" s="329"/>
      <c r="D22" s="329"/>
      <c r="E22" s="329"/>
      <c r="F22" s="330"/>
      <c r="G22" s="7"/>
      <c r="H22" s="61">
        <f>SUMIFS(Calculations[t CO2 eq],Calculations[Πηγή εκπομπών],A22,Calculations[Κατηγορία πηγών εκπομπών],A17)</f>
        <v>0</v>
      </c>
      <c r="I22" s="41">
        <f>SUMIFS(Calculations[t CO2],Calculations[Πηγή εκπομπών],A22,Calculations[Κατηγορία πηγών εκπομπών],A18)</f>
        <v>0</v>
      </c>
      <c r="J22" s="53">
        <f>SUMIFS(Calculations[t CH4],Calculations[Πηγή εκπομπών],A22,Calculations[Κατηγορία πηγών εκπομπών],A18)</f>
        <v>0</v>
      </c>
      <c r="K22" s="42">
        <f>SUMIFS(Calculations[t N2O],Calculations[Πηγή εκπομπών],A22,Calculations[Κατηγορία πηγών εκπομπών],A18)</f>
        <v>0</v>
      </c>
      <c r="L22" s="32">
        <v>0</v>
      </c>
      <c r="P22" s="222"/>
      <c r="Q22" s="223"/>
    </row>
    <row r="23" spans="1:17">
      <c r="A23" s="318" t="s">
        <v>81</v>
      </c>
      <c r="B23" s="319"/>
      <c r="C23" s="319"/>
      <c r="D23" s="319"/>
      <c r="E23" s="319"/>
      <c r="F23" s="320"/>
      <c r="G23" s="4">
        <f>SUM(H23:L23)</f>
        <v>549.15301404140371</v>
      </c>
      <c r="H23" s="64">
        <f>H24+H25+H26</f>
        <v>0</v>
      </c>
      <c r="I23" s="34">
        <f>SUM(I24:I26)*I2</f>
        <v>0.13606000000000001</v>
      </c>
      <c r="J23" s="34">
        <f>SUM(J24:J26)*J2</f>
        <v>0</v>
      </c>
      <c r="K23" s="34">
        <f>SUM(K24:K26)*K2</f>
        <v>0</v>
      </c>
      <c r="L23" s="30">
        <f>SUM(L24:L26)*L2</f>
        <v>549.01695404140366</v>
      </c>
      <c r="P23" s="226">
        <v>819.41214800000012</v>
      </c>
      <c r="Q23" s="223">
        <f>(G23-P23)/P23</f>
        <v>-0.32982075579211007</v>
      </c>
    </row>
    <row r="24" spans="1:17">
      <c r="A24" s="328" t="s">
        <v>82</v>
      </c>
      <c r="B24" s="329"/>
      <c r="C24" s="329"/>
      <c r="D24" s="329"/>
      <c r="E24" s="329"/>
      <c r="F24" s="330"/>
      <c r="G24" s="7"/>
      <c r="H24" s="61">
        <f>SUMIFS(Calculations[t CO2 eq],Calculations[Πηγή εκπομπών],A24,Calculations[Κατηγορία πηγών εκπομπών],A23)</f>
        <v>0</v>
      </c>
      <c r="I24" s="41">
        <f>SUMIF(Calculations[Πηγή εκπομπών],A24,Calculations[t CO2])</f>
        <v>0</v>
      </c>
      <c r="J24" s="42">
        <f>SUMIF(Calculations[Πηγή εκπομπών],A24,Calculations[t CH4])</f>
        <v>0</v>
      </c>
      <c r="K24" s="42">
        <f>SUMIF(Calculations[Πηγή εκπομπών],A24,Calculations[t N2O])</f>
        <v>0</v>
      </c>
      <c r="L24" s="32">
        <f>SUMIF(Calculations[Πηγή εκπομπών],A24,Calculations[t HFCs])</f>
        <v>0.38520373485839615</v>
      </c>
      <c r="P24" s="222"/>
      <c r="Q24" s="223"/>
    </row>
    <row r="25" spans="1:17" ht="18" customHeight="1">
      <c r="A25" s="328" t="s">
        <v>92</v>
      </c>
      <c r="B25" s="329"/>
      <c r="C25" s="329"/>
      <c r="D25" s="329"/>
      <c r="E25" s="329"/>
      <c r="F25" s="330"/>
      <c r="G25" s="7"/>
      <c r="H25" s="61">
        <f>SUMIFS(Calculations[t CO2 eq],Calculations[Πηγή εκπομπών],A25,Calculations[Κατηγορία πηγών εκπομπών],A23)</f>
        <v>0</v>
      </c>
      <c r="I25" s="41">
        <f>SUMIF(Calculations[Πηγή εκπομπών],A25,Calculations[t CO2])</f>
        <v>0</v>
      </c>
      <c r="J25" s="41">
        <f>SUMIF(Calculations[Πηγή εκπομπών],A25,Calculations[t CH4])</f>
        <v>0</v>
      </c>
      <c r="K25" s="41">
        <f>SUMIF(Calculations[Πηγή εκπομπών],A25,Calculations[t N2O])</f>
        <v>0</v>
      </c>
      <c r="L25" s="32">
        <f>SUMIF(Calculations[Πηγή εκπομπών],A25,Calculations[t HFCs])</f>
        <v>0</v>
      </c>
      <c r="P25" s="222"/>
      <c r="Q25" s="223"/>
    </row>
    <row r="26" spans="1:17" ht="18" customHeight="1">
      <c r="A26" s="328" t="s">
        <v>1185</v>
      </c>
      <c r="B26" s="329"/>
      <c r="C26" s="329"/>
      <c r="D26" s="329"/>
      <c r="E26" s="329"/>
      <c r="F26" s="330"/>
      <c r="G26" s="7"/>
      <c r="H26" s="61">
        <f>SUMIFS(Calculations[t CO2 eq],Calculations[Πηγή εκπομπών],A26,Calculations[Κατηγορία πηγών εκπομπών],A24)</f>
        <v>0</v>
      </c>
      <c r="I26" s="41">
        <f>SUMIF(Calculations[Πηγή εκπομπών],A26,Calculations[t CO2])</f>
        <v>0.13606000000000001</v>
      </c>
      <c r="J26" s="41">
        <f>SUMIF(Calculations[Πηγή εκπομπών],A26,Calculations[t CH4])</f>
        <v>0</v>
      </c>
      <c r="K26" s="41">
        <f>SUMIF(Calculations[Πηγή εκπομπών],A26,Calculations[t N2O])</f>
        <v>0</v>
      </c>
      <c r="L26" s="32">
        <f>SUMIF(Calculations[Πηγή εκπομπών],A26,Calculations[t HFCs])</f>
        <v>0</v>
      </c>
      <c r="P26" s="222"/>
      <c r="Q26" s="223"/>
    </row>
    <row r="27" spans="1:17">
      <c r="A27" s="318" t="s">
        <v>98</v>
      </c>
      <c r="B27" s="319"/>
      <c r="C27" s="319"/>
      <c r="D27" s="319"/>
      <c r="E27" s="319"/>
      <c r="F27" s="320"/>
      <c r="G27" s="4">
        <f>SUM(H27:L27)</f>
        <v>6251.9270888867732</v>
      </c>
      <c r="H27" s="64">
        <f>SUM(H28:H29)</f>
        <v>50.236114589779646</v>
      </c>
      <c r="I27" s="34">
        <f>SUM(I28:I29)*I2</f>
        <v>6201.6909742969938</v>
      </c>
      <c r="J27" s="34">
        <f>SUM(J28:J29)*J2</f>
        <v>0</v>
      </c>
      <c r="K27" s="34">
        <f>SUM(K28:K29)*K2</f>
        <v>0</v>
      </c>
      <c r="L27" s="30">
        <f>SUM(L28:L29)*L2</f>
        <v>0</v>
      </c>
      <c r="P27" s="226">
        <v>6654.1956950930235</v>
      </c>
      <c r="Q27" s="223">
        <f>(G27-P27)/P27</f>
        <v>-6.045337778431939E-2</v>
      </c>
    </row>
    <row r="28" spans="1:17">
      <c r="A28" s="328" t="s">
        <v>93</v>
      </c>
      <c r="B28" s="329"/>
      <c r="C28" s="329"/>
      <c r="D28" s="329"/>
      <c r="E28" s="329"/>
      <c r="F28" s="330"/>
      <c r="G28" s="7"/>
      <c r="H28" s="61">
        <f>SUMIF(Calculations[Πηγή εκπομπών],A28,Calculations[t CO2 eq])</f>
        <v>0</v>
      </c>
      <c r="I28" s="41">
        <f>SUMIF(Calculations[Πηγή εκπομπών],A28,Calculations[t CO2])</f>
        <v>6201.6909742969938</v>
      </c>
      <c r="J28" s="42">
        <f>SUMIF(Calculations[Πηγή εκπομπών],A28,Calculations[t CH4])</f>
        <v>0</v>
      </c>
      <c r="K28" s="42">
        <f>SUMIF(Calculations[Πηγή εκπομπών],A28,Calculations[t N2O])</f>
        <v>0</v>
      </c>
      <c r="L28" s="32">
        <f>SUMIF(Calculations[Πηγή εκπομπών],A28,Calculations[t HFCs])</f>
        <v>0</v>
      </c>
      <c r="P28" s="222"/>
      <c r="Q28" s="223"/>
    </row>
    <row r="29" spans="1:17">
      <c r="A29" s="328" t="s">
        <v>94</v>
      </c>
      <c r="B29" s="329"/>
      <c r="C29" s="329"/>
      <c r="D29" s="329"/>
      <c r="E29" s="329"/>
      <c r="F29" s="330"/>
      <c r="G29" s="7"/>
      <c r="H29" s="61">
        <f>SUMIF(Calculations[Πηγή εκπομπών],A29,Calculations[t CO2 eq])</f>
        <v>50.236114589779646</v>
      </c>
      <c r="I29" s="41">
        <f>SUMIF(Calculations[Πηγή εκπομπών],A29,Calculations[t CO2])</f>
        <v>0</v>
      </c>
      <c r="J29" s="41">
        <f>SUMIF(Calculations[Πηγή εκπομπών],A29,Calculations[t CH4])</f>
        <v>0</v>
      </c>
      <c r="K29" s="41">
        <f>SUMIF(Calculations[Πηγή εκπομπών],A29,Calculations[t N2O])</f>
        <v>0</v>
      </c>
      <c r="L29" s="32">
        <f>SUMIF(Calculations[Πηγή εκπομπών],A29,Calculations[t HFCs])</f>
        <v>0</v>
      </c>
      <c r="P29" s="222"/>
      <c r="Q29" s="223"/>
    </row>
    <row r="30" spans="1:17" ht="17.399999999999999">
      <c r="A30" s="351" t="s">
        <v>83</v>
      </c>
      <c r="B30" s="352"/>
      <c r="C30" s="352"/>
      <c r="D30" s="352"/>
      <c r="E30" s="352"/>
      <c r="F30" s="353"/>
      <c r="G30" s="40">
        <f>G31</f>
        <v>22055.414838961671</v>
      </c>
      <c r="H30" s="65"/>
      <c r="I30" s="66"/>
      <c r="J30" s="66"/>
      <c r="K30" s="66"/>
      <c r="L30" s="37"/>
      <c r="N30" s="48" t="s">
        <v>1341</v>
      </c>
      <c r="P30" s="224">
        <v>29243.030369549637</v>
      </c>
      <c r="Q30" s="225">
        <f>(G30-P30)/P30</f>
        <v>-0.24578901159547167</v>
      </c>
    </row>
    <row r="31" spans="1:17">
      <c r="A31" s="318" t="s">
        <v>84</v>
      </c>
      <c r="B31" s="319"/>
      <c r="C31" s="319"/>
      <c r="D31" s="319"/>
      <c r="E31" s="319"/>
      <c r="F31" s="320"/>
      <c r="G31" s="88">
        <f>SUM(H31:L31)</f>
        <v>22055.414838961671</v>
      </c>
      <c r="H31" s="59">
        <f>H32</f>
        <v>0</v>
      </c>
      <c r="I31" s="5">
        <f>SUM(I32:I32)</f>
        <v>22001.218085359349</v>
      </c>
      <c r="J31" s="5">
        <f>SUM(J32:J32)*J2</f>
        <v>11.067463666106926</v>
      </c>
      <c r="K31" s="5">
        <f>SUM(K32:K32)*K2</f>
        <v>43.129289936216949</v>
      </c>
      <c r="L31" s="28">
        <v>0</v>
      </c>
      <c r="N31" s="74">
        <f>SUM(Calculations[Sum t eCO2-market])</f>
        <v>29056.875502120663</v>
      </c>
      <c r="P31" s="226">
        <v>29243.030369549637</v>
      </c>
      <c r="Q31" s="227"/>
    </row>
    <row r="32" spans="1:17">
      <c r="A32" s="358" t="s">
        <v>85</v>
      </c>
      <c r="B32" s="359"/>
      <c r="C32" s="359"/>
      <c r="D32" s="359"/>
      <c r="E32" s="359"/>
      <c r="F32" s="360"/>
      <c r="G32" s="7"/>
      <c r="H32" s="61">
        <f>SUMIF(Calculations[Πηγή εκπομπών],A32,Calculations[t CO2 eq])</f>
        <v>0</v>
      </c>
      <c r="I32" s="41">
        <f>SUMIF(Calculations[Πηγή εκπομπών],A32,Calculations[t CO2])</f>
        <v>22001.218085359349</v>
      </c>
      <c r="J32" s="42">
        <f>SUMIF(Calculations[Πηγή εκπομπών],A32,Calculations[t CH4])</f>
        <v>0.39526655950381878</v>
      </c>
      <c r="K32" s="42">
        <f>SUMIF(Calculations[Πηγή εκπομπών],A32,Calculations[t N2O])</f>
        <v>0.16275203749515829</v>
      </c>
      <c r="L32" s="32">
        <v>0</v>
      </c>
      <c r="P32" s="222"/>
      <c r="Q32" s="223"/>
    </row>
    <row r="33" spans="1:18" ht="17.399999999999999">
      <c r="A33" s="351" t="s">
        <v>332</v>
      </c>
      <c r="B33" s="352"/>
      <c r="C33" s="352"/>
      <c r="D33" s="352"/>
      <c r="E33" s="352"/>
      <c r="F33" s="353"/>
      <c r="G33" s="40">
        <f>SUM(G34:G76)</f>
        <v>308957.84161717078</v>
      </c>
      <c r="H33" s="65"/>
      <c r="I33" s="66"/>
      <c r="J33" s="66"/>
      <c r="K33" s="66"/>
      <c r="L33" s="37"/>
      <c r="P33" s="224">
        <v>374655.82135224738</v>
      </c>
      <c r="Q33" s="225">
        <f>(G33-P33)/P33</f>
        <v>-0.17535555566160033</v>
      </c>
    </row>
    <row r="34" spans="1:18">
      <c r="A34" s="318" t="s">
        <v>587</v>
      </c>
      <c r="B34" s="319"/>
      <c r="C34" s="319"/>
      <c r="D34" s="319"/>
      <c r="E34" s="319"/>
      <c r="F34" s="320"/>
      <c r="G34" s="88">
        <f>SUM(H34:L34)</f>
        <v>22508.220529523638</v>
      </c>
      <c r="H34" s="59">
        <f>H35</f>
        <v>22508.220529523638</v>
      </c>
      <c r="I34" s="5">
        <f>SUM(I35:I35)</f>
        <v>0</v>
      </c>
      <c r="J34" s="5">
        <f>SUM(J35:J35)*$J$2</f>
        <v>0</v>
      </c>
      <c r="K34" s="5">
        <f>SUM(K35:K35)*$K$2</f>
        <v>0</v>
      </c>
      <c r="L34" s="28">
        <v>0</v>
      </c>
      <c r="P34" s="226">
        <v>18262.538724180864</v>
      </c>
      <c r="Q34" s="223"/>
    </row>
    <row r="35" spans="1:18">
      <c r="A35" s="328" t="s">
        <v>347</v>
      </c>
      <c r="B35" s="329"/>
      <c r="C35" s="329"/>
      <c r="D35" s="329"/>
      <c r="E35" s="329"/>
      <c r="F35" s="330"/>
      <c r="G35" s="27"/>
      <c r="H35" s="61">
        <f>SUMIF(Calculations[Πηγή εκπομπών],A35,Calculations[t CO2 eq])</f>
        <v>22508.220529523638</v>
      </c>
      <c r="I35" s="41">
        <f>SUMIF(Calculations[Πηγή εκπομπών],A35,Calculations[t CO2])</f>
        <v>0</v>
      </c>
      <c r="J35" s="42">
        <f>SUMIF(Calculations[Πηγή εκπομπών],A35,Calculations[t CH4])</f>
        <v>0</v>
      </c>
      <c r="K35" s="42">
        <f>SUMIF(Calculations[Πηγή εκπομπών],A35,Calculations[t N2O])</f>
        <v>0</v>
      </c>
      <c r="L35" s="32">
        <v>0</v>
      </c>
      <c r="P35" s="222"/>
      <c r="Q35" s="223"/>
    </row>
    <row r="36" spans="1:18">
      <c r="A36" s="318" t="s">
        <v>588</v>
      </c>
      <c r="B36" s="319"/>
      <c r="C36" s="319"/>
      <c r="D36" s="319"/>
      <c r="E36" s="319"/>
      <c r="F36" s="320"/>
      <c r="G36" s="88">
        <f>SUM(H36:L36)</f>
        <v>20629.32423670364</v>
      </c>
      <c r="H36" s="59">
        <f>H37</f>
        <v>20629.32423670364</v>
      </c>
      <c r="I36" s="5">
        <f>SUM(I37:I37)</f>
        <v>0</v>
      </c>
      <c r="J36" s="5">
        <f>SUM(J37:J37)*$J$2</f>
        <v>0</v>
      </c>
      <c r="K36" s="5">
        <f>SUM(K37:K37)*$K$2</f>
        <v>0</v>
      </c>
      <c r="L36" s="28">
        <v>0</v>
      </c>
      <c r="P36" s="226">
        <v>13464.827026958445</v>
      </c>
      <c r="Q36" s="223"/>
    </row>
    <row r="37" spans="1:18">
      <c r="A37" s="328" t="s">
        <v>348</v>
      </c>
      <c r="B37" s="329"/>
      <c r="C37" s="329"/>
      <c r="D37" s="329"/>
      <c r="E37" s="329"/>
      <c r="F37" s="330"/>
      <c r="G37" s="27"/>
      <c r="H37" s="61">
        <f>SUMIF(Calculations[Πηγή εκπομπών],A37,Calculations[t CO2 eq])</f>
        <v>20629.32423670364</v>
      </c>
      <c r="I37" s="41">
        <f>SUMIF(Calculations[Πηγή εκπομπών],A37,Calculations[t CO2])</f>
        <v>0</v>
      </c>
      <c r="J37" s="42">
        <f>SUMIF(Calculations[Πηγή εκπομπών],A37,Calculations[t CH4])</f>
        <v>0</v>
      </c>
      <c r="K37" s="42">
        <f>SUMIF(Calculations[Πηγή εκπομπών],A37,Calculations[t N2O])</f>
        <v>0</v>
      </c>
      <c r="L37" s="32">
        <v>0</v>
      </c>
      <c r="P37" s="222"/>
      <c r="Q37" s="223"/>
    </row>
    <row r="38" spans="1:18">
      <c r="A38" s="318" t="s">
        <v>589</v>
      </c>
      <c r="B38" s="319"/>
      <c r="C38" s="319"/>
      <c r="D38" s="319"/>
      <c r="E38" s="319"/>
      <c r="F38" s="320"/>
      <c r="G38" s="4">
        <f>SUM(H38:L38)</f>
        <v>7619.1834830189046</v>
      </c>
      <c r="H38" s="59">
        <f>SUM(H39:H50)</f>
        <v>6159.3782656451185</v>
      </c>
      <c r="I38" s="5">
        <f>SUM(I39:I50)*I2</f>
        <v>1456.0020596763461</v>
      </c>
      <c r="J38" s="5">
        <f>SUM(J39:J50)*J2</f>
        <v>0.77663894671155809</v>
      </c>
      <c r="K38" s="5">
        <f>SUM(K39:K50)*K2</f>
        <v>3.0265187507286746</v>
      </c>
      <c r="L38" s="28">
        <v>0</v>
      </c>
      <c r="P38" s="226">
        <v>9289.1720028181044</v>
      </c>
      <c r="Q38" s="223"/>
      <c r="R38" s="54"/>
    </row>
    <row r="39" spans="1:18">
      <c r="A39" s="331" t="s">
        <v>333</v>
      </c>
      <c r="B39" s="332"/>
      <c r="C39" s="332"/>
      <c r="D39" s="332"/>
      <c r="E39" s="332"/>
      <c r="F39" s="333"/>
      <c r="G39" s="2"/>
      <c r="H39" s="62"/>
      <c r="I39" s="63"/>
      <c r="J39" s="63"/>
      <c r="K39" s="63"/>
      <c r="L39" s="31"/>
      <c r="P39" s="222"/>
      <c r="Q39" s="223"/>
    </row>
    <row r="40" spans="1:18">
      <c r="A40" s="328" t="s">
        <v>334</v>
      </c>
      <c r="B40" s="329"/>
      <c r="C40" s="329"/>
      <c r="D40" s="329"/>
      <c r="E40" s="329"/>
      <c r="F40" s="330"/>
      <c r="G40" s="27"/>
      <c r="H40" s="61">
        <f>SUMIF(Calculations[Πηγή εκπομπών],A40,Calculations[t CO2 eq])</f>
        <v>107.25468603440001</v>
      </c>
      <c r="I40" s="41">
        <f>SUMIF(Calculations[Πηγή εκπομπών],A40,Calculations[t CO2])</f>
        <v>0</v>
      </c>
      <c r="J40" s="42">
        <f>SUMIF(Calculations[Πηγή εκπομπών],A40,Calculations[t CH4])</f>
        <v>0</v>
      </c>
      <c r="K40" s="42">
        <f>SUMIF(Calculations[Πηγή εκπομπών],A40,Calculations[t N2O])</f>
        <v>0</v>
      </c>
      <c r="L40" s="32">
        <f>SUMIF(Calculations[Πηγή εκπομπών],A40,Calculations[t HFCs])</f>
        <v>0</v>
      </c>
      <c r="P40" s="222"/>
      <c r="Q40" s="223"/>
    </row>
    <row r="41" spans="1:18">
      <c r="A41" s="361" t="s">
        <v>598</v>
      </c>
      <c r="B41" s="362"/>
      <c r="C41" s="362"/>
      <c r="D41" s="362"/>
      <c r="E41" s="362"/>
      <c r="F41" s="363"/>
      <c r="G41" s="7"/>
      <c r="H41" s="61">
        <f>SUMIF(Calculations[Πηγή εκπομπών],A41,Calculations[t CO2 eq])</f>
        <v>1546.2645399160006</v>
      </c>
      <c r="I41" s="41">
        <f>SUMIF(Calculations[Πηγή εκπομπών],A41,Calculations[t CO2])</f>
        <v>0</v>
      </c>
      <c r="J41" s="42">
        <f>SUMIF(Calculations[Πηγή εκπομπών],A41,Calculations[t CH4])</f>
        <v>0</v>
      </c>
      <c r="K41" s="42">
        <f>SUMIF(Calculations[Πηγή εκπομπών],A41,Calculations[t N2O])</f>
        <v>0</v>
      </c>
      <c r="L41" s="32">
        <f>SUMIF(Calculations[Πηγή εκπομπών],A41,Calculations[t HFCs])</f>
        <v>0</v>
      </c>
      <c r="P41" s="222"/>
      <c r="Q41" s="223"/>
    </row>
    <row r="42" spans="1:18">
      <c r="A42" s="328" t="s">
        <v>611</v>
      </c>
      <c r="B42" s="329"/>
      <c r="C42" s="329"/>
      <c r="D42" s="329"/>
      <c r="E42" s="329"/>
      <c r="F42" s="330"/>
      <c r="G42" s="7"/>
      <c r="H42" s="61">
        <f>SUMIF(Calculations[Πηγή εκπομπών],A42,Calculations[t CO2 eq])</f>
        <v>247.53413356285708</v>
      </c>
      <c r="I42" s="41">
        <f>SUMIF(Calculations[Πηγή εκπομπών],A42,Calculations[t CO2])</f>
        <v>0</v>
      </c>
      <c r="J42" s="42">
        <f>SUMIF(Calculations[Πηγή εκπομπών],A42,Calculations[t CH4])</f>
        <v>0</v>
      </c>
      <c r="K42" s="42">
        <f>SUMIF(Calculations[Πηγή εκπομπών],A42,Calculations[t N2O])</f>
        <v>0</v>
      </c>
      <c r="L42" s="32">
        <f>SUMIF(Calculations[Πηγή εκπομπών],A42,Calculations[t HFCs])</f>
        <v>0</v>
      </c>
      <c r="P42" s="222"/>
      <c r="Q42" s="223"/>
    </row>
    <row r="43" spans="1:18">
      <c r="A43" s="334" t="s">
        <v>335</v>
      </c>
      <c r="B43" s="335"/>
      <c r="C43" s="335"/>
      <c r="D43" s="335"/>
      <c r="E43" s="335"/>
      <c r="F43" s="336"/>
      <c r="G43" s="7"/>
      <c r="H43" s="61">
        <f>SUMIF(Calculations[Πηγή εκπομπών],A43,Calculations[t CO2 eq])</f>
        <v>2.2058270611000004</v>
      </c>
      <c r="I43" s="41">
        <f>SUMIF(Calculations[Πηγή εκπομπών],A43,Calculations[t CO2])</f>
        <v>0</v>
      </c>
      <c r="J43" s="42">
        <f>SUMIF(Calculations[Πηγή εκπομπών],A43,Calculations[t CH4])</f>
        <v>0</v>
      </c>
      <c r="K43" s="42">
        <f>SUMIF(Calculations[Πηγή εκπομπών],A43,Calculations[t N2O])</f>
        <v>0</v>
      </c>
      <c r="L43" s="32">
        <f>SUMIF(Calculations[Πηγή εκπομπών],A43,Calculations[t HFCs])</f>
        <v>0</v>
      </c>
      <c r="P43" s="222"/>
      <c r="Q43" s="223"/>
    </row>
    <row r="44" spans="1:18">
      <c r="A44" s="328" t="s">
        <v>336</v>
      </c>
      <c r="B44" s="329"/>
      <c r="C44" s="329"/>
      <c r="D44" s="329"/>
      <c r="E44" s="329"/>
      <c r="F44" s="330"/>
      <c r="G44" s="7"/>
      <c r="H44" s="61">
        <f>SUMIF(Calculations[Πηγή εκπομπών],A44,Calculations[t CO2 eq])</f>
        <v>0</v>
      </c>
      <c r="I44" s="41">
        <f>SUMIF(Calculations[Πηγή εκπομπών],A44,Calculations[t CO2])</f>
        <v>0</v>
      </c>
      <c r="J44" s="42">
        <f>SUMIF(Calculations[Πηγή εκπομπών],A44,Calculations[t CH4])</f>
        <v>0</v>
      </c>
      <c r="K44" s="42">
        <f>SUMIF(Calculations[Πηγή εκπομπών],A44,Calculations[t N2O])</f>
        <v>0</v>
      </c>
      <c r="L44" s="32">
        <f>SUMIF(Calculations[Πηγή εκπομπών],A44,Calculations[t HFCs])</f>
        <v>0</v>
      </c>
      <c r="P44" s="222"/>
      <c r="Q44" s="223"/>
    </row>
    <row r="45" spans="1:18">
      <c r="A45" s="328" t="s">
        <v>614</v>
      </c>
      <c r="B45" s="329"/>
      <c r="C45" s="329"/>
      <c r="D45" s="329"/>
      <c r="E45" s="329"/>
      <c r="F45" s="330"/>
      <c r="G45" s="7"/>
      <c r="H45" s="61">
        <f>SUMIF(Calculations[Πηγή εκπομπών],A45,Calculations[t CO2 eq])</f>
        <v>0.91480896</v>
      </c>
      <c r="I45" s="41">
        <f>SUMIF(Calculations[Πηγή εκπομπών],A45,Calculations[t CO2])</f>
        <v>0</v>
      </c>
      <c r="J45" s="42">
        <f>SUMIF(Calculations[Πηγή εκπομπών],A45,Calculations[t CH4])</f>
        <v>0</v>
      </c>
      <c r="K45" s="42">
        <f>SUMIF(Calculations[Πηγή εκπομπών],A45,Calculations[t N2O])</f>
        <v>0</v>
      </c>
      <c r="L45" s="32">
        <f>SUMIF(Calculations[Πηγή εκπομπών],A45,Calculations[t HFCs])</f>
        <v>0</v>
      </c>
      <c r="P45" s="222"/>
      <c r="Q45" s="223"/>
    </row>
    <row r="46" spans="1:18">
      <c r="A46" s="328" t="s">
        <v>615</v>
      </c>
      <c r="B46" s="329"/>
      <c r="C46" s="329"/>
      <c r="D46" s="329"/>
      <c r="E46" s="329"/>
      <c r="F46" s="330"/>
      <c r="G46" s="7"/>
      <c r="H46" s="61">
        <f>SUMIF(Calculations[Πηγή εκπομπών],A46,Calculations[t CO2 eq])</f>
        <v>0</v>
      </c>
      <c r="I46" s="41">
        <f>SUMIF(Calculations[Πηγή εκπομπών],A46,Calculations[t CO2])</f>
        <v>0</v>
      </c>
      <c r="J46" s="42">
        <f>SUMIF(Calculations[Πηγή εκπομπών],A46,Calculations[t CH4])</f>
        <v>0</v>
      </c>
      <c r="K46" s="42">
        <f>SUMIF(Calculations[Πηγή εκπομπών],A46,Calculations[t N2O])</f>
        <v>0</v>
      </c>
      <c r="L46" s="32">
        <f>SUMIF(Calculations[Πηγή εκπομπών],A46,Calculations[t HFCs])</f>
        <v>0</v>
      </c>
      <c r="P46" s="222"/>
      <c r="Q46" s="223"/>
    </row>
    <row r="47" spans="1:18">
      <c r="A47" s="365" t="s">
        <v>337</v>
      </c>
      <c r="B47" s="366"/>
      <c r="C47" s="366"/>
      <c r="D47" s="366"/>
      <c r="E47" s="366"/>
      <c r="F47" s="367"/>
      <c r="G47" s="2"/>
      <c r="H47" s="62"/>
      <c r="I47" s="63"/>
      <c r="J47" s="63"/>
      <c r="K47" s="63"/>
      <c r="L47" s="31"/>
      <c r="P47" s="222"/>
      <c r="Q47" s="223"/>
    </row>
    <row r="48" spans="1:18">
      <c r="A48" s="328" t="s">
        <v>338</v>
      </c>
      <c r="B48" s="329"/>
      <c r="C48" s="329"/>
      <c r="D48" s="329"/>
      <c r="E48" s="329"/>
      <c r="F48" s="330"/>
      <c r="G48" s="7"/>
      <c r="H48" s="61">
        <f>SUMIF(Calculations[Πηγή εκπομπών],A48,Calculations[t CO2 eq])</f>
        <v>262.29481537101094</v>
      </c>
      <c r="I48" s="41">
        <f>SUMIF(Calculations[Πηγή εκπομπών],A48,Calculations[t CO2])</f>
        <v>1456.0020596763461</v>
      </c>
      <c r="J48" s="42">
        <f>SUMIF(Calculations[Πηγή εκπομπών],A48,Calculations[t CH4])</f>
        <v>2.7737105239698502E-2</v>
      </c>
      <c r="K48" s="42">
        <f>SUMIF(Calculations[Πηγή εκπομπών],A48,Calculations[t N2O])</f>
        <v>1.1420825474447829E-2</v>
      </c>
      <c r="L48" s="32">
        <f>SUMIF(Calculations[Πηγή εκπομπών],A48,Calculations[t HFCs])</f>
        <v>0</v>
      </c>
      <c r="P48" s="222"/>
      <c r="Q48" s="223"/>
    </row>
    <row r="49" spans="1:22">
      <c r="A49" s="365" t="s">
        <v>339</v>
      </c>
      <c r="B49" s="366"/>
      <c r="C49" s="366"/>
      <c r="D49" s="366"/>
      <c r="E49" s="366"/>
      <c r="F49" s="367"/>
      <c r="G49" s="2"/>
      <c r="H49" s="62"/>
      <c r="I49" s="63"/>
      <c r="J49" s="63"/>
      <c r="K49" s="63"/>
      <c r="L49" s="31"/>
      <c r="P49" s="222"/>
      <c r="Q49" s="223"/>
    </row>
    <row r="50" spans="1:22">
      <c r="A50" s="328" t="s">
        <v>340</v>
      </c>
      <c r="B50" s="329"/>
      <c r="C50" s="329"/>
      <c r="D50" s="329"/>
      <c r="E50" s="329"/>
      <c r="F50" s="330"/>
      <c r="G50" s="86"/>
      <c r="H50" s="61">
        <f>SUMIF(Calculations[Πηγή εκπομπών],A50,Calculations[t CO2 eq])</f>
        <v>3992.9094547397503</v>
      </c>
      <c r="I50" s="41">
        <f>SUMIF(Calculations[Πηγή εκπομπών],A50,Calculations[t CO2])</f>
        <v>0</v>
      </c>
      <c r="J50" s="42">
        <f>SUMIF(Calculations[Πηγή εκπομπών],A50,Calculations[t CH4])</f>
        <v>0</v>
      </c>
      <c r="K50" s="42">
        <f>SUMIF(Calculations[Πηγή εκπομπών],A50,Calculations[t N2O])</f>
        <v>0</v>
      </c>
      <c r="L50" s="32">
        <f>SUMIF(Calculations[Πηγή εκπομπών],A50,Calculations[t HFCs])</f>
        <v>0</v>
      </c>
      <c r="P50" s="222"/>
      <c r="Q50" s="223"/>
    </row>
    <row r="51" spans="1:22">
      <c r="A51" s="318" t="s">
        <v>590</v>
      </c>
      <c r="B51" s="319"/>
      <c r="C51" s="319"/>
      <c r="D51" s="319"/>
      <c r="E51" s="319"/>
      <c r="F51" s="320"/>
      <c r="G51" s="4">
        <f>SUM(H51:L51)</f>
        <v>6475.5007212143792</v>
      </c>
      <c r="H51" s="59">
        <f>SUM(H53:H58)</f>
        <v>2834.3091163462755</v>
      </c>
      <c r="I51" s="5">
        <f>SUM(I53:I58)*I2</f>
        <v>3610.7677550061608</v>
      </c>
      <c r="J51" s="5">
        <f>SUM(J53:J58)*J2</f>
        <v>7.3689159395768558</v>
      </c>
      <c r="K51" s="5">
        <f>SUM(K53:K58)*K2</f>
        <v>23.054933922366175</v>
      </c>
      <c r="L51" s="28">
        <v>0</v>
      </c>
      <c r="P51" s="226">
        <v>5270.5771499934535</v>
      </c>
      <c r="Q51" s="223"/>
    </row>
    <row r="52" spans="1:22">
      <c r="A52" s="331" t="s">
        <v>629</v>
      </c>
      <c r="B52" s="332"/>
      <c r="C52" s="332"/>
      <c r="D52" s="332"/>
      <c r="E52" s="332"/>
      <c r="F52" s="333"/>
      <c r="G52" s="2"/>
      <c r="H52" s="62"/>
      <c r="I52" s="63"/>
      <c r="J52" s="63"/>
      <c r="K52" s="63"/>
      <c r="L52" s="31"/>
      <c r="P52" s="222"/>
      <c r="Q52" s="223"/>
    </row>
    <row r="53" spans="1:22">
      <c r="A53" s="315" t="s">
        <v>631</v>
      </c>
      <c r="B53" s="316"/>
      <c r="C53" s="316"/>
      <c r="D53" s="316"/>
      <c r="E53" s="316"/>
      <c r="F53" s="317"/>
      <c r="G53" s="87"/>
      <c r="H53" s="61">
        <f>SUMIF(Calculations[Πηγή εκπομπών],A53,Calculations[t CO2 eq])</f>
        <v>1965.2791229007755</v>
      </c>
      <c r="I53" s="41">
        <f>SUMIF(Calculations[Πηγή εκπομπών],A53,Calculations[t CO2])</f>
        <v>0</v>
      </c>
      <c r="J53" s="42">
        <f>SUMIF(Calculations[Πηγή εκπομπών],A53,Calculations[t CH4])</f>
        <v>0</v>
      </c>
      <c r="K53" s="42">
        <f>SUMIF(Calculations[Πηγή εκπομπών],A53,Calculations[t N2O])</f>
        <v>0</v>
      </c>
      <c r="L53" s="32">
        <f>SUMIF(Calculations[Πηγή εκπομπών],A53,Calculations[t HFCs])</f>
        <v>0</v>
      </c>
      <c r="P53" s="222"/>
      <c r="Q53" s="223"/>
    </row>
    <row r="54" spans="1:22">
      <c r="A54" s="331" t="s">
        <v>630</v>
      </c>
      <c r="B54" s="332"/>
      <c r="C54" s="332"/>
      <c r="D54" s="332"/>
      <c r="E54" s="332"/>
      <c r="F54" s="333"/>
      <c r="G54" s="2"/>
      <c r="H54" s="62"/>
      <c r="I54" s="63"/>
      <c r="J54" s="63"/>
      <c r="K54" s="63"/>
      <c r="L54" s="31"/>
      <c r="P54" s="222"/>
      <c r="Q54" s="223"/>
    </row>
    <row r="55" spans="1:22">
      <c r="A55" s="315" t="s">
        <v>341</v>
      </c>
      <c r="B55" s="316"/>
      <c r="C55" s="316"/>
      <c r="D55" s="316"/>
      <c r="E55" s="316"/>
      <c r="F55" s="317"/>
      <c r="G55" s="27"/>
      <c r="H55" s="61">
        <f>SUMIF(Calculations[Πηγή εκπομπών],A55,Calculations[t CO2 eq])</f>
        <v>0</v>
      </c>
      <c r="I55" s="41">
        <f>SUMIF(Calculations[Πηγή εκπομπών],A55,Calculations[t CO2])</f>
        <v>3506.175895826696</v>
      </c>
      <c r="J55" s="42">
        <f>SUMIF(Calculations[Πηγή εκπομπών],A55,Calculations[t CH4])</f>
        <v>0.24988628831807849</v>
      </c>
      <c r="K55" s="42">
        <f>SUMIF(Calculations[Πηγή εκπομπών],A55,Calculations[t N2O])</f>
        <v>8.4368899665958175E-2</v>
      </c>
      <c r="L55" s="32">
        <f>SUMIF(Calculations[Πηγή εκπομπών],A55,Calculations[t HFCs])</f>
        <v>0</v>
      </c>
      <c r="P55" s="222"/>
      <c r="Q55" s="223"/>
    </row>
    <row r="56" spans="1:22">
      <c r="A56" s="315" t="s">
        <v>342</v>
      </c>
      <c r="B56" s="316"/>
      <c r="C56" s="316"/>
      <c r="D56" s="316"/>
      <c r="E56" s="316"/>
      <c r="F56" s="317"/>
      <c r="G56" s="7"/>
      <c r="H56" s="61">
        <f>SUMIF(Calculations[Πηγή εκπομπών],A56,Calculations[t CO2 eq])</f>
        <v>0</v>
      </c>
      <c r="I56" s="41">
        <f>SUMIF(Calculations[Πηγή εκπομπών],A56,Calculations[t CO2])</f>
        <v>104.59185917946479</v>
      </c>
      <c r="J56" s="42">
        <f>SUMIF(Calculations[Πηγή εκπομπών],A56,Calculations[t CH4])</f>
        <v>1.3289280952523505E-2</v>
      </c>
      <c r="K56" s="42">
        <f>SUMIF(Calculations[Πηγή εκπομπών],A56,Calculations[t N2O])</f>
        <v>2.6308509844802232E-3</v>
      </c>
      <c r="L56" s="32">
        <f>SUMIF(Calculations[Πηγή εκπομπών],A56,Calculations[t HFCs])</f>
        <v>0</v>
      </c>
      <c r="P56" s="222"/>
      <c r="Q56" s="223"/>
    </row>
    <row r="57" spans="1:22">
      <c r="A57" s="315" t="s">
        <v>643</v>
      </c>
      <c r="B57" s="316"/>
      <c r="C57" s="316"/>
      <c r="D57" s="316"/>
      <c r="E57" s="316"/>
      <c r="F57" s="317"/>
      <c r="G57" s="7"/>
      <c r="H57" s="61">
        <f>SUMIF(Calculations[Πηγή εκπομπών],A57,Calculations[t CO2 eq])</f>
        <v>841.95249571750014</v>
      </c>
      <c r="I57" s="41">
        <f>SUMIF(Calculations[Πηγή εκπομπών],A57,Calculations[t CO2])</f>
        <v>0</v>
      </c>
      <c r="J57" s="42">
        <f>SUMIF(Calculations[Πηγή εκπομπών],A57,Calculations[t CH4])</f>
        <v>0</v>
      </c>
      <c r="K57" s="42">
        <f>SUMIF(Calculations[Πηγή εκπομπών],A57,Calculations[t N2O])</f>
        <v>0</v>
      </c>
      <c r="L57" s="32">
        <f>SUMIF(Calculations[Πηγή εκπομπών],A57,Calculations[t HFCs])</f>
        <v>0</v>
      </c>
      <c r="P57" s="222"/>
      <c r="Q57" s="223"/>
    </row>
    <row r="58" spans="1:22">
      <c r="A58" s="315" t="s">
        <v>644</v>
      </c>
      <c r="B58" s="316"/>
      <c r="C58" s="316"/>
      <c r="D58" s="316"/>
      <c r="E58" s="316"/>
      <c r="F58" s="317"/>
      <c r="G58" s="7"/>
      <c r="H58" s="61">
        <f>SUMIF(Calculations[Πηγή εκπομπών],A58,Calculations[t CO2 eq])</f>
        <v>27.077497727999994</v>
      </c>
      <c r="I58" s="41">
        <f>SUMIF(Calculations[Πηγή εκπομπών],A58,Calculations[t CO2])</f>
        <v>0</v>
      </c>
      <c r="J58" s="42">
        <f>SUMIF(Calculations[Πηγή εκπομπών],A58,Calculations[t CH4])</f>
        <v>0</v>
      </c>
      <c r="K58" s="42">
        <f>SUMIF(Calculations[Πηγή εκπομπών],A58,Calculations[t N2O])</f>
        <v>0</v>
      </c>
      <c r="L58" s="32">
        <f>SUMIF(Calculations[Πηγή εκπομπών],A58,Calculations[t HFCs])</f>
        <v>0</v>
      </c>
      <c r="P58" s="222"/>
      <c r="Q58" s="223"/>
      <c r="V58" s="54"/>
    </row>
    <row r="59" spans="1:22">
      <c r="A59" s="318" t="s">
        <v>591</v>
      </c>
      <c r="B59" s="319"/>
      <c r="C59" s="319"/>
      <c r="D59" s="319"/>
      <c r="E59" s="319"/>
      <c r="F59" s="320"/>
      <c r="G59" s="55">
        <f>SUM(H59:L59)</f>
        <v>235614.19388956315</v>
      </c>
      <c r="H59" s="59">
        <f>H60</f>
        <v>235614.19388956315</v>
      </c>
      <c r="I59" s="5">
        <f>SUM(I60:I60)</f>
        <v>0</v>
      </c>
      <c r="J59" s="5">
        <f>SUM(J60:J60)*$J$2</f>
        <v>0</v>
      </c>
      <c r="K59" s="5">
        <f>SUM(K60:K60)*$K$2</f>
        <v>0</v>
      </c>
      <c r="L59" s="28">
        <v>0</v>
      </c>
      <c r="P59" s="226">
        <v>315828.85381739534</v>
      </c>
      <c r="Q59" s="223">
        <f>(G59-P59)/P59</f>
        <v>-0.25398141733500507</v>
      </c>
    </row>
    <row r="60" spans="1:22">
      <c r="A60" s="328" t="s">
        <v>343</v>
      </c>
      <c r="B60" s="329"/>
      <c r="C60" s="329"/>
      <c r="D60" s="329"/>
      <c r="E60" s="329"/>
      <c r="F60" s="330"/>
      <c r="G60" s="87"/>
      <c r="H60" s="61">
        <f>SUMIF(Calculations[Πηγή εκπομπών],A60,Calculations[t CO2 eq])</f>
        <v>235614.19388956315</v>
      </c>
      <c r="I60" s="41">
        <f>SUMIF(Calculations[Πηγή εκπομπών],A60,Calculations[t CO2])</f>
        <v>0</v>
      </c>
      <c r="J60" s="42">
        <f>SUMIF(Calculations[Πηγή εκπομπών],A60,Calculations[t CH4])</f>
        <v>0</v>
      </c>
      <c r="K60" s="42">
        <f>SUMIF(Calculations[Πηγή εκπομπών],A60,Calculations[t N2O])</f>
        <v>0</v>
      </c>
      <c r="L60" s="32">
        <v>0</v>
      </c>
      <c r="P60" s="222"/>
      <c r="Q60" s="223"/>
    </row>
    <row r="61" spans="1:22">
      <c r="A61" s="318" t="s">
        <v>592</v>
      </c>
      <c r="B61" s="319"/>
      <c r="C61" s="319"/>
      <c r="D61" s="319"/>
      <c r="E61" s="319"/>
      <c r="F61" s="320"/>
      <c r="G61" s="4">
        <f>SUM(H61:L61)</f>
        <v>75.983272035399949</v>
      </c>
      <c r="H61" s="59">
        <f>SUM(H62:H65)</f>
        <v>41.980072035399999</v>
      </c>
      <c r="I61" s="5">
        <f>SUM(I62:I65)</f>
        <v>34.00319999999995</v>
      </c>
      <c r="J61" s="5">
        <f>SUM(J62:J65)*$J$2</f>
        <v>0</v>
      </c>
      <c r="K61" s="5">
        <f>SUM(K62:K65)*$K$2</f>
        <v>0</v>
      </c>
      <c r="L61" s="28">
        <v>0</v>
      </c>
      <c r="P61" s="226">
        <v>104.96886102264762</v>
      </c>
      <c r="Q61" s="223"/>
    </row>
    <row r="62" spans="1:22">
      <c r="A62" s="315" t="s">
        <v>344</v>
      </c>
      <c r="B62" s="316"/>
      <c r="C62" s="316"/>
      <c r="D62" s="316"/>
      <c r="E62" s="316"/>
      <c r="F62" s="317"/>
      <c r="G62" s="27"/>
      <c r="H62" s="61">
        <f>SUMIF(Calculations[Πηγή εκπομπών],A62,Calculations[t CO2 eq])</f>
        <v>24.923385396</v>
      </c>
      <c r="I62" s="41">
        <f>SUMIF(Calculations[Πηγή εκπομπών],A62,Calculations[t CO2])</f>
        <v>34.00319999999995</v>
      </c>
      <c r="J62" s="42">
        <f>SUMIF(Calculations[Πηγή εκπομπών],A62,Calculations[t CH4])</f>
        <v>0</v>
      </c>
      <c r="K62" s="42">
        <f>SUMIF(Calculations[Πηγή εκπομπών],A62,Calculations[t N2O])</f>
        <v>0</v>
      </c>
      <c r="L62" s="32">
        <v>0</v>
      </c>
      <c r="P62" s="222"/>
      <c r="Q62" s="223"/>
    </row>
    <row r="63" spans="1:22">
      <c r="A63" s="315" t="s">
        <v>751</v>
      </c>
      <c r="B63" s="316"/>
      <c r="C63" s="316"/>
      <c r="D63" s="316"/>
      <c r="E63" s="316"/>
      <c r="F63" s="317"/>
      <c r="G63" s="7"/>
      <c r="H63" s="61">
        <f>SUMIF(Calculations[Πηγή εκπομπών],A63,Calculations[t CO2 eq])</f>
        <v>2.6532697394000002</v>
      </c>
      <c r="I63" s="41">
        <f>SUMIF(Calculations[Πηγή εκπομπών],A63,Calculations[t CO2])</f>
        <v>0</v>
      </c>
      <c r="J63" s="42">
        <f>SUMIF(Calculations[Πηγή εκπομπών],A63,Calculations[t CH4])</f>
        <v>0</v>
      </c>
      <c r="K63" s="42">
        <f>SUMIF(Calculations[Πηγή εκπομπών],A63,Calculations[t N2O])</f>
        <v>0</v>
      </c>
      <c r="L63" s="32">
        <v>0</v>
      </c>
      <c r="P63" s="222"/>
      <c r="Q63" s="223"/>
    </row>
    <row r="64" spans="1:22">
      <c r="A64" s="315" t="s">
        <v>752</v>
      </c>
      <c r="B64" s="316"/>
      <c r="C64" s="316"/>
      <c r="D64" s="316"/>
      <c r="E64" s="316"/>
      <c r="F64" s="317"/>
      <c r="G64" s="7"/>
      <c r="H64" s="61">
        <f>SUMIF(Calculations[Πηγή εκπομπών],A64,Calculations[t CO2 eq])</f>
        <v>1.3364379000000006</v>
      </c>
      <c r="I64" s="41">
        <f>SUMIF(Calculations[Πηγή εκπομπών],A64,Calculations[t CO2])</f>
        <v>0</v>
      </c>
      <c r="J64" s="42">
        <f>SUMIF(Calculations[Πηγή εκπομπών],A64,Calculations[t CH4])</f>
        <v>0</v>
      </c>
      <c r="K64" s="42">
        <f>SUMIF(Calculations[Πηγή εκπομπών],A64,Calculations[t N2O])</f>
        <v>0</v>
      </c>
      <c r="L64" s="32">
        <v>0</v>
      </c>
      <c r="P64" s="222"/>
      <c r="Q64" s="223"/>
    </row>
    <row r="65" spans="1:17">
      <c r="A65" s="315" t="s">
        <v>749</v>
      </c>
      <c r="B65" s="316"/>
      <c r="C65" s="316"/>
      <c r="D65" s="316"/>
      <c r="E65" s="316"/>
      <c r="F65" s="317"/>
      <c r="G65" s="7"/>
      <c r="H65" s="61">
        <f>SUMIF(Calculations[Πηγή εκπομπών],A65,Calculations[t CO2 eq])</f>
        <v>13.066979000000003</v>
      </c>
      <c r="I65" s="41">
        <f>SUMIF(Calculations[Πηγή εκπομπών],A65,Calculations[t CO2])</f>
        <v>0</v>
      </c>
      <c r="J65" s="42">
        <f>SUMIF(Calculations[Πηγή εκπομπών],A65,Calculations[t CH4])</f>
        <v>0</v>
      </c>
      <c r="K65" s="42">
        <f>SUMIF(Calculations[Πηγή εκπομπών],A65,Calculations[t N2O])</f>
        <v>0</v>
      </c>
      <c r="L65" s="32">
        <v>0</v>
      </c>
      <c r="P65" s="222"/>
      <c r="Q65" s="223"/>
    </row>
    <row r="66" spans="1:17">
      <c r="A66" s="318" t="s">
        <v>593</v>
      </c>
      <c r="B66" s="319"/>
      <c r="C66" s="319"/>
      <c r="D66" s="319"/>
      <c r="E66" s="319"/>
      <c r="F66" s="320"/>
      <c r="G66" s="4">
        <f>SUM(H66:L66)</f>
        <v>1620.8801992678966</v>
      </c>
      <c r="H66" s="59">
        <f>SUM(H67:H67)</f>
        <v>1620.8801992678966</v>
      </c>
      <c r="I66" s="5">
        <f>SUM(I67:I67)</f>
        <v>0</v>
      </c>
      <c r="J66" s="5">
        <f>SUM(J67:J67)*$J$2</f>
        <v>0</v>
      </c>
      <c r="K66" s="5">
        <f>SUM(K67:K67)*$K$2</f>
        <v>0</v>
      </c>
      <c r="L66" s="28">
        <v>0</v>
      </c>
      <c r="P66" s="226">
        <v>1780.5470831043322</v>
      </c>
      <c r="Q66" s="223"/>
    </row>
    <row r="67" spans="1:17">
      <c r="A67" s="315" t="s">
        <v>775</v>
      </c>
      <c r="B67" s="316"/>
      <c r="C67" s="316"/>
      <c r="D67" s="316"/>
      <c r="E67" s="316"/>
      <c r="F67" s="317"/>
      <c r="G67" s="27"/>
      <c r="H67" s="61">
        <f>SUMIF(Calculations[Πηγή εκπομπών],A67,Calculations[t CO2 eq])</f>
        <v>1620.8801992678966</v>
      </c>
      <c r="I67" s="41">
        <f>SUMIF(Calculations[Πηγή εκπομπών],A67,Calculations[t CO2])</f>
        <v>0</v>
      </c>
      <c r="J67" s="42">
        <f>SUMIF(Calculations[Πηγή εκπομπών],A67,Calculations[t CH4])</f>
        <v>0</v>
      </c>
      <c r="K67" s="42">
        <f>SUMIF(Calculations[Πηγή εκπομπών],A67,Calculations[t N2O])</f>
        <v>0</v>
      </c>
      <c r="L67" s="32">
        <v>0</v>
      </c>
      <c r="P67" s="222"/>
      <c r="Q67" s="223"/>
    </row>
    <row r="68" spans="1:17">
      <c r="A68" s="318" t="s">
        <v>345</v>
      </c>
      <c r="B68" s="319"/>
      <c r="C68" s="319"/>
      <c r="D68" s="319"/>
      <c r="E68" s="319"/>
      <c r="F68" s="320"/>
      <c r="G68" s="4" t="s">
        <v>14</v>
      </c>
      <c r="H68" s="59"/>
      <c r="I68" s="5"/>
      <c r="J68" s="5"/>
      <c r="K68" s="5"/>
      <c r="L68" s="28"/>
      <c r="P68" s="222"/>
      <c r="Q68" s="223"/>
    </row>
    <row r="69" spans="1:17">
      <c r="A69" s="318" t="s">
        <v>594</v>
      </c>
      <c r="B69" s="319"/>
      <c r="C69" s="319"/>
      <c r="D69" s="319"/>
      <c r="E69" s="319"/>
      <c r="F69" s="320"/>
      <c r="G69" s="4" t="s">
        <v>14</v>
      </c>
      <c r="H69" s="59"/>
      <c r="I69" s="5"/>
      <c r="J69" s="5"/>
      <c r="K69" s="5"/>
      <c r="L69" s="28"/>
      <c r="P69" s="222"/>
      <c r="Q69" s="223"/>
    </row>
    <row r="70" spans="1:17">
      <c r="A70" s="318" t="s">
        <v>595</v>
      </c>
      <c r="B70" s="319"/>
      <c r="C70" s="319"/>
      <c r="D70" s="319"/>
      <c r="E70" s="319"/>
      <c r="F70" s="320"/>
      <c r="G70" s="4" t="s">
        <v>14</v>
      </c>
      <c r="H70" s="59"/>
      <c r="I70" s="5"/>
      <c r="J70" s="5"/>
      <c r="K70" s="5"/>
      <c r="L70" s="28"/>
      <c r="P70" s="222"/>
      <c r="Q70" s="223"/>
    </row>
    <row r="71" spans="1:17">
      <c r="A71" s="318" t="s">
        <v>596</v>
      </c>
      <c r="B71" s="319"/>
      <c r="C71" s="319"/>
      <c r="D71" s="319"/>
      <c r="E71" s="319"/>
      <c r="F71" s="320"/>
      <c r="G71" s="4" t="s">
        <v>14</v>
      </c>
      <c r="H71" s="59"/>
      <c r="I71" s="5"/>
      <c r="J71" s="5"/>
      <c r="K71" s="5"/>
      <c r="L71" s="28"/>
      <c r="P71" s="222"/>
      <c r="Q71" s="223"/>
    </row>
    <row r="72" spans="1:17">
      <c r="A72" s="318" t="s">
        <v>597</v>
      </c>
      <c r="B72" s="319"/>
      <c r="C72" s="319"/>
      <c r="D72" s="319"/>
      <c r="E72" s="319"/>
      <c r="F72" s="320"/>
      <c r="G72" s="4" t="s">
        <v>14</v>
      </c>
      <c r="H72" s="59"/>
      <c r="I72" s="5"/>
      <c r="J72" s="5"/>
      <c r="K72" s="5"/>
      <c r="L72" s="28"/>
      <c r="P72" s="222"/>
      <c r="Q72" s="223"/>
    </row>
    <row r="73" spans="1:17">
      <c r="A73" s="318" t="s">
        <v>828</v>
      </c>
      <c r="B73" s="319"/>
      <c r="C73" s="319"/>
      <c r="D73" s="319"/>
      <c r="E73" s="319"/>
      <c r="F73" s="320"/>
      <c r="G73" s="4">
        <f>SUM(H73:L73)</f>
        <v>2902.7746390513694</v>
      </c>
      <c r="H73" s="59">
        <f>H74</f>
        <v>0</v>
      </c>
      <c r="I73" s="5">
        <f>SUM(I74:I74)</f>
        <v>2891.5449439917193</v>
      </c>
      <c r="J73" s="5">
        <f>SUM(J74:J74)*$J$2</f>
        <v>2.6192148657675851</v>
      </c>
      <c r="K73" s="5">
        <f>SUM(K74:K74)*$K$2</f>
        <v>8.6104801938827187</v>
      </c>
      <c r="L73" s="28">
        <v>0</v>
      </c>
      <c r="P73" s="226">
        <v>2880.5133954902412</v>
      </c>
      <c r="Q73" s="223"/>
    </row>
    <row r="74" spans="1:17">
      <c r="A74" s="315" t="s">
        <v>346</v>
      </c>
      <c r="B74" s="316"/>
      <c r="C74" s="316"/>
      <c r="D74" s="316"/>
      <c r="E74" s="316"/>
      <c r="F74" s="317"/>
      <c r="G74" s="87"/>
      <c r="H74" s="61">
        <f>SUMIF(Calculations[Πηγή εκπομπών],A74,Calculations[t CO2 eq])</f>
        <v>0</v>
      </c>
      <c r="I74" s="41">
        <f>SUMIF(Calculations[Πηγή εκπομπών],A74,Calculations[t CO2])</f>
        <v>2891.5449439917193</v>
      </c>
      <c r="J74" s="42">
        <f>SUMIF(Calculations[Πηγή εκπομπών],A74,Calculations[t CH4])</f>
        <v>9.3543388063128036E-2</v>
      </c>
      <c r="K74" s="42">
        <f>SUMIF(Calculations[Πηγή εκπομπών],A74,Calculations[t N2O])</f>
        <v>3.2492378090123467E-2</v>
      </c>
      <c r="L74" s="32">
        <v>0</v>
      </c>
      <c r="P74" s="222"/>
      <c r="Q74" s="223"/>
    </row>
    <row r="75" spans="1:17">
      <c r="A75" s="318" t="s">
        <v>87</v>
      </c>
      <c r="B75" s="319"/>
      <c r="C75" s="319"/>
      <c r="D75" s="319"/>
      <c r="E75" s="319"/>
      <c r="F75" s="320"/>
      <c r="G75" s="43" t="s">
        <v>14</v>
      </c>
      <c r="H75" s="59"/>
      <c r="I75" s="5"/>
      <c r="J75" s="5"/>
      <c r="K75" s="5"/>
      <c r="L75" s="28"/>
      <c r="P75" s="222"/>
      <c r="Q75" s="223"/>
    </row>
    <row r="76" spans="1:17">
      <c r="A76" s="318" t="s">
        <v>88</v>
      </c>
      <c r="B76" s="319"/>
      <c r="C76" s="319"/>
      <c r="D76" s="319"/>
      <c r="E76" s="319"/>
      <c r="F76" s="320"/>
      <c r="G76" s="4">
        <f>SUM(H76:L76)</f>
        <v>11511.780646792511</v>
      </c>
      <c r="H76" s="59">
        <f>H77</f>
        <v>11511.780646792511</v>
      </c>
      <c r="I76" s="5">
        <f>SUM(I77:I77)</f>
        <v>0</v>
      </c>
      <c r="J76" s="5">
        <f>SUM(J77:J77)*$J$2</f>
        <v>0</v>
      </c>
      <c r="K76" s="5">
        <f>SUM(K77:K77)*$K$2</f>
        <v>0</v>
      </c>
      <c r="L76" s="28">
        <v>0</v>
      </c>
      <c r="P76" s="226">
        <v>7773.8232912839057</v>
      </c>
      <c r="Q76" s="223"/>
    </row>
    <row r="77" spans="1:17" ht="15" thickBot="1">
      <c r="A77" s="315" t="s">
        <v>1078</v>
      </c>
      <c r="B77" s="316"/>
      <c r="C77" s="316"/>
      <c r="D77" s="316"/>
      <c r="E77" s="316"/>
      <c r="F77" s="317"/>
      <c r="G77" s="87"/>
      <c r="H77" s="61">
        <f>SUMIF(Calculations[Πηγή εκπομπών],A77,Calculations[t CO2 eq])</f>
        <v>11511.780646792511</v>
      </c>
      <c r="I77" s="41">
        <f>SUMIF(Calculations[Πηγή εκπομπών],A77,Calculations[t CO2])</f>
        <v>0</v>
      </c>
      <c r="J77" s="42">
        <f>SUMIF(Calculations[Πηγή εκπομπών],A77,Calculations[t CH4])</f>
        <v>0</v>
      </c>
      <c r="K77" s="42">
        <f>SUMIF(Calculations[Πηγή εκπομπών],A77,Calculations[t N2O])</f>
        <v>0</v>
      </c>
      <c r="L77" s="32">
        <v>0</v>
      </c>
      <c r="P77" s="222"/>
      <c r="Q77" s="223"/>
    </row>
    <row r="78" spans="1:17" ht="18.600000000000001" thickBot="1">
      <c r="A78" s="345" t="s">
        <v>96</v>
      </c>
      <c r="B78" s="346"/>
      <c r="C78" s="346"/>
      <c r="D78" s="346"/>
      <c r="E78" s="346"/>
      <c r="F78" s="347"/>
      <c r="G78" s="176">
        <f>SUM(H78:L78)</f>
        <v>105193.66906807695</v>
      </c>
      <c r="H78" s="67">
        <f>H79</f>
        <v>0</v>
      </c>
      <c r="I78" s="68">
        <f>SUM(I79:I80)*I2</f>
        <v>105193.66906807695</v>
      </c>
      <c r="J78" s="68">
        <f>SUM(J79:J80)*J2</f>
        <v>0</v>
      </c>
      <c r="K78" s="68">
        <f>SUM(K79:K80)*K2</f>
        <v>0</v>
      </c>
      <c r="L78" s="69">
        <f>SUM(L79:L80)*L2</f>
        <v>0</v>
      </c>
      <c r="P78" s="228">
        <v>108094.69461803111</v>
      </c>
      <c r="Q78" s="229">
        <f>(G78-P78)/P78</f>
        <v>-2.6837816233306951E-2</v>
      </c>
    </row>
    <row r="79" spans="1:17" ht="17.399999999999999">
      <c r="A79" s="342" t="s">
        <v>97</v>
      </c>
      <c r="B79" s="343"/>
      <c r="C79" s="343"/>
      <c r="D79" s="343"/>
      <c r="E79" s="343"/>
      <c r="F79" s="344"/>
      <c r="G79" s="175"/>
      <c r="H79" s="61">
        <f>SUMIF(Calculations[Πηγή εκπομπών],A79,Calculations[t CO2 eq])</f>
        <v>0</v>
      </c>
      <c r="I79" s="41">
        <f>SUMIF(Calculations[Πηγή εκπομπών],A79,Calculations[t CO2])</f>
        <v>105184.72239950093</v>
      </c>
      <c r="J79" s="42">
        <f>SUMIF(Calculations[Πηγή εκπομπών],A79,Calculations[t CH4])</f>
        <v>0</v>
      </c>
      <c r="K79" s="42">
        <f>SUMIF(Calculations[Πηγή εκπομπών],A79,Calculations[t N2O])</f>
        <v>0</v>
      </c>
      <c r="L79" s="32">
        <f>SUMIF(Calculations[Πηγή εκπομπών],A79,Calculations[t HFCs])</f>
        <v>0</v>
      </c>
      <c r="P79" s="222"/>
      <c r="Q79" s="223"/>
    </row>
    <row r="80" spans="1:17" ht="18" customHeight="1" thickBot="1">
      <c r="A80" s="348" t="s">
        <v>290</v>
      </c>
      <c r="B80" s="349"/>
      <c r="C80" s="349"/>
      <c r="D80" s="349"/>
      <c r="E80" s="349"/>
      <c r="F80" s="350"/>
      <c r="G80" s="27"/>
      <c r="H80" s="70">
        <f>SUMIF(Calculations[Πηγή εκπομπών],A80,Calculations[t CO2 eq])</f>
        <v>0</v>
      </c>
      <c r="I80" s="71">
        <f>SUMIF(Calculations[Πηγή εκπομπών],A80,Calculations[t CO2])</f>
        <v>8.946668576023745</v>
      </c>
      <c r="J80" s="72">
        <f>SUMIF(Calculations[Πηγή εκπομπών],A80,Calculations[t CH4])</f>
        <v>0</v>
      </c>
      <c r="K80" s="72">
        <f>SUMIF(Calculations[Πηγή εκπομπών],A80,Calculations[t N2O])</f>
        <v>0</v>
      </c>
      <c r="L80" s="73">
        <f>SUMIF(Calculations[Πηγή εκπομπών],A80,Calculations[t HFCs])</f>
        <v>0</v>
      </c>
      <c r="P80" s="222"/>
      <c r="Q80" s="223"/>
    </row>
    <row r="81" spans="1:17" ht="14.4" customHeight="1">
      <c r="A81" s="321" t="s">
        <v>86</v>
      </c>
      <c r="B81" s="322"/>
      <c r="C81" s="322"/>
      <c r="D81" s="322"/>
      <c r="E81" s="322"/>
      <c r="F81" s="354"/>
      <c r="G81" s="341">
        <f>G3+G30+G33</f>
        <v>346831.07876979531</v>
      </c>
      <c r="P81" s="311">
        <v>421202.031662794</v>
      </c>
      <c r="Q81" s="313">
        <f>(G81-P81)/P81</f>
        <v>-0.17656836221658734</v>
      </c>
    </row>
    <row r="82" spans="1:17" ht="15" customHeight="1" thickBot="1">
      <c r="A82" s="355"/>
      <c r="B82" s="356"/>
      <c r="C82" s="356"/>
      <c r="D82" s="356"/>
      <c r="E82" s="356"/>
      <c r="F82" s="357"/>
      <c r="G82" s="312"/>
      <c r="P82" s="312"/>
      <c r="Q82" s="314"/>
    </row>
    <row r="83" spans="1:17">
      <c r="A83" s="340"/>
      <c r="B83" s="340"/>
      <c r="C83" s="340"/>
      <c r="D83" s="340"/>
      <c r="E83" s="340"/>
      <c r="F83" s="340"/>
      <c r="G83" s="340"/>
      <c r="H83" s="340"/>
      <c r="I83" s="340"/>
      <c r="J83" s="340"/>
      <c r="K83" s="340"/>
    </row>
    <row r="85" spans="1:17">
      <c r="I85" s="24"/>
    </row>
    <row r="94" spans="1:17">
      <c r="F94" s="231"/>
    </row>
  </sheetData>
  <mergeCells count="85">
    <mergeCell ref="P1:Q1"/>
    <mergeCell ref="A35:F35"/>
    <mergeCell ref="A37:F37"/>
    <mergeCell ref="A70:F70"/>
    <mergeCell ref="A71:F71"/>
    <mergeCell ref="A56:F56"/>
    <mergeCell ref="A60:F60"/>
    <mergeCell ref="A61:F61"/>
    <mergeCell ref="A48:F48"/>
    <mergeCell ref="A49:F49"/>
    <mergeCell ref="A50:F50"/>
    <mergeCell ref="A58:F58"/>
    <mergeCell ref="A47:F47"/>
    <mergeCell ref="A45:F45"/>
    <mergeCell ref="A46:F46"/>
    <mergeCell ref="A59:F59"/>
    <mergeCell ref="A62:F62"/>
    <mergeCell ref="A66:F66"/>
    <mergeCell ref="A67:F67"/>
    <mergeCell ref="A68:F68"/>
    <mergeCell ref="A69:F69"/>
    <mergeCell ref="A57:F57"/>
    <mergeCell ref="A51:F51"/>
    <mergeCell ref="A55:F55"/>
    <mergeCell ref="A52:F52"/>
    <mergeCell ref="A54:F54"/>
    <mergeCell ref="A53:F53"/>
    <mergeCell ref="A40:F40"/>
    <mergeCell ref="A41:F41"/>
    <mergeCell ref="A42:F42"/>
    <mergeCell ref="A43:F43"/>
    <mergeCell ref="A44:F44"/>
    <mergeCell ref="A33:F33"/>
    <mergeCell ref="A34:F34"/>
    <mergeCell ref="A31:F31"/>
    <mergeCell ref="A81:F82"/>
    <mergeCell ref="A22:F22"/>
    <mergeCell ref="A28:F28"/>
    <mergeCell ref="A25:F25"/>
    <mergeCell ref="A29:F29"/>
    <mergeCell ref="A32:F32"/>
    <mergeCell ref="A27:F27"/>
    <mergeCell ref="A30:F30"/>
    <mergeCell ref="A24:F24"/>
    <mergeCell ref="A36:F36"/>
    <mergeCell ref="A38:F38"/>
    <mergeCell ref="A26:F26"/>
    <mergeCell ref="A39:F39"/>
    <mergeCell ref="A83:K83"/>
    <mergeCell ref="G81:G82"/>
    <mergeCell ref="A79:F79"/>
    <mergeCell ref="A78:F78"/>
    <mergeCell ref="A80:F80"/>
    <mergeCell ref="A20:F20"/>
    <mergeCell ref="A6:F6"/>
    <mergeCell ref="A17:F17"/>
    <mergeCell ref="A18:F18"/>
    <mergeCell ref="A23:F23"/>
    <mergeCell ref="A10:F10"/>
    <mergeCell ref="A8:F8"/>
    <mergeCell ref="A11:F11"/>
    <mergeCell ref="A9:F9"/>
    <mergeCell ref="A16:F16"/>
    <mergeCell ref="A12:F12"/>
    <mergeCell ref="A13:F13"/>
    <mergeCell ref="A14:F14"/>
    <mergeCell ref="A15:F15"/>
    <mergeCell ref="A7:F7"/>
    <mergeCell ref="A21:F21"/>
    <mergeCell ref="A1:F2"/>
    <mergeCell ref="A3:F3"/>
    <mergeCell ref="A4:F4"/>
    <mergeCell ref="A19:F19"/>
    <mergeCell ref="A5:F5"/>
    <mergeCell ref="P81:P82"/>
    <mergeCell ref="Q81:Q82"/>
    <mergeCell ref="A63:F63"/>
    <mergeCell ref="A65:F65"/>
    <mergeCell ref="A64:F64"/>
    <mergeCell ref="A77:F77"/>
    <mergeCell ref="A75:F75"/>
    <mergeCell ref="A76:F76"/>
    <mergeCell ref="A73:F73"/>
    <mergeCell ref="A74:F74"/>
    <mergeCell ref="A72:F72"/>
  </mergeCells>
  <pageMargins left="0.7" right="0.7" top="0.75" bottom="0.75" header="0.3" footer="0.3"/>
  <pageSetup paperSize="9" orientation="portrait" horizontalDpi="4294967293" verticalDpi="4294967293" r:id="rId1"/>
  <ignoredErrors>
    <ignoredError sqref="I27:L27 H35:K35 H36:I36 I60 H67:L67 H59:I59 L51 I62 L61 I61 L66 H66:I66 K66 K61 K59:L59 J36:L36 K60:L60 K62:L62 J62 J60 J59 J61 J63:J66 H77 J78:K7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E14-066C-4DEA-9CB6-C4DA908DDB62}">
  <sheetPr codeName="Sheet3"/>
  <dimension ref="A1:C24"/>
  <sheetViews>
    <sheetView workbookViewId="0">
      <selection activeCell="A5" sqref="A5"/>
    </sheetView>
  </sheetViews>
  <sheetFormatPr defaultRowHeight="14.4"/>
  <cols>
    <col min="1" max="1" width="68.109375" bestFit="1" customWidth="1"/>
    <col min="2" max="2" width="24.33203125" bestFit="1" customWidth="1"/>
    <col min="3" max="3" width="17.44140625" bestFit="1" customWidth="1"/>
    <col min="4" max="4" width="19.88671875" bestFit="1" customWidth="1"/>
    <col min="5" max="5" width="26" bestFit="1" customWidth="1"/>
    <col min="6" max="6" width="78.6640625" bestFit="1" customWidth="1"/>
    <col min="7" max="7" width="19.6640625" bestFit="1" customWidth="1"/>
    <col min="8" max="8" width="58.88671875" bestFit="1" customWidth="1"/>
    <col min="9" max="9" width="42.33203125" bestFit="1" customWidth="1"/>
    <col min="10" max="10" width="56.6640625" bestFit="1" customWidth="1"/>
    <col min="11" max="11" width="24.44140625" bestFit="1" customWidth="1"/>
    <col min="12" max="12" width="19.5546875" bestFit="1" customWidth="1"/>
    <col min="13" max="13" width="58.88671875" bestFit="1" customWidth="1"/>
    <col min="14" max="14" width="42.33203125" bestFit="1" customWidth="1"/>
    <col min="15" max="15" width="31.109375" bestFit="1" customWidth="1"/>
    <col min="16" max="16" width="26.33203125" bestFit="1" customWidth="1"/>
    <col min="17" max="17" width="46.6640625" bestFit="1" customWidth="1"/>
    <col min="18" max="18" width="60.44140625" bestFit="1" customWidth="1"/>
    <col min="19" max="19" width="31.5546875" bestFit="1" customWidth="1"/>
    <col min="20" max="20" width="37.44140625" bestFit="1" customWidth="1"/>
    <col min="21" max="21" width="25.6640625" bestFit="1" customWidth="1"/>
    <col min="22" max="22" width="37.109375" bestFit="1" customWidth="1"/>
    <col min="23" max="23" width="27.109375" bestFit="1" customWidth="1"/>
    <col min="24" max="24" width="75.6640625" bestFit="1" customWidth="1"/>
    <col min="25" max="25" width="14.33203125" bestFit="1" customWidth="1"/>
    <col min="26" max="26" width="10.44140625" bestFit="1" customWidth="1"/>
    <col min="27" max="27" width="106.6640625" bestFit="1" customWidth="1"/>
    <col min="28" max="28" width="41.109375" bestFit="1" customWidth="1"/>
    <col min="29" max="29" width="24.88671875" bestFit="1" customWidth="1"/>
    <col min="30" max="30" width="39.33203125" bestFit="1" customWidth="1"/>
    <col min="31" max="31" width="41" bestFit="1" customWidth="1"/>
    <col min="32" max="32" width="41.33203125" bestFit="1" customWidth="1"/>
    <col min="33" max="33" width="38.6640625" bestFit="1" customWidth="1"/>
    <col min="34" max="34" width="45.33203125" bestFit="1" customWidth="1"/>
    <col min="35" max="35" width="40.6640625" bestFit="1" customWidth="1"/>
    <col min="36" max="36" width="41.33203125" bestFit="1" customWidth="1"/>
    <col min="37" max="37" width="39.44140625" bestFit="1" customWidth="1"/>
    <col min="38" max="38" width="47.33203125" bestFit="1" customWidth="1"/>
    <col min="39" max="39" width="10.44140625" bestFit="1" customWidth="1"/>
    <col min="40" max="40" width="21.6640625" bestFit="1" customWidth="1"/>
    <col min="41" max="41" width="31" bestFit="1" customWidth="1"/>
    <col min="42" max="42" width="16.6640625" bestFit="1" customWidth="1"/>
    <col min="43" max="43" width="15.33203125" bestFit="1" customWidth="1"/>
  </cols>
  <sheetData>
    <row r="1" spans="1:3">
      <c r="A1" s="146" t="s">
        <v>4</v>
      </c>
      <c r="B1" t="s">
        <v>1155</v>
      </c>
    </row>
    <row r="3" spans="1:3">
      <c r="A3" s="146" t="s">
        <v>829</v>
      </c>
      <c r="B3" t="s">
        <v>832</v>
      </c>
      <c r="C3" t="s">
        <v>831</v>
      </c>
    </row>
    <row r="4" spans="1:3">
      <c r="A4" s="11" t="s">
        <v>895</v>
      </c>
      <c r="B4" s="24"/>
      <c r="C4" s="24"/>
    </row>
    <row r="5" spans="1:3">
      <c r="A5" s="215" t="s">
        <v>1140</v>
      </c>
      <c r="B5" s="24">
        <v>9078.2242358799995</v>
      </c>
      <c r="C5" s="24">
        <v>6323.8064591919119</v>
      </c>
    </row>
    <row r="6" spans="1:3">
      <c r="A6" s="215" t="s">
        <v>1136</v>
      </c>
      <c r="B6" s="24">
        <v>29.846237856031543</v>
      </c>
      <c r="C6" s="24">
        <v>20.794042321681964</v>
      </c>
    </row>
    <row r="7" spans="1:3">
      <c r="A7" s="215" t="s">
        <v>1141</v>
      </c>
      <c r="B7" s="24">
        <v>4711.3252080279999</v>
      </c>
      <c r="C7" s="24">
        <v>3282.2845726043661</v>
      </c>
    </row>
    <row r="8" spans="1:3">
      <c r="A8" s="215" t="s">
        <v>1142</v>
      </c>
      <c r="B8" s="24">
        <v>2.8606617753384884</v>
      </c>
      <c r="C8" s="24">
        <v>1.9930392001612121</v>
      </c>
    </row>
    <row r="9" spans="1:3">
      <c r="A9" s="215" t="s">
        <v>1137</v>
      </c>
      <c r="B9" s="24">
        <v>42.620223791899996</v>
      </c>
      <c r="C9" s="24">
        <v>29.715500683241871</v>
      </c>
    </row>
    <row r="10" spans="1:3">
      <c r="A10" s="215" t="s">
        <v>1139</v>
      </c>
      <c r="B10" s="24">
        <v>18.46530598</v>
      </c>
      <c r="C10" s="24">
        <v>12.878697410974999</v>
      </c>
    </row>
    <row r="11" spans="1:3">
      <c r="A11" s="215" t="s">
        <v>1134</v>
      </c>
      <c r="B11" s="24">
        <v>104.70401887</v>
      </c>
      <c r="C11" s="24">
        <v>72.777736407887488</v>
      </c>
    </row>
    <row r="12" spans="1:3">
      <c r="A12" s="215" t="s">
        <v>1138</v>
      </c>
      <c r="B12" s="24">
        <v>77.583245459999986</v>
      </c>
      <c r="C12" s="24">
        <v>54.052684875412496</v>
      </c>
    </row>
    <row r="13" spans="1:3">
      <c r="A13" s="11" t="s">
        <v>1144</v>
      </c>
      <c r="B13" s="24"/>
      <c r="C13" s="24"/>
    </row>
    <row r="14" spans="1:3">
      <c r="A14" s="215" t="s">
        <v>1143</v>
      </c>
      <c r="B14" s="24">
        <v>6.5353924599999997</v>
      </c>
      <c r="C14" s="24">
        <v>8.3994109881174008</v>
      </c>
    </row>
    <row r="15" spans="1:3">
      <c r="A15" s="215" t="s">
        <v>1146</v>
      </c>
      <c r="B15" s="24">
        <v>97.545705877267224</v>
      </c>
      <c r="C15" s="24">
        <v>67.960643686297246</v>
      </c>
    </row>
    <row r="16" spans="1:3">
      <c r="A16" s="11" t="s">
        <v>894</v>
      </c>
      <c r="B16" s="24"/>
      <c r="C16" s="24"/>
    </row>
    <row r="17" spans="1:3">
      <c r="A17" s="215" t="s">
        <v>1188</v>
      </c>
      <c r="B17" s="24">
        <v>23.175120193503833</v>
      </c>
      <c r="C17" s="24">
        <v>10.389328261808194</v>
      </c>
    </row>
    <row r="18" spans="1:3">
      <c r="A18" s="215" t="s">
        <v>1187</v>
      </c>
      <c r="B18" s="24">
        <v>6290.2850590859171</v>
      </c>
      <c r="C18" s="24">
        <v>6199.1892868991563</v>
      </c>
    </row>
    <row r="19" spans="1:3">
      <c r="A19" s="215" t="s">
        <v>1343</v>
      </c>
      <c r="B19" s="24">
        <v>8527.1565784956601</v>
      </c>
      <c r="C19" s="24">
        <v>5938.7428002864399</v>
      </c>
    </row>
    <row r="20" spans="1:3">
      <c r="A20" s="11" t="s">
        <v>897</v>
      </c>
      <c r="B20" s="24"/>
      <c r="C20" s="24"/>
    </row>
    <row r="21" spans="1:3">
      <c r="A21" s="215" t="s">
        <v>1149</v>
      </c>
      <c r="B21" s="24">
        <v>3.7045380000000003E-2</v>
      </c>
      <c r="C21" s="24">
        <v>2.5837440224999998E-2</v>
      </c>
    </row>
    <row r="22" spans="1:3">
      <c r="A22" s="215" t="s">
        <v>1150</v>
      </c>
      <c r="B22" s="24">
        <v>11.013547835053187</v>
      </c>
      <c r="C22" s="24">
        <v>7.6732009206206708</v>
      </c>
    </row>
    <row r="23" spans="1:3">
      <c r="A23" s="215" t="s">
        <v>1151</v>
      </c>
      <c r="B23" s="24">
        <v>35.49791515199999</v>
      </c>
      <c r="C23" s="24">
        <v>24.731597783369995</v>
      </c>
    </row>
    <row r="24" spans="1:3">
      <c r="A24" s="11" t="s">
        <v>830</v>
      </c>
      <c r="B24" s="24">
        <v>29056.875502120667</v>
      </c>
      <c r="C24" s="24">
        <v>22055.414838961675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5948-764E-49E3-B1FD-BD3F6BCC4CF0}">
  <sheetPr codeName="Sheet5"/>
  <dimension ref="A1:D77"/>
  <sheetViews>
    <sheetView workbookViewId="0">
      <selection activeCell="A36" sqref="A36:A77"/>
    </sheetView>
  </sheetViews>
  <sheetFormatPr defaultRowHeight="14.4"/>
  <cols>
    <col min="1" max="1" width="56" customWidth="1"/>
    <col min="2" max="2" width="67.109375" style="201" customWidth="1"/>
    <col min="3" max="3" width="29.33203125" customWidth="1"/>
    <col min="4" max="4" width="8.88671875" customWidth="1"/>
  </cols>
  <sheetData>
    <row r="1" spans="1:4">
      <c r="A1" t="s">
        <v>896</v>
      </c>
      <c r="B1" s="201" t="s">
        <v>1254</v>
      </c>
      <c r="C1" t="s">
        <v>1315</v>
      </c>
      <c r="D1" t="s">
        <v>1316</v>
      </c>
    </row>
    <row r="2" spans="1:4">
      <c r="A2" t="s">
        <v>1255</v>
      </c>
      <c r="B2" s="201" t="s">
        <v>1256</v>
      </c>
      <c r="C2" t="s">
        <v>320</v>
      </c>
      <c r="D2" t="s">
        <v>1320</v>
      </c>
    </row>
    <row r="3" spans="1:4">
      <c r="A3" t="s">
        <v>1255</v>
      </c>
      <c r="B3" s="201" t="s">
        <v>1257</v>
      </c>
      <c r="C3" t="s">
        <v>320</v>
      </c>
      <c r="D3" t="s">
        <v>1320</v>
      </c>
    </row>
    <row r="4" spans="1:4">
      <c r="A4" t="s">
        <v>1255</v>
      </c>
      <c r="B4" s="201" t="s">
        <v>1258</v>
      </c>
      <c r="C4" t="s">
        <v>320</v>
      </c>
      <c r="D4" t="s">
        <v>1320</v>
      </c>
    </row>
    <row r="5" spans="1:4">
      <c r="A5" t="s">
        <v>1255</v>
      </c>
      <c r="B5" s="201" t="s">
        <v>1259</v>
      </c>
      <c r="C5" t="s">
        <v>320</v>
      </c>
      <c r="D5" t="s">
        <v>1320</v>
      </c>
    </row>
    <row r="6" spans="1:4">
      <c r="A6" t="s">
        <v>1255</v>
      </c>
      <c r="B6" s="201" t="s">
        <v>1260</v>
      </c>
      <c r="C6" t="s">
        <v>320</v>
      </c>
      <c r="D6" t="s">
        <v>1320</v>
      </c>
    </row>
    <row r="7" spans="1:4">
      <c r="A7" t="s">
        <v>1255</v>
      </c>
      <c r="B7" s="201" t="s">
        <v>1261</v>
      </c>
      <c r="C7" t="s">
        <v>320</v>
      </c>
      <c r="D7" t="s">
        <v>1320</v>
      </c>
    </row>
    <row r="8" spans="1:4">
      <c r="A8" t="s">
        <v>1255</v>
      </c>
      <c r="B8" s="201" t="s">
        <v>1262</v>
      </c>
      <c r="C8" t="s">
        <v>320</v>
      </c>
      <c r="D8" t="s">
        <v>1320</v>
      </c>
    </row>
    <row r="9" spans="1:4">
      <c r="A9" t="s">
        <v>1255</v>
      </c>
      <c r="B9" s="201" t="s">
        <v>1263</v>
      </c>
      <c r="C9" t="s">
        <v>320</v>
      </c>
      <c r="D9" t="s">
        <v>1320</v>
      </c>
    </row>
    <row r="10" spans="1:4">
      <c r="A10" t="s">
        <v>1255</v>
      </c>
      <c r="B10" s="201" t="s">
        <v>1264</v>
      </c>
      <c r="C10" t="s">
        <v>320</v>
      </c>
      <c r="D10" t="s">
        <v>1320</v>
      </c>
    </row>
    <row r="11" spans="1:4">
      <c r="A11" t="s">
        <v>1255</v>
      </c>
      <c r="B11" s="201" t="s">
        <v>1265</v>
      </c>
      <c r="C11" t="s">
        <v>320</v>
      </c>
      <c r="D11" t="s">
        <v>1320</v>
      </c>
    </row>
    <row r="12" spans="1:4">
      <c r="A12" t="s">
        <v>1255</v>
      </c>
      <c r="B12" s="201" t="s">
        <v>1266</v>
      </c>
      <c r="C12" t="s">
        <v>320</v>
      </c>
      <c r="D12" t="s">
        <v>1320</v>
      </c>
    </row>
    <row r="13" spans="1:4">
      <c r="A13" t="s">
        <v>1255</v>
      </c>
      <c r="B13" s="201" t="s">
        <v>1149</v>
      </c>
      <c r="C13" t="s">
        <v>320</v>
      </c>
      <c r="D13" t="s">
        <v>1320</v>
      </c>
    </row>
    <row r="14" spans="1:4">
      <c r="A14" t="s">
        <v>1255</v>
      </c>
      <c r="B14" s="201" t="s">
        <v>1150</v>
      </c>
      <c r="C14" t="s">
        <v>320</v>
      </c>
      <c r="D14" t="s">
        <v>1320</v>
      </c>
    </row>
    <row r="15" spans="1:4">
      <c r="A15" t="s">
        <v>1255</v>
      </c>
      <c r="B15" s="201" t="s">
        <v>1151</v>
      </c>
      <c r="C15" t="s">
        <v>320</v>
      </c>
      <c r="D15" t="s">
        <v>1320</v>
      </c>
    </row>
    <row r="16" spans="1:4">
      <c r="A16" t="s">
        <v>1255</v>
      </c>
      <c r="B16" s="201" t="s">
        <v>1267</v>
      </c>
      <c r="C16" t="s">
        <v>320</v>
      </c>
      <c r="D16" t="s">
        <v>1320</v>
      </c>
    </row>
    <row r="17" spans="1:4">
      <c r="A17" t="s">
        <v>1268</v>
      </c>
      <c r="B17" s="201" t="s">
        <v>1269</v>
      </c>
      <c r="C17" t="s">
        <v>1268</v>
      </c>
      <c r="D17" t="s">
        <v>1320</v>
      </c>
    </row>
    <row r="18" spans="1:4">
      <c r="A18" t="s">
        <v>1268</v>
      </c>
      <c r="B18" s="201" t="s">
        <v>1143</v>
      </c>
      <c r="C18" t="s">
        <v>1268</v>
      </c>
      <c r="D18" t="s">
        <v>1318</v>
      </c>
    </row>
    <row r="19" spans="1:4">
      <c r="A19" t="s">
        <v>1268</v>
      </c>
      <c r="B19" s="201" t="s">
        <v>1270</v>
      </c>
      <c r="C19" t="s">
        <v>1268</v>
      </c>
      <c r="D19" t="s">
        <v>1320</v>
      </c>
    </row>
    <row r="20" spans="1:4">
      <c r="A20" t="s">
        <v>1268</v>
      </c>
      <c r="B20" s="201" t="s">
        <v>1271</v>
      </c>
      <c r="C20" t="s">
        <v>1268</v>
      </c>
      <c r="D20" t="s">
        <v>1320</v>
      </c>
    </row>
    <row r="21" spans="1:4">
      <c r="A21" t="s">
        <v>1268</v>
      </c>
      <c r="B21" s="201" t="s">
        <v>1146</v>
      </c>
      <c r="C21" t="s">
        <v>1268</v>
      </c>
      <c r="D21" t="s">
        <v>1320</v>
      </c>
    </row>
    <row r="22" spans="1:4">
      <c r="A22" t="s">
        <v>1268</v>
      </c>
      <c r="B22" s="201" t="s">
        <v>1272</v>
      </c>
      <c r="C22" t="s">
        <v>1268</v>
      </c>
      <c r="D22" t="s">
        <v>1320</v>
      </c>
    </row>
    <row r="23" spans="1:4">
      <c r="A23" t="s">
        <v>1273</v>
      </c>
      <c r="B23" s="201" t="s">
        <v>1274</v>
      </c>
      <c r="C23" t="s">
        <v>319</v>
      </c>
      <c r="D23" t="s">
        <v>1320</v>
      </c>
    </row>
    <row r="24" spans="1:4">
      <c r="A24" t="s">
        <v>1273</v>
      </c>
      <c r="B24" s="201" t="s">
        <v>1179</v>
      </c>
      <c r="C24" t="s">
        <v>318</v>
      </c>
      <c r="D24" t="s">
        <v>1320</v>
      </c>
    </row>
    <row r="25" spans="1:4">
      <c r="A25" t="s">
        <v>1273</v>
      </c>
      <c r="B25" s="201" t="s">
        <v>1140</v>
      </c>
      <c r="C25" t="s">
        <v>322</v>
      </c>
      <c r="D25" t="s">
        <v>1320</v>
      </c>
    </row>
    <row r="26" spans="1:4">
      <c r="A26" t="s">
        <v>1273</v>
      </c>
      <c r="B26" s="201" t="s">
        <v>1136</v>
      </c>
      <c r="C26" t="s">
        <v>319</v>
      </c>
      <c r="D26" t="s">
        <v>1320</v>
      </c>
    </row>
    <row r="27" spans="1:4">
      <c r="A27" t="s">
        <v>1273</v>
      </c>
      <c r="B27" s="201" t="s">
        <v>1141</v>
      </c>
      <c r="C27" t="s">
        <v>312</v>
      </c>
      <c r="D27" t="s">
        <v>1320</v>
      </c>
    </row>
    <row r="28" spans="1:4">
      <c r="A28" t="s">
        <v>1273</v>
      </c>
      <c r="B28" s="201" t="s">
        <v>1180</v>
      </c>
      <c r="C28" t="s">
        <v>312</v>
      </c>
      <c r="D28" t="s">
        <v>1320</v>
      </c>
    </row>
    <row r="29" spans="1:4">
      <c r="A29" t="s">
        <v>1273</v>
      </c>
      <c r="B29" s="201" t="s">
        <v>1142</v>
      </c>
      <c r="C29" t="s">
        <v>312</v>
      </c>
      <c r="D29" t="s">
        <v>1320</v>
      </c>
    </row>
    <row r="30" spans="1:4">
      <c r="A30" t="s">
        <v>1273</v>
      </c>
      <c r="B30" s="201" t="s">
        <v>1137</v>
      </c>
      <c r="C30" t="s">
        <v>319</v>
      </c>
      <c r="D30" t="s">
        <v>1320</v>
      </c>
    </row>
    <row r="31" spans="1:4">
      <c r="A31" t="s">
        <v>1273</v>
      </c>
      <c r="B31" s="201" t="s">
        <v>1275</v>
      </c>
      <c r="C31" t="s">
        <v>319</v>
      </c>
      <c r="D31" t="s">
        <v>1320</v>
      </c>
    </row>
    <row r="32" spans="1:4">
      <c r="A32" t="s">
        <v>1273</v>
      </c>
      <c r="B32" s="201" t="s">
        <v>1139</v>
      </c>
      <c r="C32" t="s">
        <v>319</v>
      </c>
      <c r="D32" t="s">
        <v>1320</v>
      </c>
    </row>
    <row r="33" spans="1:4">
      <c r="A33" t="s">
        <v>1273</v>
      </c>
      <c r="B33" s="201" t="s">
        <v>1134</v>
      </c>
      <c r="C33" t="s">
        <v>319</v>
      </c>
      <c r="D33" t="s">
        <v>1320</v>
      </c>
    </row>
    <row r="34" spans="1:4">
      <c r="A34" t="s">
        <v>1273</v>
      </c>
      <c r="B34" s="201" t="s">
        <v>1156</v>
      </c>
      <c r="C34" t="s">
        <v>319</v>
      </c>
      <c r="D34" t="s">
        <v>1320</v>
      </c>
    </row>
    <row r="35" spans="1:4">
      <c r="A35" t="s">
        <v>1273</v>
      </c>
      <c r="B35" s="201" t="s">
        <v>1138</v>
      </c>
      <c r="C35" t="s">
        <v>319</v>
      </c>
      <c r="D35" t="s">
        <v>1320</v>
      </c>
    </row>
    <row r="36" spans="1:4">
      <c r="A36" t="s">
        <v>1276</v>
      </c>
      <c r="B36" s="201" t="s">
        <v>1188</v>
      </c>
      <c r="C36" t="s">
        <v>317</v>
      </c>
      <c r="D36" t="s">
        <v>1317</v>
      </c>
    </row>
    <row r="37" spans="1:4">
      <c r="A37" t="s">
        <v>1276</v>
      </c>
      <c r="B37" s="201" t="s">
        <v>1277</v>
      </c>
      <c r="C37" t="s">
        <v>317</v>
      </c>
      <c r="D37" t="s">
        <v>1320</v>
      </c>
    </row>
    <row r="38" spans="1:4">
      <c r="A38" t="s">
        <v>1276</v>
      </c>
      <c r="B38" s="201" t="s">
        <v>1278</v>
      </c>
      <c r="C38" t="s">
        <v>317</v>
      </c>
      <c r="D38" t="s">
        <v>1320</v>
      </c>
    </row>
    <row r="39" spans="1:4">
      <c r="A39" t="s">
        <v>1276</v>
      </c>
      <c r="B39" s="201" t="s">
        <v>1279</v>
      </c>
      <c r="C39" t="s">
        <v>317</v>
      </c>
      <c r="D39" t="s">
        <v>1320</v>
      </c>
    </row>
    <row r="40" spans="1:4">
      <c r="A40" t="s">
        <v>1276</v>
      </c>
      <c r="B40" s="201" t="s">
        <v>1280</v>
      </c>
      <c r="C40" t="s">
        <v>317</v>
      </c>
      <c r="D40" t="s">
        <v>1320</v>
      </c>
    </row>
    <row r="41" spans="1:4">
      <c r="A41" t="s">
        <v>1276</v>
      </c>
      <c r="B41" s="201" t="s">
        <v>1281</v>
      </c>
      <c r="C41" t="s">
        <v>317</v>
      </c>
      <c r="D41" t="s">
        <v>1320</v>
      </c>
    </row>
    <row r="42" spans="1:4">
      <c r="A42" t="s">
        <v>1276</v>
      </c>
      <c r="B42" s="201" t="s">
        <v>1282</v>
      </c>
      <c r="C42" t="s">
        <v>317</v>
      </c>
      <c r="D42" t="s">
        <v>1320</v>
      </c>
    </row>
    <row r="43" spans="1:4">
      <c r="A43" t="s">
        <v>1276</v>
      </c>
      <c r="B43" s="201" t="s">
        <v>1283</v>
      </c>
      <c r="C43" t="s">
        <v>317</v>
      </c>
      <c r="D43" t="s">
        <v>1320</v>
      </c>
    </row>
    <row r="44" spans="1:4">
      <c r="A44" t="s">
        <v>1276</v>
      </c>
      <c r="B44" s="201" t="s">
        <v>1284</v>
      </c>
      <c r="C44" t="s">
        <v>317</v>
      </c>
      <c r="D44" t="s">
        <v>1320</v>
      </c>
    </row>
    <row r="45" spans="1:4">
      <c r="A45" t="s">
        <v>1276</v>
      </c>
      <c r="B45" s="201" t="s">
        <v>1285</v>
      </c>
      <c r="C45" t="s">
        <v>317</v>
      </c>
      <c r="D45" t="s">
        <v>1320</v>
      </c>
    </row>
    <row r="46" spans="1:4">
      <c r="A46" t="s">
        <v>1276</v>
      </c>
      <c r="B46" s="201" t="s">
        <v>1286</v>
      </c>
      <c r="C46" t="s">
        <v>317</v>
      </c>
      <c r="D46" t="s">
        <v>1320</v>
      </c>
    </row>
    <row r="47" spans="1:4">
      <c r="A47" t="s">
        <v>1276</v>
      </c>
      <c r="B47" s="201" t="s">
        <v>1287</v>
      </c>
      <c r="C47" t="s">
        <v>317</v>
      </c>
      <c r="D47" t="s">
        <v>1320</v>
      </c>
    </row>
    <row r="48" spans="1:4">
      <c r="A48" t="s">
        <v>1276</v>
      </c>
      <c r="B48" s="201" t="s">
        <v>1288</v>
      </c>
      <c r="C48" t="s">
        <v>317</v>
      </c>
      <c r="D48" t="s">
        <v>1320</v>
      </c>
    </row>
    <row r="49" spans="1:4" ht="28.8">
      <c r="A49" t="s">
        <v>1276</v>
      </c>
      <c r="B49" s="201" t="s">
        <v>1289</v>
      </c>
      <c r="C49" t="s">
        <v>317</v>
      </c>
      <c r="D49" t="s">
        <v>1320</v>
      </c>
    </row>
    <row r="50" spans="1:4">
      <c r="A50" t="s">
        <v>1276</v>
      </c>
      <c r="B50" s="201" t="s">
        <v>1290</v>
      </c>
      <c r="C50" t="s">
        <v>317</v>
      </c>
      <c r="D50" t="s">
        <v>1320</v>
      </c>
    </row>
    <row r="51" spans="1:4">
      <c r="A51" t="s">
        <v>1276</v>
      </c>
      <c r="B51" s="201" t="s">
        <v>1291</v>
      </c>
      <c r="C51" t="s">
        <v>317</v>
      </c>
      <c r="D51" t="s">
        <v>1320</v>
      </c>
    </row>
    <row r="52" spans="1:4">
      <c r="A52" t="s">
        <v>1276</v>
      </c>
      <c r="B52" s="201" t="s">
        <v>1292</v>
      </c>
      <c r="C52" t="s">
        <v>317</v>
      </c>
      <c r="D52" t="s">
        <v>1320</v>
      </c>
    </row>
    <row r="53" spans="1:4" ht="28.8">
      <c r="A53" t="s">
        <v>1276</v>
      </c>
      <c r="B53" s="201" t="s">
        <v>1075</v>
      </c>
      <c r="C53" t="s">
        <v>317</v>
      </c>
      <c r="D53" t="s">
        <v>1320</v>
      </c>
    </row>
    <row r="54" spans="1:4">
      <c r="A54" t="s">
        <v>1276</v>
      </c>
      <c r="B54" s="201" t="s">
        <v>1293</v>
      </c>
      <c r="C54" t="s">
        <v>317</v>
      </c>
      <c r="D54" t="s">
        <v>1320</v>
      </c>
    </row>
    <row r="55" spans="1:4">
      <c r="A55" t="s">
        <v>1276</v>
      </c>
      <c r="B55" s="201" t="s">
        <v>1294</v>
      </c>
      <c r="C55" t="s">
        <v>317</v>
      </c>
      <c r="D55" t="s">
        <v>1320</v>
      </c>
    </row>
    <row r="56" spans="1:4" ht="28.8">
      <c r="A56" t="s">
        <v>1276</v>
      </c>
      <c r="B56" s="201" t="s">
        <v>1295</v>
      </c>
      <c r="C56" t="s">
        <v>317</v>
      </c>
      <c r="D56" t="s">
        <v>1320</v>
      </c>
    </row>
    <row r="57" spans="1:4" ht="28.8">
      <c r="A57" t="s">
        <v>1276</v>
      </c>
      <c r="B57" s="201" t="s">
        <v>1296</v>
      </c>
      <c r="C57" t="s">
        <v>317</v>
      </c>
      <c r="D57" t="s">
        <v>1320</v>
      </c>
    </row>
    <row r="58" spans="1:4" ht="28.8">
      <c r="A58" t="s">
        <v>1276</v>
      </c>
      <c r="B58" s="201" t="s">
        <v>1297</v>
      </c>
      <c r="C58" t="s">
        <v>317</v>
      </c>
      <c r="D58" t="s">
        <v>1320</v>
      </c>
    </row>
    <row r="59" spans="1:4" ht="28.8">
      <c r="A59" t="s">
        <v>1276</v>
      </c>
      <c r="B59" s="201" t="s">
        <v>1298</v>
      </c>
      <c r="C59" t="s">
        <v>317</v>
      </c>
      <c r="D59" t="s">
        <v>1320</v>
      </c>
    </row>
    <row r="60" spans="1:4" ht="28.8">
      <c r="A60" t="s">
        <v>1276</v>
      </c>
      <c r="B60" s="201" t="s">
        <v>1299</v>
      </c>
      <c r="C60" t="s">
        <v>317</v>
      </c>
      <c r="D60" t="s">
        <v>1320</v>
      </c>
    </row>
    <row r="61" spans="1:4" ht="28.8">
      <c r="A61" t="s">
        <v>1276</v>
      </c>
      <c r="B61" s="201" t="s">
        <v>1300</v>
      </c>
      <c r="C61" t="s">
        <v>317</v>
      </c>
      <c r="D61" t="s">
        <v>1320</v>
      </c>
    </row>
    <row r="62" spans="1:4">
      <c r="A62" t="s">
        <v>1276</v>
      </c>
      <c r="B62" s="201" t="s">
        <v>1301</v>
      </c>
      <c r="C62" t="s">
        <v>317</v>
      </c>
      <c r="D62" t="s">
        <v>1320</v>
      </c>
    </row>
    <row r="63" spans="1:4" ht="28.8">
      <c r="A63" t="s">
        <v>1276</v>
      </c>
      <c r="B63" s="201" t="s">
        <v>1302</v>
      </c>
      <c r="C63" t="s">
        <v>317</v>
      </c>
      <c r="D63" t="s">
        <v>1320</v>
      </c>
    </row>
    <row r="64" spans="1:4" ht="43.2">
      <c r="A64" t="s">
        <v>1276</v>
      </c>
      <c r="B64" s="201" t="s">
        <v>1303</v>
      </c>
      <c r="C64" t="s">
        <v>317</v>
      </c>
      <c r="D64" t="s">
        <v>1320</v>
      </c>
    </row>
    <row r="65" spans="1:4">
      <c r="A65" t="s">
        <v>1276</v>
      </c>
      <c r="B65" s="201" t="s">
        <v>1304</v>
      </c>
      <c r="C65" t="s">
        <v>317</v>
      </c>
      <c r="D65" t="s">
        <v>1320</v>
      </c>
    </row>
    <row r="66" spans="1:4" ht="28.8">
      <c r="A66" t="s">
        <v>1276</v>
      </c>
      <c r="B66" s="201" t="s">
        <v>1305</v>
      </c>
      <c r="C66" t="s">
        <v>317</v>
      </c>
      <c r="D66" t="s">
        <v>1320</v>
      </c>
    </row>
    <row r="67" spans="1:4">
      <c r="A67" t="s">
        <v>1276</v>
      </c>
      <c r="B67" s="201" t="s">
        <v>1076</v>
      </c>
      <c r="C67" t="s">
        <v>317</v>
      </c>
      <c r="D67" t="s">
        <v>1320</v>
      </c>
    </row>
    <row r="68" spans="1:4">
      <c r="A68" t="s">
        <v>1276</v>
      </c>
      <c r="B68" s="201" t="s">
        <v>1187</v>
      </c>
      <c r="C68" t="s">
        <v>317</v>
      </c>
      <c r="D68" t="s">
        <v>1319</v>
      </c>
    </row>
    <row r="69" spans="1:4">
      <c r="A69" t="s">
        <v>1276</v>
      </c>
      <c r="B69" s="201" t="s">
        <v>1306</v>
      </c>
      <c r="C69" t="s">
        <v>317</v>
      </c>
      <c r="D69" t="s">
        <v>1320</v>
      </c>
    </row>
    <row r="70" spans="1:4" ht="28.8">
      <c r="A70" t="s">
        <v>1276</v>
      </c>
      <c r="B70" s="201" t="s">
        <v>1307</v>
      </c>
      <c r="C70" t="s">
        <v>317</v>
      </c>
      <c r="D70" t="s">
        <v>1320</v>
      </c>
    </row>
    <row r="71" spans="1:4">
      <c r="A71" t="s">
        <v>1276</v>
      </c>
      <c r="B71" s="201" t="s">
        <v>1308</v>
      </c>
      <c r="C71" t="s">
        <v>317</v>
      </c>
      <c r="D71" t="s">
        <v>1320</v>
      </c>
    </row>
    <row r="72" spans="1:4">
      <c r="A72" t="s">
        <v>1276</v>
      </c>
      <c r="B72" s="201" t="s">
        <v>1309</v>
      </c>
      <c r="C72" t="s">
        <v>317</v>
      </c>
      <c r="D72" t="s">
        <v>1320</v>
      </c>
    </row>
    <row r="73" spans="1:4">
      <c r="A73" t="s">
        <v>1276</v>
      </c>
      <c r="B73" s="201" t="s">
        <v>1310</v>
      </c>
      <c r="C73" t="s">
        <v>317</v>
      </c>
      <c r="D73" t="s">
        <v>1320</v>
      </c>
    </row>
    <row r="74" spans="1:4">
      <c r="A74" t="s">
        <v>1276</v>
      </c>
      <c r="B74" s="201" t="s">
        <v>1311</v>
      </c>
      <c r="C74" t="s">
        <v>317</v>
      </c>
      <c r="D74" t="s">
        <v>1320</v>
      </c>
    </row>
    <row r="75" spans="1:4">
      <c r="A75" t="s">
        <v>1276</v>
      </c>
      <c r="B75" s="201" t="s">
        <v>1312</v>
      </c>
      <c r="C75" t="s">
        <v>317</v>
      </c>
      <c r="D75" t="s">
        <v>1320</v>
      </c>
    </row>
    <row r="76" spans="1:4">
      <c r="A76" t="s">
        <v>1276</v>
      </c>
      <c r="B76" s="201" t="s">
        <v>1313</v>
      </c>
      <c r="C76" t="s">
        <v>317</v>
      </c>
      <c r="D76" t="s">
        <v>1320</v>
      </c>
    </row>
    <row r="77" spans="1:4">
      <c r="A77" t="s">
        <v>1276</v>
      </c>
      <c r="B77" s="201" t="s">
        <v>1314</v>
      </c>
      <c r="C77" t="s">
        <v>317</v>
      </c>
      <c r="D77" t="s">
        <v>1320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5330-806A-4E79-8824-FAC3E77A958C}">
  <sheetPr codeName="Sheet4"/>
  <dimension ref="A1:X1024"/>
  <sheetViews>
    <sheetView showOutlineSymbols="0" showWhiteSpace="0" topLeftCell="G776" zoomScale="85" zoomScaleNormal="60" workbookViewId="0">
      <selection activeCell="D1014" sqref="D1014"/>
    </sheetView>
  </sheetViews>
  <sheetFormatPr defaultRowHeight="14.4"/>
  <cols>
    <col min="1" max="1" width="13.109375" customWidth="1"/>
    <col min="2" max="2" width="15.33203125" customWidth="1"/>
    <col min="3" max="3" width="18" style="11" customWidth="1"/>
    <col min="4" max="4" width="26.5546875" style="11" customWidth="1"/>
    <col min="5" max="5" width="38" style="11" customWidth="1"/>
    <col min="6" max="6" width="23.5546875" style="11" hidden="1" customWidth="1"/>
    <col min="7" max="7" width="92.109375" style="11" customWidth="1"/>
    <col min="8" max="8" width="63.5546875" customWidth="1"/>
    <col min="9" max="9" width="62.5546875" customWidth="1"/>
    <col min="10" max="10" width="34.88671875" style="241" customWidth="1"/>
    <col min="11" max="11" width="26.44140625" customWidth="1"/>
    <col min="12" max="12" width="94" customWidth="1"/>
    <col min="13" max="13" width="68.6640625" style="93" customWidth="1"/>
    <col min="14" max="14" width="19.109375" bestFit="1" customWidth="1"/>
    <col min="15" max="15" width="12.88671875" style="9" bestFit="1" customWidth="1"/>
    <col min="16" max="16" width="16.6640625" style="9" bestFit="1" customWidth="1"/>
    <col min="17" max="17" width="59.33203125" style="9" customWidth="1"/>
    <col min="18" max="20" width="12.88671875" style="9" bestFit="1" customWidth="1"/>
    <col min="21" max="21" width="11.33203125" style="9" bestFit="1" customWidth="1"/>
    <col min="22" max="22" width="17.33203125" style="9" bestFit="1" customWidth="1"/>
    <col min="23" max="23" width="13.44140625" style="9" customWidth="1"/>
    <col min="24" max="24" width="31.6640625" style="80" customWidth="1"/>
    <col min="25" max="25" width="12" bestFit="1" customWidth="1"/>
  </cols>
  <sheetData>
    <row r="1" spans="1:24" s="11" customFormat="1" ht="15" thickBot="1">
      <c r="A1" s="10" t="s">
        <v>1</v>
      </c>
      <c r="B1" s="10" t="s">
        <v>349</v>
      </c>
      <c r="C1" s="29" t="s">
        <v>66</v>
      </c>
      <c r="D1" s="29" t="s">
        <v>896</v>
      </c>
      <c r="E1" s="29" t="s">
        <v>331</v>
      </c>
      <c r="F1" s="29" t="s">
        <v>316</v>
      </c>
      <c r="G1" s="10" t="s">
        <v>2</v>
      </c>
      <c r="H1" s="10" t="s">
        <v>3</v>
      </c>
      <c r="I1" s="10" t="s">
        <v>4</v>
      </c>
      <c r="J1" s="237" t="s">
        <v>278</v>
      </c>
      <c r="K1" s="10" t="s">
        <v>5</v>
      </c>
      <c r="L1" s="10" t="s">
        <v>6</v>
      </c>
      <c r="M1" s="92" t="s">
        <v>22</v>
      </c>
      <c r="N1" s="20" t="s">
        <v>39</v>
      </c>
      <c r="O1" s="20" t="s">
        <v>18</v>
      </c>
      <c r="P1" s="20" t="s">
        <v>19</v>
      </c>
      <c r="Q1" s="20" t="s">
        <v>20</v>
      </c>
      <c r="R1" s="20" t="s">
        <v>40</v>
      </c>
      <c r="S1" s="20" t="s">
        <v>41</v>
      </c>
      <c r="T1" s="20" t="s">
        <v>42</v>
      </c>
      <c r="U1" s="20" t="s">
        <v>65</v>
      </c>
      <c r="V1" s="21" t="s">
        <v>70</v>
      </c>
      <c r="W1" s="145" t="s">
        <v>827</v>
      </c>
      <c r="X1" s="249" t="s">
        <v>321</v>
      </c>
    </row>
    <row r="2" spans="1:24" s="14" customFormat="1" ht="15" hidden="1" thickTop="1">
      <c r="A2" s="15" t="s">
        <v>188</v>
      </c>
      <c r="B2" s="15" t="s">
        <v>188</v>
      </c>
      <c r="C2" s="16" t="s">
        <v>624</v>
      </c>
      <c r="D2" s="16" t="s">
        <v>894</v>
      </c>
      <c r="E2" s="16"/>
      <c r="F2" s="209" t="s">
        <v>317</v>
      </c>
      <c r="G2" s="15" t="s">
        <v>243</v>
      </c>
      <c r="H2" s="15" t="s">
        <v>97</v>
      </c>
      <c r="I2" s="17" t="s">
        <v>97</v>
      </c>
      <c r="J2" s="78">
        <v>1825735.531</v>
      </c>
      <c r="K2" s="18" t="s">
        <v>300</v>
      </c>
      <c r="L2" s="16" t="s">
        <v>258</v>
      </c>
      <c r="M2" s="148" t="s">
        <v>296</v>
      </c>
      <c r="N2" s="19" t="str">
        <f>_xlfn.XLOOKUP(Calculations[[#This Row],[For XLOOKUP]],Factors[For XLOOKUP],Factors[Factor],"")</f>
        <v>Σ.Ε. CO₂ st.</v>
      </c>
      <c r="O2" s="19">
        <f>_xlfn.XLOOKUP(Calculations[[#This Row],[For XLOOKUP]],Factors[For XLOOKUP],Factors[Value],"")</f>
        <v>5.760605078764669E-2</v>
      </c>
      <c r="P2" s="19" t="str">
        <f>_xlfn.XLOOKUP(Calculations[[#This Row],[For XLOOKUP]],Factors[For XLOOKUP],Factors[Units],"")</f>
        <v>tn CO2/MMBtu</v>
      </c>
      <c r="Q2" s="19" t="str">
        <f>_xlfn.XLOOKUP(Calculations[[#This Row],[For XLOOKUP]],Factors[For XLOOKUP],Factors[Source],"")</f>
        <v>Greece. National Inventory Submissions 2024</v>
      </c>
      <c r="R2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105173.4137235971</v>
      </c>
      <c r="S2" s="19" t="str">
        <f>IF(LEFT(Calculations[[#This Row],[Emission Factor]],7)="Σ.Ε. CH",Calculations[[#This Row],[Value]]*Calculations[[#This Row],[Τιμή]],"-")</f>
        <v>-</v>
      </c>
      <c r="T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" s="19" t="str">
        <f>IF(LEFT(Calculations[[#This Row],[Emission Factor]],3)="GWP",Calculations[[#This Row],[Τιμή]],"-")</f>
        <v>-</v>
      </c>
      <c r="V2" s="19" t="str">
        <f>IF(OR(Calculations[[#This Row],[Emission Factor]]="Σ.Ε. CO₂ eq",Calculations[[#This Row],[Emission Factor]]="CO₂ eq"),Calculations[[#This Row],[Value]]*Calculations[[#This Row],[Τιμή]],"-")</f>
        <v>-</v>
      </c>
      <c r="W2" s="19" t="str">
        <f>IF(Calculations[[#This Row],[Πηγή εκπομπών]]="Electricity consumed in office buildings and projects - market based",Calculations[[#This Row],[t CO2]],"")</f>
        <v/>
      </c>
      <c r="X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105173.4137235971</v>
      </c>
    </row>
    <row r="3" spans="1:24" s="14" customFormat="1" ht="15" hidden="1" thickTop="1">
      <c r="A3" s="15" t="s">
        <v>188</v>
      </c>
      <c r="B3" s="15" t="s">
        <v>188</v>
      </c>
      <c r="C3" s="16" t="s">
        <v>624</v>
      </c>
      <c r="D3" s="16" t="s">
        <v>894</v>
      </c>
      <c r="E3" s="16"/>
      <c r="F3" s="209" t="s">
        <v>317</v>
      </c>
      <c r="G3" s="15" t="s">
        <v>243</v>
      </c>
      <c r="H3" s="15" t="s">
        <v>97</v>
      </c>
      <c r="I3" s="17" t="s">
        <v>97</v>
      </c>
      <c r="J3" s="78">
        <v>192.01999999999998</v>
      </c>
      <c r="K3" s="18" t="s">
        <v>300</v>
      </c>
      <c r="L3" s="16" t="s">
        <v>310</v>
      </c>
      <c r="M3" s="148" t="s">
        <v>307</v>
      </c>
      <c r="N3" s="19" t="str">
        <f>_xlfn.XLOOKUP(Calculations[[#This Row],[For XLOOKUP]],Factors[For XLOOKUP],Factors[Factor],"")</f>
        <v>Σ.Ε. CO₂ st.</v>
      </c>
      <c r="O3" s="19">
        <f>_xlfn.XLOOKUP(Calculations[[#This Row],[For XLOOKUP]],Factors[For XLOOKUP],Factors[Value],"")</f>
        <v>5.8893218955429275E-2</v>
      </c>
      <c r="P3" s="19" t="str">
        <f>_xlfn.XLOOKUP(Calculations[[#This Row],[For XLOOKUP]],Factors[For XLOOKUP],Factors[Units],"")</f>
        <v>tn CO2/MMBtu</v>
      </c>
      <c r="Q3" s="19" t="str">
        <f>_xlfn.XLOOKUP(Calculations[[#This Row],[For XLOOKUP]],Factors[For XLOOKUP],Factors[Source],"")</f>
        <v>Greece. National Inventory Submissions 2024</v>
      </c>
      <c r="R3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11.308675903821529</v>
      </c>
      <c r="S3" s="19" t="str">
        <f>IF(LEFT(Calculations[[#This Row],[Emission Factor]],7)="Σ.Ε. CH",Calculations[[#This Row],[Value]]*Calculations[[#This Row],[Τιμή]],"-")</f>
        <v>-</v>
      </c>
      <c r="T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" s="19" t="str">
        <f>IF(LEFT(Calculations[[#This Row],[Emission Factor]],3)="GWP",Calculations[[#This Row],[Τιμή]],"-")</f>
        <v>-</v>
      </c>
      <c r="V3" s="19" t="str">
        <f>IF(OR(Calculations[[#This Row],[Emission Factor]]="Σ.Ε. CO₂ eq",Calculations[[#This Row],[Emission Factor]]="CO₂ eq"),Calculations[[#This Row],[Value]]*Calculations[[#This Row],[Τιμή]],"-")</f>
        <v>-</v>
      </c>
      <c r="W3" s="19" t="str">
        <f>IF(Calculations[[#This Row],[Πηγή εκπομπών]]="Electricity consumed in office buildings and projects - market based",Calculations[[#This Row],[t CO2]],"")</f>
        <v/>
      </c>
      <c r="X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11.308675903821529</v>
      </c>
    </row>
    <row r="4" spans="1:24" s="14" customFormat="1" ht="15" hidden="1" thickTop="1">
      <c r="A4" s="15" t="s">
        <v>188</v>
      </c>
      <c r="B4" s="15" t="s">
        <v>188</v>
      </c>
      <c r="C4" s="16" t="s">
        <v>328</v>
      </c>
      <c r="D4" s="16" t="s">
        <v>894</v>
      </c>
      <c r="E4" s="16" t="s">
        <v>1188</v>
      </c>
      <c r="F4" s="16" t="s">
        <v>317</v>
      </c>
      <c r="G4" s="15" t="s">
        <v>243</v>
      </c>
      <c r="H4" s="15" t="s">
        <v>290</v>
      </c>
      <c r="I4" s="17" t="s">
        <v>290</v>
      </c>
      <c r="J4" s="78">
        <v>24434</v>
      </c>
      <c r="K4" s="18" t="s">
        <v>291</v>
      </c>
      <c r="L4" s="16" t="s">
        <v>286</v>
      </c>
      <c r="M4" s="148" t="s">
        <v>287</v>
      </c>
      <c r="N4" s="19" t="str">
        <f>_xlfn.XLOOKUP(Calculations[[#This Row],[For XLOOKUP]],Factors[For XLOOKUP],Factors[Factor],"")</f>
        <v>Σ.Ε. CO₂ st.</v>
      </c>
      <c r="O4" s="19">
        <f>_xlfn.XLOOKUP(Calculations[[#This Row],[For XLOOKUP]],Factors[For XLOOKUP],Factors[Value],"")</f>
        <v>3.6615652680788022E-4</v>
      </c>
      <c r="P4" s="19" t="str">
        <f>_xlfn.XLOOKUP(Calculations[[#This Row],[For XLOOKUP]],Factors[For XLOOKUP],Factors[Units],"")</f>
        <v>tn CO2/KWh</v>
      </c>
      <c r="Q4" s="19" t="str">
        <f>_xlfn.XLOOKUP(Calculations[[#This Row],[For XLOOKUP]],Factors[For XLOOKUP],Factors[Source],"")</f>
        <v>Germany. National Inventory Submissions 2024</v>
      </c>
      <c r="R4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8.946668576023745</v>
      </c>
      <c r="S4" s="19" t="str">
        <f>IF(LEFT(Calculations[[#This Row],[Emission Factor]],7)="Σ.Ε. CH",Calculations[[#This Row],[Value]]*Calculations[[#This Row],[Τιμή]],"-")</f>
        <v>-</v>
      </c>
      <c r="T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" s="19" t="str">
        <f>IF(LEFT(Calculations[[#This Row],[Emission Factor]],3)="GWP",Calculations[[#This Row],[Τιμή]],"-")</f>
        <v>-</v>
      </c>
      <c r="V4" s="19" t="str">
        <f>IF(OR(Calculations[[#This Row],[Emission Factor]]="Σ.Ε. CO₂ eq",Calculations[[#This Row],[Emission Factor]]="CO₂ eq"),Calculations[[#This Row],[Value]]*Calculations[[#This Row],[Τιμή]],"-")</f>
        <v>-</v>
      </c>
      <c r="W4" s="19" t="str">
        <f>IF(Calculations[[#This Row],[Πηγή εκπομπών]]="Electricity consumed in office buildings and projects - market based",Calculations[[#This Row],[t CO2]],"")</f>
        <v/>
      </c>
      <c r="X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8.946668576023745</v>
      </c>
    </row>
    <row r="5" spans="1:24" s="14" customFormat="1" ht="15" hidden="1" thickTop="1">
      <c r="A5" s="15" t="s">
        <v>0</v>
      </c>
      <c r="B5" s="15" t="s">
        <v>0</v>
      </c>
      <c r="C5" s="16" t="s">
        <v>624</v>
      </c>
      <c r="D5" s="16" t="s">
        <v>894</v>
      </c>
      <c r="E5" s="16"/>
      <c r="F5" s="209" t="s">
        <v>317</v>
      </c>
      <c r="G5" s="15" t="s">
        <v>80</v>
      </c>
      <c r="H5" s="15" t="s">
        <v>99</v>
      </c>
      <c r="I5" s="17" t="s">
        <v>100</v>
      </c>
      <c r="J5" s="238">
        <f>1329769.833-340416</f>
        <v>989353.8330000001</v>
      </c>
      <c r="K5" s="18" t="s">
        <v>7</v>
      </c>
      <c r="L5" s="16" t="s">
        <v>247</v>
      </c>
      <c r="M5" s="148" t="s">
        <v>215</v>
      </c>
      <c r="N5" s="19" t="str">
        <f>_xlfn.XLOOKUP(Calculations[[#This Row],[For XLOOKUP]],Factors[For XLOOKUP],Factors[Factor],"")</f>
        <v>Σ.Ε. CO₂ m.</v>
      </c>
      <c r="O5" s="19">
        <f>_xlfn.XLOOKUP(Calculations[[#This Row],[For XLOOKUP]],Factors[For XLOOKUP],Factors[Value],"")</f>
        <v>2.6092581300000001E-3</v>
      </c>
      <c r="P5" s="19" t="str">
        <f>_xlfn.XLOOKUP(Calculations[[#This Row],[For XLOOKUP]],Factors[For XLOOKUP],Factors[Units],"")</f>
        <v>tn CO2/lt</v>
      </c>
      <c r="Q5" s="19" t="str">
        <f>_xlfn.XLOOKUP(Calculations[[#This Row],[For XLOOKUP]],Factors[For XLOOKUP],Factors[Source],"")</f>
        <v>Greece. National Inventory Submissions 2024</v>
      </c>
      <c r="R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2581.4795322019127</v>
      </c>
      <c r="S5" s="19" t="str">
        <f>IF(LEFT(Calculations[[#This Row],[Emission Factor]],7)="Σ.Ε. CH",Calculations[[#This Row],[Value]]*Calculations[[#This Row],[Τιμή]],"-")</f>
        <v>-</v>
      </c>
      <c r="T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" s="19" t="str">
        <f>IF(LEFT(Calculations[[#This Row],[Emission Factor]],3)="GWP",Calculations[[#This Row],[Τιμή]],"-")</f>
        <v>-</v>
      </c>
      <c r="V5" s="19" t="str">
        <f>IF(OR(Calculations[[#This Row],[Emission Factor]]="Σ.Ε. CO₂ eq",Calculations[[#This Row],[Emission Factor]]="CO₂ eq"),Calculations[[#This Row],[Value]]*Calculations[[#This Row],[Τιμή]],"-")</f>
        <v>-</v>
      </c>
      <c r="W5" s="19" t="str">
        <f>IF(Calculations[[#This Row],[Πηγή εκπομπών]]="Electricity consumed in office buildings and projects - market based",Calculations[[#This Row],[t CO2]],"")</f>
        <v/>
      </c>
      <c r="X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2581.4795322019127</v>
      </c>
    </row>
    <row r="6" spans="1:24" s="14" customFormat="1" ht="15" hidden="1" thickTop="1">
      <c r="A6" s="15" t="s">
        <v>0</v>
      </c>
      <c r="B6" s="15" t="s">
        <v>0</v>
      </c>
      <c r="C6" s="16" t="s">
        <v>624</v>
      </c>
      <c r="D6" s="16" t="s">
        <v>894</v>
      </c>
      <c r="E6" s="16"/>
      <c r="F6" s="209" t="s">
        <v>317</v>
      </c>
      <c r="G6" s="15" t="s">
        <v>80</v>
      </c>
      <c r="H6" s="15" t="s">
        <v>99</v>
      </c>
      <c r="I6" s="17" t="s">
        <v>100</v>
      </c>
      <c r="J6" s="79" cm="1">
        <f t="array" ref="J6">_xlfn.XLOOKUP(1,(Calculations[Πληροφορίες]=Calculations[[#This Row],[Πληροφορίες]])*(Calculations[Εταιρεία]=F6),Calculations[Τιμή])</f>
        <v>989353.8330000001</v>
      </c>
      <c r="K6" s="18" t="s">
        <v>7</v>
      </c>
      <c r="L6" s="16" t="s">
        <v>247</v>
      </c>
      <c r="M6" s="148" t="s">
        <v>217</v>
      </c>
      <c r="N6" s="19" t="str">
        <f>_xlfn.XLOOKUP(Calculations[[#This Row],[For XLOOKUP]],Factors[For XLOOKUP],Factors[Factor],"")</f>
        <v>Σ.Ε. CH₄ m.</v>
      </c>
      <c r="O6" s="19">
        <f>_xlfn.XLOOKUP(Calculations[[#This Row],[For XLOOKUP]],Factors[For XLOOKUP],Factors[Value],"")</f>
        <v>2.0364052337489427E-7</v>
      </c>
      <c r="P6" s="19" t="str">
        <f>_xlfn.XLOOKUP(Calculations[[#This Row],[For XLOOKUP]],Factors[For XLOOKUP],Factors[Units],"")</f>
        <v>tn CH₄/lt</v>
      </c>
      <c r="Q6" s="19" t="str">
        <f>_xlfn.XLOOKUP(Calculations[[#This Row],[For XLOOKUP]],Factors[For XLOOKUP],Factors[Source],"")</f>
        <v>Greece. National Inventory Submissions 2024</v>
      </c>
      <c r="R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" s="19">
        <f>IF(LEFT(Calculations[[#This Row],[Emission Factor]],7)="Σ.Ε. CH",Calculations[[#This Row],[Value]]*Calculations[[#This Row],[Τιμή]],"-")</f>
        <v>0.20147253235507775</v>
      </c>
      <c r="T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" s="19" t="str">
        <f>IF(LEFT(Calculations[[#This Row],[Emission Factor]],3)="GWP",Calculations[[#This Row],[Τιμή]],"-")</f>
        <v>-</v>
      </c>
      <c r="V6" s="19" t="str">
        <f>IF(OR(Calculations[[#This Row],[Emission Factor]]="Σ.Ε. CO₂ eq",Calculations[[#This Row],[Emission Factor]]="CO₂ eq"),Calculations[[#This Row],[Value]]*Calculations[[#This Row],[Τιμή]],"-")</f>
        <v>-</v>
      </c>
      <c r="W6" s="19" t="str">
        <f>IF(Calculations[[#This Row],[Πηγή εκπομπών]]="Electricity consumed in office buildings and projects - market based",Calculations[[#This Row],[t CO2]],"")</f>
        <v/>
      </c>
      <c r="X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5.6412309059421775</v>
      </c>
    </row>
    <row r="7" spans="1:24" s="14" customFormat="1" ht="15" hidden="1" thickTop="1">
      <c r="A7" s="15" t="s">
        <v>0</v>
      </c>
      <c r="B7" s="15" t="s">
        <v>0</v>
      </c>
      <c r="C7" s="16" t="s">
        <v>624</v>
      </c>
      <c r="D7" s="16" t="s">
        <v>894</v>
      </c>
      <c r="E7" s="16"/>
      <c r="F7" s="209" t="s">
        <v>317</v>
      </c>
      <c r="G7" s="15" t="s">
        <v>80</v>
      </c>
      <c r="H7" s="15" t="s">
        <v>99</v>
      </c>
      <c r="I7" s="17" t="s">
        <v>100</v>
      </c>
      <c r="J7" s="79" cm="1">
        <f t="array" ref="J7">_xlfn.XLOOKUP(1,(Calculations[Πληροφορίες]=Calculations[[#This Row],[Πληροφορίες]])*(Calculations[Εταιρεία]=F7),Calculations[Τιμή])</f>
        <v>989353.8330000001</v>
      </c>
      <c r="K7" s="18" t="s">
        <v>7</v>
      </c>
      <c r="L7" s="16" t="s">
        <v>247</v>
      </c>
      <c r="M7" s="148" t="s">
        <v>219</v>
      </c>
      <c r="N7" s="19" t="str">
        <f>_xlfn.XLOOKUP(Calculations[[#This Row],[For XLOOKUP]],Factors[For XLOOKUP],Factors[Factor],"")</f>
        <v>Σ.Ε. N2O m.</v>
      </c>
      <c r="O7" s="19">
        <f>_xlfn.XLOOKUP(Calculations[[#This Row],[For XLOOKUP]],Factors[For XLOOKUP],Factors[Value],"")</f>
        <v>5.9202158507263746E-8</v>
      </c>
      <c r="P7" s="19" t="str">
        <f>_xlfn.XLOOKUP(Calculations[[#This Row],[For XLOOKUP]],Factors[For XLOOKUP],Factors[Units],"")</f>
        <v>tn N2O/lt</v>
      </c>
      <c r="Q7" s="19" t="str">
        <f>_xlfn.XLOOKUP(Calculations[[#This Row],[For XLOOKUP]],Factors[For XLOOKUP],Factors[Source],"")</f>
        <v>Greece. National Inventory Submissions 2024</v>
      </c>
      <c r="R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" s="19" t="str">
        <f>IF(LEFT(Calculations[[#This Row],[Emission Factor]],7)="Σ.Ε. CH",Calculations[[#This Row],[Value]]*Calculations[[#This Row],[Τιμή]],"-")</f>
        <v>-</v>
      </c>
      <c r="T7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5.857188244103495E-2</v>
      </c>
      <c r="U7" s="19" t="str">
        <f>IF(LEFT(Calculations[[#This Row],[Emission Factor]],3)="GWP",Calculations[[#This Row],[Τιμή]],"-")</f>
        <v>-</v>
      </c>
      <c r="V7" s="19" t="str">
        <f>IF(OR(Calculations[[#This Row],[Emission Factor]]="Σ.Ε. CO₂ eq",Calculations[[#This Row],[Emission Factor]]="CO₂ eq"),Calculations[[#This Row],[Value]]*Calculations[[#This Row],[Τιμή]],"-")</f>
        <v>-</v>
      </c>
      <c r="W7" s="19" t="str">
        <f>IF(Calculations[[#This Row],[Πηγή εκπομπών]]="Electricity consumed in office buildings and projects - market based",Calculations[[#This Row],[t CO2]],"")</f>
        <v/>
      </c>
      <c r="X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15.521548846874262</v>
      </c>
    </row>
    <row r="8" spans="1:24" s="14" customFormat="1" ht="15" hidden="1" thickTop="1">
      <c r="A8" s="15" t="s">
        <v>0</v>
      </c>
      <c r="B8" s="15" t="s">
        <v>0</v>
      </c>
      <c r="C8" s="16" t="s">
        <v>327</v>
      </c>
      <c r="D8" s="16" t="s">
        <v>894</v>
      </c>
      <c r="E8" s="16" t="s">
        <v>1187</v>
      </c>
      <c r="F8" s="16" t="s">
        <v>317</v>
      </c>
      <c r="G8" s="15" t="s">
        <v>80</v>
      </c>
      <c r="H8" s="15" t="s">
        <v>99</v>
      </c>
      <c r="I8" s="17" t="s">
        <v>100</v>
      </c>
      <c r="J8" s="238">
        <v>340416</v>
      </c>
      <c r="K8" s="18" t="s">
        <v>7</v>
      </c>
      <c r="L8" s="16" t="s">
        <v>247</v>
      </c>
      <c r="M8" s="148" t="s">
        <v>1244</v>
      </c>
      <c r="N8" s="19" t="str">
        <f>_xlfn.XLOOKUP(Calculations[[#This Row],[For XLOOKUP]],Factors[For XLOOKUP],Factors[Factor],"")</f>
        <v>Σ.Ε. CO₂ m.</v>
      </c>
      <c r="O8" s="19">
        <f>_xlfn.XLOOKUP(Calculations[[#This Row],[For XLOOKUP]],Factors[For XLOOKUP],Factors[Value],"")</f>
        <v>2.7103960999958366E-3</v>
      </c>
      <c r="P8" s="19" t="str">
        <f>_xlfn.XLOOKUP(Calculations[[#This Row],[For XLOOKUP]],Factors[For XLOOKUP],Factors[Units],"")</f>
        <v>tn CO2/lt</v>
      </c>
      <c r="Q8" s="19" t="str">
        <f>_xlfn.XLOOKUP(Calculations[[#This Row],[For XLOOKUP]],Factors[For XLOOKUP],Factors[Source],"")</f>
        <v>Cyprus. National Inventory Report (NIR) 2024</v>
      </c>
      <c r="R8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922.66219877618266</v>
      </c>
      <c r="S8" s="19" t="str">
        <f>IF(LEFT(Calculations[[#This Row],[Emission Factor]],7)="Σ.Ε. CH",Calculations[[#This Row],[Value]]*Calculations[[#This Row],[Τιμή]],"-")</f>
        <v>-</v>
      </c>
      <c r="T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" s="19" t="str">
        <f>IF(LEFT(Calculations[[#This Row],[Emission Factor]],3)="GWP",Calculations[[#This Row],[Τιμή]],"-")</f>
        <v>-</v>
      </c>
      <c r="V8" s="19" t="str">
        <f>IF(OR(Calculations[[#This Row],[Emission Factor]]="Σ.Ε. CO₂ eq",Calculations[[#This Row],[Emission Factor]]="CO₂ eq"),Calculations[[#This Row],[Value]]*Calculations[[#This Row],[Τιμή]],"-")</f>
        <v>-</v>
      </c>
      <c r="W8" s="19" t="str">
        <f>IF(Calculations[[#This Row],[Πηγή εκπομπών]]="Electricity consumed in office buildings and projects - market based",Calculations[[#This Row],[t CO2]],"")</f>
        <v/>
      </c>
      <c r="X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922.66219877618266</v>
      </c>
    </row>
    <row r="9" spans="1:24" s="14" customFormat="1" ht="15" hidden="1" thickTop="1">
      <c r="A9" s="15" t="s">
        <v>0</v>
      </c>
      <c r="B9" s="15" t="s">
        <v>0</v>
      </c>
      <c r="C9" s="16" t="s">
        <v>327</v>
      </c>
      <c r="D9" s="16" t="s">
        <v>894</v>
      </c>
      <c r="E9" s="16" t="s">
        <v>1187</v>
      </c>
      <c r="F9" s="16" t="s">
        <v>317</v>
      </c>
      <c r="G9" s="15" t="s">
        <v>80</v>
      </c>
      <c r="H9" s="15" t="s">
        <v>99</v>
      </c>
      <c r="I9" s="17" t="s">
        <v>100</v>
      </c>
      <c r="J9" s="79">
        <v>340416</v>
      </c>
      <c r="K9" s="18" t="s">
        <v>7</v>
      </c>
      <c r="L9" s="16" t="s">
        <v>247</v>
      </c>
      <c r="M9" s="148" t="s">
        <v>1245</v>
      </c>
      <c r="N9" s="19" t="str">
        <f>_xlfn.XLOOKUP(Calculations[[#This Row],[For XLOOKUP]],Factors[For XLOOKUP],Factors[Factor],"")</f>
        <v>Σ.Ε. CH₄ m.</v>
      </c>
      <c r="O9" s="19">
        <f>_xlfn.XLOOKUP(Calculations[[#This Row],[For XLOOKUP]],Factors[For XLOOKUP],Factors[Value],"")</f>
        <v>1.3968471248727059E-7</v>
      </c>
      <c r="P9" s="19" t="str">
        <f>_xlfn.XLOOKUP(Calculations[[#This Row],[For XLOOKUP]],Factors[For XLOOKUP],Factors[Units],"")</f>
        <v>tn CH4/lt</v>
      </c>
      <c r="Q9" s="19" t="str">
        <f>_xlfn.XLOOKUP(Calculations[[#This Row],[For XLOOKUP]],Factors[For XLOOKUP],Factors[Source],"")</f>
        <v>Cyprus. National Inventory Report (NIR) 2024</v>
      </c>
      <c r="R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" s="19">
        <f>IF(LEFT(Calculations[[#This Row],[Emission Factor]],7)="Σ.Ε. CH",Calculations[[#This Row],[Value]]*Calculations[[#This Row],[Τιμή]],"-")</f>
        <v>4.7550911086066704E-2</v>
      </c>
      <c r="T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" s="19" t="str">
        <f>IF(LEFT(Calculations[[#This Row],[Emission Factor]],3)="GWP",Calculations[[#This Row],[Τιμή]],"-")</f>
        <v>-</v>
      </c>
      <c r="V9" s="19" t="str">
        <f>IF(OR(Calculations[[#This Row],[Emission Factor]]="Σ.Ε. CO₂ eq",Calculations[[#This Row],[Emission Factor]]="CO₂ eq"),Calculations[[#This Row],[Value]]*Calculations[[#This Row],[Τιμή]],"-")</f>
        <v>-</v>
      </c>
      <c r="W9" s="19" t="str">
        <f>IF(Calculations[[#This Row],[Πηγή εκπομπών]]="Electricity consumed in office buildings and projects - market based",Calculations[[#This Row],[t CO2]],"")</f>
        <v/>
      </c>
      <c r="X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1.3314255104098678</v>
      </c>
    </row>
    <row r="10" spans="1:24" s="14" customFormat="1" ht="15" hidden="1" thickTop="1">
      <c r="A10" s="15" t="s">
        <v>0</v>
      </c>
      <c r="B10" s="15" t="s">
        <v>0</v>
      </c>
      <c r="C10" s="16" t="s">
        <v>327</v>
      </c>
      <c r="D10" s="16" t="s">
        <v>894</v>
      </c>
      <c r="E10" s="16" t="s">
        <v>1187</v>
      </c>
      <c r="F10" s="16" t="s">
        <v>317</v>
      </c>
      <c r="G10" s="15" t="s">
        <v>80</v>
      </c>
      <c r="H10" s="15" t="s">
        <v>99</v>
      </c>
      <c r="I10" s="17" t="s">
        <v>100</v>
      </c>
      <c r="J10" s="79">
        <v>340416</v>
      </c>
      <c r="K10" s="18" t="s">
        <v>7</v>
      </c>
      <c r="L10" s="16" t="s">
        <v>247</v>
      </c>
      <c r="M10" s="148" t="s">
        <v>1246</v>
      </c>
      <c r="N10" s="19" t="str">
        <f>_xlfn.XLOOKUP(Calculations[[#This Row],[For XLOOKUP]],Factors[For XLOOKUP],Factors[Factor],"")</f>
        <v>Σ.Ε. N2O m.</v>
      </c>
      <c r="O10" s="19">
        <f>_xlfn.XLOOKUP(Calculations[[#This Row],[For XLOOKUP]],Factors[For XLOOKUP],Factors[Value],"")</f>
        <v>1.7159507590075509E-7</v>
      </c>
      <c r="P10" s="19" t="str">
        <f>_xlfn.XLOOKUP(Calculations[[#This Row],[For XLOOKUP]],Factors[For XLOOKUP],Factors[Units],"")</f>
        <v>tn N2O/lt</v>
      </c>
      <c r="Q10" s="19" t="str">
        <f>_xlfn.XLOOKUP(Calculations[[#This Row],[For XLOOKUP]],Factors[For XLOOKUP],Factors[Source],"")</f>
        <v>Cyprus. National Inventory Report (NIR) 2024</v>
      </c>
      <c r="R1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" s="19" t="str">
        <f>IF(LEFT(Calculations[[#This Row],[Emission Factor]],7)="Σ.Ε. CH",Calculations[[#This Row],[Value]]*Calculations[[#This Row],[Τιμή]],"-")</f>
        <v>-</v>
      </c>
      <c r="T10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5.8413709357831446E-2</v>
      </c>
      <c r="U10" s="19" t="str">
        <f>IF(LEFT(Calculations[[#This Row],[Emission Factor]],3)="GWP",Calculations[[#This Row],[Τιμή]],"-")</f>
        <v>-</v>
      </c>
      <c r="V10" s="19" t="str">
        <f>IF(OR(Calculations[[#This Row],[Emission Factor]]="Σ.Ε. CO₂ eq",Calculations[[#This Row],[Emission Factor]]="CO₂ eq"),Calculations[[#This Row],[Value]]*Calculations[[#This Row],[Τιμή]],"-")</f>
        <v>-</v>
      </c>
      <c r="W10" s="19" t="str">
        <f>IF(Calculations[[#This Row],[Πηγή εκπομπών]]="Electricity consumed in office buildings and projects - market based",Calculations[[#This Row],[t CO2]],"")</f>
        <v/>
      </c>
      <c r="X1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15.479632979825332</v>
      </c>
    </row>
    <row r="11" spans="1:24" s="14" customFormat="1" ht="15" hidden="1" thickTop="1">
      <c r="A11" s="15" t="s">
        <v>0</v>
      </c>
      <c r="B11" s="15" t="s">
        <v>0</v>
      </c>
      <c r="C11" s="16" t="s">
        <v>624</v>
      </c>
      <c r="D11" s="16" t="s">
        <v>895</v>
      </c>
      <c r="E11" s="16" t="s">
        <v>1179</v>
      </c>
      <c r="F11" s="209" t="s">
        <v>318</v>
      </c>
      <c r="G11" s="15" t="s">
        <v>80</v>
      </c>
      <c r="H11" s="15" t="s">
        <v>99</v>
      </c>
      <c r="I11" s="17" t="s">
        <v>100</v>
      </c>
      <c r="J11" s="238">
        <v>71405</v>
      </c>
      <c r="K11" s="18" t="s">
        <v>7</v>
      </c>
      <c r="L11" s="16" t="s">
        <v>247</v>
      </c>
      <c r="M11" s="148" t="s">
        <v>215</v>
      </c>
      <c r="N11" s="19" t="str">
        <f>_xlfn.XLOOKUP(Calculations[[#This Row],[For XLOOKUP]],Factors[For XLOOKUP],Factors[Factor],"")</f>
        <v>Σ.Ε. CO₂ m.</v>
      </c>
      <c r="O11" s="19">
        <f>_xlfn.XLOOKUP(Calculations[[#This Row],[For XLOOKUP]],Factors[For XLOOKUP],Factors[Value],"")</f>
        <v>2.6092581300000001E-3</v>
      </c>
      <c r="P11" s="19" t="str">
        <f>_xlfn.XLOOKUP(Calculations[[#This Row],[For XLOOKUP]],Factors[For XLOOKUP],Factors[Units],"")</f>
        <v>tn CO2/lt</v>
      </c>
      <c r="Q11" s="19" t="str">
        <f>_xlfn.XLOOKUP(Calculations[[#This Row],[For XLOOKUP]],Factors[For XLOOKUP],Factors[Source],"")</f>
        <v>Greece. National Inventory Submissions 2024</v>
      </c>
      <c r="R11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186.31407677265</v>
      </c>
      <c r="S11" s="19" t="str">
        <f>IF(LEFT(Calculations[[#This Row],[Emission Factor]],7)="Σ.Ε. CH",Calculations[[#This Row],[Value]]*Calculations[[#This Row],[Τιμή]],"-")</f>
        <v>-</v>
      </c>
      <c r="T1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" s="19" t="str">
        <f>IF(LEFT(Calculations[[#This Row],[Emission Factor]],3)="GWP",Calculations[[#This Row],[Τιμή]],"-")</f>
        <v>-</v>
      </c>
      <c r="V11" s="19" t="str">
        <f>IF(OR(Calculations[[#This Row],[Emission Factor]]="Σ.Ε. CO₂ eq",Calculations[[#This Row],[Emission Factor]]="CO₂ eq"),Calculations[[#This Row],[Value]]*Calculations[[#This Row],[Τιμή]],"-")</f>
        <v>-</v>
      </c>
      <c r="W11" s="19" t="str">
        <f>IF(Calculations[[#This Row],[Πηγή εκπομπών]]="Electricity consumed in office buildings and projects - market based",Calculations[[#This Row],[t CO2]],"")</f>
        <v/>
      </c>
      <c r="X1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186.31407677265</v>
      </c>
    </row>
    <row r="12" spans="1:24" s="14" customFormat="1" ht="15" hidden="1" thickTop="1">
      <c r="A12" s="15" t="s">
        <v>0</v>
      </c>
      <c r="B12" s="15" t="s">
        <v>0</v>
      </c>
      <c r="C12" s="16" t="s">
        <v>624</v>
      </c>
      <c r="D12" s="16" t="s">
        <v>895</v>
      </c>
      <c r="E12" s="16" t="s">
        <v>1179</v>
      </c>
      <c r="F12" s="209" t="s">
        <v>318</v>
      </c>
      <c r="G12" s="15" t="s">
        <v>80</v>
      </c>
      <c r="H12" s="15" t="s">
        <v>99</v>
      </c>
      <c r="I12" s="17" t="s">
        <v>100</v>
      </c>
      <c r="J12" s="79" cm="1">
        <f t="array" ref="J12">_xlfn.XLOOKUP(1,(Calculations[Πληροφορίες]=Calculations[[#This Row],[Πληροφορίες]])*(Calculations[Εταιρεία]=F12),Calculations[Τιμή])</f>
        <v>71405</v>
      </c>
      <c r="K12" s="18" t="s">
        <v>7</v>
      </c>
      <c r="L12" s="16" t="s">
        <v>247</v>
      </c>
      <c r="M12" s="148" t="s">
        <v>217</v>
      </c>
      <c r="N12" s="19" t="str">
        <f>_xlfn.XLOOKUP(Calculations[[#This Row],[For XLOOKUP]],Factors[For XLOOKUP],Factors[Factor],"")</f>
        <v>Σ.Ε. CH₄ m.</v>
      </c>
      <c r="O12" s="19">
        <f>_xlfn.XLOOKUP(Calculations[[#This Row],[For XLOOKUP]],Factors[For XLOOKUP],Factors[Value],"")</f>
        <v>2.0364052337489427E-7</v>
      </c>
      <c r="P12" s="19" t="str">
        <f>_xlfn.XLOOKUP(Calculations[[#This Row],[For XLOOKUP]],Factors[For XLOOKUP],Factors[Units],"")</f>
        <v>tn CH₄/lt</v>
      </c>
      <c r="Q12" s="19" t="str">
        <f>_xlfn.XLOOKUP(Calculations[[#This Row],[For XLOOKUP]],Factors[For XLOOKUP],Factors[Source],"")</f>
        <v>Greece. National Inventory Submissions 2024</v>
      </c>
      <c r="R1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" s="19">
        <f>IF(LEFT(Calculations[[#This Row],[Emission Factor]],7)="Σ.Ε. CH",Calculations[[#This Row],[Value]]*Calculations[[#This Row],[Τιμή]],"-")</f>
        <v>1.4540951571584325E-2</v>
      </c>
      <c r="T1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" s="19" t="str">
        <f>IF(LEFT(Calculations[[#This Row],[Emission Factor]],3)="GWP",Calculations[[#This Row],[Τιμή]],"-")</f>
        <v>-</v>
      </c>
      <c r="V12" s="19" t="str">
        <f>IF(OR(Calculations[[#This Row],[Emission Factor]]="Σ.Ε. CO₂ eq",Calculations[[#This Row],[Emission Factor]]="CO₂ eq"),Calculations[[#This Row],[Value]]*Calculations[[#This Row],[Τιμή]],"-")</f>
        <v>-</v>
      </c>
      <c r="W12" s="19" t="str">
        <f>IF(Calculations[[#This Row],[Πηγή εκπομπών]]="Electricity consumed in office buildings and projects - market based",Calculations[[#This Row],[t CO2]],"")</f>
        <v/>
      </c>
      <c r="X1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0.40714664400436107</v>
      </c>
    </row>
    <row r="13" spans="1:24" s="14" customFormat="1" ht="15" hidden="1" thickTop="1">
      <c r="A13" s="15" t="s">
        <v>0</v>
      </c>
      <c r="B13" s="15" t="s">
        <v>0</v>
      </c>
      <c r="C13" s="16" t="s">
        <v>624</v>
      </c>
      <c r="D13" s="16" t="s">
        <v>895</v>
      </c>
      <c r="E13" s="16" t="s">
        <v>1179</v>
      </c>
      <c r="F13" s="209" t="s">
        <v>318</v>
      </c>
      <c r="G13" s="15" t="s">
        <v>80</v>
      </c>
      <c r="H13" s="15" t="s">
        <v>99</v>
      </c>
      <c r="I13" s="17" t="s">
        <v>100</v>
      </c>
      <c r="J13" s="79" cm="1">
        <f t="array" ref="J13">_xlfn.XLOOKUP(1,(Calculations[Πληροφορίες]=Calculations[[#This Row],[Πληροφορίες]])*(Calculations[Εταιρεία]=F13),Calculations[Τιμή])</f>
        <v>71405</v>
      </c>
      <c r="K13" s="18" t="s">
        <v>7</v>
      </c>
      <c r="L13" s="16" t="s">
        <v>247</v>
      </c>
      <c r="M13" s="148" t="s">
        <v>219</v>
      </c>
      <c r="N13" s="19" t="str">
        <f>_xlfn.XLOOKUP(Calculations[[#This Row],[For XLOOKUP]],Factors[For XLOOKUP],Factors[Factor],"")</f>
        <v>Σ.Ε. N2O m.</v>
      </c>
      <c r="O13" s="19">
        <f>_xlfn.XLOOKUP(Calculations[[#This Row],[For XLOOKUP]],Factors[For XLOOKUP],Factors[Value],"")</f>
        <v>5.9202158507263746E-8</v>
      </c>
      <c r="P13" s="19" t="str">
        <f>_xlfn.XLOOKUP(Calculations[[#This Row],[For XLOOKUP]],Factors[For XLOOKUP],Factors[Units],"")</f>
        <v>tn N2O/lt</v>
      </c>
      <c r="Q13" s="19" t="str">
        <f>_xlfn.XLOOKUP(Calculations[[#This Row],[For XLOOKUP]],Factors[For XLOOKUP],Factors[Source],"")</f>
        <v>Greece. National Inventory Submissions 2024</v>
      </c>
      <c r="R1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" s="19" t="str">
        <f>IF(LEFT(Calculations[[#This Row],[Emission Factor]],7)="Σ.Ε. CH",Calculations[[#This Row],[Value]]*Calculations[[#This Row],[Τιμή]],"-")</f>
        <v>-</v>
      </c>
      <c r="T1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4.2273301282111679E-3</v>
      </c>
      <c r="U13" s="19" t="str">
        <f>IF(LEFT(Calculations[[#This Row],[Emission Factor]],3)="GWP",Calculations[[#This Row],[Τιμή]],"-")</f>
        <v>-</v>
      </c>
      <c r="V13" s="19" t="str">
        <f>IF(OR(Calculations[[#This Row],[Emission Factor]]="Σ.Ε. CO₂ eq",Calculations[[#This Row],[Emission Factor]]="CO₂ eq"),Calculations[[#This Row],[Value]]*Calculations[[#This Row],[Τιμή]],"-")</f>
        <v>-</v>
      </c>
      <c r="W13" s="19" t="str">
        <f>IF(Calculations[[#This Row],[Πηγή εκπομπών]]="Electricity consumed in office buildings and projects - market based",Calculations[[#This Row],[t CO2]],"")</f>
        <v/>
      </c>
      <c r="X1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1.1202424839759595</v>
      </c>
    </row>
    <row r="14" spans="1:24" s="14" customFormat="1" ht="15" hidden="1" thickTop="1">
      <c r="A14" s="15" t="s">
        <v>0</v>
      </c>
      <c r="B14" s="15" t="s">
        <v>0</v>
      </c>
      <c r="C14" s="16" t="s">
        <v>624</v>
      </c>
      <c r="D14" s="16" t="s">
        <v>895</v>
      </c>
      <c r="E14" s="16" t="s">
        <v>1141</v>
      </c>
      <c r="F14" s="209" t="s">
        <v>312</v>
      </c>
      <c r="G14" s="15" t="s">
        <v>80</v>
      </c>
      <c r="H14" s="15" t="s">
        <v>99</v>
      </c>
      <c r="I14" s="17" t="s">
        <v>100</v>
      </c>
      <c r="J14" s="238">
        <v>32413.05</v>
      </c>
      <c r="K14" s="18" t="s">
        <v>7</v>
      </c>
      <c r="L14" s="16" t="s">
        <v>247</v>
      </c>
      <c r="M14" s="148" t="s">
        <v>215</v>
      </c>
      <c r="N14" s="19" t="str">
        <f>_xlfn.XLOOKUP(Calculations[[#This Row],[For XLOOKUP]],Factors[For XLOOKUP],Factors[Factor],"")</f>
        <v>Σ.Ε. CO₂ m.</v>
      </c>
      <c r="O14" s="19">
        <f>_xlfn.XLOOKUP(Calculations[[#This Row],[For XLOOKUP]],Factors[For XLOOKUP],Factors[Value],"")</f>
        <v>2.6092581300000001E-3</v>
      </c>
      <c r="P14" s="19" t="str">
        <f>_xlfn.XLOOKUP(Calculations[[#This Row],[For XLOOKUP]],Factors[For XLOOKUP],Factors[Units],"")</f>
        <v>tn CO2/lt</v>
      </c>
      <c r="Q14" s="19" t="str">
        <f>_xlfn.XLOOKUP(Calculations[[#This Row],[For XLOOKUP]],Factors[For XLOOKUP],Factors[Source],"")</f>
        <v>Greece. National Inventory Submissions 2024</v>
      </c>
      <c r="R14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84.574014230596504</v>
      </c>
      <c r="S14" s="19" t="str">
        <f>IF(LEFT(Calculations[[#This Row],[Emission Factor]],7)="Σ.Ε. CH",Calculations[[#This Row],[Value]]*Calculations[[#This Row],[Τιμή]],"-")</f>
        <v>-</v>
      </c>
      <c r="T1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" s="19" t="str">
        <f>IF(LEFT(Calculations[[#This Row],[Emission Factor]],3)="GWP",Calculations[[#This Row],[Τιμή]],"-")</f>
        <v>-</v>
      </c>
      <c r="V14" s="19" t="str">
        <f>IF(OR(Calculations[[#This Row],[Emission Factor]]="Σ.Ε. CO₂ eq",Calculations[[#This Row],[Emission Factor]]="CO₂ eq"),Calculations[[#This Row],[Value]]*Calculations[[#This Row],[Τιμή]],"-")</f>
        <v>-</v>
      </c>
      <c r="W14" s="19" t="str">
        <f>IF(Calculations[[#This Row],[Πηγή εκπομπών]]="Electricity consumed in office buildings and projects - market based",Calculations[[#This Row],[t CO2]],"")</f>
        <v/>
      </c>
      <c r="X1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84.574014230596504</v>
      </c>
    </row>
    <row r="15" spans="1:24" s="14" customFormat="1" ht="15" hidden="1" thickTop="1">
      <c r="A15" s="15" t="s">
        <v>0</v>
      </c>
      <c r="B15" s="15" t="s">
        <v>0</v>
      </c>
      <c r="C15" s="16" t="s">
        <v>624</v>
      </c>
      <c r="D15" s="16" t="s">
        <v>895</v>
      </c>
      <c r="E15" s="16" t="s">
        <v>1141</v>
      </c>
      <c r="F15" s="209" t="s">
        <v>312</v>
      </c>
      <c r="G15" s="15" t="s">
        <v>80</v>
      </c>
      <c r="H15" s="15" t="s">
        <v>99</v>
      </c>
      <c r="I15" s="17" t="s">
        <v>100</v>
      </c>
      <c r="J15" s="79" cm="1">
        <f t="array" ref="J15">_xlfn.XLOOKUP(1,(Calculations[Πληροφορίες]=Calculations[[#This Row],[Πληροφορίες]])*(Calculations[Εταιρεία]=F15),Calculations[Τιμή])</f>
        <v>32413.05</v>
      </c>
      <c r="K15" s="18" t="s">
        <v>7</v>
      </c>
      <c r="L15" s="16" t="s">
        <v>247</v>
      </c>
      <c r="M15" s="148" t="s">
        <v>217</v>
      </c>
      <c r="N15" s="19" t="str">
        <f>_xlfn.XLOOKUP(Calculations[[#This Row],[For XLOOKUP]],Factors[For XLOOKUP],Factors[Factor],"")</f>
        <v>Σ.Ε. CH₄ m.</v>
      </c>
      <c r="O15" s="19">
        <f>_xlfn.XLOOKUP(Calculations[[#This Row],[For XLOOKUP]],Factors[For XLOOKUP],Factors[Value],"")</f>
        <v>2.0364052337489427E-7</v>
      </c>
      <c r="P15" s="19" t="str">
        <f>_xlfn.XLOOKUP(Calculations[[#This Row],[For XLOOKUP]],Factors[For XLOOKUP],Factors[Units],"")</f>
        <v>tn CH₄/lt</v>
      </c>
      <c r="Q15" s="19" t="str">
        <f>_xlfn.XLOOKUP(Calculations[[#This Row],[For XLOOKUP]],Factors[For XLOOKUP],Factors[Source],"")</f>
        <v>Greece. National Inventory Submissions 2024</v>
      </c>
      <c r="R1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" s="19">
        <f>IF(LEFT(Calculations[[#This Row],[Emission Factor]],7)="Σ.Ε. CH",Calculations[[#This Row],[Value]]*Calculations[[#This Row],[Τιμή]],"-")</f>
        <v>6.6006104661766171E-3</v>
      </c>
      <c r="T1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" s="19" t="str">
        <f>IF(LEFT(Calculations[[#This Row],[Emission Factor]],3)="GWP",Calculations[[#This Row],[Τιμή]],"-")</f>
        <v>-</v>
      </c>
      <c r="V15" s="19" t="str">
        <f>IF(OR(Calculations[[#This Row],[Emission Factor]]="Σ.Ε. CO₂ eq",Calculations[[#This Row],[Emission Factor]]="CO₂ eq"),Calculations[[#This Row],[Value]]*Calculations[[#This Row],[Τιμή]],"-")</f>
        <v>-</v>
      </c>
      <c r="W15" s="19" t="str">
        <f>IF(Calculations[[#This Row],[Πηγή εκπομπών]]="Electricity consumed in office buildings and projects - market based",Calculations[[#This Row],[t CO2]],"")</f>
        <v/>
      </c>
      <c r="X1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0.18481709305294527</v>
      </c>
    </row>
    <row r="16" spans="1:24" s="14" customFormat="1" ht="15" hidden="1" thickTop="1">
      <c r="A16" s="15" t="s">
        <v>0</v>
      </c>
      <c r="B16" s="15" t="s">
        <v>0</v>
      </c>
      <c r="C16" s="16" t="s">
        <v>624</v>
      </c>
      <c r="D16" s="16" t="s">
        <v>895</v>
      </c>
      <c r="E16" s="16" t="s">
        <v>1141</v>
      </c>
      <c r="F16" s="209" t="s">
        <v>312</v>
      </c>
      <c r="G16" s="15" t="s">
        <v>80</v>
      </c>
      <c r="H16" s="15" t="s">
        <v>99</v>
      </c>
      <c r="I16" s="17" t="s">
        <v>100</v>
      </c>
      <c r="J16" s="79" cm="1">
        <f t="array" ref="J16">_xlfn.XLOOKUP(1,(Calculations[Πληροφορίες]=Calculations[[#This Row],[Πληροφορίες]])*(Calculations[Εταιρεία]=F16),Calculations[Τιμή])</f>
        <v>32413.05</v>
      </c>
      <c r="K16" s="18" t="s">
        <v>7</v>
      </c>
      <c r="L16" s="16" t="s">
        <v>247</v>
      </c>
      <c r="M16" s="148" t="s">
        <v>219</v>
      </c>
      <c r="N16" s="19" t="str">
        <f>_xlfn.XLOOKUP(Calculations[[#This Row],[For XLOOKUP]],Factors[For XLOOKUP],Factors[Factor],"")</f>
        <v>Σ.Ε. N2O m.</v>
      </c>
      <c r="O16" s="19">
        <f>_xlfn.XLOOKUP(Calculations[[#This Row],[For XLOOKUP]],Factors[For XLOOKUP],Factors[Value],"")</f>
        <v>5.9202158507263746E-8</v>
      </c>
      <c r="P16" s="19" t="str">
        <f>_xlfn.XLOOKUP(Calculations[[#This Row],[For XLOOKUP]],Factors[For XLOOKUP],Factors[Units],"")</f>
        <v>tn N2O/lt</v>
      </c>
      <c r="Q16" s="19" t="str">
        <f>_xlfn.XLOOKUP(Calculations[[#This Row],[For XLOOKUP]],Factors[For XLOOKUP],Factors[Source],"")</f>
        <v>Greece. National Inventory Submissions 2024</v>
      </c>
      <c r="R1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" s="19" t="str">
        <f>IF(LEFT(Calculations[[#This Row],[Emission Factor]],7)="Σ.Ε. CH",Calculations[[#This Row],[Value]]*Calculations[[#This Row],[Τιμή]],"-")</f>
        <v>-</v>
      </c>
      <c r="T16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1.9189225238038651E-3</v>
      </c>
      <c r="U16" s="19" t="str">
        <f>IF(LEFT(Calculations[[#This Row],[Emission Factor]],3)="GWP",Calculations[[#This Row],[Τιμή]],"-")</f>
        <v>-</v>
      </c>
      <c r="V16" s="19" t="str">
        <f>IF(OR(Calculations[[#This Row],[Emission Factor]]="Σ.Ε. CO₂ eq",Calculations[[#This Row],[Emission Factor]]="CO₂ eq"),Calculations[[#This Row],[Value]]*Calculations[[#This Row],[Τιμή]],"-")</f>
        <v>-</v>
      </c>
      <c r="W16" s="19" t="str">
        <f>IF(Calculations[[#This Row],[Πηγή εκπομπών]]="Electricity consumed in office buildings and projects - market based",Calculations[[#This Row],[t CO2]],"")</f>
        <v/>
      </c>
      <c r="X1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0.5085144688080242</v>
      </c>
    </row>
    <row r="17" spans="1:24" s="14" customFormat="1" ht="15" hidden="1" thickTop="1">
      <c r="A17" s="15" t="s">
        <v>0</v>
      </c>
      <c r="B17" s="15" t="s">
        <v>0</v>
      </c>
      <c r="C17" s="16" t="s">
        <v>624</v>
      </c>
      <c r="D17" s="77" t="s">
        <v>894</v>
      </c>
      <c r="E17" s="77"/>
      <c r="F17" s="11" t="s">
        <v>317</v>
      </c>
      <c r="G17" s="15" t="s">
        <v>80</v>
      </c>
      <c r="H17" s="15" t="s">
        <v>99</v>
      </c>
      <c r="I17" s="17" t="s">
        <v>260</v>
      </c>
      <c r="J17" s="239">
        <v>750.95</v>
      </c>
      <c r="K17" s="18" t="s">
        <v>7</v>
      </c>
      <c r="L17" s="16" t="s">
        <v>252</v>
      </c>
      <c r="M17" s="148" t="s">
        <v>216</v>
      </c>
      <c r="N17" s="19" t="str">
        <f>_xlfn.XLOOKUP(Calculations[[#This Row],[For XLOOKUP]],Factors[For XLOOKUP],Factors[Factor],"")</f>
        <v>Σ.Ε. CO₂ m.</v>
      </c>
      <c r="O17" s="19">
        <f>_xlfn.XLOOKUP(Calculations[[#This Row],[For XLOOKUP]],Factors[For XLOOKUP],Factors[Value],"")</f>
        <v>2.3432595615E-3</v>
      </c>
      <c r="P17" s="19" t="str">
        <f>_xlfn.XLOOKUP(Calculations[[#This Row],[For XLOOKUP]],Factors[For XLOOKUP],Factors[Units],"")</f>
        <v>tn CO2/lt</v>
      </c>
      <c r="Q17" s="19" t="str">
        <f>_xlfn.XLOOKUP(Calculations[[#This Row],[For XLOOKUP]],Factors[For XLOOKUP],Factors[Source],"")</f>
        <v>Greece. National Inventory Submissions 2024</v>
      </c>
      <c r="R1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1.7596707677084251</v>
      </c>
      <c r="S17" s="19" t="str">
        <f>IF(LEFT(Calculations[[#This Row],[Emission Factor]],7)="Σ.Ε. CH",Calculations[[#This Row],[Value]]*Calculations[[#This Row],[Τιμή]],"-")</f>
        <v>-</v>
      </c>
      <c r="T1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" s="19" t="str">
        <f>IF(LEFT(Calculations[[#This Row],[Emission Factor]],3)="GWP",Calculations[[#This Row],[Τιμή]],"-")</f>
        <v>-</v>
      </c>
      <c r="V17" s="19" t="str">
        <f>IF(OR(Calculations[[#This Row],[Emission Factor]]="Σ.Ε. CO₂ eq",Calculations[[#This Row],[Emission Factor]]="CO₂ eq"),Calculations[[#This Row],[Value]]*Calculations[[#This Row],[Τιμή]],"-")</f>
        <v>-</v>
      </c>
      <c r="W17" s="19" t="str">
        <f>IF(Calculations[[#This Row],[Πηγή εκπομπών]]="Electricity consumed in office buildings and projects - market based",Calculations[[#This Row],[t CO2]],"")</f>
        <v/>
      </c>
      <c r="X1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1.7596707677084251</v>
      </c>
    </row>
    <row r="18" spans="1:24" s="14" customFormat="1" ht="15" hidden="1" thickTop="1">
      <c r="A18" s="15" t="s">
        <v>0</v>
      </c>
      <c r="B18" s="15" t="s">
        <v>0</v>
      </c>
      <c r="C18" s="16" t="s">
        <v>624</v>
      </c>
      <c r="D18" s="77" t="s">
        <v>894</v>
      </c>
      <c r="E18" s="77"/>
      <c r="F18" s="11" t="s">
        <v>317</v>
      </c>
      <c r="G18" s="15" t="s">
        <v>80</v>
      </c>
      <c r="H18" s="15" t="s">
        <v>99</v>
      </c>
      <c r="I18" s="17" t="s">
        <v>260</v>
      </c>
      <c r="J18" s="79" cm="1">
        <f t="array" ref="J18">_xlfn.XLOOKUP(1,(Calculations[Πληροφορίες]=Calculations[[#This Row],[Πληροφορίες]])*(Calculations[Εταιρεία]=F18),Calculations[Τιμή])</f>
        <v>750.95</v>
      </c>
      <c r="K18" s="18" t="s">
        <v>7</v>
      </c>
      <c r="L18" s="16" t="s">
        <v>252</v>
      </c>
      <c r="M18" s="148" t="s">
        <v>218</v>
      </c>
      <c r="N18" s="19" t="str">
        <f>_xlfn.XLOOKUP(Calculations[[#This Row],[For XLOOKUP]],Factors[For XLOOKUP],Factors[Factor],"")</f>
        <v>Σ.Ε. CH₄ m.</v>
      </c>
      <c r="O18" s="19">
        <f>_xlfn.XLOOKUP(Calculations[[#This Row],[For XLOOKUP]],Factors[For XLOOKUP],Factors[Value],"")</f>
        <v>6.2069461011150519E-7</v>
      </c>
      <c r="P18" s="19" t="str">
        <f>_xlfn.XLOOKUP(Calculations[[#This Row],[For XLOOKUP]],Factors[For XLOOKUP],Factors[Units],"")</f>
        <v>tn CH₄/lt</v>
      </c>
      <c r="Q18" s="19" t="str">
        <f>_xlfn.XLOOKUP(Calculations[[#This Row],[For XLOOKUP]],Factors[For XLOOKUP],Factors[Source],"")</f>
        <v>Greece. National Inventory Submissions 2024</v>
      </c>
      <c r="R1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" s="19">
        <f>IF(LEFT(Calculations[[#This Row],[Emission Factor]],7)="Σ.Ε. CH",Calculations[[#This Row],[Value]]*Calculations[[#This Row],[Τιμή]],"-")</f>
        <v>4.6611061746323483E-4</v>
      </c>
      <c r="T1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" s="19" t="str">
        <f>IF(LEFT(Calculations[[#This Row],[Emission Factor]],3)="GWP",Calculations[[#This Row],[Τιμή]],"-")</f>
        <v>-</v>
      </c>
      <c r="V18" s="19" t="str">
        <f>IF(OR(Calculations[[#This Row],[Emission Factor]]="Σ.Ε. CO₂ eq",Calculations[[#This Row],[Emission Factor]]="CO₂ eq"),Calculations[[#This Row],[Value]]*Calculations[[#This Row],[Τιμή]],"-")</f>
        <v>-</v>
      </c>
      <c r="W18" s="19" t="str">
        <f>IF(Calculations[[#This Row],[Πηγή εκπομπών]]="Electricity consumed in office buildings and projects - market based",Calculations[[#This Row],[t CO2]],"")</f>
        <v/>
      </c>
      <c r="X1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1.3051097288970576E-2</v>
      </c>
    </row>
    <row r="19" spans="1:24" s="14" customFormat="1" ht="15" hidden="1" thickTop="1">
      <c r="A19" s="15" t="s">
        <v>0</v>
      </c>
      <c r="B19" s="15" t="s">
        <v>0</v>
      </c>
      <c r="C19" s="16" t="s">
        <v>624</v>
      </c>
      <c r="D19" s="77" t="s">
        <v>894</v>
      </c>
      <c r="E19" s="77"/>
      <c r="F19" s="11" t="s">
        <v>317</v>
      </c>
      <c r="G19" s="15" t="s">
        <v>80</v>
      </c>
      <c r="H19" s="15" t="s">
        <v>99</v>
      </c>
      <c r="I19" s="17" t="s">
        <v>260</v>
      </c>
      <c r="J19" s="79" cm="1">
        <f t="array" ref="J19">_xlfn.XLOOKUP(1,(Calculations[Πληροφορίες]=Calculations[[#This Row],[Πληροφορίες]])*(Calculations[Εταιρεία]=F19),Calculations[Τιμή])</f>
        <v>750.95</v>
      </c>
      <c r="K19" s="18" t="s">
        <v>7</v>
      </c>
      <c r="L19" s="16" t="s">
        <v>252</v>
      </c>
      <c r="M19" s="148" t="s">
        <v>220</v>
      </c>
      <c r="N19" s="19" t="str">
        <f>_xlfn.XLOOKUP(Calculations[[#This Row],[For XLOOKUP]],Factors[For XLOOKUP],Factors[Factor],"")</f>
        <v>Σ.Ε. N2O m.</v>
      </c>
      <c r="O19" s="19">
        <f>_xlfn.XLOOKUP(Calculations[[#This Row],[For XLOOKUP]],Factors[For XLOOKUP],Factors[Value],"")</f>
        <v>5.1389177009833898E-8</v>
      </c>
      <c r="P19" s="19" t="str">
        <f>_xlfn.XLOOKUP(Calculations[[#This Row],[For XLOOKUP]],Factors[For XLOOKUP],Factors[Units],"")</f>
        <v>tn N2O/lt</v>
      </c>
      <c r="Q19" s="19" t="str">
        <f>_xlfn.XLOOKUP(Calculations[[#This Row],[For XLOOKUP]],Factors[For XLOOKUP],Factors[Source],"")</f>
        <v>Greece. National Inventory Submissions 2024</v>
      </c>
      <c r="R1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" s="19" t="str">
        <f>IF(LEFT(Calculations[[#This Row],[Emission Factor]],7)="Σ.Ε. CH",Calculations[[#This Row],[Value]]*Calculations[[#This Row],[Τιμή]],"-")</f>
        <v>-</v>
      </c>
      <c r="T19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3.8590702475534768E-5</v>
      </c>
      <c r="U19" s="19" t="str">
        <f>IF(LEFT(Calculations[[#This Row],[Emission Factor]],3)="GWP",Calculations[[#This Row],[Τιμή]],"-")</f>
        <v>-</v>
      </c>
      <c r="V19" s="19" t="str">
        <f>IF(OR(Calculations[[#This Row],[Emission Factor]]="Σ.Ε. CO₂ eq",Calculations[[#This Row],[Emission Factor]]="CO₂ eq"),Calculations[[#This Row],[Value]]*Calculations[[#This Row],[Τιμή]],"-")</f>
        <v>-</v>
      </c>
      <c r="W19" s="19" t="str">
        <f>IF(Calculations[[#This Row],[Πηγή εκπομπών]]="Electricity consumed in office buildings and projects - market based",Calculations[[#This Row],[t CO2]],"")</f>
        <v/>
      </c>
      <c r="X1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1.0226536156016713E-2</v>
      </c>
    </row>
    <row r="20" spans="1:24" s="14" customFormat="1" ht="15" hidden="1" thickTop="1">
      <c r="A20" s="15" t="s">
        <v>0</v>
      </c>
      <c r="B20" s="15" t="s">
        <v>0</v>
      </c>
      <c r="C20" s="16" t="s">
        <v>624</v>
      </c>
      <c r="D20" s="77" t="s">
        <v>1144</v>
      </c>
      <c r="E20" s="16" t="s">
        <v>1146</v>
      </c>
      <c r="F20" s="11" t="s">
        <v>647</v>
      </c>
      <c r="G20" s="15" t="s">
        <v>80</v>
      </c>
      <c r="H20" s="15" t="s">
        <v>99</v>
      </c>
      <c r="I20" s="17" t="s">
        <v>100</v>
      </c>
      <c r="J20" s="238">
        <v>5872.89</v>
      </c>
      <c r="K20" s="18" t="s">
        <v>7</v>
      </c>
      <c r="L20" s="16" t="s">
        <v>248</v>
      </c>
      <c r="M20" s="148" t="s">
        <v>189</v>
      </c>
      <c r="N20" s="19" t="str">
        <f>_xlfn.XLOOKUP(Calculations[[#This Row],[For XLOOKUP]],Factors[For XLOOKUP],Factors[Factor],"")</f>
        <v>Σ.Ε. CO₂ m.</v>
      </c>
      <c r="O20" s="19">
        <f>_xlfn.XLOOKUP(Calculations[[#This Row],[For XLOOKUP]],Factors[For XLOOKUP],Factors[Value],"")</f>
        <v>2.6092581300000001E-3</v>
      </c>
      <c r="P20" s="19" t="str">
        <f>_xlfn.XLOOKUP(Calculations[[#This Row],[For XLOOKUP]],Factors[For XLOOKUP],Factors[Units],"")</f>
        <v>tn CO2/lt</v>
      </c>
      <c r="Q20" s="19" t="str">
        <f>_xlfn.XLOOKUP(Calculations[[#This Row],[For XLOOKUP]],Factors[For XLOOKUP],Factors[Source],"")</f>
        <v>Greece. National Inventory Submissions 2024</v>
      </c>
      <c r="R20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15.323885979095701</v>
      </c>
      <c r="S20" s="19" t="str">
        <f>IF(LEFT(Calculations[[#This Row],[Emission Factor]],7)="Σ.Ε. CH",Calculations[[#This Row],[Value]]*Calculations[[#This Row],[Τιμή]],"-")</f>
        <v>-</v>
      </c>
      <c r="T2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" s="19" t="str">
        <f>IF(LEFT(Calculations[[#This Row],[Emission Factor]],3)="GWP",Calculations[[#This Row],[Τιμή]],"-")</f>
        <v>-</v>
      </c>
      <c r="V20" s="19" t="str">
        <f>IF(OR(Calculations[[#This Row],[Emission Factor]]="Σ.Ε. CO₂ eq",Calculations[[#This Row],[Emission Factor]]="CO₂ eq"),Calculations[[#This Row],[Value]]*Calculations[[#This Row],[Τιμή]],"-")</f>
        <v>-</v>
      </c>
      <c r="W20" s="19" t="str">
        <f>IF(Calculations[[#This Row],[Πηγή εκπομπών]]="Electricity consumed in office buildings and projects - market based",Calculations[[#This Row],[t CO2]],"")</f>
        <v/>
      </c>
      <c r="X2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15.323885979095701</v>
      </c>
    </row>
    <row r="21" spans="1:24" s="14" customFormat="1" ht="15" hidden="1" thickTop="1">
      <c r="A21" s="15" t="s">
        <v>0</v>
      </c>
      <c r="B21" s="15" t="s">
        <v>0</v>
      </c>
      <c r="C21" s="16" t="s">
        <v>624</v>
      </c>
      <c r="D21" s="77" t="s">
        <v>1144</v>
      </c>
      <c r="E21" s="16" t="s">
        <v>1146</v>
      </c>
      <c r="F21" s="11" t="s">
        <v>647</v>
      </c>
      <c r="G21" s="15" t="s">
        <v>80</v>
      </c>
      <c r="H21" s="15" t="s">
        <v>99</v>
      </c>
      <c r="I21" s="17" t="s">
        <v>100</v>
      </c>
      <c r="J21" s="79" cm="1">
        <f t="array" ref="J21">_xlfn.XLOOKUP(1,(Calculations[Πληροφορίες]=Calculations[[#This Row],[Πληροφορίες]])*(Calculations[Εταιρεία]=F21),Calculations[Τιμή])</f>
        <v>5872.89</v>
      </c>
      <c r="K21" s="18" t="s">
        <v>7</v>
      </c>
      <c r="L21" s="16" t="s">
        <v>248</v>
      </c>
      <c r="M21" s="148" t="s">
        <v>191</v>
      </c>
      <c r="N21" s="19" t="str">
        <f>_xlfn.XLOOKUP(Calculations[[#This Row],[For XLOOKUP]],Factors[For XLOOKUP],Factors[Factor],"")</f>
        <v>Σ.Ε. CH₄ m.</v>
      </c>
      <c r="O21" s="19">
        <f>_xlfn.XLOOKUP(Calculations[[#This Row],[For XLOOKUP]],Factors[For XLOOKUP],Factors[Value],"")</f>
        <v>9.9661146212508699E-10</v>
      </c>
      <c r="P21" s="19" t="str">
        <f>_xlfn.XLOOKUP(Calculations[[#This Row],[For XLOOKUP]],Factors[For XLOOKUP],Factors[Units],"")</f>
        <v>tn CH₄/lt</v>
      </c>
      <c r="Q21" s="19" t="str">
        <f>_xlfn.XLOOKUP(Calculations[[#This Row],[For XLOOKUP]],Factors[For XLOOKUP],Factors[Source],"")</f>
        <v>Greece. National Inventory Submissions 2024</v>
      </c>
      <c r="R2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" s="19">
        <f>IF(LEFT(Calculations[[#This Row],[Emission Factor]],7)="Σ.Ε. CH",Calculations[[#This Row],[Value]]*Calculations[[#This Row],[Τιμή]],"-")</f>
        <v>5.8529894897998024E-6</v>
      </c>
      <c r="T2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" s="19" t="str">
        <f>IF(LEFT(Calculations[[#This Row],[Emission Factor]],3)="GWP",Calculations[[#This Row],[Τιμή]],"-")</f>
        <v>-</v>
      </c>
      <c r="V21" s="19" t="str">
        <f>IF(OR(Calculations[[#This Row],[Emission Factor]]="Σ.Ε. CO₂ eq",Calculations[[#This Row],[Emission Factor]]="CO₂ eq"),Calculations[[#This Row],[Value]]*Calculations[[#This Row],[Τιμή]],"-")</f>
        <v>-</v>
      </c>
      <c r="W21" s="19" t="str">
        <f>IF(Calculations[[#This Row],[Πηγή εκπομπών]]="Electricity consumed in office buildings and projects - market based",Calculations[[#This Row],[t CO2]],"")</f>
        <v/>
      </c>
      <c r="X2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1.6388370571439448E-4</v>
      </c>
    </row>
    <row r="22" spans="1:24" s="14" customFormat="1" ht="15" hidden="1" thickTop="1">
      <c r="A22" s="15" t="s">
        <v>0</v>
      </c>
      <c r="B22" s="15" t="s">
        <v>0</v>
      </c>
      <c r="C22" s="16" t="s">
        <v>624</v>
      </c>
      <c r="D22" s="77" t="s">
        <v>1144</v>
      </c>
      <c r="E22" s="16" t="s">
        <v>1146</v>
      </c>
      <c r="F22" s="11" t="s">
        <v>647</v>
      </c>
      <c r="G22" s="15" t="s">
        <v>80</v>
      </c>
      <c r="H22" s="15" t="s">
        <v>99</v>
      </c>
      <c r="I22" s="17" t="s">
        <v>100</v>
      </c>
      <c r="J22" s="79" cm="1">
        <f t="array" ref="J22">_xlfn.XLOOKUP(1,(Calculations[Πληροφορίες]=Calculations[[#This Row],[Πληροφορίες]])*(Calculations[Εταιρεία]=F22),Calculations[Τιμή])</f>
        <v>5872.89</v>
      </c>
      <c r="K22" s="18" t="s">
        <v>7</v>
      </c>
      <c r="L22" s="16" t="s">
        <v>248</v>
      </c>
      <c r="M22" s="148" t="s">
        <v>193</v>
      </c>
      <c r="N22" s="19" t="str">
        <f>_xlfn.XLOOKUP(Calculations[[#This Row],[For XLOOKUP]],Factors[For XLOOKUP],Factors[Factor],"")</f>
        <v>Σ.Ε. N2O m.</v>
      </c>
      <c r="O22" s="19">
        <f>_xlfn.XLOOKUP(Calculations[[#This Row],[For XLOOKUP]],Factors[For XLOOKUP],Factors[Value],"")</f>
        <v>1.0467775855894111E-7</v>
      </c>
      <c r="P22" s="19" t="str">
        <f>_xlfn.XLOOKUP(Calculations[[#This Row],[For XLOOKUP]],Factors[For XLOOKUP],Factors[Units],"")</f>
        <v>tn N2O/lt</v>
      </c>
      <c r="Q22" s="19" t="str">
        <f>_xlfn.XLOOKUP(Calculations[[#This Row],[For XLOOKUP]],Factors[For XLOOKUP],Factors[Source],"")</f>
        <v>Greece. National Inventory Submissions 2024</v>
      </c>
      <c r="R2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" s="19" t="str">
        <f>IF(LEFT(Calculations[[#This Row],[Emission Factor]],7)="Σ.Ε. CH",Calculations[[#This Row],[Value]]*Calculations[[#This Row],[Τιμή]],"-")</f>
        <v>-</v>
      </c>
      <c r="T22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6.147609614632197E-4</v>
      </c>
      <c r="U22" s="19" t="str">
        <f>IF(LEFT(Calculations[[#This Row],[Emission Factor]],3)="GWP",Calculations[[#This Row],[Τιμή]],"-")</f>
        <v>-</v>
      </c>
      <c r="V22" s="19" t="str">
        <f>IF(OR(Calculations[[#This Row],[Emission Factor]]="Σ.Ε. CO₂ eq",Calculations[[#This Row],[Emission Factor]]="CO₂ eq"),Calculations[[#This Row],[Value]]*Calculations[[#This Row],[Τιμή]],"-")</f>
        <v>-</v>
      </c>
      <c r="W22" s="19" t="str">
        <f>IF(Calculations[[#This Row],[Πηγή εκπομπών]]="Electricity consumed in office buildings and projects - market based",Calculations[[#This Row],[t CO2]],"")</f>
        <v/>
      </c>
      <c r="X2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0.16291165478775321</v>
      </c>
    </row>
    <row r="23" spans="1:24" s="14" customFormat="1" ht="15" hidden="1" thickTop="1">
      <c r="A23" s="15" t="s">
        <v>0</v>
      </c>
      <c r="B23" s="15" t="s">
        <v>0</v>
      </c>
      <c r="C23" s="16" t="s">
        <v>327</v>
      </c>
      <c r="D23" s="16" t="s">
        <v>894</v>
      </c>
      <c r="E23" s="16" t="s">
        <v>1187</v>
      </c>
      <c r="F23" s="16" t="s">
        <v>317</v>
      </c>
      <c r="G23" s="15" t="s">
        <v>80</v>
      </c>
      <c r="H23" s="15" t="s">
        <v>99</v>
      </c>
      <c r="I23" s="17" t="s">
        <v>100</v>
      </c>
      <c r="J23" s="238">
        <v>13228</v>
      </c>
      <c r="K23" s="18" t="s">
        <v>7</v>
      </c>
      <c r="L23" s="16" t="s">
        <v>248</v>
      </c>
      <c r="M23" s="148" t="s">
        <v>1247</v>
      </c>
      <c r="N23" s="19" t="str">
        <f>_xlfn.XLOOKUP(Calculations[[#This Row],[For XLOOKUP]],Factors[For XLOOKUP],Factors[Factor],"")</f>
        <v>Σ.Ε. CO₂ m.</v>
      </c>
      <c r="O23" s="19">
        <f>_xlfn.XLOOKUP(Calculations[[#This Row],[For XLOOKUP]],Factors[For XLOOKUP],Factors[Value],"")</f>
        <v>2.7096592074209837E-3</v>
      </c>
      <c r="P23" s="19" t="str">
        <f>_xlfn.XLOOKUP(Calculations[[#This Row],[For XLOOKUP]],Factors[For XLOOKUP],Factors[Units],"")</f>
        <v>tn CO2/lt</v>
      </c>
      <c r="Q23" s="19" t="str">
        <f>_xlfn.XLOOKUP(Calculations[[#This Row],[For XLOOKUP]],Factors[For XLOOKUP],Factors[Source],"")</f>
        <v>Cyprus. National Inventory Table (CRT) 2024</v>
      </c>
      <c r="R23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35.84337199576477</v>
      </c>
      <c r="S23" s="19" t="str">
        <f>IF(LEFT(Calculations[[#This Row],[Emission Factor]],7)="Σ.Ε. CH",Calculations[[#This Row],[Value]]*Calculations[[#This Row],[Τιμή]],"-")</f>
        <v>-</v>
      </c>
      <c r="T2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" s="19" t="str">
        <f>IF(LEFT(Calculations[[#This Row],[Emission Factor]],3)="GWP",Calculations[[#This Row],[Τιμή]],"-")</f>
        <v>-</v>
      </c>
      <c r="V23" s="19" t="str">
        <f>IF(OR(Calculations[[#This Row],[Emission Factor]]="Σ.Ε. CO₂ eq",Calculations[[#This Row],[Emission Factor]]="CO₂ eq"),Calculations[[#This Row],[Value]]*Calculations[[#This Row],[Τιμή]],"-")</f>
        <v>-</v>
      </c>
      <c r="W23" s="19" t="str">
        <f>IF(Calculations[[#This Row],[Πηγή εκπομπών]]="Electricity consumed in office buildings and projects - market based",Calculations[[#This Row],[t CO2]],"")</f>
        <v/>
      </c>
      <c r="X2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35.84337199576477</v>
      </c>
    </row>
    <row r="24" spans="1:24" s="14" customFormat="1" ht="15" hidden="1" thickTop="1">
      <c r="A24" s="15" t="s">
        <v>0</v>
      </c>
      <c r="B24" s="15" t="s">
        <v>0</v>
      </c>
      <c r="C24" s="16" t="s">
        <v>327</v>
      </c>
      <c r="D24" s="16" t="s">
        <v>894</v>
      </c>
      <c r="E24" s="16" t="s">
        <v>1187</v>
      </c>
      <c r="F24" s="16" t="s">
        <v>317</v>
      </c>
      <c r="G24" s="15" t="s">
        <v>80</v>
      </c>
      <c r="H24" s="15" t="s">
        <v>99</v>
      </c>
      <c r="I24" s="17" t="s">
        <v>100</v>
      </c>
      <c r="J24" s="79">
        <v>13228</v>
      </c>
      <c r="K24" s="18" t="s">
        <v>7</v>
      </c>
      <c r="L24" s="16" t="s">
        <v>248</v>
      </c>
      <c r="M24" s="148" t="s">
        <v>1248</v>
      </c>
      <c r="N24" s="19" t="str">
        <f>_xlfn.XLOOKUP(Calculations[[#This Row],[For XLOOKUP]],Factors[For XLOOKUP],Factors[Factor],"")</f>
        <v>Σ.Ε. CH₄ m.</v>
      </c>
      <c r="O24" s="19">
        <f>_xlfn.XLOOKUP(Calculations[[#This Row],[For XLOOKUP]],Factors[For XLOOKUP],Factors[Value],"")</f>
        <v>3.9500062714377506E-9</v>
      </c>
      <c r="P24" s="19" t="str">
        <f>_xlfn.XLOOKUP(Calculations[[#This Row],[For XLOOKUP]],Factors[For XLOOKUP],Factors[Units],"")</f>
        <v>tn CH₄/lt</v>
      </c>
      <c r="Q24" s="19" t="str">
        <f>_xlfn.XLOOKUP(Calculations[[#This Row],[For XLOOKUP]],Factors[For XLOOKUP],Factors[Source],"")</f>
        <v>Cyprus. National Inventory Table (CRT) 2024</v>
      </c>
      <c r="R2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" s="19">
        <f>IF(LEFT(Calculations[[#This Row],[Emission Factor]],7)="Σ.Ε. CH",Calculations[[#This Row],[Value]]*Calculations[[#This Row],[Τιμή]],"-")</f>
        <v>5.2250682958578562E-5</v>
      </c>
      <c r="T2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" s="19" t="str">
        <f>IF(LEFT(Calculations[[#This Row],[Emission Factor]],3)="GWP",Calculations[[#This Row],[Τιμή]],"-")</f>
        <v>-</v>
      </c>
      <c r="V24" s="19" t="str">
        <f>IF(OR(Calculations[[#This Row],[Emission Factor]]="Σ.Ε. CO₂ eq",Calculations[[#This Row],[Emission Factor]]="CO₂ eq"),Calculations[[#This Row],[Value]]*Calculations[[#This Row],[Τιμή]],"-")</f>
        <v>-</v>
      </c>
      <c r="W24" s="19" t="str">
        <f>IF(Calculations[[#This Row],[Πηγή εκπομπών]]="Electricity consumed in office buildings and projects - market based",Calculations[[#This Row],[t CO2]],"")</f>
        <v/>
      </c>
      <c r="X2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1.4630191228401997E-3</v>
      </c>
    </row>
    <row r="25" spans="1:24" s="14" customFormat="1" ht="15" hidden="1" thickTop="1">
      <c r="A25" s="15" t="s">
        <v>0</v>
      </c>
      <c r="B25" s="15" t="s">
        <v>0</v>
      </c>
      <c r="C25" s="16" t="s">
        <v>327</v>
      </c>
      <c r="D25" s="16" t="s">
        <v>894</v>
      </c>
      <c r="E25" s="16" t="s">
        <v>1187</v>
      </c>
      <c r="F25" s="16" t="s">
        <v>317</v>
      </c>
      <c r="G25" s="15" t="s">
        <v>80</v>
      </c>
      <c r="H25" s="15" t="s">
        <v>99</v>
      </c>
      <c r="I25" s="17" t="s">
        <v>100</v>
      </c>
      <c r="J25" s="79">
        <v>13228</v>
      </c>
      <c r="K25" s="18" t="s">
        <v>7</v>
      </c>
      <c r="L25" s="16" t="s">
        <v>248</v>
      </c>
      <c r="M25" s="148" t="s">
        <v>1249</v>
      </c>
      <c r="N25" s="19" t="str">
        <f>_xlfn.XLOOKUP(Calculations[[#This Row],[For XLOOKUP]],Factors[For XLOOKUP],Factors[Factor],"")</f>
        <v>Σ.Ε. N2O m.</v>
      </c>
      <c r="O25" s="19">
        <f>_xlfn.XLOOKUP(Calculations[[#This Row],[For XLOOKUP]],Factors[For XLOOKUP],Factors[Value],"")</f>
        <v>1.0576135864495003E-7</v>
      </c>
      <c r="P25" s="19" t="str">
        <f>_xlfn.XLOOKUP(Calculations[[#This Row],[For XLOOKUP]],Factors[For XLOOKUP],Factors[Units],"")</f>
        <v>tn N2O/lt</v>
      </c>
      <c r="Q25" s="19" t="str">
        <f>_xlfn.XLOOKUP(Calculations[[#This Row],[For XLOOKUP]],Factors[For XLOOKUP],Factors[Source],"")</f>
        <v>Cyprus. National Inventory Table (CRT) 2024</v>
      </c>
      <c r="R2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" s="19" t="str">
        <f>IF(LEFT(Calculations[[#This Row],[Emission Factor]],7)="Σ.Ε. CH",Calculations[[#This Row],[Value]]*Calculations[[#This Row],[Τιμή]],"-")</f>
        <v>-</v>
      </c>
      <c r="T25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1.3990112521553989E-3</v>
      </c>
      <c r="U25" s="19" t="str">
        <f>IF(LEFT(Calculations[[#This Row],[Emission Factor]],3)="GWP",Calculations[[#This Row],[Τιμή]],"-")</f>
        <v>-</v>
      </c>
      <c r="V25" s="19" t="str">
        <f>IF(OR(Calculations[[#This Row],[Emission Factor]]="Σ.Ε. CO₂ eq",Calculations[[#This Row],[Emission Factor]]="CO₂ eq"),Calculations[[#This Row],[Value]]*Calculations[[#This Row],[Τιμή]],"-")</f>
        <v>-</v>
      </c>
      <c r="W25" s="19" t="str">
        <f>IF(Calculations[[#This Row],[Πηγή εκπομπών]]="Electricity consumed in office buildings and projects - market based",Calculations[[#This Row],[t CO2]],"")</f>
        <v/>
      </c>
      <c r="X2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0.37073798182118073</v>
      </c>
    </row>
    <row r="26" spans="1:24" s="14" customFormat="1" ht="15" hidden="1" thickTop="1">
      <c r="A26" s="15" t="s">
        <v>0</v>
      </c>
      <c r="B26" s="15" t="s">
        <v>0</v>
      </c>
      <c r="C26" s="16" t="s">
        <v>328</v>
      </c>
      <c r="D26" s="16" t="s">
        <v>894</v>
      </c>
      <c r="E26" s="16" t="s">
        <v>1188</v>
      </c>
      <c r="F26" s="16" t="s">
        <v>1188</v>
      </c>
      <c r="G26" s="15" t="s">
        <v>80</v>
      </c>
      <c r="H26" s="15" t="s">
        <v>99</v>
      </c>
      <c r="I26" s="17" t="s">
        <v>100</v>
      </c>
      <c r="J26" s="238">
        <v>9342.1299999999992</v>
      </c>
      <c r="K26" s="18" t="s">
        <v>7</v>
      </c>
      <c r="L26" s="16" t="s">
        <v>248</v>
      </c>
      <c r="M26" s="148" t="s">
        <v>1198</v>
      </c>
      <c r="N26" s="19" t="str">
        <f>_xlfn.XLOOKUP(Calculations[[#This Row],[For XLOOKUP]],Factors[For XLOOKUP],Factors[Factor],"")</f>
        <v>Σ.Ε. CO₂ m.</v>
      </c>
      <c r="O26" s="19">
        <f>_xlfn.XLOOKUP(Calculations[[#This Row],[For XLOOKUP]],Factors[For XLOOKUP],Factors[Value],"")</f>
        <v>2.7099913933681225E-3</v>
      </c>
      <c r="P26" s="19" t="str">
        <f>_xlfn.XLOOKUP(Calculations[[#This Row],[For XLOOKUP]],Factors[For XLOOKUP],Factors[Units],"")</f>
        <v>tn CO2/lt</v>
      </c>
      <c r="Q26" s="19" t="str">
        <f>_xlfn.XLOOKUP(Calculations[[#This Row],[For XLOOKUP]],Factors[For XLOOKUP],Factors[Source],"")</f>
        <v>Germany. National Inventory Document (NID) 2024</v>
      </c>
      <c r="R26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25.317091895726136</v>
      </c>
      <c r="S26" s="19" t="str">
        <f>IF(LEFT(Calculations[[#This Row],[Emission Factor]],7)="Σ.Ε. CH",Calculations[[#This Row],[Value]]*Calculations[[#This Row],[Τιμή]],"-")</f>
        <v>-</v>
      </c>
      <c r="T2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" s="19" t="str">
        <f>IF(LEFT(Calculations[[#This Row],[Emission Factor]],3)="GWP",Calculations[[#This Row],[Τιμή]],"-")</f>
        <v>-</v>
      </c>
      <c r="V26" s="19" t="str">
        <f>IF(OR(Calculations[[#This Row],[Emission Factor]]="Σ.Ε. CO₂ eq",Calculations[[#This Row],[Emission Factor]]="CO₂ eq"),Calculations[[#This Row],[Value]]*Calculations[[#This Row],[Τιμή]],"-")</f>
        <v>-</v>
      </c>
      <c r="W26" s="19" t="str">
        <f>IF(Calculations[[#This Row],[Πηγή εκπομπών]]="Electricity consumed in office buildings and projects - market based",Calculations[[#This Row],[t CO2]],"")</f>
        <v/>
      </c>
      <c r="X2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25.317091895726136</v>
      </c>
    </row>
    <row r="27" spans="1:24" s="14" customFormat="1" ht="15" hidden="1" thickTop="1">
      <c r="A27" s="15" t="s">
        <v>0</v>
      </c>
      <c r="B27" s="15" t="s">
        <v>0</v>
      </c>
      <c r="C27" s="16" t="s">
        <v>328</v>
      </c>
      <c r="D27" s="16" t="s">
        <v>894</v>
      </c>
      <c r="E27" s="16" t="s">
        <v>1188</v>
      </c>
      <c r="F27" s="16" t="s">
        <v>1188</v>
      </c>
      <c r="G27" s="15" t="s">
        <v>80</v>
      </c>
      <c r="H27" s="15" t="s">
        <v>99</v>
      </c>
      <c r="I27" s="17" t="s">
        <v>100</v>
      </c>
      <c r="J27" s="79">
        <v>9342.1299999999992</v>
      </c>
      <c r="K27" s="18" t="s">
        <v>7</v>
      </c>
      <c r="L27" s="16" t="s">
        <v>248</v>
      </c>
      <c r="M27" s="148" t="s">
        <v>1199</v>
      </c>
      <c r="N27" s="19" t="str">
        <f>_xlfn.XLOOKUP(Calculations[[#This Row],[For XLOOKUP]],Factors[For XLOOKUP],Factors[Factor],"")</f>
        <v>Σ.Ε. CH₄ m.</v>
      </c>
      <c r="O27" s="19">
        <f>_xlfn.XLOOKUP(Calculations[[#This Row],[For XLOOKUP]],Factors[For XLOOKUP],Factors[Value],"")</f>
        <v>1.3036787992116369E-7</v>
      </c>
      <c r="P27" s="19" t="str">
        <f>_xlfn.XLOOKUP(Calculations[[#This Row],[For XLOOKUP]],Factors[For XLOOKUP],Factors[Units],"")</f>
        <v>tn CH₄/lt</v>
      </c>
      <c r="Q27" s="19" t="str">
        <f>_xlfn.XLOOKUP(Calculations[[#This Row],[For XLOOKUP]],Factors[For XLOOKUP],Factors[Source],"")</f>
        <v>Germany. National Inventory Document (NID) 2024</v>
      </c>
      <c r="R2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7" s="19">
        <f>IF(LEFT(Calculations[[#This Row],[Emission Factor]],7)="Σ.Ε. CH",Calculations[[#This Row],[Value]]*Calculations[[#This Row],[Τιμή]],"-")</f>
        <v>1.2179136820479007E-3</v>
      </c>
      <c r="T2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" s="19" t="str">
        <f>IF(LEFT(Calculations[[#This Row],[Emission Factor]],3)="GWP",Calculations[[#This Row],[Τιμή]],"-")</f>
        <v>-</v>
      </c>
      <c r="V27" s="19" t="str">
        <f>IF(OR(Calculations[[#This Row],[Emission Factor]]="Σ.Ε. CO₂ eq",Calculations[[#This Row],[Emission Factor]]="CO₂ eq"),Calculations[[#This Row],[Value]]*Calculations[[#This Row],[Τιμή]],"-")</f>
        <v>-</v>
      </c>
      <c r="W27" s="19" t="str">
        <f>IF(Calculations[[#This Row],[Πηγή εκπομπών]]="Electricity consumed in office buildings and projects - market based",Calculations[[#This Row],[t CO2]],"")</f>
        <v/>
      </c>
      <c r="X2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3.4101583097341223E-2</v>
      </c>
    </row>
    <row r="28" spans="1:24" s="14" customFormat="1" ht="15" hidden="1" thickTop="1">
      <c r="A28" s="15" t="s">
        <v>0</v>
      </c>
      <c r="B28" s="15" t="s">
        <v>0</v>
      </c>
      <c r="C28" s="16" t="s">
        <v>328</v>
      </c>
      <c r="D28" s="16" t="s">
        <v>894</v>
      </c>
      <c r="E28" s="16" t="s">
        <v>1188</v>
      </c>
      <c r="F28" s="16" t="s">
        <v>1188</v>
      </c>
      <c r="G28" s="15" t="s">
        <v>80</v>
      </c>
      <c r="H28" s="15" t="s">
        <v>99</v>
      </c>
      <c r="I28" s="17" t="s">
        <v>100</v>
      </c>
      <c r="J28" s="79">
        <v>9342.1299999999992</v>
      </c>
      <c r="K28" s="18" t="s">
        <v>7</v>
      </c>
      <c r="L28" s="16" t="s">
        <v>248</v>
      </c>
      <c r="M28" s="148" t="s">
        <v>1200</v>
      </c>
      <c r="N28" s="19" t="str">
        <f>_xlfn.XLOOKUP(Calculations[[#This Row],[For XLOOKUP]],Factors[For XLOOKUP],Factors[Factor],"")</f>
        <v>Σ.Ε. N2O m.</v>
      </c>
      <c r="O28" s="19">
        <f>_xlfn.XLOOKUP(Calculations[[#This Row],[For XLOOKUP]],Factors[For XLOOKUP],Factors[Value],"")</f>
        <v>1.2645377457682176E-7</v>
      </c>
      <c r="P28" s="19" t="str">
        <f>_xlfn.XLOOKUP(Calculations[[#This Row],[For XLOOKUP]],Factors[For XLOOKUP],Factors[Units],"")</f>
        <v>tn N2O/lt</v>
      </c>
      <c r="Q28" s="19" t="str">
        <f>_xlfn.XLOOKUP(Calculations[[#This Row],[For XLOOKUP]],Factors[For XLOOKUP],Factors[Source],"")</f>
        <v>Germany. National Inventory Document (NID) 2024</v>
      </c>
      <c r="R2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" s="19" t="str">
        <f>IF(LEFT(Calculations[[#This Row],[Emission Factor]],7)="Σ.Ε. CH",Calculations[[#This Row],[Value]]*Calculations[[#This Row],[Τιμή]],"-")</f>
        <v>-</v>
      </c>
      <c r="T28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1.1813476010873638E-3</v>
      </c>
      <c r="U28" s="19" t="str">
        <f>IF(LEFT(Calculations[[#This Row],[Emission Factor]],3)="GWP",Calculations[[#This Row],[Τιμή]],"-")</f>
        <v>-</v>
      </c>
      <c r="V28" s="19" t="str">
        <f>IF(OR(Calculations[[#This Row],[Emission Factor]]="Σ.Ε. CO₂ eq",Calculations[[#This Row],[Emission Factor]]="CO₂ eq"),Calculations[[#This Row],[Value]]*Calculations[[#This Row],[Τιμή]],"-")</f>
        <v>-</v>
      </c>
      <c r="W28" s="19" t="str">
        <f>IF(Calculations[[#This Row],[Πηγή εκπομπών]]="Electricity consumed in office buildings and projects - market based",Calculations[[#This Row],[t CO2]],"")</f>
        <v/>
      </c>
      <c r="X2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0.31305711428815142</v>
      </c>
    </row>
    <row r="29" spans="1:24" s="14" customFormat="1" ht="15" hidden="1" thickTop="1">
      <c r="A29" s="15" t="s">
        <v>0</v>
      </c>
      <c r="B29" s="15" t="s">
        <v>0</v>
      </c>
      <c r="C29" s="16" t="s">
        <v>624</v>
      </c>
      <c r="D29" s="16" t="s">
        <v>894</v>
      </c>
      <c r="E29" s="16"/>
      <c r="F29" s="16" t="s">
        <v>317</v>
      </c>
      <c r="G29" s="15" t="s">
        <v>80</v>
      </c>
      <c r="H29" s="15" t="s">
        <v>99</v>
      </c>
      <c r="I29" s="17" t="s">
        <v>100</v>
      </c>
      <c r="J29" s="293">
        <v>47782.830000000009</v>
      </c>
      <c r="K29" s="18" t="s">
        <v>7</v>
      </c>
      <c r="L29" s="16" t="s">
        <v>248</v>
      </c>
      <c r="M29" s="148" t="s">
        <v>189</v>
      </c>
      <c r="N29" s="19" t="str">
        <f>_xlfn.XLOOKUP(Calculations[[#This Row],[For XLOOKUP]],Factors[For XLOOKUP],Factors[Factor],"")</f>
        <v>Σ.Ε. CO₂ m.</v>
      </c>
      <c r="O29" s="19">
        <f>_xlfn.XLOOKUP(Calculations[[#This Row],[For XLOOKUP]],Factors[For XLOOKUP],Factors[Value],"")</f>
        <v>2.6092581300000001E-3</v>
      </c>
      <c r="P29" s="19" t="str">
        <f>_xlfn.XLOOKUP(Calculations[[#This Row],[For XLOOKUP]],Factors[For XLOOKUP],Factors[Units],"")</f>
        <v>tn CO2/lt</v>
      </c>
      <c r="Q29" s="19" t="str">
        <f>_xlfn.XLOOKUP(Calculations[[#This Row],[For XLOOKUP]],Factors[For XLOOKUP],Factors[Source],"")</f>
        <v>Greece. National Inventory Submissions 2024</v>
      </c>
      <c r="R29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124.67773765190793</v>
      </c>
      <c r="S29" s="19" t="str">
        <f>IF(LEFT(Calculations[[#This Row],[Emission Factor]],7)="Σ.Ε. CH",Calculations[[#This Row],[Value]]*Calculations[[#This Row],[Τιμή]],"-")</f>
        <v>-</v>
      </c>
      <c r="T2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" s="19" t="str">
        <f>IF(LEFT(Calculations[[#This Row],[Emission Factor]],3)="GWP",Calculations[[#This Row],[Τιμή]],"-")</f>
        <v>-</v>
      </c>
      <c r="V29" s="19" t="str">
        <f>IF(OR(Calculations[[#This Row],[Emission Factor]]="Σ.Ε. CO₂ eq",Calculations[[#This Row],[Emission Factor]]="CO₂ eq"),Calculations[[#This Row],[Value]]*Calculations[[#This Row],[Τιμή]],"-")</f>
        <v>-</v>
      </c>
      <c r="W29" s="19" t="str">
        <f>IF(Calculations[[#This Row],[Πηγή εκπομπών]]="Electricity consumed in office buildings and projects - market based",Calculations[[#This Row],[t CO2]],"")</f>
        <v/>
      </c>
      <c r="X2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124.67773765190793</v>
      </c>
    </row>
    <row r="30" spans="1:24" s="14" customFormat="1" ht="15" hidden="1" thickTop="1">
      <c r="A30" s="15" t="s">
        <v>0</v>
      </c>
      <c r="B30" s="15" t="s">
        <v>0</v>
      </c>
      <c r="C30" s="16" t="s">
        <v>624</v>
      </c>
      <c r="D30" s="16" t="s">
        <v>894</v>
      </c>
      <c r="E30" s="16"/>
      <c r="F30" s="16" t="s">
        <v>317</v>
      </c>
      <c r="G30" s="15" t="s">
        <v>80</v>
      </c>
      <c r="H30" s="15" t="s">
        <v>99</v>
      </c>
      <c r="I30" s="17" t="s">
        <v>100</v>
      </c>
      <c r="J30" s="79">
        <v>47782.830000000009</v>
      </c>
      <c r="K30" s="18" t="s">
        <v>7</v>
      </c>
      <c r="L30" s="16" t="s">
        <v>248</v>
      </c>
      <c r="M30" s="148" t="s">
        <v>191</v>
      </c>
      <c r="N30" s="19" t="str">
        <f>_xlfn.XLOOKUP(Calculations[[#This Row],[For XLOOKUP]],Factors[For XLOOKUP],Factors[Factor],"")</f>
        <v>Σ.Ε. CH₄ m.</v>
      </c>
      <c r="O30" s="19">
        <f>_xlfn.XLOOKUP(Calculations[[#This Row],[For XLOOKUP]],Factors[For XLOOKUP],Factors[Value],"")</f>
        <v>9.9661146212508699E-10</v>
      </c>
      <c r="P30" s="19" t="str">
        <f>_xlfn.XLOOKUP(Calculations[[#This Row],[For XLOOKUP]],Factors[For XLOOKUP],Factors[Units],"")</f>
        <v>tn CH₄/lt</v>
      </c>
      <c r="Q30" s="19" t="str">
        <f>_xlfn.XLOOKUP(Calculations[[#This Row],[For XLOOKUP]],Factors[For XLOOKUP],Factors[Source],"")</f>
        <v>Greece. National Inventory Submissions 2024</v>
      </c>
      <c r="R3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" s="19">
        <f>IF(LEFT(Calculations[[#This Row],[Emission Factor]],7)="Σ.Ε. CH",Calculations[[#This Row],[Value]]*Calculations[[#This Row],[Τιμή]],"-")</f>
        <v>4.7620916070774482E-5</v>
      </c>
      <c r="T3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" s="19" t="str">
        <f>IF(LEFT(Calculations[[#This Row],[Emission Factor]],3)="GWP",Calculations[[#This Row],[Τιμή]],"-")</f>
        <v>-</v>
      </c>
      <c r="V30" s="19" t="str">
        <f>IF(OR(Calculations[[#This Row],[Emission Factor]]="Σ.Ε. CO₂ eq",Calculations[[#This Row],[Emission Factor]]="CO₂ eq"),Calculations[[#This Row],[Value]]*Calculations[[#This Row],[Τιμή]],"-")</f>
        <v>-</v>
      </c>
      <c r="W30" s="19" t="str">
        <f>IF(Calculations[[#This Row],[Πηγή εκπομπών]]="Electricity consumed in office buildings and projects - market based",Calculations[[#This Row],[t CO2]],"")</f>
        <v/>
      </c>
      <c r="X3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1.3333856499816855E-3</v>
      </c>
    </row>
    <row r="31" spans="1:24" s="14" customFormat="1" ht="15" hidden="1" thickTop="1">
      <c r="A31" s="15" t="s">
        <v>0</v>
      </c>
      <c r="B31" s="15" t="s">
        <v>0</v>
      </c>
      <c r="C31" s="16" t="s">
        <v>624</v>
      </c>
      <c r="D31" s="16" t="s">
        <v>894</v>
      </c>
      <c r="E31" s="16"/>
      <c r="F31" s="16" t="s">
        <v>317</v>
      </c>
      <c r="G31" s="15" t="s">
        <v>80</v>
      </c>
      <c r="H31" s="15" t="s">
        <v>99</v>
      </c>
      <c r="I31" s="17" t="s">
        <v>100</v>
      </c>
      <c r="J31" s="79">
        <v>47782.830000000009</v>
      </c>
      <c r="K31" s="18" t="s">
        <v>7</v>
      </c>
      <c r="L31" s="16" t="s">
        <v>248</v>
      </c>
      <c r="M31" s="148" t="s">
        <v>193</v>
      </c>
      <c r="N31" s="19" t="str">
        <f>_xlfn.XLOOKUP(Calculations[[#This Row],[For XLOOKUP]],Factors[For XLOOKUP],Factors[Factor],"")</f>
        <v>Σ.Ε. N2O m.</v>
      </c>
      <c r="O31" s="19">
        <f>_xlfn.XLOOKUP(Calculations[[#This Row],[For XLOOKUP]],Factors[For XLOOKUP],Factors[Value],"")</f>
        <v>1.0467775855894111E-7</v>
      </c>
      <c r="P31" s="19" t="str">
        <f>_xlfn.XLOOKUP(Calculations[[#This Row],[For XLOOKUP]],Factors[For XLOOKUP],Factors[Units],"")</f>
        <v>tn N2O/lt</v>
      </c>
      <c r="Q31" s="19" t="str">
        <f>_xlfn.XLOOKUP(Calculations[[#This Row],[For XLOOKUP]],Factors[For XLOOKUP],Factors[Source],"")</f>
        <v>Greece. National Inventory Submissions 2024</v>
      </c>
      <c r="R3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" s="19" t="str">
        <f>IF(LEFT(Calculations[[#This Row],[Emission Factor]],7)="Σ.Ε. CH",Calculations[[#This Row],[Value]]*Calculations[[#This Row],[Τιμή]],"-")</f>
        <v>-</v>
      </c>
      <c r="T31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5.001799542002929E-3</v>
      </c>
      <c r="U31" s="19" t="str">
        <f>IF(LEFT(Calculations[[#This Row],[Emission Factor]],3)="GWP",Calculations[[#This Row],[Τιμή]],"-")</f>
        <v>-</v>
      </c>
      <c r="V31" s="19" t="str">
        <f>IF(OR(Calculations[[#This Row],[Emission Factor]]="Σ.Ε. CO₂ eq",Calculations[[#This Row],[Emission Factor]]="CO₂ eq"),Calculations[[#This Row],[Value]]*Calculations[[#This Row],[Τιμή]],"-")</f>
        <v>-</v>
      </c>
      <c r="W31" s="19" t="str">
        <f>IF(Calculations[[#This Row],[Πηγή εκπομπών]]="Electricity consumed in office buildings and projects - market based",Calculations[[#This Row],[t CO2]],"")</f>
        <v/>
      </c>
      <c r="X3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1.3254768786307762</v>
      </c>
    </row>
    <row r="32" spans="1:24" s="14" customFormat="1" ht="15" hidden="1" thickTop="1">
      <c r="A32" s="15" t="s">
        <v>0</v>
      </c>
      <c r="B32" s="15" t="s">
        <v>0</v>
      </c>
      <c r="C32" s="16" t="s">
        <v>624</v>
      </c>
      <c r="D32" s="16" t="s">
        <v>895</v>
      </c>
      <c r="E32" s="16" t="s">
        <v>1179</v>
      </c>
      <c r="F32" s="16" t="s">
        <v>318</v>
      </c>
      <c r="G32" s="15" t="s">
        <v>80</v>
      </c>
      <c r="H32" s="15" t="s">
        <v>99</v>
      </c>
      <c r="I32" s="17" t="s">
        <v>100</v>
      </c>
      <c r="J32" s="293">
        <v>26440</v>
      </c>
      <c r="K32" s="18" t="s">
        <v>7</v>
      </c>
      <c r="L32" s="16" t="s">
        <v>248</v>
      </c>
      <c r="M32" s="148" t="s">
        <v>189</v>
      </c>
      <c r="N32" s="19" t="str">
        <f>_xlfn.XLOOKUP(Calculations[[#This Row],[For XLOOKUP]],Factors[For XLOOKUP],Factors[Factor],"")</f>
        <v>Σ.Ε. CO₂ m.</v>
      </c>
      <c r="O32" s="19">
        <f>_xlfn.XLOOKUP(Calculations[[#This Row],[For XLOOKUP]],Factors[For XLOOKUP],Factors[Value],"")</f>
        <v>2.6092581300000001E-3</v>
      </c>
      <c r="P32" s="19" t="str">
        <f>_xlfn.XLOOKUP(Calculations[[#This Row],[For XLOOKUP]],Factors[For XLOOKUP],Factors[Units],"")</f>
        <v>tn CO2/lt</v>
      </c>
      <c r="Q32" s="19" t="str">
        <f>_xlfn.XLOOKUP(Calculations[[#This Row],[For XLOOKUP]],Factors[For XLOOKUP],Factors[Source],"")</f>
        <v>Greece. National Inventory Submissions 2024</v>
      </c>
      <c r="R32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68.988784957199996</v>
      </c>
      <c r="S32" s="19" t="str">
        <f>IF(LEFT(Calculations[[#This Row],[Emission Factor]],7)="Σ.Ε. CH",Calculations[[#This Row],[Value]]*Calculations[[#This Row],[Τιμή]],"-")</f>
        <v>-</v>
      </c>
      <c r="T3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" s="19" t="str">
        <f>IF(LEFT(Calculations[[#This Row],[Emission Factor]],3)="GWP",Calculations[[#This Row],[Τιμή]],"-")</f>
        <v>-</v>
      </c>
      <c r="V32" s="19" t="str">
        <f>IF(OR(Calculations[[#This Row],[Emission Factor]]="Σ.Ε. CO₂ eq",Calculations[[#This Row],[Emission Factor]]="CO₂ eq"),Calculations[[#This Row],[Value]]*Calculations[[#This Row],[Τιμή]],"-")</f>
        <v>-</v>
      </c>
      <c r="W32" s="19" t="str">
        <f>IF(Calculations[[#This Row],[Πηγή εκπομπών]]="Electricity consumed in office buildings and projects - market based",Calculations[[#This Row],[t CO2]],"")</f>
        <v/>
      </c>
      <c r="X3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68.988784957199996</v>
      </c>
    </row>
    <row r="33" spans="1:24" s="14" customFormat="1" ht="15" hidden="1" thickTop="1">
      <c r="A33" s="15" t="s">
        <v>0</v>
      </c>
      <c r="B33" s="15" t="s">
        <v>0</v>
      </c>
      <c r="C33" s="16" t="s">
        <v>624</v>
      </c>
      <c r="D33" s="16" t="s">
        <v>895</v>
      </c>
      <c r="E33" s="16" t="s">
        <v>1179</v>
      </c>
      <c r="F33" s="16" t="s">
        <v>318</v>
      </c>
      <c r="G33" s="15" t="s">
        <v>80</v>
      </c>
      <c r="H33" s="15" t="s">
        <v>99</v>
      </c>
      <c r="I33" s="17" t="s">
        <v>100</v>
      </c>
      <c r="J33" s="79" cm="1">
        <f t="array" ref="J33">_xlfn.XLOOKUP(1,(Calculations[Πληροφορίες]=Calculations[[#This Row],[Πληροφορίες]])*(Calculations[Εταιρεία]=F33),Calculations[Τιμή])</f>
        <v>26440</v>
      </c>
      <c r="K33" s="18" t="s">
        <v>7</v>
      </c>
      <c r="L33" s="16" t="s">
        <v>248</v>
      </c>
      <c r="M33" s="148" t="s">
        <v>191</v>
      </c>
      <c r="N33" s="19" t="str">
        <f>_xlfn.XLOOKUP(Calculations[[#This Row],[For XLOOKUP]],Factors[For XLOOKUP],Factors[Factor],"")</f>
        <v>Σ.Ε. CH₄ m.</v>
      </c>
      <c r="O33" s="19">
        <f>_xlfn.XLOOKUP(Calculations[[#This Row],[For XLOOKUP]],Factors[For XLOOKUP],Factors[Value],"")</f>
        <v>9.9661146212508699E-10</v>
      </c>
      <c r="P33" s="19" t="str">
        <f>_xlfn.XLOOKUP(Calculations[[#This Row],[For XLOOKUP]],Factors[For XLOOKUP],Factors[Units],"")</f>
        <v>tn CH₄/lt</v>
      </c>
      <c r="Q33" s="19" t="str">
        <f>_xlfn.XLOOKUP(Calculations[[#This Row],[For XLOOKUP]],Factors[For XLOOKUP],Factors[Source],"")</f>
        <v>Greece. National Inventory Submissions 2024</v>
      </c>
      <c r="R3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" s="19">
        <f>IF(LEFT(Calculations[[#This Row],[Emission Factor]],7)="Σ.Ε. CH",Calculations[[#This Row],[Value]]*Calculations[[#This Row],[Τιμή]],"-")</f>
        <v>2.6350407058587301E-5</v>
      </c>
      <c r="T3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" s="19" t="str">
        <f>IF(LEFT(Calculations[[#This Row],[Emission Factor]],3)="GWP",Calculations[[#This Row],[Τιμή]],"-")</f>
        <v>-</v>
      </c>
      <c r="V33" s="19" t="str">
        <f>IF(OR(Calculations[[#This Row],[Emission Factor]]="Σ.Ε. CO₂ eq",Calculations[[#This Row],[Emission Factor]]="CO₂ eq"),Calculations[[#This Row],[Value]]*Calculations[[#This Row],[Τιμή]],"-")</f>
        <v>-</v>
      </c>
      <c r="W33" s="19" t="str">
        <f>IF(Calculations[[#This Row],[Πηγή εκπομπών]]="Electricity consumed in office buildings and projects - market based",Calculations[[#This Row],[t CO2]],"")</f>
        <v/>
      </c>
      <c r="X3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7.3781139764044444E-4</v>
      </c>
    </row>
    <row r="34" spans="1:24" s="14" customFormat="1" ht="15" hidden="1" thickTop="1">
      <c r="A34" s="15" t="s">
        <v>0</v>
      </c>
      <c r="B34" s="15" t="s">
        <v>0</v>
      </c>
      <c r="C34" s="16" t="s">
        <v>624</v>
      </c>
      <c r="D34" s="16" t="s">
        <v>895</v>
      </c>
      <c r="E34" s="16" t="s">
        <v>1179</v>
      </c>
      <c r="F34" s="16" t="s">
        <v>318</v>
      </c>
      <c r="G34" s="15" t="s">
        <v>80</v>
      </c>
      <c r="H34" s="15" t="s">
        <v>99</v>
      </c>
      <c r="I34" s="17" t="s">
        <v>100</v>
      </c>
      <c r="J34" s="79" cm="1">
        <f t="array" ref="J34">_xlfn.XLOOKUP(1,(Calculations[Πληροφορίες]=Calculations[[#This Row],[Πληροφορίες]])*(Calculations[Εταιρεία]=F34),Calculations[Τιμή])</f>
        <v>26440</v>
      </c>
      <c r="K34" s="18" t="s">
        <v>7</v>
      </c>
      <c r="L34" s="16" t="s">
        <v>248</v>
      </c>
      <c r="M34" s="148" t="s">
        <v>193</v>
      </c>
      <c r="N34" s="19" t="str">
        <f>_xlfn.XLOOKUP(Calculations[[#This Row],[For XLOOKUP]],Factors[For XLOOKUP],Factors[Factor],"")</f>
        <v>Σ.Ε. N2O m.</v>
      </c>
      <c r="O34" s="19">
        <f>_xlfn.XLOOKUP(Calculations[[#This Row],[For XLOOKUP]],Factors[For XLOOKUP],Factors[Value],"")</f>
        <v>1.0467775855894111E-7</v>
      </c>
      <c r="P34" s="19" t="str">
        <f>_xlfn.XLOOKUP(Calculations[[#This Row],[For XLOOKUP]],Factors[For XLOOKUP],Factors[Units],"")</f>
        <v>tn N2O/lt</v>
      </c>
      <c r="Q34" s="19" t="str">
        <f>_xlfn.XLOOKUP(Calculations[[#This Row],[For XLOOKUP]],Factors[For XLOOKUP],Factors[Source],"")</f>
        <v>Greece. National Inventory Submissions 2024</v>
      </c>
      <c r="R3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" s="19" t="str">
        <f>IF(LEFT(Calculations[[#This Row],[Emission Factor]],7)="Σ.Ε. CH",Calculations[[#This Row],[Value]]*Calculations[[#This Row],[Τιμή]],"-")</f>
        <v>-</v>
      </c>
      <c r="T34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2.7676799362984028E-3</v>
      </c>
      <c r="U34" s="19" t="str">
        <f>IF(LEFT(Calculations[[#This Row],[Emission Factor]],3)="GWP",Calculations[[#This Row],[Τιμή]],"-")</f>
        <v>-</v>
      </c>
      <c r="V34" s="19" t="str">
        <f>IF(OR(Calculations[[#This Row],[Emission Factor]]="Σ.Ε. CO₂ eq",Calculations[[#This Row],[Emission Factor]]="CO₂ eq"),Calculations[[#This Row],[Value]]*Calculations[[#This Row],[Τιμή]],"-")</f>
        <v>-</v>
      </c>
      <c r="W34" s="19" t="str">
        <f>IF(Calculations[[#This Row],[Πηγή εκπομπών]]="Electricity consumed in office buildings and projects - market based",Calculations[[#This Row],[t CO2]],"")</f>
        <v/>
      </c>
      <c r="X3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0.73343518311907674</v>
      </c>
    </row>
    <row r="35" spans="1:24" s="14" customFormat="1" ht="15" hidden="1" thickTop="1">
      <c r="A35" s="15" t="s">
        <v>0</v>
      </c>
      <c r="B35" s="15" t="s">
        <v>0</v>
      </c>
      <c r="C35" s="16" t="s">
        <v>624</v>
      </c>
      <c r="D35" s="16" t="s">
        <v>895</v>
      </c>
      <c r="E35" s="16" t="s">
        <v>1142</v>
      </c>
      <c r="F35" s="16" t="s">
        <v>312</v>
      </c>
      <c r="G35" s="15" t="s">
        <v>80</v>
      </c>
      <c r="H35" s="15" t="s">
        <v>99</v>
      </c>
      <c r="I35" s="17" t="s">
        <v>100</v>
      </c>
      <c r="J35" s="293">
        <v>4310.3500000000004</v>
      </c>
      <c r="K35" s="18" t="s">
        <v>7</v>
      </c>
      <c r="L35" s="16" t="s">
        <v>248</v>
      </c>
      <c r="M35" s="148" t="s">
        <v>189</v>
      </c>
      <c r="N35" s="19" t="str">
        <f>_xlfn.XLOOKUP(Calculations[[#This Row],[For XLOOKUP]],Factors[For XLOOKUP],Factors[Factor],"")</f>
        <v>Σ.Ε. CO₂ m.</v>
      </c>
      <c r="O35" s="19">
        <f>_xlfn.XLOOKUP(Calculations[[#This Row],[For XLOOKUP]],Factors[For XLOOKUP],Factors[Value],"")</f>
        <v>2.6092581300000001E-3</v>
      </c>
      <c r="P35" s="19" t="str">
        <f>_xlfn.XLOOKUP(Calculations[[#This Row],[For XLOOKUP]],Factors[For XLOOKUP],Factors[Units],"")</f>
        <v>tn CO2/lt</v>
      </c>
      <c r="Q35" s="19" t="str">
        <f>_xlfn.XLOOKUP(Calculations[[#This Row],[For XLOOKUP]],Factors[For XLOOKUP],Factors[Source],"")</f>
        <v>Greece. National Inventory Submissions 2024</v>
      </c>
      <c r="R3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11.246815780645502</v>
      </c>
      <c r="S35" s="19" t="str">
        <f>IF(LEFT(Calculations[[#This Row],[Emission Factor]],7)="Σ.Ε. CH",Calculations[[#This Row],[Value]]*Calculations[[#This Row],[Τιμή]],"-")</f>
        <v>-</v>
      </c>
      <c r="T3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" s="19" t="str">
        <f>IF(LEFT(Calculations[[#This Row],[Emission Factor]],3)="GWP",Calculations[[#This Row],[Τιμή]],"-")</f>
        <v>-</v>
      </c>
      <c r="V35" s="19" t="str">
        <f>IF(OR(Calculations[[#This Row],[Emission Factor]]="Σ.Ε. CO₂ eq",Calculations[[#This Row],[Emission Factor]]="CO₂ eq"),Calculations[[#This Row],[Value]]*Calculations[[#This Row],[Τιμή]],"-")</f>
        <v>-</v>
      </c>
      <c r="W35" s="19" t="str">
        <f>IF(Calculations[[#This Row],[Πηγή εκπομπών]]="Electricity consumed in office buildings and projects - market based",Calculations[[#This Row],[t CO2]],"")</f>
        <v/>
      </c>
      <c r="X3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11.246815780645502</v>
      </c>
    </row>
    <row r="36" spans="1:24" s="14" customFormat="1" ht="15" hidden="1" thickTop="1">
      <c r="A36" s="15" t="s">
        <v>0</v>
      </c>
      <c r="B36" s="15" t="s">
        <v>0</v>
      </c>
      <c r="C36" s="16" t="s">
        <v>624</v>
      </c>
      <c r="D36" s="16" t="s">
        <v>895</v>
      </c>
      <c r="E36" s="16" t="s">
        <v>1142</v>
      </c>
      <c r="F36" s="16" t="s">
        <v>312</v>
      </c>
      <c r="G36" s="15" t="s">
        <v>80</v>
      </c>
      <c r="H36" s="15" t="s">
        <v>99</v>
      </c>
      <c r="I36" s="17" t="s">
        <v>100</v>
      </c>
      <c r="J36" s="79">
        <v>4310.3500000000004</v>
      </c>
      <c r="K36" s="18" t="s">
        <v>7</v>
      </c>
      <c r="L36" s="16" t="s">
        <v>248</v>
      </c>
      <c r="M36" s="148" t="s">
        <v>191</v>
      </c>
      <c r="N36" s="19" t="str">
        <f>_xlfn.XLOOKUP(Calculations[[#This Row],[For XLOOKUP]],Factors[For XLOOKUP],Factors[Factor],"")</f>
        <v>Σ.Ε. CH₄ m.</v>
      </c>
      <c r="O36" s="19">
        <f>_xlfn.XLOOKUP(Calculations[[#This Row],[For XLOOKUP]],Factors[For XLOOKUP],Factors[Value],"")</f>
        <v>9.9661146212508699E-10</v>
      </c>
      <c r="P36" s="19" t="str">
        <f>_xlfn.XLOOKUP(Calculations[[#This Row],[For XLOOKUP]],Factors[For XLOOKUP],Factors[Units],"")</f>
        <v>tn CH₄/lt</v>
      </c>
      <c r="Q36" s="19" t="str">
        <f>_xlfn.XLOOKUP(Calculations[[#This Row],[For XLOOKUP]],Factors[For XLOOKUP],Factors[Source],"")</f>
        <v>Greece. National Inventory Submissions 2024</v>
      </c>
      <c r="R3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" s="19">
        <f>IF(LEFT(Calculations[[#This Row],[Emission Factor]],7)="Σ.Ε. CH",Calculations[[#This Row],[Value]]*Calculations[[#This Row],[Τιμή]],"-")</f>
        <v>4.2957442157708688E-6</v>
      </c>
      <c r="T3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" s="19" t="str">
        <f>IF(LEFT(Calculations[[#This Row],[Emission Factor]],3)="GWP",Calculations[[#This Row],[Τιμή]],"-")</f>
        <v>-</v>
      </c>
      <c r="V36" s="19" t="str">
        <f>IF(OR(Calculations[[#This Row],[Emission Factor]]="Σ.Ε. CO₂ eq",Calculations[[#This Row],[Emission Factor]]="CO₂ eq"),Calculations[[#This Row],[Value]]*Calculations[[#This Row],[Τιμή]],"-")</f>
        <v>-</v>
      </c>
      <c r="W36" s="19" t="str">
        <f>IF(Calculations[[#This Row],[Πηγή εκπομπών]]="Electricity consumed in office buildings and projects - market based",Calculations[[#This Row],[t CO2]],"")</f>
        <v/>
      </c>
      <c r="X3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1.2028083804158432E-4</v>
      </c>
    </row>
    <row r="37" spans="1:24" s="14" customFormat="1" ht="15" hidden="1" thickTop="1">
      <c r="A37" s="15" t="s">
        <v>0</v>
      </c>
      <c r="B37" s="15" t="s">
        <v>0</v>
      </c>
      <c r="C37" s="16" t="s">
        <v>624</v>
      </c>
      <c r="D37" s="16" t="s">
        <v>895</v>
      </c>
      <c r="E37" s="16" t="s">
        <v>1142</v>
      </c>
      <c r="F37" s="16" t="s">
        <v>312</v>
      </c>
      <c r="G37" s="15" t="s">
        <v>80</v>
      </c>
      <c r="H37" s="15" t="s">
        <v>99</v>
      </c>
      <c r="I37" s="17" t="s">
        <v>100</v>
      </c>
      <c r="J37" s="79">
        <v>4310.3500000000004</v>
      </c>
      <c r="K37" s="18" t="s">
        <v>7</v>
      </c>
      <c r="L37" s="16" t="s">
        <v>248</v>
      </c>
      <c r="M37" s="148" t="s">
        <v>193</v>
      </c>
      <c r="N37" s="19" t="str">
        <f>_xlfn.XLOOKUP(Calculations[[#This Row],[For XLOOKUP]],Factors[For XLOOKUP],Factors[Factor],"")</f>
        <v>Σ.Ε. N2O m.</v>
      </c>
      <c r="O37" s="19">
        <f>_xlfn.XLOOKUP(Calculations[[#This Row],[For XLOOKUP]],Factors[For XLOOKUP],Factors[Value],"")</f>
        <v>1.0467775855894111E-7</v>
      </c>
      <c r="P37" s="19" t="str">
        <f>_xlfn.XLOOKUP(Calculations[[#This Row],[For XLOOKUP]],Factors[For XLOOKUP],Factors[Units],"")</f>
        <v>tn N2O/lt</v>
      </c>
      <c r="Q37" s="19" t="str">
        <f>_xlfn.XLOOKUP(Calculations[[#This Row],[For XLOOKUP]],Factors[For XLOOKUP],Factors[Source],"")</f>
        <v>Greece. National Inventory Submissions 2024</v>
      </c>
      <c r="R3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" s="19" t="str">
        <f>IF(LEFT(Calculations[[#This Row],[Emission Factor]],7)="Σ.Ε. CH",Calculations[[#This Row],[Value]]*Calculations[[#This Row],[Τιμή]],"-")</f>
        <v>-</v>
      </c>
      <c r="T37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4.5119777660453185E-4</v>
      </c>
      <c r="U37" s="19" t="str">
        <f>IF(LEFT(Calculations[[#This Row],[Emission Factor]],3)="GWP",Calculations[[#This Row],[Τιμή]],"-")</f>
        <v>-</v>
      </c>
      <c r="V37" s="19" t="str">
        <f>IF(OR(Calculations[[#This Row],[Emission Factor]]="Σ.Ε. CO₂ eq",Calculations[[#This Row],[Emission Factor]]="CO₂ eq"),Calculations[[#This Row],[Value]]*Calculations[[#This Row],[Τιμή]],"-")</f>
        <v>-</v>
      </c>
      <c r="W37" s="19" t="str">
        <f>IF(Calculations[[#This Row],[Πηγή εκπομπών]]="Electricity consumed in office buildings and projects - market based",Calculations[[#This Row],[t CO2]],"")</f>
        <v/>
      </c>
      <c r="X3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0.11956741080020093</v>
      </c>
    </row>
    <row r="38" spans="1:24" s="14" customFormat="1" ht="15" hidden="1" thickTop="1">
      <c r="A38" s="15" t="s">
        <v>0</v>
      </c>
      <c r="B38" s="15" t="s">
        <v>0</v>
      </c>
      <c r="C38" s="16" t="s">
        <v>624</v>
      </c>
      <c r="D38" s="16" t="s">
        <v>895</v>
      </c>
      <c r="E38" s="16" t="s">
        <v>1141</v>
      </c>
      <c r="F38" s="16" t="s">
        <v>312</v>
      </c>
      <c r="G38" s="15" t="s">
        <v>80</v>
      </c>
      <c r="H38" s="15" t="s">
        <v>99</v>
      </c>
      <c r="I38" s="17" t="s">
        <v>100</v>
      </c>
      <c r="J38" s="293">
        <v>12685.41</v>
      </c>
      <c r="K38" s="18" t="s">
        <v>7</v>
      </c>
      <c r="L38" s="16" t="s">
        <v>248</v>
      </c>
      <c r="M38" s="148" t="s">
        <v>189</v>
      </c>
      <c r="N38" s="19" t="str">
        <f>_xlfn.XLOOKUP(Calculations[[#This Row],[For XLOOKUP]],Factors[For XLOOKUP],Factors[Factor],"")</f>
        <v>Σ.Ε. CO₂ m.</v>
      </c>
      <c r="O38" s="19">
        <f>_xlfn.XLOOKUP(Calculations[[#This Row],[For XLOOKUP]],Factors[For XLOOKUP],Factors[Value],"")</f>
        <v>2.6092581300000001E-3</v>
      </c>
      <c r="P38" s="19" t="str">
        <f>_xlfn.XLOOKUP(Calculations[[#This Row],[For XLOOKUP]],Factors[For XLOOKUP],Factors[Units],"")</f>
        <v>tn CO2/lt</v>
      </c>
      <c r="Q38" s="19" t="str">
        <f>_xlfn.XLOOKUP(Calculations[[#This Row],[For XLOOKUP]],Factors[For XLOOKUP],Factors[Source],"")</f>
        <v>Greece. National Inventory Submissions 2024</v>
      </c>
      <c r="R38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33.099509174883302</v>
      </c>
      <c r="S38" s="19" t="str">
        <f>IF(LEFT(Calculations[[#This Row],[Emission Factor]],7)="Σ.Ε. CH",Calculations[[#This Row],[Value]]*Calculations[[#This Row],[Τιμή]],"-")</f>
        <v>-</v>
      </c>
      <c r="T3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" s="19" t="str">
        <f>IF(LEFT(Calculations[[#This Row],[Emission Factor]],3)="GWP",Calculations[[#This Row],[Τιμή]],"-")</f>
        <v>-</v>
      </c>
      <c r="V38" s="19" t="str">
        <f>IF(OR(Calculations[[#This Row],[Emission Factor]]="Σ.Ε. CO₂ eq",Calculations[[#This Row],[Emission Factor]]="CO₂ eq"),Calculations[[#This Row],[Value]]*Calculations[[#This Row],[Τιμή]],"-")</f>
        <v>-</v>
      </c>
      <c r="W38" s="19" t="str">
        <f>IF(Calculations[[#This Row],[Πηγή εκπομπών]]="Electricity consumed in office buildings and projects - market based",Calculations[[#This Row],[t CO2]],"")</f>
        <v/>
      </c>
      <c r="X3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33.099509174883302</v>
      </c>
    </row>
    <row r="39" spans="1:24" s="14" customFormat="1" ht="15" hidden="1" thickTop="1">
      <c r="A39" s="15" t="s">
        <v>0</v>
      </c>
      <c r="B39" s="15" t="s">
        <v>0</v>
      </c>
      <c r="C39" s="16" t="s">
        <v>624</v>
      </c>
      <c r="D39" s="16" t="s">
        <v>895</v>
      </c>
      <c r="E39" s="16" t="s">
        <v>1141</v>
      </c>
      <c r="F39" s="16" t="s">
        <v>312</v>
      </c>
      <c r="G39" s="15" t="s">
        <v>80</v>
      </c>
      <c r="H39" s="15" t="s">
        <v>99</v>
      </c>
      <c r="I39" s="17" t="s">
        <v>100</v>
      </c>
      <c r="J39" s="79">
        <v>12685.41</v>
      </c>
      <c r="K39" s="18" t="s">
        <v>7</v>
      </c>
      <c r="L39" s="16" t="s">
        <v>248</v>
      </c>
      <c r="M39" s="148" t="s">
        <v>191</v>
      </c>
      <c r="N39" s="19" t="str">
        <f>_xlfn.XLOOKUP(Calculations[[#This Row],[For XLOOKUP]],Factors[For XLOOKUP],Factors[Factor],"")</f>
        <v>Σ.Ε. CH₄ m.</v>
      </c>
      <c r="O39" s="19">
        <f>_xlfn.XLOOKUP(Calculations[[#This Row],[For XLOOKUP]],Factors[For XLOOKUP],Factors[Value],"")</f>
        <v>9.9661146212508699E-10</v>
      </c>
      <c r="P39" s="19" t="str">
        <f>_xlfn.XLOOKUP(Calculations[[#This Row],[For XLOOKUP]],Factors[For XLOOKUP],Factors[Units],"")</f>
        <v>tn CH₄/lt</v>
      </c>
      <c r="Q39" s="19" t="str">
        <f>_xlfn.XLOOKUP(Calculations[[#This Row],[For XLOOKUP]],Factors[For XLOOKUP],Factors[Source],"")</f>
        <v>Greece. National Inventory Submissions 2024</v>
      </c>
      <c r="R3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" s="19">
        <f>IF(LEFT(Calculations[[#This Row],[Emission Factor]],7)="Σ.Ε. CH",Calculations[[#This Row],[Value]]*Calculations[[#This Row],[Τιμή]],"-")</f>
        <v>1.2642425007756199E-5</v>
      </c>
      <c r="T3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" s="19" t="str">
        <f>IF(LEFT(Calculations[[#This Row],[Emission Factor]],3)="GWP",Calculations[[#This Row],[Τιμή]],"-")</f>
        <v>-</v>
      </c>
      <c r="V39" s="19" t="str">
        <f>IF(OR(Calculations[[#This Row],[Emission Factor]]="Σ.Ε. CO₂ eq",Calculations[[#This Row],[Emission Factor]]="CO₂ eq"),Calculations[[#This Row],[Value]]*Calculations[[#This Row],[Τιμή]],"-")</f>
        <v>-</v>
      </c>
      <c r="W39" s="19" t="str">
        <f>IF(Calculations[[#This Row],[Πηγή εκπομπών]]="Electricity consumed in office buildings and projects - market based",Calculations[[#This Row],[t CO2]],"")</f>
        <v/>
      </c>
      <c r="X3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3.5398790021717359E-4</v>
      </c>
    </row>
    <row r="40" spans="1:24" s="14" customFormat="1" ht="15" hidden="1" thickTop="1">
      <c r="A40" s="15" t="s">
        <v>0</v>
      </c>
      <c r="B40" s="15" t="s">
        <v>0</v>
      </c>
      <c r="C40" s="16" t="s">
        <v>624</v>
      </c>
      <c r="D40" s="16" t="s">
        <v>895</v>
      </c>
      <c r="E40" s="16" t="s">
        <v>1141</v>
      </c>
      <c r="F40" s="16" t="s">
        <v>312</v>
      </c>
      <c r="G40" s="15" t="s">
        <v>80</v>
      </c>
      <c r="H40" s="15" t="s">
        <v>99</v>
      </c>
      <c r="I40" s="17" t="s">
        <v>100</v>
      </c>
      <c r="J40" s="79">
        <v>12685.41</v>
      </c>
      <c r="K40" s="18" t="s">
        <v>7</v>
      </c>
      <c r="L40" s="16" t="s">
        <v>248</v>
      </c>
      <c r="M40" s="148" t="s">
        <v>193</v>
      </c>
      <c r="N40" s="19" t="str">
        <f>_xlfn.XLOOKUP(Calculations[[#This Row],[For XLOOKUP]],Factors[For XLOOKUP],Factors[Factor],"")</f>
        <v>Σ.Ε. N2O m.</v>
      </c>
      <c r="O40" s="19">
        <f>_xlfn.XLOOKUP(Calculations[[#This Row],[For XLOOKUP]],Factors[For XLOOKUP],Factors[Value],"")</f>
        <v>1.0467775855894111E-7</v>
      </c>
      <c r="P40" s="19" t="str">
        <f>_xlfn.XLOOKUP(Calculations[[#This Row],[For XLOOKUP]],Factors[For XLOOKUP],Factors[Units],"")</f>
        <v>tn N2O/lt</v>
      </c>
      <c r="Q40" s="19" t="str">
        <f>_xlfn.XLOOKUP(Calculations[[#This Row],[For XLOOKUP]],Factors[For XLOOKUP],Factors[Source],"")</f>
        <v>Greece. National Inventory Submissions 2024</v>
      </c>
      <c r="R4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" s="19" t="str">
        <f>IF(LEFT(Calculations[[#This Row],[Emission Factor]],7)="Σ.Ε. CH",Calculations[[#This Row],[Value]]*Calculations[[#This Row],[Τιμή]],"-")</f>
        <v>-</v>
      </c>
      <c r="T40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1.3278802852011772E-3</v>
      </c>
      <c r="U40" s="19" t="str">
        <f>IF(LEFT(Calculations[[#This Row],[Emission Factor]],3)="GWP",Calculations[[#This Row],[Τιμή]],"-")</f>
        <v>-</v>
      </c>
      <c r="V40" s="19" t="str">
        <f>IF(OR(Calculations[[#This Row],[Emission Factor]]="Σ.Ε. CO₂ eq",Calculations[[#This Row],[Emission Factor]]="CO₂ eq"),Calculations[[#This Row],[Value]]*Calculations[[#This Row],[Τιμή]],"-")</f>
        <v>-</v>
      </c>
      <c r="W40" s="19" t="str">
        <f>IF(Calculations[[#This Row],[Πηγή εκπομπών]]="Electricity consumed in office buildings and projects - market based",Calculations[[#This Row],[t CO2]],"")</f>
        <v/>
      </c>
      <c r="X4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0.35188827557831193</v>
      </c>
    </row>
    <row r="41" spans="1:24" s="14" customFormat="1" ht="29.4" hidden="1" thickTop="1">
      <c r="A41" s="15" t="s">
        <v>0</v>
      </c>
      <c r="B41" s="15" t="s">
        <v>0</v>
      </c>
      <c r="C41" s="16" t="s">
        <v>624</v>
      </c>
      <c r="D41" s="16" t="s">
        <v>895</v>
      </c>
      <c r="E41" s="211" t="s">
        <v>1137</v>
      </c>
      <c r="F41" s="209" t="s">
        <v>319</v>
      </c>
      <c r="G41" s="15" t="s">
        <v>80</v>
      </c>
      <c r="H41" s="15" t="s">
        <v>99</v>
      </c>
      <c r="I41" s="17" t="s">
        <v>100</v>
      </c>
      <c r="J41" s="290">
        <v>494.55</v>
      </c>
      <c r="K41" s="18" t="s">
        <v>7</v>
      </c>
      <c r="L41" s="16" t="s">
        <v>248</v>
      </c>
      <c r="M41" s="148" t="s">
        <v>189</v>
      </c>
      <c r="N41" s="19" t="str">
        <f>_xlfn.XLOOKUP(Calculations[[#This Row],[For XLOOKUP]],Factors[For XLOOKUP],Factors[Factor],"")</f>
        <v>Σ.Ε. CO₂ m.</v>
      </c>
      <c r="O41" s="19">
        <f>_xlfn.XLOOKUP(Calculations[[#This Row],[For XLOOKUP]],Factors[For XLOOKUP],Factors[Value],"")</f>
        <v>2.6092581300000001E-3</v>
      </c>
      <c r="P41" s="19" t="str">
        <f>_xlfn.XLOOKUP(Calculations[[#This Row],[For XLOOKUP]],Factors[For XLOOKUP],Factors[Units],"")</f>
        <v>tn CO2/lt</v>
      </c>
      <c r="Q41" s="19" t="str">
        <f>_xlfn.XLOOKUP(Calculations[[#This Row],[For XLOOKUP]],Factors[For XLOOKUP],Factors[Source],"")</f>
        <v>Greece. National Inventory Submissions 2024</v>
      </c>
      <c r="R41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1.2904086081915001</v>
      </c>
      <c r="S41" s="19" t="str">
        <f>IF(LEFT(Calculations[[#This Row],[Emission Factor]],7)="Σ.Ε. CH",Calculations[[#This Row],[Value]]*Calculations[[#This Row],[Τιμή]],"-")</f>
        <v>-</v>
      </c>
      <c r="T4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" s="19" t="str">
        <f>IF(LEFT(Calculations[[#This Row],[Emission Factor]],3)="GWP",Calculations[[#This Row],[Τιμή]],"-")</f>
        <v>-</v>
      </c>
      <c r="V41" s="19" t="str">
        <f>IF(OR(Calculations[[#This Row],[Emission Factor]]="Σ.Ε. CO₂ eq",Calculations[[#This Row],[Emission Factor]]="CO₂ eq"),Calculations[[#This Row],[Value]]*Calculations[[#This Row],[Τιμή]],"-")</f>
        <v>-</v>
      </c>
      <c r="W41" s="19" t="str">
        <f>IF(Calculations[[#This Row],[Πηγή εκπομπών]]="Electricity consumed in office buildings and projects - market based",Calculations[[#This Row],[t CO2]],"")</f>
        <v/>
      </c>
      <c r="X4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1.2904086081915001</v>
      </c>
    </row>
    <row r="42" spans="1:24" s="14" customFormat="1" ht="29.4" hidden="1" thickTop="1">
      <c r="A42" s="15" t="s">
        <v>0</v>
      </c>
      <c r="B42" s="15" t="s">
        <v>0</v>
      </c>
      <c r="C42" s="16" t="s">
        <v>624</v>
      </c>
      <c r="D42" s="16" t="s">
        <v>895</v>
      </c>
      <c r="E42" s="211" t="s">
        <v>1137</v>
      </c>
      <c r="F42" s="209" t="s">
        <v>319</v>
      </c>
      <c r="G42" s="15" t="s">
        <v>80</v>
      </c>
      <c r="H42" s="15" t="s">
        <v>99</v>
      </c>
      <c r="I42" s="17" t="s">
        <v>100</v>
      </c>
      <c r="J42" s="79" cm="1">
        <f t="array" ref="J42">_xlfn.XLOOKUP(1,(Calculations[Πληροφορίες]=Calculations[[#This Row],[Πληροφορίες]])*(Calculations[Εταιρεία]=F42),Calculations[Τιμή])</f>
        <v>494.55</v>
      </c>
      <c r="K42" s="18" t="s">
        <v>7</v>
      </c>
      <c r="L42" s="16" t="s">
        <v>248</v>
      </c>
      <c r="M42" s="148" t="s">
        <v>191</v>
      </c>
      <c r="N42" s="19" t="str">
        <f>_xlfn.XLOOKUP(Calculations[[#This Row],[For XLOOKUP]],Factors[For XLOOKUP],Factors[Factor],"")</f>
        <v>Σ.Ε. CH₄ m.</v>
      </c>
      <c r="O42" s="19">
        <f>_xlfn.XLOOKUP(Calculations[[#This Row],[For XLOOKUP]],Factors[For XLOOKUP],Factors[Value],"")</f>
        <v>9.9661146212508699E-10</v>
      </c>
      <c r="P42" s="19" t="str">
        <f>_xlfn.XLOOKUP(Calculations[[#This Row],[For XLOOKUP]],Factors[For XLOOKUP],Factors[Units],"")</f>
        <v>tn CH₄/lt</v>
      </c>
      <c r="Q42" s="19" t="str">
        <f>_xlfn.XLOOKUP(Calculations[[#This Row],[For XLOOKUP]],Factors[For XLOOKUP],Factors[Source],"")</f>
        <v>Greece. National Inventory Submissions 2024</v>
      </c>
      <c r="R4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" s="19">
        <f>IF(LEFT(Calculations[[#This Row],[Emission Factor]],7)="Σ.Ε. CH",Calculations[[#This Row],[Value]]*Calculations[[#This Row],[Τιμή]],"-")</f>
        <v>4.9287419859396182E-7</v>
      </c>
      <c r="T4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" s="19" t="str">
        <f>IF(LEFT(Calculations[[#This Row],[Emission Factor]],3)="GWP",Calculations[[#This Row],[Τιμή]],"-")</f>
        <v>-</v>
      </c>
      <c r="V42" s="19" t="str">
        <f>IF(OR(Calculations[[#This Row],[Emission Factor]]="Σ.Ε. CO₂ eq",Calculations[[#This Row],[Emission Factor]]="CO₂ eq"),Calculations[[#This Row],[Value]]*Calculations[[#This Row],[Τιμή]],"-")</f>
        <v>-</v>
      </c>
      <c r="W42" s="19" t="str">
        <f>IF(Calculations[[#This Row],[Πηγή εκπομπών]]="Electricity consumed in office buildings and projects - market based",Calculations[[#This Row],[t CO2]],"")</f>
        <v/>
      </c>
      <c r="X4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1.3800477560630931E-5</v>
      </c>
    </row>
    <row r="43" spans="1:24" s="14" customFormat="1" ht="29.4" hidden="1" thickTop="1">
      <c r="A43" s="15" t="s">
        <v>0</v>
      </c>
      <c r="B43" s="15" t="s">
        <v>0</v>
      </c>
      <c r="C43" s="16" t="s">
        <v>624</v>
      </c>
      <c r="D43" s="16" t="s">
        <v>895</v>
      </c>
      <c r="E43" s="211" t="s">
        <v>1137</v>
      </c>
      <c r="F43" s="209" t="s">
        <v>319</v>
      </c>
      <c r="G43" s="15" t="s">
        <v>80</v>
      </c>
      <c r="H43" s="15" t="s">
        <v>99</v>
      </c>
      <c r="I43" s="17" t="s">
        <v>100</v>
      </c>
      <c r="J43" s="79" cm="1">
        <f t="array" ref="J43">_xlfn.XLOOKUP(1,(Calculations[Πληροφορίες]=Calculations[[#This Row],[Πληροφορίες]])*(Calculations[Εταιρεία]=F43),Calculations[Τιμή])</f>
        <v>494.55</v>
      </c>
      <c r="K43" s="18" t="s">
        <v>7</v>
      </c>
      <c r="L43" s="16" t="s">
        <v>248</v>
      </c>
      <c r="M43" s="148" t="s">
        <v>193</v>
      </c>
      <c r="N43" s="19" t="str">
        <f>_xlfn.XLOOKUP(Calculations[[#This Row],[For XLOOKUP]],Factors[For XLOOKUP],Factors[Factor],"")</f>
        <v>Σ.Ε. N2O m.</v>
      </c>
      <c r="O43" s="19">
        <f>_xlfn.XLOOKUP(Calculations[[#This Row],[For XLOOKUP]],Factors[For XLOOKUP],Factors[Value],"")</f>
        <v>1.0467775855894111E-7</v>
      </c>
      <c r="P43" s="19" t="str">
        <f>_xlfn.XLOOKUP(Calculations[[#This Row],[For XLOOKUP]],Factors[For XLOOKUP],Factors[Units],"")</f>
        <v>tn N2O/lt</v>
      </c>
      <c r="Q43" s="19" t="str">
        <f>_xlfn.XLOOKUP(Calculations[[#This Row],[For XLOOKUP]],Factors[For XLOOKUP],Factors[Source],"")</f>
        <v>Greece. National Inventory Submissions 2024</v>
      </c>
      <c r="R4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" s="19" t="str">
        <f>IF(LEFT(Calculations[[#This Row],[Emission Factor]],7)="Σ.Ε. CH",Calculations[[#This Row],[Value]]*Calculations[[#This Row],[Τιμή]],"-")</f>
        <v>-</v>
      </c>
      <c r="T4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5.1768385495324325E-5</v>
      </c>
      <c r="U43" s="19" t="str">
        <f>IF(LEFT(Calculations[[#This Row],[Emission Factor]],3)="GWP",Calculations[[#This Row],[Τιμή]],"-")</f>
        <v>-</v>
      </c>
      <c r="V43" s="19" t="str">
        <f>IF(OR(Calculations[[#This Row],[Emission Factor]]="Σ.Ε. CO₂ eq",Calculations[[#This Row],[Emission Factor]]="CO₂ eq"),Calculations[[#This Row],[Value]]*Calculations[[#This Row],[Τιμή]],"-")</f>
        <v>-</v>
      </c>
      <c r="W43" s="19" t="str">
        <f>IF(Calculations[[#This Row],[Πηγή εκπομπών]]="Electricity consumed in office buildings and projects - market based",Calculations[[#This Row],[t CO2]],"")</f>
        <v/>
      </c>
      <c r="X4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1.3718622156260947E-2</v>
      </c>
    </row>
    <row r="44" spans="1:24" s="14" customFormat="1" ht="15" hidden="1" thickTop="1">
      <c r="A44" s="15" t="s">
        <v>0</v>
      </c>
      <c r="B44" s="15" t="s">
        <v>0</v>
      </c>
      <c r="C44" s="16" t="s">
        <v>624</v>
      </c>
      <c r="D44" s="16" t="s">
        <v>895</v>
      </c>
      <c r="E44" s="287" t="s">
        <v>1156</v>
      </c>
      <c r="F44" s="209" t="s">
        <v>319</v>
      </c>
      <c r="G44" s="15" t="s">
        <v>80</v>
      </c>
      <c r="H44" s="15" t="s">
        <v>99</v>
      </c>
      <c r="I44" s="17" t="s">
        <v>100</v>
      </c>
      <c r="J44" s="290">
        <v>1669.43</v>
      </c>
      <c r="K44" s="18" t="s">
        <v>7</v>
      </c>
      <c r="L44" s="16" t="s">
        <v>248</v>
      </c>
      <c r="M44" s="148" t="s">
        <v>189</v>
      </c>
      <c r="N44" s="19" t="str">
        <f>_xlfn.XLOOKUP(Calculations[[#This Row],[For XLOOKUP]],Factors[For XLOOKUP],Factors[Factor],"")</f>
        <v>Σ.Ε. CO₂ m.</v>
      </c>
      <c r="O44" s="19">
        <f>_xlfn.XLOOKUP(Calculations[[#This Row],[For XLOOKUP]],Factors[For XLOOKUP],Factors[Value],"")</f>
        <v>2.6092581300000001E-3</v>
      </c>
      <c r="P44" s="19" t="str">
        <f>_xlfn.XLOOKUP(Calculations[[#This Row],[For XLOOKUP]],Factors[For XLOOKUP],Factors[Units],"")</f>
        <v>tn CO2/lt</v>
      </c>
      <c r="Q44" s="19" t="str">
        <f>_xlfn.XLOOKUP(Calculations[[#This Row],[For XLOOKUP]],Factors[For XLOOKUP],Factors[Source],"")</f>
        <v>Greece. National Inventory Submissions 2024</v>
      </c>
      <c r="R44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4.3559737999659003</v>
      </c>
      <c r="S44" s="19" t="str">
        <f>IF(LEFT(Calculations[[#This Row],[Emission Factor]],7)="Σ.Ε. CH",Calculations[[#This Row],[Value]]*Calculations[[#This Row],[Τιμή]],"-")</f>
        <v>-</v>
      </c>
      <c r="T4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" s="19" t="str">
        <f>IF(LEFT(Calculations[[#This Row],[Emission Factor]],3)="GWP",Calculations[[#This Row],[Τιμή]],"-")</f>
        <v>-</v>
      </c>
      <c r="V44" s="19" t="str">
        <f>IF(OR(Calculations[[#This Row],[Emission Factor]]="Σ.Ε. CO₂ eq",Calculations[[#This Row],[Emission Factor]]="CO₂ eq"),Calculations[[#This Row],[Value]]*Calculations[[#This Row],[Τιμή]],"-")</f>
        <v>-</v>
      </c>
      <c r="W44" s="19" t="str">
        <f>IF(Calculations[[#This Row],[Πηγή εκπομπών]]="Electricity consumed in office buildings and projects - market based",Calculations[[#This Row],[t CO2]],"")</f>
        <v/>
      </c>
      <c r="X4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4.3559737999659003</v>
      </c>
    </row>
    <row r="45" spans="1:24" s="14" customFormat="1" ht="15" hidden="1" thickTop="1">
      <c r="A45" s="15" t="s">
        <v>0</v>
      </c>
      <c r="B45" s="15" t="s">
        <v>0</v>
      </c>
      <c r="C45" s="16" t="s">
        <v>624</v>
      </c>
      <c r="D45" s="16" t="s">
        <v>895</v>
      </c>
      <c r="E45" s="287" t="s">
        <v>1156</v>
      </c>
      <c r="F45" s="209" t="s">
        <v>319</v>
      </c>
      <c r="G45" s="15" t="s">
        <v>80</v>
      </c>
      <c r="H45" s="15" t="s">
        <v>99</v>
      </c>
      <c r="I45" s="17" t="s">
        <v>100</v>
      </c>
      <c r="J45" s="79">
        <v>1669.43</v>
      </c>
      <c r="K45" s="18" t="s">
        <v>7</v>
      </c>
      <c r="L45" s="16" t="s">
        <v>248</v>
      </c>
      <c r="M45" s="148" t="s">
        <v>191</v>
      </c>
      <c r="N45" s="19" t="str">
        <f>_xlfn.XLOOKUP(Calculations[[#This Row],[For XLOOKUP]],Factors[For XLOOKUP],Factors[Factor],"")</f>
        <v>Σ.Ε. CH₄ m.</v>
      </c>
      <c r="O45" s="19">
        <f>_xlfn.XLOOKUP(Calculations[[#This Row],[For XLOOKUP]],Factors[For XLOOKUP],Factors[Value],"")</f>
        <v>9.9661146212508699E-10</v>
      </c>
      <c r="P45" s="19" t="str">
        <f>_xlfn.XLOOKUP(Calculations[[#This Row],[For XLOOKUP]],Factors[For XLOOKUP],Factors[Units],"")</f>
        <v>tn CH₄/lt</v>
      </c>
      <c r="Q45" s="19" t="str">
        <f>_xlfn.XLOOKUP(Calculations[[#This Row],[For XLOOKUP]],Factors[For XLOOKUP],Factors[Source],"")</f>
        <v>Greece. National Inventory Submissions 2024</v>
      </c>
      <c r="R4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" s="19">
        <f>IF(LEFT(Calculations[[#This Row],[Emission Factor]],7)="Σ.Ε. CH",Calculations[[#This Row],[Value]]*Calculations[[#This Row],[Τιμή]],"-")</f>
        <v>1.663773073215484E-6</v>
      </c>
      <c r="T4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" s="19" t="str">
        <f>IF(LEFT(Calculations[[#This Row],[Emission Factor]],3)="GWP",Calculations[[#This Row],[Τιμή]],"-")</f>
        <v>-</v>
      </c>
      <c r="V45" s="19" t="str">
        <f>IF(OR(Calculations[[#This Row],[Emission Factor]]="Σ.Ε. CO₂ eq",Calculations[[#This Row],[Emission Factor]]="CO₂ eq"),Calculations[[#This Row],[Value]]*Calculations[[#This Row],[Τιμή]],"-")</f>
        <v>-</v>
      </c>
      <c r="W45" s="19" t="str">
        <f>IF(Calculations[[#This Row],[Πηγή εκπομπών]]="Electricity consumed in office buildings and projects - market based",Calculations[[#This Row],[t CO2]],"")</f>
        <v/>
      </c>
      <c r="X4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4.6585646050033554E-5</v>
      </c>
    </row>
    <row r="46" spans="1:24" s="14" customFormat="1" ht="15" hidden="1" thickTop="1">
      <c r="A46" s="15" t="s">
        <v>0</v>
      </c>
      <c r="B46" s="15" t="s">
        <v>0</v>
      </c>
      <c r="C46" s="16" t="s">
        <v>624</v>
      </c>
      <c r="D46" s="16" t="s">
        <v>895</v>
      </c>
      <c r="E46" s="287" t="s">
        <v>1156</v>
      </c>
      <c r="F46" s="209" t="s">
        <v>319</v>
      </c>
      <c r="G46" s="15" t="s">
        <v>80</v>
      </c>
      <c r="H46" s="15" t="s">
        <v>99</v>
      </c>
      <c r="I46" s="17" t="s">
        <v>100</v>
      </c>
      <c r="J46" s="79">
        <v>1669.43</v>
      </c>
      <c r="K46" s="18" t="s">
        <v>7</v>
      </c>
      <c r="L46" s="16" t="s">
        <v>248</v>
      </c>
      <c r="M46" s="148" t="s">
        <v>193</v>
      </c>
      <c r="N46" s="19" t="str">
        <f>_xlfn.XLOOKUP(Calculations[[#This Row],[For XLOOKUP]],Factors[For XLOOKUP],Factors[Factor],"")</f>
        <v>Σ.Ε. N2O m.</v>
      </c>
      <c r="O46" s="19">
        <f>_xlfn.XLOOKUP(Calculations[[#This Row],[For XLOOKUP]],Factors[For XLOOKUP],Factors[Value],"")</f>
        <v>1.0467775855894111E-7</v>
      </c>
      <c r="P46" s="19" t="str">
        <f>_xlfn.XLOOKUP(Calculations[[#This Row],[For XLOOKUP]],Factors[For XLOOKUP],Factors[Units],"")</f>
        <v>tn N2O/lt</v>
      </c>
      <c r="Q46" s="19" t="str">
        <f>_xlfn.XLOOKUP(Calculations[[#This Row],[For XLOOKUP]],Factors[For XLOOKUP],Factors[Source],"")</f>
        <v>Greece. National Inventory Submissions 2024</v>
      </c>
      <c r="R4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" s="19" t="str">
        <f>IF(LEFT(Calculations[[#This Row],[Emission Factor]],7)="Σ.Ε. CH",Calculations[[#This Row],[Value]]*Calculations[[#This Row],[Τιμή]],"-")</f>
        <v>-</v>
      </c>
      <c r="T46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1.7475219047105307E-4</v>
      </c>
      <c r="U46" s="19" t="str">
        <f>IF(LEFT(Calculations[[#This Row],[Emission Factor]],3)="GWP",Calculations[[#This Row],[Τιμή]],"-")</f>
        <v>-</v>
      </c>
      <c r="V46" s="19" t="str">
        <f>IF(OR(Calculations[[#This Row],[Emission Factor]]="Σ.Ε. CO₂ eq",Calculations[[#This Row],[Emission Factor]]="CO₂ eq"),Calculations[[#This Row],[Value]]*Calculations[[#This Row],[Τιμή]],"-")</f>
        <v>-</v>
      </c>
      <c r="W46" s="19" t="str">
        <f>IF(Calculations[[#This Row],[Πηγή εκπομπών]]="Electricity consumed in office buildings and projects - market based",Calculations[[#This Row],[t CO2]],"")</f>
        <v/>
      </c>
      <c r="X4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4.6309330474829061E-2</v>
      </c>
    </row>
    <row r="47" spans="1:24" s="14" customFormat="1" ht="29.4" hidden="1" thickTop="1">
      <c r="A47" s="15" t="s">
        <v>0</v>
      </c>
      <c r="B47" s="15" t="s">
        <v>0</v>
      </c>
      <c r="C47" s="16" t="s">
        <v>624</v>
      </c>
      <c r="D47" s="16" t="s">
        <v>897</v>
      </c>
      <c r="E47" s="211" t="s">
        <v>1151</v>
      </c>
      <c r="F47" s="209" t="s">
        <v>320</v>
      </c>
      <c r="G47" s="15" t="s">
        <v>80</v>
      </c>
      <c r="H47" s="15" t="s">
        <v>99</v>
      </c>
      <c r="I47" s="17" t="s">
        <v>100</v>
      </c>
      <c r="J47" s="239">
        <v>411.88</v>
      </c>
      <c r="K47" s="18" t="s">
        <v>7</v>
      </c>
      <c r="L47" s="16" t="s">
        <v>248</v>
      </c>
      <c r="M47" s="148" t="s">
        <v>189</v>
      </c>
      <c r="N47" s="19" t="str">
        <f>_xlfn.XLOOKUP(Calculations[[#This Row],[For XLOOKUP]],Factors[For XLOOKUP],Factors[Factor],"")</f>
        <v>Σ.Ε. CO₂ m.</v>
      </c>
      <c r="O47" s="19">
        <f>_xlfn.XLOOKUP(Calculations[[#This Row],[For XLOOKUP]],Factors[For XLOOKUP],Factors[Value],"")</f>
        <v>2.6092581300000001E-3</v>
      </c>
      <c r="P47" s="19" t="str">
        <f>_xlfn.XLOOKUP(Calculations[[#This Row],[For XLOOKUP]],Factors[For XLOOKUP],Factors[Units],"")</f>
        <v>tn CO2/lt</v>
      </c>
      <c r="Q47" s="19" t="str">
        <f>_xlfn.XLOOKUP(Calculations[[#This Row],[For XLOOKUP]],Factors[For XLOOKUP],Factors[Source],"")</f>
        <v>Greece. National Inventory Submissions 2024</v>
      </c>
      <c r="R4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1.0747012385843999</v>
      </c>
      <c r="S47" s="19" t="str">
        <f>IF(LEFT(Calculations[[#This Row],[Emission Factor]],7)="Σ.Ε. CH",Calculations[[#This Row],[Value]]*Calculations[[#This Row],[Τιμή]],"-")</f>
        <v>-</v>
      </c>
      <c r="T4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" s="19" t="str">
        <f>IF(LEFT(Calculations[[#This Row],[Emission Factor]],3)="GWP",Calculations[[#This Row],[Τιμή]],"-")</f>
        <v>-</v>
      </c>
      <c r="V47" s="19" t="str">
        <f>IF(OR(Calculations[[#This Row],[Emission Factor]]="Σ.Ε. CO₂ eq",Calculations[[#This Row],[Emission Factor]]="CO₂ eq"),Calculations[[#This Row],[Value]]*Calculations[[#This Row],[Τιμή]],"-")</f>
        <v>-</v>
      </c>
      <c r="W47" s="19" t="str">
        <f>IF(Calculations[[#This Row],[Πηγή εκπομπών]]="Electricity consumed in office buildings and projects - market based",Calculations[[#This Row],[t CO2]],"")</f>
        <v/>
      </c>
      <c r="X4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1.0747012385843999</v>
      </c>
    </row>
    <row r="48" spans="1:24" s="14" customFormat="1" ht="29.4" hidden="1" thickTop="1">
      <c r="A48" s="15" t="s">
        <v>0</v>
      </c>
      <c r="B48" s="15" t="s">
        <v>0</v>
      </c>
      <c r="C48" s="16" t="s">
        <v>624</v>
      </c>
      <c r="D48" s="16" t="s">
        <v>897</v>
      </c>
      <c r="E48" s="211" t="s">
        <v>1151</v>
      </c>
      <c r="F48" s="209" t="s">
        <v>320</v>
      </c>
      <c r="G48" s="15" t="s">
        <v>80</v>
      </c>
      <c r="H48" s="15" t="s">
        <v>99</v>
      </c>
      <c r="I48" s="17" t="s">
        <v>100</v>
      </c>
      <c r="J48" s="79" cm="1">
        <f t="array" ref="J48">_xlfn.XLOOKUP(1,(Calculations[Πληροφορίες]=Calculations[[#This Row],[Πληροφορίες]])*(Calculations[Εταιρεία]=F48),Calculations[Τιμή])</f>
        <v>411.88</v>
      </c>
      <c r="K48" s="18" t="s">
        <v>7</v>
      </c>
      <c r="L48" s="16" t="s">
        <v>248</v>
      </c>
      <c r="M48" s="148" t="s">
        <v>191</v>
      </c>
      <c r="N48" s="19" t="str">
        <f>_xlfn.XLOOKUP(Calculations[[#This Row],[For XLOOKUP]],Factors[For XLOOKUP],Factors[Factor],"")</f>
        <v>Σ.Ε. CH₄ m.</v>
      </c>
      <c r="O48" s="19">
        <f>_xlfn.XLOOKUP(Calculations[[#This Row],[For XLOOKUP]],Factors[For XLOOKUP],Factors[Value],"")</f>
        <v>9.9661146212508699E-10</v>
      </c>
      <c r="P48" s="19" t="str">
        <f>_xlfn.XLOOKUP(Calculations[[#This Row],[For XLOOKUP]],Factors[For XLOOKUP],Factors[Units],"")</f>
        <v>tn CH₄/lt</v>
      </c>
      <c r="Q48" s="19" t="str">
        <f>_xlfn.XLOOKUP(Calculations[[#This Row],[For XLOOKUP]],Factors[For XLOOKUP],Factors[Source],"")</f>
        <v>Greece. National Inventory Submissions 2024</v>
      </c>
      <c r="R4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" s="19">
        <f>IF(LEFT(Calculations[[#This Row],[Emission Factor]],7)="Σ.Ε. CH",Calculations[[#This Row],[Value]]*Calculations[[#This Row],[Τιμή]],"-")</f>
        <v>4.1048432902008081E-7</v>
      </c>
      <c r="T4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" s="19" t="str">
        <f>IF(LEFT(Calculations[[#This Row],[Emission Factor]],3)="GWP",Calculations[[#This Row],[Τιμή]],"-")</f>
        <v>-</v>
      </c>
      <c r="V48" s="19" t="str">
        <f>IF(OR(Calculations[[#This Row],[Emission Factor]]="Σ.Ε. CO₂ eq",Calculations[[#This Row],[Emission Factor]]="CO₂ eq"),Calculations[[#This Row],[Value]]*Calculations[[#This Row],[Τιμή]],"-")</f>
        <v>-</v>
      </c>
      <c r="W48" s="19" t="str">
        <f>IF(Calculations[[#This Row],[Πηγή εκπομπών]]="Electricity consumed in office buildings and projects - market based",Calculations[[#This Row],[t CO2]],"")</f>
        <v/>
      </c>
      <c r="X4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1.1493561212562262E-5</v>
      </c>
    </row>
    <row r="49" spans="1:24" s="14" customFormat="1" ht="29.4" hidden="1" thickTop="1">
      <c r="A49" s="15" t="s">
        <v>0</v>
      </c>
      <c r="B49" s="15" t="s">
        <v>0</v>
      </c>
      <c r="C49" s="16" t="s">
        <v>624</v>
      </c>
      <c r="D49" s="16" t="s">
        <v>897</v>
      </c>
      <c r="E49" s="211" t="s">
        <v>1151</v>
      </c>
      <c r="F49" s="209" t="s">
        <v>320</v>
      </c>
      <c r="G49" s="15" t="s">
        <v>80</v>
      </c>
      <c r="H49" s="15" t="s">
        <v>99</v>
      </c>
      <c r="I49" s="17" t="s">
        <v>100</v>
      </c>
      <c r="J49" s="79" cm="1">
        <f t="array" ref="J49">_xlfn.XLOOKUP(1,(Calculations[Πληροφορίες]=Calculations[[#This Row],[Πληροφορίες]])*(Calculations[Εταιρεία]=F49),Calculations[Τιμή])</f>
        <v>411.88</v>
      </c>
      <c r="K49" s="18" t="s">
        <v>7</v>
      </c>
      <c r="L49" s="16" t="s">
        <v>248</v>
      </c>
      <c r="M49" s="148" t="s">
        <v>193</v>
      </c>
      <c r="N49" s="19" t="str">
        <f>_xlfn.XLOOKUP(Calculations[[#This Row],[For XLOOKUP]],Factors[For XLOOKUP],Factors[Factor],"")</f>
        <v>Σ.Ε. N2O m.</v>
      </c>
      <c r="O49" s="19">
        <f>_xlfn.XLOOKUP(Calculations[[#This Row],[For XLOOKUP]],Factors[For XLOOKUP],Factors[Value],"")</f>
        <v>1.0467775855894111E-7</v>
      </c>
      <c r="P49" s="19" t="str">
        <f>_xlfn.XLOOKUP(Calculations[[#This Row],[For XLOOKUP]],Factors[For XLOOKUP],Factors[Units],"")</f>
        <v>tn N2O/lt</v>
      </c>
      <c r="Q49" s="19" t="str">
        <f>_xlfn.XLOOKUP(Calculations[[#This Row],[For XLOOKUP]],Factors[For XLOOKUP],Factors[Source],"")</f>
        <v>Greece. National Inventory Submissions 2024</v>
      </c>
      <c r="R4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" s="19" t="str">
        <f>IF(LEFT(Calculations[[#This Row],[Emission Factor]],7)="Σ.Ε. CH",Calculations[[#This Row],[Value]]*Calculations[[#This Row],[Τιμή]],"-")</f>
        <v>-</v>
      </c>
      <c r="T49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4.311467519525666E-5</v>
      </c>
      <c r="U49" s="19" t="str">
        <f>IF(LEFT(Calculations[[#This Row],[Emission Factor]],3)="GWP",Calculations[[#This Row],[Τιμή]],"-")</f>
        <v>-</v>
      </c>
      <c r="V49" s="19" t="str">
        <f>IF(OR(Calculations[[#This Row],[Emission Factor]]="Σ.Ε. CO₂ eq",Calculations[[#This Row],[Emission Factor]]="CO₂ eq"),Calculations[[#This Row],[Value]]*Calculations[[#This Row],[Τιμή]],"-")</f>
        <v>-</v>
      </c>
      <c r="W49" s="19" t="str">
        <f>IF(Calculations[[#This Row],[Πηγή εκπομπών]]="Electricity consumed in office buildings and projects - market based",Calculations[[#This Row],[t CO2]],"")</f>
        <v/>
      </c>
      <c r="X4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1.1425388926743016E-2</v>
      </c>
    </row>
    <row r="50" spans="1:24" s="14" customFormat="1" ht="15" hidden="1" thickTop="1">
      <c r="A50" s="15" t="s">
        <v>0</v>
      </c>
      <c r="B50" s="15" t="s">
        <v>0</v>
      </c>
      <c r="C50" s="16" t="s">
        <v>624</v>
      </c>
      <c r="D50" s="16" t="s">
        <v>897</v>
      </c>
      <c r="E50" s="211" t="s">
        <v>1150</v>
      </c>
      <c r="F50" s="209" t="s">
        <v>320</v>
      </c>
      <c r="G50" s="15" t="s">
        <v>80</v>
      </c>
      <c r="H50" s="15" t="s">
        <v>99</v>
      </c>
      <c r="I50" s="17" t="s">
        <v>100</v>
      </c>
      <c r="J50" s="238">
        <v>2972.15</v>
      </c>
      <c r="K50" s="18" t="s">
        <v>7</v>
      </c>
      <c r="L50" s="16" t="s">
        <v>248</v>
      </c>
      <c r="M50" s="148" t="s">
        <v>189</v>
      </c>
      <c r="N50" s="19" t="str">
        <f>_xlfn.XLOOKUP(Calculations[[#This Row],[For XLOOKUP]],Factors[For XLOOKUP],Factors[Factor],"")</f>
        <v>Σ.Ε. CO₂ m.</v>
      </c>
      <c r="O50" s="19">
        <f>_xlfn.XLOOKUP(Calculations[[#This Row],[For XLOOKUP]],Factors[For XLOOKUP],Factors[Value],"")</f>
        <v>2.6092581300000001E-3</v>
      </c>
      <c r="P50" s="19" t="str">
        <f>_xlfn.XLOOKUP(Calculations[[#This Row],[For XLOOKUP]],Factors[For XLOOKUP],Factors[Units],"")</f>
        <v>tn CO2/lt</v>
      </c>
      <c r="Q50" s="19" t="str">
        <f>_xlfn.XLOOKUP(Calculations[[#This Row],[For XLOOKUP]],Factors[For XLOOKUP],Factors[Source],"")</f>
        <v>Greece. National Inventory Submissions 2024</v>
      </c>
      <c r="R50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7.7551065510795008</v>
      </c>
      <c r="S50" s="19" t="str">
        <f>IF(LEFT(Calculations[[#This Row],[Emission Factor]],7)="Σ.Ε. CH",Calculations[[#This Row],[Value]]*Calculations[[#This Row],[Τιμή]],"-")</f>
        <v>-</v>
      </c>
      <c r="T5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" s="19" t="str">
        <f>IF(LEFT(Calculations[[#This Row],[Emission Factor]],3)="GWP",Calculations[[#This Row],[Τιμή]],"-")</f>
        <v>-</v>
      </c>
      <c r="V50" s="19" t="str">
        <f>IF(OR(Calculations[[#This Row],[Emission Factor]]="Σ.Ε. CO₂ eq",Calculations[[#This Row],[Emission Factor]]="CO₂ eq"),Calculations[[#This Row],[Value]]*Calculations[[#This Row],[Τιμή]],"-")</f>
        <v>-</v>
      </c>
      <c r="W50" s="19" t="str">
        <f>IF(Calculations[[#This Row],[Πηγή εκπομπών]]="Electricity consumed in office buildings and projects - market based",Calculations[[#This Row],[t CO2]],"")</f>
        <v/>
      </c>
      <c r="X5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7.7551065510795008</v>
      </c>
    </row>
    <row r="51" spans="1:24" s="14" customFormat="1" ht="15" hidden="1" thickTop="1">
      <c r="A51" s="15" t="s">
        <v>0</v>
      </c>
      <c r="B51" s="15" t="s">
        <v>0</v>
      </c>
      <c r="C51" s="16" t="s">
        <v>624</v>
      </c>
      <c r="D51" s="16" t="s">
        <v>897</v>
      </c>
      <c r="E51" s="211" t="s">
        <v>1150</v>
      </c>
      <c r="F51" s="209" t="s">
        <v>320</v>
      </c>
      <c r="G51" s="15" t="s">
        <v>80</v>
      </c>
      <c r="H51" s="15" t="s">
        <v>99</v>
      </c>
      <c r="I51" s="17" t="s">
        <v>100</v>
      </c>
      <c r="J51" s="79">
        <v>2972.15</v>
      </c>
      <c r="K51" s="18" t="s">
        <v>7</v>
      </c>
      <c r="L51" s="16" t="s">
        <v>248</v>
      </c>
      <c r="M51" s="148" t="s">
        <v>191</v>
      </c>
      <c r="N51" s="19" t="str">
        <f>_xlfn.XLOOKUP(Calculations[[#This Row],[For XLOOKUP]],Factors[For XLOOKUP],Factors[Factor],"")</f>
        <v>Σ.Ε. CH₄ m.</v>
      </c>
      <c r="O51" s="19">
        <f>_xlfn.XLOOKUP(Calculations[[#This Row],[For XLOOKUP]],Factors[For XLOOKUP],Factors[Value],"")</f>
        <v>9.9661146212508699E-10</v>
      </c>
      <c r="P51" s="19" t="str">
        <f>_xlfn.XLOOKUP(Calculations[[#This Row],[For XLOOKUP]],Factors[For XLOOKUP],Factors[Units],"")</f>
        <v>tn CH₄/lt</v>
      </c>
      <c r="Q51" s="19" t="str">
        <f>_xlfn.XLOOKUP(Calculations[[#This Row],[For XLOOKUP]],Factors[For XLOOKUP],Factors[Source],"")</f>
        <v>Greece. National Inventory Submissions 2024</v>
      </c>
      <c r="R5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" s="19">
        <f>IF(LEFT(Calculations[[#This Row],[Emission Factor]],7)="Σ.Ε. CH",Calculations[[#This Row],[Value]]*Calculations[[#This Row],[Τιμή]],"-")</f>
        <v>2.9620787571550772E-6</v>
      </c>
      <c r="T5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" s="19" t="str">
        <f>IF(LEFT(Calculations[[#This Row],[Emission Factor]],3)="GWP",Calculations[[#This Row],[Τιμή]],"-")</f>
        <v>-</v>
      </c>
      <c r="V51" s="19" t="str">
        <f>IF(OR(Calculations[[#This Row],[Emission Factor]]="Σ.Ε. CO₂ eq",Calculations[[#This Row],[Emission Factor]]="CO₂ eq"),Calculations[[#This Row],[Value]]*Calculations[[#This Row],[Τιμή]],"-")</f>
        <v>-</v>
      </c>
      <c r="W51" s="19" t="str">
        <f>IF(Calculations[[#This Row],[Πηγή εκπομπών]]="Electricity consumed in office buildings and projects - market based",Calculations[[#This Row],[t CO2]],"")</f>
        <v/>
      </c>
      <c r="X5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8.2938205200342162E-5</v>
      </c>
    </row>
    <row r="52" spans="1:24" s="14" customFormat="1" ht="15" hidden="1" thickTop="1">
      <c r="A52" s="15" t="s">
        <v>0</v>
      </c>
      <c r="B52" s="15" t="s">
        <v>0</v>
      </c>
      <c r="C52" s="16" t="s">
        <v>624</v>
      </c>
      <c r="D52" s="16" t="s">
        <v>897</v>
      </c>
      <c r="E52" s="211" t="s">
        <v>1150</v>
      </c>
      <c r="F52" s="209" t="s">
        <v>320</v>
      </c>
      <c r="G52" s="15" t="s">
        <v>80</v>
      </c>
      <c r="H52" s="15" t="s">
        <v>99</v>
      </c>
      <c r="I52" s="17" t="s">
        <v>100</v>
      </c>
      <c r="J52" s="79">
        <v>2972.15</v>
      </c>
      <c r="K52" s="18" t="s">
        <v>7</v>
      </c>
      <c r="L52" s="16" t="s">
        <v>248</v>
      </c>
      <c r="M52" s="148" t="s">
        <v>193</v>
      </c>
      <c r="N52" s="19" t="str">
        <f>_xlfn.XLOOKUP(Calculations[[#This Row],[For XLOOKUP]],Factors[For XLOOKUP],Factors[Factor],"")</f>
        <v>Σ.Ε. N2O m.</v>
      </c>
      <c r="O52" s="19">
        <f>_xlfn.XLOOKUP(Calculations[[#This Row],[For XLOOKUP]],Factors[For XLOOKUP],Factors[Value],"")</f>
        <v>1.0467775855894111E-7</v>
      </c>
      <c r="P52" s="19" t="str">
        <f>_xlfn.XLOOKUP(Calculations[[#This Row],[For XLOOKUP]],Factors[For XLOOKUP],Factors[Units],"")</f>
        <v>tn N2O/lt</v>
      </c>
      <c r="Q52" s="19" t="str">
        <f>_xlfn.XLOOKUP(Calculations[[#This Row],[For XLOOKUP]],Factors[For XLOOKUP],Factors[Source],"")</f>
        <v>Greece. National Inventory Submissions 2024</v>
      </c>
      <c r="R5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" s="19" t="str">
        <f>IF(LEFT(Calculations[[#This Row],[Emission Factor]],7)="Σ.Ε. CH",Calculations[[#This Row],[Value]]*Calculations[[#This Row],[Τιμή]],"-")</f>
        <v>-</v>
      </c>
      <c r="T52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3.1111800010095683E-4</v>
      </c>
      <c r="U52" s="19" t="str">
        <f>IF(LEFT(Calculations[[#This Row],[Emission Factor]],3)="GWP",Calculations[[#This Row],[Τιμή]],"-")</f>
        <v>-</v>
      </c>
      <c r="V52" s="19" t="str">
        <f>IF(OR(Calculations[[#This Row],[Emission Factor]]="Σ.Ε. CO₂ eq",Calculations[[#This Row],[Emission Factor]]="CO₂ eq"),Calculations[[#This Row],[Value]]*Calculations[[#This Row],[Τιμή]],"-")</f>
        <v>-</v>
      </c>
      <c r="W52" s="19" t="str">
        <f>IF(Calculations[[#This Row],[Πηγή εκπομπών]]="Electricity consumed in office buildings and projects - market based",Calculations[[#This Row],[t CO2]],"")</f>
        <v/>
      </c>
      <c r="X5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8.244627002675356E-2</v>
      </c>
    </row>
    <row r="53" spans="1:24" s="14" customFormat="1" ht="15" hidden="1" thickTop="1">
      <c r="A53" s="15" t="s">
        <v>0</v>
      </c>
      <c r="B53" s="15" t="s">
        <v>0</v>
      </c>
      <c r="C53" s="16" t="s">
        <v>624</v>
      </c>
      <c r="D53" s="16" t="s">
        <v>1144</v>
      </c>
      <c r="E53" s="16" t="s">
        <v>1146</v>
      </c>
      <c r="F53" s="209" t="s">
        <v>647</v>
      </c>
      <c r="G53" s="15" t="s">
        <v>80</v>
      </c>
      <c r="H53" s="15" t="s">
        <v>99</v>
      </c>
      <c r="I53" s="17" t="s">
        <v>260</v>
      </c>
      <c r="J53" s="238">
        <v>29390.93</v>
      </c>
      <c r="K53" s="18" t="s">
        <v>7</v>
      </c>
      <c r="L53" s="16" t="s">
        <v>253</v>
      </c>
      <c r="M53" s="148" t="s">
        <v>190</v>
      </c>
      <c r="N53" s="19" t="str">
        <f>_xlfn.XLOOKUP(Calculations[[#This Row],[For XLOOKUP]],Factors[For XLOOKUP],Factors[Factor],"")</f>
        <v>Σ.Ε. CO₂ m.</v>
      </c>
      <c r="O53" s="19">
        <f>_xlfn.XLOOKUP(Calculations[[#This Row],[For XLOOKUP]],Factors[For XLOOKUP],Factors[Value],"")</f>
        <v>2.3432595615E-3</v>
      </c>
      <c r="P53" s="19" t="str">
        <f>_xlfn.XLOOKUP(Calculations[[#This Row],[For XLOOKUP]],Factors[For XLOOKUP],Factors[Units],"")</f>
        <v>tn CO2/lt</v>
      </c>
      <c r="Q53" s="19" t="str">
        <f>_xlfn.XLOOKUP(Calculations[[#This Row],[For XLOOKUP]],Factors[For XLOOKUP],Factors[Source],"")</f>
        <v>Greece. National Inventory Submissions 2024</v>
      </c>
      <c r="R53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68.870577743877192</v>
      </c>
      <c r="S53" s="19" t="str">
        <f>IF(LEFT(Calculations[[#This Row],[Emission Factor]],7)="Σ.Ε. CH",Calculations[[#This Row],[Value]]*Calculations[[#This Row],[Τιμή]],"-")</f>
        <v>-</v>
      </c>
      <c r="T5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" s="19" t="str">
        <f>IF(LEFT(Calculations[[#This Row],[Emission Factor]],3)="GWP",Calculations[[#This Row],[Τιμή]],"-")</f>
        <v>-</v>
      </c>
      <c r="V53" s="19" t="str">
        <f>IF(OR(Calculations[[#This Row],[Emission Factor]]="Σ.Ε. CO₂ eq",Calculations[[#This Row],[Emission Factor]]="CO₂ eq"),Calculations[[#This Row],[Value]]*Calculations[[#This Row],[Τιμή]],"-")</f>
        <v>-</v>
      </c>
      <c r="W53" s="19" t="str">
        <f>IF(Calculations[[#This Row],[Πηγή εκπομπών]]="Electricity consumed in office buildings and projects - market based",Calculations[[#This Row],[t CO2]],"")</f>
        <v/>
      </c>
      <c r="X5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68.870577743877192</v>
      </c>
    </row>
    <row r="54" spans="1:24" s="14" customFormat="1" ht="15" hidden="1" thickTop="1">
      <c r="A54" s="15" t="s">
        <v>0</v>
      </c>
      <c r="B54" s="15" t="s">
        <v>0</v>
      </c>
      <c r="C54" s="16" t="s">
        <v>624</v>
      </c>
      <c r="D54" s="16" t="s">
        <v>1144</v>
      </c>
      <c r="E54" s="16" t="s">
        <v>1146</v>
      </c>
      <c r="F54" s="209" t="s">
        <v>647</v>
      </c>
      <c r="G54" s="15" t="s">
        <v>80</v>
      </c>
      <c r="H54" s="15" t="s">
        <v>99</v>
      </c>
      <c r="I54" s="17" t="s">
        <v>260</v>
      </c>
      <c r="J54" s="79" cm="1">
        <f t="array" ref="J54">_xlfn.XLOOKUP(1,(Calculations[Πληροφορίες]=Calculations[[#This Row],[Πληροφορίες]])*(Calculations[Εταιρεία]=F54),Calculations[Τιμή])</f>
        <v>29390.93</v>
      </c>
      <c r="K54" s="18" t="s">
        <v>7</v>
      </c>
      <c r="L54" s="16" t="s">
        <v>253</v>
      </c>
      <c r="M54" s="148" t="s">
        <v>192</v>
      </c>
      <c r="N54" s="19" t="str">
        <f>_xlfn.XLOOKUP(Calculations[[#This Row],[For XLOOKUP]],Factors[For XLOOKUP],Factors[Factor],"")</f>
        <v>Σ.Ε. CH₄ m.</v>
      </c>
      <c r="O54" s="19">
        <f>_xlfn.XLOOKUP(Calculations[[#This Row],[For XLOOKUP]],Factors[For XLOOKUP],Factors[Value],"")</f>
        <v>2.9862611012340788E-7</v>
      </c>
      <c r="P54" s="19" t="str">
        <f>_xlfn.XLOOKUP(Calculations[[#This Row],[For XLOOKUP]],Factors[For XLOOKUP],Factors[Units],"")</f>
        <v>tn CH₄/lt</v>
      </c>
      <c r="Q54" s="19" t="str">
        <f>_xlfn.XLOOKUP(Calculations[[#This Row],[For XLOOKUP]],Factors[For XLOOKUP],Factors[Source],"")</f>
        <v>Greece. National Inventory Submissions 2024</v>
      </c>
      <c r="R5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" s="19">
        <f>IF(LEFT(Calculations[[#This Row],[Emission Factor]],7)="Σ.Ε. CH",Calculations[[#This Row],[Value]]*Calculations[[#This Row],[Τιμή]],"-")</f>
        <v>8.7768990988093716E-3</v>
      </c>
      <c r="T5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" s="19" t="str">
        <f>IF(LEFT(Calculations[[#This Row],[Emission Factor]],3)="GWP",Calculations[[#This Row],[Τιμή]],"-")</f>
        <v>-</v>
      </c>
      <c r="V54" s="19" t="str">
        <f>IF(OR(Calculations[[#This Row],[Emission Factor]]="Σ.Ε. CO₂ eq",Calculations[[#This Row],[Emission Factor]]="CO₂ eq"),Calculations[[#This Row],[Value]]*Calculations[[#This Row],[Τιμή]],"-")</f>
        <v>-</v>
      </c>
      <c r="W54" s="19" t="str">
        <f>IF(Calculations[[#This Row],[Πηγή εκπομπών]]="Electricity consumed in office buildings and projects - market based",Calculations[[#This Row],[t CO2]],"")</f>
        <v/>
      </c>
      <c r="X5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0.24575317476666242</v>
      </c>
    </row>
    <row r="55" spans="1:24" s="14" customFormat="1" ht="15" hidden="1" thickTop="1">
      <c r="A55" s="15" t="s">
        <v>0</v>
      </c>
      <c r="B55" s="15" t="s">
        <v>0</v>
      </c>
      <c r="C55" s="16" t="s">
        <v>624</v>
      </c>
      <c r="D55" s="16" t="s">
        <v>1144</v>
      </c>
      <c r="E55" s="16" t="s">
        <v>1146</v>
      </c>
      <c r="F55" s="209" t="s">
        <v>647</v>
      </c>
      <c r="G55" s="15" t="s">
        <v>80</v>
      </c>
      <c r="H55" s="15" t="s">
        <v>99</v>
      </c>
      <c r="I55" s="17" t="s">
        <v>260</v>
      </c>
      <c r="J55" s="79" cm="1">
        <f t="array" ref="J55">_xlfn.XLOOKUP(1,(Calculations[Πληροφορίες]=Calculations[[#This Row],[Πληροφορίες]])*(Calculations[Εταιρεία]=F55),Calculations[Τιμή])</f>
        <v>29390.93</v>
      </c>
      <c r="K55" s="18" t="s">
        <v>7</v>
      </c>
      <c r="L55" s="16" t="s">
        <v>253</v>
      </c>
      <c r="M55" s="148" t="s">
        <v>194</v>
      </c>
      <c r="N55" s="19" t="str">
        <f>_xlfn.XLOOKUP(Calculations[[#This Row],[For XLOOKUP]],Factors[For XLOOKUP],Factors[Factor],"")</f>
        <v>Σ.Ε. N2O m.</v>
      </c>
      <c r="O55" s="19">
        <f>_xlfn.XLOOKUP(Calculations[[#This Row],[For XLOOKUP]],Factors[For XLOOKUP],Factors[Value],"")</f>
        <v>4.3350728455066983E-8</v>
      </c>
      <c r="P55" s="19" t="str">
        <f>_xlfn.XLOOKUP(Calculations[[#This Row],[For XLOOKUP]],Factors[For XLOOKUP],Factors[Units],"")</f>
        <v>tn N2O/lt</v>
      </c>
      <c r="Q55" s="19" t="str">
        <f>_xlfn.XLOOKUP(Calculations[[#This Row],[For XLOOKUP]],Factors[For XLOOKUP],Factors[Source],"")</f>
        <v>Greece. National Inventory Submissions 2024</v>
      </c>
      <c r="R5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" s="19" t="str">
        <f>IF(LEFT(Calculations[[#This Row],[Emission Factor]],7)="Σ.Ε. CH",Calculations[[#This Row],[Value]]*Calculations[[#This Row],[Τιμή]],"-")</f>
        <v>-</v>
      </c>
      <c r="T55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1.2741182254718819E-3</v>
      </c>
      <c r="U55" s="19" t="str">
        <f>IF(LEFT(Calculations[[#This Row],[Emission Factor]],3)="GWP",Calculations[[#This Row],[Τιμή]],"-")</f>
        <v>-</v>
      </c>
      <c r="V55" s="19" t="str">
        <f>IF(OR(Calculations[[#This Row],[Emission Factor]]="Σ.Ε. CO₂ eq",Calculations[[#This Row],[Emission Factor]]="CO₂ eq"),Calculations[[#This Row],[Value]]*Calculations[[#This Row],[Τιμή]],"-")</f>
        <v>-</v>
      </c>
      <c r="W55" s="19" t="str">
        <f>IF(Calculations[[#This Row],[Πηγή εκπομπών]]="Electricity consumed in office buildings and projects - market based",Calculations[[#This Row],[t CO2]],"")</f>
        <v/>
      </c>
      <c r="X5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0.33764132975004868</v>
      </c>
    </row>
    <row r="56" spans="1:24" s="14" customFormat="1" ht="15" hidden="1" thickTop="1">
      <c r="A56" s="15" t="s">
        <v>0</v>
      </c>
      <c r="B56" s="15" t="s">
        <v>0</v>
      </c>
      <c r="C56" s="16" t="s">
        <v>624</v>
      </c>
      <c r="D56" s="16" t="s">
        <v>894</v>
      </c>
      <c r="E56" s="16"/>
      <c r="F56" s="16" t="s">
        <v>317</v>
      </c>
      <c r="G56" s="15" t="s">
        <v>80</v>
      </c>
      <c r="H56" s="15" t="s">
        <v>99</v>
      </c>
      <c r="I56" s="17" t="s">
        <v>260</v>
      </c>
      <c r="J56" s="238">
        <f>64230.71-4428.03-17643</f>
        <v>42159.68</v>
      </c>
      <c r="K56" s="18" t="s">
        <v>7</v>
      </c>
      <c r="L56" s="16" t="s">
        <v>253</v>
      </c>
      <c r="M56" s="148" t="s">
        <v>190</v>
      </c>
      <c r="N56" s="19" t="str">
        <f>_xlfn.XLOOKUP(Calculations[[#This Row],[For XLOOKUP]],Factors[For XLOOKUP],Factors[Factor],"")</f>
        <v>Σ.Ε. CO₂ m.</v>
      </c>
      <c r="O56" s="19">
        <f>_xlfn.XLOOKUP(Calculations[[#This Row],[For XLOOKUP]],Factors[For XLOOKUP],Factors[Value],"")</f>
        <v>2.3432595615E-3</v>
      </c>
      <c r="P56" s="19" t="str">
        <f>_xlfn.XLOOKUP(Calculations[[#This Row],[For XLOOKUP]],Factors[For XLOOKUP],Factors[Units],"")</f>
        <v>tn CO2/lt</v>
      </c>
      <c r="Q56" s="19" t="str">
        <f>_xlfn.XLOOKUP(Calculations[[#This Row],[For XLOOKUP]],Factors[For XLOOKUP],Factors[Source],"")</f>
        <v>Greece. National Inventory Submissions 2024</v>
      </c>
      <c r="R56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98.791073269780327</v>
      </c>
      <c r="S56" s="19" t="str">
        <f>IF(LEFT(Calculations[[#This Row],[Emission Factor]],7)="Σ.Ε. CH",Calculations[[#This Row],[Value]]*Calculations[[#This Row],[Τιμή]],"-")</f>
        <v>-</v>
      </c>
      <c r="T5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" s="19" t="str">
        <f>IF(LEFT(Calculations[[#This Row],[Emission Factor]],3)="GWP",Calculations[[#This Row],[Τιμή]],"-")</f>
        <v>-</v>
      </c>
      <c r="V56" s="19" t="str">
        <f>IF(OR(Calculations[[#This Row],[Emission Factor]]="Σ.Ε. CO₂ eq",Calculations[[#This Row],[Emission Factor]]="CO₂ eq"),Calculations[[#This Row],[Value]]*Calculations[[#This Row],[Τιμή]],"-")</f>
        <v>-</v>
      </c>
      <c r="W56" s="19" t="str">
        <f>IF(Calculations[[#This Row],[Πηγή εκπομπών]]="Electricity consumed in office buildings and projects - market based",Calculations[[#This Row],[t CO2]],"")</f>
        <v/>
      </c>
      <c r="X5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98.791073269780327</v>
      </c>
    </row>
    <row r="57" spans="1:24" s="14" customFormat="1" ht="15" hidden="1" thickTop="1">
      <c r="A57" s="15" t="s">
        <v>0</v>
      </c>
      <c r="B57" s="15" t="s">
        <v>0</v>
      </c>
      <c r="C57" s="16" t="s">
        <v>624</v>
      </c>
      <c r="D57" s="16" t="s">
        <v>894</v>
      </c>
      <c r="E57" s="16"/>
      <c r="F57" s="16" t="s">
        <v>317</v>
      </c>
      <c r="G57" s="15" t="s">
        <v>80</v>
      </c>
      <c r="H57" s="15" t="s">
        <v>99</v>
      </c>
      <c r="I57" s="17" t="s">
        <v>260</v>
      </c>
      <c r="J57" s="79" cm="1">
        <f t="array" ref="J57">_xlfn.XLOOKUP(1,(Calculations[Πληροφορίες]=Calculations[[#This Row],[Πληροφορίες]])*(Calculations[Εταιρεία]=F57),Calculations[Τιμή])</f>
        <v>42159.68</v>
      </c>
      <c r="K57" s="18" t="s">
        <v>7</v>
      </c>
      <c r="L57" s="16" t="s">
        <v>253</v>
      </c>
      <c r="M57" s="148" t="s">
        <v>192</v>
      </c>
      <c r="N57" s="19" t="str">
        <f>_xlfn.XLOOKUP(Calculations[[#This Row],[For XLOOKUP]],Factors[For XLOOKUP],Factors[Factor],"")</f>
        <v>Σ.Ε. CH₄ m.</v>
      </c>
      <c r="O57" s="19">
        <f>_xlfn.XLOOKUP(Calculations[[#This Row],[For XLOOKUP]],Factors[For XLOOKUP],Factors[Value],"")</f>
        <v>2.9862611012340788E-7</v>
      </c>
      <c r="P57" s="19" t="str">
        <f>_xlfn.XLOOKUP(Calculations[[#This Row],[For XLOOKUP]],Factors[For XLOOKUP],Factors[Units],"")</f>
        <v>tn CH₄/lt</v>
      </c>
      <c r="Q57" s="19" t="str">
        <f>_xlfn.XLOOKUP(Calculations[[#This Row],[For XLOOKUP]],Factors[For XLOOKUP],Factors[Source],"")</f>
        <v>Greece. National Inventory Submissions 2024</v>
      </c>
      <c r="R5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" s="19">
        <f>IF(LEFT(Calculations[[#This Row],[Emission Factor]],7)="Σ.Ε. CH",Calculations[[#This Row],[Value]]*Calculations[[#This Row],[Τιμή]],"-")</f>
        <v>1.2589981242447637E-2</v>
      </c>
      <c r="T5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" s="19" t="str">
        <f>IF(LEFT(Calculations[[#This Row],[Emission Factor]],3)="GWP",Calculations[[#This Row],[Τιμή]],"-")</f>
        <v>-</v>
      </c>
      <c r="V57" s="19" t="str">
        <f>IF(OR(Calculations[[#This Row],[Emission Factor]]="Σ.Ε. CO₂ eq",Calculations[[#This Row],[Emission Factor]]="CO₂ eq"),Calculations[[#This Row],[Value]]*Calculations[[#This Row],[Τιμή]],"-")</f>
        <v>-</v>
      </c>
      <c r="W57" s="19" t="str">
        <f>IF(Calculations[[#This Row],[Πηγή εκπομπών]]="Electricity consumed in office buildings and projects - market based",Calculations[[#This Row],[t CO2]],"")</f>
        <v/>
      </c>
      <c r="X5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0.35251947478853385</v>
      </c>
    </row>
    <row r="58" spans="1:24" s="14" customFormat="1" ht="15" hidden="1" thickTop="1">
      <c r="A58" s="15" t="s">
        <v>0</v>
      </c>
      <c r="B58" s="15" t="s">
        <v>0</v>
      </c>
      <c r="C58" s="16" t="s">
        <v>624</v>
      </c>
      <c r="D58" s="16" t="s">
        <v>894</v>
      </c>
      <c r="E58" s="16"/>
      <c r="F58" s="16" t="s">
        <v>317</v>
      </c>
      <c r="G58" s="15" t="s">
        <v>80</v>
      </c>
      <c r="H58" s="15" t="s">
        <v>99</v>
      </c>
      <c r="I58" s="17" t="s">
        <v>260</v>
      </c>
      <c r="J58" s="79" cm="1">
        <f t="array" ref="J58">_xlfn.XLOOKUP(1,(Calculations[Πληροφορίες]=Calculations[[#This Row],[Πληροφορίες]])*(Calculations[Εταιρεία]=F58),Calculations[Τιμή])</f>
        <v>42159.68</v>
      </c>
      <c r="K58" s="18" t="s">
        <v>7</v>
      </c>
      <c r="L58" s="16" t="s">
        <v>253</v>
      </c>
      <c r="M58" s="148" t="s">
        <v>194</v>
      </c>
      <c r="N58" s="19" t="str">
        <f>_xlfn.XLOOKUP(Calculations[[#This Row],[For XLOOKUP]],Factors[For XLOOKUP],Factors[Factor],"")</f>
        <v>Σ.Ε. N2O m.</v>
      </c>
      <c r="O58" s="19">
        <f>_xlfn.XLOOKUP(Calculations[[#This Row],[For XLOOKUP]],Factors[For XLOOKUP],Factors[Value],"")</f>
        <v>4.3350728455066983E-8</v>
      </c>
      <c r="P58" s="19" t="str">
        <f>_xlfn.XLOOKUP(Calculations[[#This Row],[For XLOOKUP]],Factors[For XLOOKUP],Factors[Units],"")</f>
        <v>tn N2O/lt</v>
      </c>
      <c r="Q58" s="19" t="str">
        <f>_xlfn.XLOOKUP(Calculations[[#This Row],[For XLOOKUP]],Factors[For XLOOKUP],Factors[Source],"")</f>
        <v>Greece. National Inventory Submissions 2024</v>
      </c>
      <c r="R5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" s="19" t="str">
        <f>IF(LEFT(Calculations[[#This Row],[Emission Factor]],7)="Σ.Ε. CH",Calculations[[#This Row],[Value]]*Calculations[[#This Row],[Τιμή]],"-")</f>
        <v>-</v>
      </c>
      <c r="T58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1.8276528394325184E-3</v>
      </c>
      <c r="U58" s="19" t="str">
        <f>IF(LEFT(Calculations[[#This Row],[Emission Factor]],3)="GWP",Calculations[[#This Row],[Τιμή]],"-")</f>
        <v>-</v>
      </c>
      <c r="V58" s="19" t="str">
        <f>IF(OR(Calculations[[#This Row],[Emission Factor]]="Σ.Ε. CO₂ eq",Calculations[[#This Row],[Emission Factor]]="CO₂ eq"),Calculations[[#This Row],[Value]]*Calculations[[#This Row],[Τιμή]],"-")</f>
        <v>-</v>
      </c>
      <c r="W58" s="19" t="str">
        <f>IF(Calculations[[#This Row],[Πηγή εκπομπών]]="Electricity consumed in office buildings and projects - market based",Calculations[[#This Row],[t CO2]],"")</f>
        <v/>
      </c>
      <c r="X5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0.48432800244961738</v>
      </c>
    </row>
    <row r="59" spans="1:24" s="14" customFormat="1" ht="15" hidden="1" thickTop="1">
      <c r="A59" s="15" t="s">
        <v>0</v>
      </c>
      <c r="B59" s="15" t="s">
        <v>0</v>
      </c>
      <c r="C59" s="16" t="s">
        <v>327</v>
      </c>
      <c r="D59" s="77" t="s">
        <v>894</v>
      </c>
      <c r="E59" s="77" t="s">
        <v>1187</v>
      </c>
      <c r="F59" s="77" t="s">
        <v>317</v>
      </c>
      <c r="G59" s="15" t="s">
        <v>80</v>
      </c>
      <c r="H59" s="15" t="s">
        <v>99</v>
      </c>
      <c r="I59" s="17" t="s">
        <v>260</v>
      </c>
      <c r="J59" s="238">
        <v>17643</v>
      </c>
      <c r="K59" s="18" t="s">
        <v>7</v>
      </c>
      <c r="L59" s="16" t="s">
        <v>253</v>
      </c>
      <c r="M59" s="148" t="s">
        <v>1209</v>
      </c>
      <c r="N59" s="19" t="str">
        <f>_xlfn.XLOOKUP(Calculations[[#This Row],[For XLOOKUP]],Factors[For XLOOKUP],Factors[Factor],"")</f>
        <v>Σ.Ε. CO₂ m.</v>
      </c>
      <c r="O59" s="19">
        <f>_xlfn.XLOOKUP(Calculations[[#This Row],[For XLOOKUP]],Factors[For XLOOKUP],Factors[Value],"")</f>
        <v>2.396637948576781E-3</v>
      </c>
      <c r="P59" s="19" t="str">
        <f>_xlfn.XLOOKUP(Calculations[[#This Row],[For XLOOKUP]],Factors[For XLOOKUP],Factors[Units],"")</f>
        <v>tn CO2/lt</v>
      </c>
      <c r="Q59" s="19" t="str">
        <f>_xlfn.XLOOKUP(Calculations[[#This Row],[For XLOOKUP]],Factors[For XLOOKUP],Factors[Source],"")</f>
        <v>Cyprus. National Inventory Table (CRF) 2024</v>
      </c>
      <c r="R59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42.283883326740145</v>
      </c>
      <c r="S59" s="19" t="str">
        <f>IF(LEFT(Calculations[[#This Row],[Emission Factor]],7)="Σ.Ε. CH",Calculations[[#This Row],[Value]]*Calculations[[#This Row],[Τιμή]],"-")</f>
        <v>-</v>
      </c>
      <c r="T5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" s="19" t="str">
        <f>IF(LEFT(Calculations[[#This Row],[Emission Factor]],3)="GWP",Calculations[[#This Row],[Τιμή]],"-")</f>
        <v>-</v>
      </c>
      <c r="V59" s="19" t="str">
        <f>IF(OR(Calculations[[#This Row],[Emission Factor]]="Σ.Ε. CO₂ eq",Calculations[[#This Row],[Emission Factor]]="CO₂ eq"),Calculations[[#This Row],[Value]]*Calculations[[#This Row],[Τιμή]],"-")</f>
        <v>-</v>
      </c>
      <c r="W59" s="19" t="str">
        <f>IF(Calculations[[#This Row],[Πηγή εκπομπών]]="Electricity consumed in office buildings and projects - market based",Calculations[[#This Row],[t CO2]],"")</f>
        <v/>
      </c>
      <c r="X5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42.283883326740145</v>
      </c>
    </row>
    <row r="60" spans="1:24" s="14" customFormat="1" ht="15" hidden="1" thickTop="1">
      <c r="A60" s="15" t="s">
        <v>0</v>
      </c>
      <c r="B60" s="15" t="s">
        <v>0</v>
      </c>
      <c r="C60" s="16" t="s">
        <v>327</v>
      </c>
      <c r="D60" s="77" t="s">
        <v>894</v>
      </c>
      <c r="E60" s="77" t="s">
        <v>1187</v>
      </c>
      <c r="F60" s="77" t="s">
        <v>317</v>
      </c>
      <c r="G60" s="15" t="s">
        <v>80</v>
      </c>
      <c r="H60" s="15" t="s">
        <v>99</v>
      </c>
      <c r="I60" s="17" t="s">
        <v>260</v>
      </c>
      <c r="J60" s="79">
        <v>17643</v>
      </c>
      <c r="K60" s="18" t="s">
        <v>7</v>
      </c>
      <c r="L60" s="16" t="s">
        <v>253</v>
      </c>
      <c r="M60" s="148" t="s">
        <v>1208</v>
      </c>
      <c r="N60" s="19" t="str">
        <f>_xlfn.XLOOKUP(Calculations[[#This Row],[For XLOOKUP]],Factors[For XLOOKUP],Factors[Factor],"")</f>
        <v>Σ.Ε. CH₄ m.</v>
      </c>
      <c r="O60" s="19">
        <f>_xlfn.XLOOKUP(Calculations[[#This Row],[For XLOOKUP]],Factors[For XLOOKUP],Factors[Value],"")</f>
        <v>2.031957364744522E-7</v>
      </c>
      <c r="P60" s="19" t="str">
        <f>_xlfn.XLOOKUP(Calculations[[#This Row],[For XLOOKUP]],Factors[For XLOOKUP],Factors[Units],"")</f>
        <v>tn CH₄/lt</v>
      </c>
      <c r="Q60" s="19" t="str">
        <f>_xlfn.XLOOKUP(Calculations[[#This Row],[For XLOOKUP]],Factors[For XLOOKUP],Factors[Source],"")</f>
        <v>Cyprus. National Inventory Table (CRF) 2024</v>
      </c>
      <c r="R6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" s="19">
        <f>IF(LEFT(Calculations[[#This Row],[Emission Factor]],7)="Σ.Ε. CH",Calculations[[#This Row],[Value]]*Calculations[[#This Row],[Τιμή]],"-")</f>
        <v>3.5849823786187601E-3</v>
      </c>
      <c r="T6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" s="19" t="str">
        <f>IF(LEFT(Calculations[[#This Row],[Emission Factor]],3)="GWP",Calculations[[#This Row],[Τιμή]],"-")</f>
        <v>-</v>
      </c>
      <c r="V60" s="19" t="str">
        <f>IF(OR(Calculations[[#This Row],[Emission Factor]]="Σ.Ε. CO₂ eq",Calculations[[#This Row],[Emission Factor]]="CO₂ eq"),Calculations[[#This Row],[Value]]*Calculations[[#This Row],[Τιμή]],"-")</f>
        <v>-</v>
      </c>
      <c r="W60" s="19" t="str">
        <f>IF(Calculations[[#This Row],[Πηγή εκπομπών]]="Electricity consumed in office buildings and projects - market based",Calculations[[#This Row],[t CO2]],"")</f>
        <v/>
      </c>
      <c r="X6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0.10037950660132527</v>
      </c>
    </row>
    <row r="61" spans="1:24" s="14" customFormat="1" ht="15" hidden="1" thickTop="1">
      <c r="A61" s="15" t="s">
        <v>0</v>
      </c>
      <c r="B61" s="15" t="s">
        <v>0</v>
      </c>
      <c r="C61" s="16" t="s">
        <v>327</v>
      </c>
      <c r="D61" s="77" t="s">
        <v>894</v>
      </c>
      <c r="E61" s="77" t="s">
        <v>1187</v>
      </c>
      <c r="F61" s="77" t="s">
        <v>317</v>
      </c>
      <c r="G61" s="15" t="s">
        <v>80</v>
      </c>
      <c r="H61" s="15" t="s">
        <v>99</v>
      </c>
      <c r="I61" s="17" t="s">
        <v>260</v>
      </c>
      <c r="J61" s="79">
        <v>17643</v>
      </c>
      <c r="K61" s="18" t="s">
        <v>7</v>
      </c>
      <c r="L61" s="16" t="s">
        <v>253</v>
      </c>
      <c r="M61" s="148" t="s">
        <v>1210</v>
      </c>
      <c r="N61" s="19" t="str">
        <f>_xlfn.XLOOKUP(Calculations[[#This Row],[For XLOOKUP]],Factors[For XLOOKUP],Factors[Factor],"")</f>
        <v>Σ.Ε. N2O m.</v>
      </c>
      <c r="O61" s="19">
        <f>_xlfn.XLOOKUP(Calculations[[#This Row],[For XLOOKUP]],Factors[For XLOOKUP],Factors[Value],"")</f>
        <v>1.8670417416701394E-8</v>
      </c>
      <c r="P61" s="19" t="str">
        <f>_xlfn.XLOOKUP(Calculations[[#This Row],[For XLOOKUP]],Factors[For XLOOKUP],Factors[Units],"")</f>
        <v>tn N2O/lt</v>
      </c>
      <c r="Q61" s="19" t="str">
        <f>_xlfn.XLOOKUP(Calculations[[#This Row],[For XLOOKUP]],Factors[For XLOOKUP],Factors[Source],"")</f>
        <v>Cyprus. National Inventory Table (CRF) 2024</v>
      </c>
      <c r="R6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" s="19" t="str">
        <f>IF(LEFT(Calculations[[#This Row],[Emission Factor]],7)="Σ.Ε. CH",Calculations[[#This Row],[Value]]*Calculations[[#This Row],[Τιμή]],"-")</f>
        <v>-</v>
      </c>
      <c r="T61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3.2940217448286269E-4</v>
      </c>
      <c r="U61" s="19" t="str">
        <f>IF(LEFT(Calculations[[#This Row],[Emission Factor]],3)="GWP",Calculations[[#This Row],[Τιμή]],"-")</f>
        <v>-</v>
      </c>
      <c r="V61" s="19" t="str">
        <f>IF(OR(Calculations[[#This Row],[Emission Factor]]="Σ.Ε. CO₂ eq",Calculations[[#This Row],[Emission Factor]]="CO₂ eq"),Calculations[[#This Row],[Value]]*Calculations[[#This Row],[Τιμή]],"-")</f>
        <v>-</v>
      </c>
      <c r="W61" s="19" t="str">
        <f>IF(Calculations[[#This Row],[Πηγή εκπομπών]]="Electricity consumed in office buildings and projects - market based",Calculations[[#This Row],[t CO2]],"")</f>
        <v/>
      </c>
      <c r="X6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8.7291576237958607E-2</v>
      </c>
    </row>
    <row r="62" spans="1:24" s="14" customFormat="1" ht="15" hidden="1" thickTop="1">
      <c r="A62" s="15" t="s">
        <v>0</v>
      </c>
      <c r="B62" s="15" t="s">
        <v>0</v>
      </c>
      <c r="C62" s="16" t="s">
        <v>328</v>
      </c>
      <c r="D62" s="16" t="s">
        <v>894</v>
      </c>
      <c r="E62" s="16" t="s">
        <v>1188</v>
      </c>
      <c r="F62" s="16" t="s">
        <v>317</v>
      </c>
      <c r="G62" s="15" t="s">
        <v>80</v>
      </c>
      <c r="H62" s="15" t="s">
        <v>99</v>
      </c>
      <c r="I62" s="17" t="s">
        <v>260</v>
      </c>
      <c r="J62" s="238">
        <v>4428.03</v>
      </c>
      <c r="K62" s="18" t="s">
        <v>7</v>
      </c>
      <c r="L62" s="16" t="s">
        <v>253</v>
      </c>
      <c r="M62" s="148" t="s">
        <v>1390</v>
      </c>
      <c r="N62" s="19" t="str">
        <f>_xlfn.XLOOKUP(Calculations[[#This Row],[For XLOOKUP]],Factors[For XLOOKUP],Factors[Factor],"")</f>
        <v>Σ.Ε. CO₂ m.</v>
      </c>
      <c r="O62" s="19">
        <f>_xlfn.XLOOKUP(Calculations[[#This Row],[For XLOOKUP]],Factors[For XLOOKUP],Factors[Value],"")</f>
        <v>2.4127209967500004E-3</v>
      </c>
      <c r="P62" s="19" t="str">
        <f>_xlfn.XLOOKUP(Calculations[[#This Row],[For XLOOKUP]],Factors[For XLOOKUP],Factors[Units],"")</f>
        <v>tn CO2/lt</v>
      </c>
      <c r="Q62" s="19" t="str">
        <f>_xlfn.XLOOKUP(Calculations[[#This Row],[For XLOOKUP]],Factors[For XLOOKUP],Factors[Source],"")</f>
        <v>Germany. National Inventory Table (CRF) 2024</v>
      </c>
      <c r="R62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10.683600955238903</v>
      </c>
      <c r="S62" s="19" t="str">
        <f>IF(LEFT(Calculations[[#This Row],[Emission Factor]],7)="Σ.Ε. CH",Calculations[[#This Row],[Value]]*Calculations[[#This Row],[Τιμή]],"-")</f>
        <v>-</v>
      </c>
      <c r="T6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" s="19" t="str">
        <f>IF(LEFT(Calculations[[#This Row],[Emission Factor]],3)="GWP",Calculations[[#This Row],[Τιμή]],"-")</f>
        <v>-</v>
      </c>
      <c r="V62" s="19" t="str">
        <f>IF(OR(Calculations[[#This Row],[Emission Factor]]="Σ.Ε. CO₂ eq",Calculations[[#This Row],[Emission Factor]]="CO₂ eq"),Calculations[[#This Row],[Value]]*Calculations[[#This Row],[Τιμή]],"-")</f>
        <v>-</v>
      </c>
      <c r="W62" s="19" t="str">
        <f>IF(Calculations[[#This Row],[Πηγή εκπομπών]]="Electricity consumed in office buildings and projects - market based",Calculations[[#This Row],[t CO2]],"")</f>
        <v/>
      </c>
      <c r="X6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10.683600955238903</v>
      </c>
    </row>
    <row r="63" spans="1:24" s="14" customFormat="1" ht="15" hidden="1" thickTop="1">
      <c r="A63" s="15" t="s">
        <v>0</v>
      </c>
      <c r="B63" s="15" t="s">
        <v>0</v>
      </c>
      <c r="C63" s="16" t="s">
        <v>328</v>
      </c>
      <c r="D63" s="16" t="s">
        <v>894</v>
      </c>
      <c r="E63" s="16" t="s">
        <v>1188</v>
      </c>
      <c r="F63" s="16" t="s">
        <v>317</v>
      </c>
      <c r="G63" s="15" t="s">
        <v>80</v>
      </c>
      <c r="H63" s="15" t="s">
        <v>99</v>
      </c>
      <c r="I63" s="17" t="s">
        <v>260</v>
      </c>
      <c r="J63" s="79">
        <v>4428.03</v>
      </c>
      <c r="K63" s="18" t="s">
        <v>7</v>
      </c>
      <c r="L63" s="16" t="s">
        <v>253</v>
      </c>
      <c r="M63" s="148" t="s">
        <v>1389</v>
      </c>
      <c r="N63" s="19" t="str">
        <f>_xlfn.XLOOKUP(Calculations[[#This Row],[For XLOOKUP]],Factors[For XLOOKUP],Factors[Factor],"")</f>
        <v>Σ.Ε. CH₄ m.</v>
      </c>
      <c r="O63" s="19">
        <f>_xlfn.XLOOKUP(Calculations[[#This Row],[For XLOOKUP]],Factors[For XLOOKUP],Factors[Value],"")</f>
        <v>1.5379894800000004E-7</v>
      </c>
      <c r="P63" s="19" t="str">
        <f>_xlfn.XLOOKUP(Calculations[[#This Row],[For XLOOKUP]],Factors[For XLOOKUP],Factors[Units],"")</f>
        <v>tn CH₄/lt</v>
      </c>
      <c r="Q63" s="19" t="str">
        <f>_xlfn.XLOOKUP(Calculations[[#This Row],[For XLOOKUP]],Factors[For XLOOKUP],Factors[Source],"")</f>
        <v>Germany. National Inventory Table (CRF) 2024</v>
      </c>
      <c r="R6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" s="19">
        <f>IF(LEFT(Calculations[[#This Row],[Emission Factor]],7)="Σ.Ε. CH",Calculations[[#This Row],[Value]]*Calculations[[#This Row],[Τιμή]],"-")</f>
        <v>6.8102635571244013E-4</v>
      </c>
      <c r="T6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" s="19" t="str">
        <f>IF(LEFT(Calculations[[#This Row],[Emission Factor]],3)="GWP",Calculations[[#This Row],[Τιμή]],"-")</f>
        <v>-</v>
      </c>
      <c r="V63" s="19" t="str">
        <f>IF(OR(Calculations[[#This Row],[Emission Factor]]="Σ.Ε. CO₂ eq",Calculations[[#This Row],[Emission Factor]]="CO₂ eq"),Calculations[[#This Row],[Value]]*Calculations[[#This Row],[Τιμή]],"-")</f>
        <v>-</v>
      </c>
      <c r="W63" s="19" t="str">
        <f>IF(Calculations[[#This Row],[Πηγή εκπομπών]]="Electricity consumed in office buildings and projects - market based",Calculations[[#This Row],[t CO2]],"")</f>
        <v/>
      </c>
      <c r="X6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1.9068737959948324E-2</v>
      </c>
    </row>
    <row r="64" spans="1:24" s="14" customFormat="1" ht="15" hidden="1" thickTop="1">
      <c r="A64" s="15" t="s">
        <v>0</v>
      </c>
      <c r="B64" s="15" t="s">
        <v>0</v>
      </c>
      <c r="C64" s="16" t="s">
        <v>328</v>
      </c>
      <c r="D64" s="16" t="s">
        <v>894</v>
      </c>
      <c r="E64" s="16" t="s">
        <v>1188</v>
      </c>
      <c r="F64" s="16" t="s">
        <v>317</v>
      </c>
      <c r="G64" s="15" t="s">
        <v>80</v>
      </c>
      <c r="H64" s="15" t="s">
        <v>99</v>
      </c>
      <c r="I64" s="17" t="s">
        <v>260</v>
      </c>
      <c r="J64" s="79">
        <v>4428.03</v>
      </c>
      <c r="K64" s="18" t="s">
        <v>7</v>
      </c>
      <c r="L64" s="16" t="s">
        <v>253</v>
      </c>
      <c r="M64" s="148" t="s">
        <v>1391</v>
      </c>
      <c r="N64" s="19" t="str">
        <f>_xlfn.XLOOKUP(Calculations[[#This Row],[For XLOOKUP]],Factors[For XLOOKUP],Factors[Factor],"")</f>
        <v>Σ.Ε. N2O m.</v>
      </c>
      <c r="O64" s="19">
        <f>_xlfn.XLOOKUP(Calculations[[#This Row],[For XLOOKUP]],Factors[For XLOOKUP],Factors[Value],"")</f>
        <v>9.6124342500000022E-9</v>
      </c>
      <c r="P64" s="19" t="str">
        <f>_xlfn.XLOOKUP(Calculations[[#This Row],[For XLOOKUP]],Factors[For XLOOKUP],Factors[Units],"")</f>
        <v>tn N2O/lt</v>
      </c>
      <c r="Q64" s="19" t="str">
        <f>_xlfn.XLOOKUP(Calculations[[#This Row],[For XLOOKUP]],Factors[For XLOOKUP],Factors[Source],"")</f>
        <v>Germany. National Inventory Table (CRF) 2024</v>
      </c>
      <c r="R6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" s="19" t="str">
        <f>IF(LEFT(Calculations[[#This Row],[Emission Factor]],7)="Σ.Ε. CH",Calculations[[#This Row],[Value]]*Calculations[[#This Row],[Τιμή]],"-")</f>
        <v>-</v>
      </c>
      <c r="T64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4.2564147232027508E-5</v>
      </c>
      <c r="U64" s="19" t="str">
        <f>IF(LEFT(Calculations[[#This Row],[Emission Factor]],3)="GWP",Calculations[[#This Row],[Τιμή]],"-")</f>
        <v>-</v>
      </c>
      <c r="V64" s="19" t="str">
        <f>IF(OR(Calculations[[#This Row],[Emission Factor]]="Σ.Ε. CO₂ eq",Calculations[[#This Row],[Emission Factor]]="CO₂ eq"),Calculations[[#This Row],[Value]]*Calculations[[#This Row],[Τιμή]],"-")</f>
        <v>-</v>
      </c>
      <c r="W64" s="19" t="str">
        <f>IF(Calculations[[#This Row],[Πηγή εκπομπών]]="Electricity consumed in office buildings and projects - market based",Calculations[[#This Row],[t CO2]],"")</f>
        <v/>
      </c>
      <c r="X6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1.1279499016487289E-2</v>
      </c>
    </row>
    <row r="65" spans="1:24" s="14" customFormat="1" ht="15" hidden="1" thickTop="1">
      <c r="A65" s="15" t="s">
        <v>0</v>
      </c>
      <c r="B65" s="15" t="s">
        <v>0</v>
      </c>
      <c r="C65" s="16" t="s">
        <v>624</v>
      </c>
      <c r="D65" s="77" t="s">
        <v>895</v>
      </c>
      <c r="E65" s="16" t="s">
        <v>1136</v>
      </c>
      <c r="F65" s="77" t="s">
        <v>319</v>
      </c>
      <c r="G65" s="15" t="s">
        <v>80</v>
      </c>
      <c r="H65" s="15" t="s">
        <v>99</v>
      </c>
      <c r="I65" s="17" t="s">
        <v>260</v>
      </c>
      <c r="J65" s="238">
        <v>1328.99</v>
      </c>
      <c r="K65" s="18" t="s">
        <v>7</v>
      </c>
      <c r="L65" s="16" t="s">
        <v>253</v>
      </c>
      <c r="M65" s="148" t="s">
        <v>190</v>
      </c>
      <c r="N65" s="19" t="str">
        <f>_xlfn.XLOOKUP(Calculations[[#This Row],[For XLOOKUP]],Factors[For XLOOKUP],Factors[Factor],"")</f>
        <v>Σ.Ε. CO₂ m.</v>
      </c>
      <c r="O65" s="19">
        <f>_xlfn.XLOOKUP(Calculations[[#This Row],[For XLOOKUP]],Factors[For XLOOKUP],Factors[Value],"")</f>
        <v>2.3432595615E-3</v>
      </c>
      <c r="P65" s="19" t="str">
        <f>_xlfn.XLOOKUP(Calculations[[#This Row],[For XLOOKUP]],Factors[For XLOOKUP],Factors[Units],"")</f>
        <v>tn CO2/lt</v>
      </c>
      <c r="Q65" s="19" t="str">
        <f>_xlfn.XLOOKUP(Calculations[[#This Row],[For XLOOKUP]],Factors[For XLOOKUP],Factors[Source],"")</f>
        <v>Greece. National Inventory Submissions 2024</v>
      </c>
      <c r="R6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3.114168524637885</v>
      </c>
      <c r="S65" s="19" t="str">
        <f>IF(LEFT(Calculations[[#This Row],[Emission Factor]],7)="Σ.Ε. CH",Calculations[[#This Row],[Value]]*Calculations[[#This Row],[Τιμή]],"-")</f>
        <v>-</v>
      </c>
      <c r="T6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" s="19" t="str">
        <f>IF(LEFT(Calculations[[#This Row],[Emission Factor]],3)="GWP",Calculations[[#This Row],[Τιμή]],"-")</f>
        <v>-</v>
      </c>
      <c r="V65" s="19" t="str">
        <f>IF(OR(Calculations[[#This Row],[Emission Factor]]="Σ.Ε. CO₂ eq",Calculations[[#This Row],[Emission Factor]]="CO₂ eq"),Calculations[[#This Row],[Value]]*Calculations[[#This Row],[Τιμή]],"-")</f>
        <v>-</v>
      </c>
      <c r="W65" s="19" t="str">
        <f>IF(Calculations[[#This Row],[Πηγή εκπομπών]]="Electricity consumed in office buildings and projects - market based",Calculations[[#This Row],[t CO2]],"")</f>
        <v/>
      </c>
      <c r="X6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3.114168524637885</v>
      </c>
    </row>
    <row r="66" spans="1:24" s="14" customFormat="1" ht="15" hidden="1" thickTop="1">
      <c r="A66" s="15" t="s">
        <v>0</v>
      </c>
      <c r="B66" s="15" t="s">
        <v>0</v>
      </c>
      <c r="C66" s="16" t="s">
        <v>624</v>
      </c>
      <c r="D66" s="77" t="s">
        <v>895</v>
      </c>
      <c r="E66" s="16" t="s">
        <v>1136</v>
      </c>
      <c r="F66" s="77" t="s">
        <v>319</v>
      </c>
      <c r="G66" s="15" t="s">
        <v>80</v>
      </c>
      <c r="H66" s="15" t="s">
        <v>99</v>
      </c>
      <c r="I66" s="17" t="s">
        <v>260</v>
      </c>
      <c r="J66" s="79" cm="1">
        <f t="array" ref="J66">_xlfn.XLOOKUP(1,(Calculations[Πληροφορίες]=Calculations[[#This Row],[Πληροφορίες]])*(Calculations[Εταιρεία]=F66),Calculations[Τιμή])</f>
        <v>1328.99</v>
      </c>
      <c r="K66" s="18" t="s">
        <v>7</v>
      </c>
      <c r="L66" s="16" t="s">
        <v>253</v>
      </c>
      <c r="M66" s="148" t="s">
        <v>192</v>
      </c>
      <c r="N66" s="19" t="str">
        <f>_xlfn.XLOOKUP(Calculations[[#This Row],[For XLOOKUP]],Factors[For XLOOKUP],Factors[Factor],"")</f>
        <v>Σ.Ε. CH₄ m.</v>
      </c>
      <c r="O66" s="19">
        <f>_xlfn.XLOOKUP(Calculations[[#This Row],[For XLOOKUP]],Factors[For XLOOKUP],Factors[Value],"")</f>
        <v>2.9862611012340788E-7</v>
      </c>
      <c r="P66" s="19" t="str">
        <f>_xlfn.XLOOKUP(Calculations[[#This Row],[For XLOOKUP]],Factors[For XLOOKUP],Factors[Units],"")</f>
        <v>tn CH₄/lt</v>
      </c>
      <c r="Q66" s="19" t="str">
        <f>_xlfn.XLOOKUP(Calculations[[#This Row],[For XLOOKUP]],Factors[For XLOOKUP],Factors[Source],"")</f>
        <v>Greece. National Inventory Submissions 2024</v>
      </c>
      <c r="R6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" s="19">
        <f>IF(LEFT(Calculations[[#This Row],[Emission Factor]],7)="Σ.Ε. CH",Calculations[[#This Row],[Value]]*Calculations[[#This Row],[Τιμή]],"-")</f>
        <v>3.9687111409290784E-4</v>
      </c>
      <c r="T6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" s="19" t="str">
        <f>IF(LEFT(Calculations[[#This Row],[Emission Factor]],3)="GWP",Calculations[[#This Row],[Τιμή]],"-")</f>
        <v>-</v>
      </c>
      <c r="V66" s="19" t="str">
        <f>IF(OR(Calculations[[#This Row],[Emission Factor]]="Σ.Ε. CO₂ eq",Calculations[[#This Row],[Emission Factor]]="CO₂ eq"),Calculations[[#This Row],[Value]]*Calculations[[#This Row],[Τιμή]],"-")</f>
        <v>-</v>
      </c>
      <c r="W66" s="19" t="str">
        <f>IF(Calculations[[#This Row],[Πηγή εκπομπών]]="Electricity consumed in office buildings and projects - market based",Calculations[[#This Row],[t CO2]],"")</f>
        <v/>
      </c>
      <c r="X6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1.1112391194601419E-2</v>
      </c>
    </row>
    <row r="67" spans="1:24" s="14" customFormat="1" ht="15" hidden="1" thickTop="1">
      <c r="A67" s="15" t="s">
        <v>0</v>
      </c>
      <c r="B67" s="15" t="s">
        <v>0</v>
      </c>
      <c r="C67" s="16" t="s">
        <v>624</v>
      </c>
      <c r="D67" s="77" t="s">
        <v>895</v>
      </c>
      <c r="E67" s="16" t="s">
        <v>1136</v>
      </c>
      <c r="F67" s="77" t="s">
        <v>319</v>
      </c>
      <c r="G67" s="15" t="s">
        <v>80</v>
      </c>
      <c r="H67" s="15" t="s">
        <v>99</v>
      </c>
      <c r="I67" s="17" t="s">
        <v>260</v>
      </c>
      <c r="J67" s="79" cm="1">
        <f t="array" ref="J67">_xlfn.XLOOKUP(1,(Calculations[Πληροφορίες]=Calculations[[#This Row],[Πληροφορίες]])*(Calculations[Εταιρεία]=F67),Calculations[Τιμή])</f>
        <v>1328.99</v>
      </c>
      <c r="K67" s="18" t="s">
        <v>7</v>
      </c>
      <c r="L67" s="16" t="s">
        <v>253</v>
      </c>
      <c r="M67" s="148" t="s">
        <v>194</v>
      </c>
      <c r="N67" s="19" t="str">
        <f>_xlfn.XLOOKUP(Calculations[[#This Row],[For XLOOKUP]],Factors[For XLOOKUP],Factors[Factor],"")</f>
        <v>Σ.Ε. N2O m.</v>
      </c>
      <c r="O67" s="19">
        <f>_xlfn.XLOOKUP(Calculations[[#This Row],[For XLOOKUP]],Factors[For XLOOKUP],Factors[Value],"")</f>
        <v>4.3350728455066983E-8</v>
      </c>
      <c r="P67" s="19" t="str">
        <f>_xlfn.XLOOKUP(Calculations[[#This Row],[For XLOOKUP]],Factors[For XLOOKUP],Factors[Units],"")</f>
        <v>tn N2O/lt</v>
      </c>
      <c r="Q67" s="19" t="str">
        <f>_xlfn.XLOOKUP(Calculations[[#This Row],[For XLOOKUP]],Factors[For XLOOKUP],Factors[Source],"")</f>
        <v>Greece. National Inventory Submissions 2024</v>
      </c>
      <c r="R6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" s="19" t="str">
        <f>IF(LEFT(Calculations[[#This Row],[Emission Factor]],7)="Σ.Ε. CH",Calculations[[#This Row],[Value]]*Calculations[[#This Row],[Τιμή]],"-")</f>
        <v>-</v>
      </c>
      <c r="T67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5.7612684609499472E-5</v>
      </c>
      <c r="U67" s="19" t="str">
        <f>IF(LEFT(Calculations[[#This Row],[Emission Factor]],3)="GWP",Calculations[[#This Row],[Τιμή]],"-")</f>
        <v>-</v>
      </c>
      <c r="V67" s="19" t="str">
        <f>IF(OR(Calculations[[#This Row],[Emission Factor]]="Σ.Ε. CO₂ eq",Calculations[[#This Row],[Emission Factor]]="CO₂ eq"),Calculations[[#This Row],[Value]]*Calculations[[#This Row],[Τιμή]],"-")</f>
        <v>-</v>
      </c>
      <c r="W67" s="19" t="str">
        <f>IF(Calculations[[#This Row],[Πηγή εκπομπών]]="Electricity consumed in office buildings and projects - market based",Calculations[[#This Row],[t CO2]],"")</f>
        <v/>
      </c>
      <c r="X6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1.5267361421517359E-2</v>
      </c>
    </row>
    <row r="68" spans="1:24" s="14" customFormat="1" ht="15" hidden="1" thickTop="1">
      <c r="A68" s="15" t="s">
        <v>0</v>
      </c>
      <c r="B68" s="15" t="s">
        <v>0</v>
      </c>
      <c r="C68" s="16" t="s">
        <v>624</v>
      </c>
      <c r="D68" s="77" t="s">
        <v>895</v>
      </c>
      <c r="E68" s="16" t="s">
        <v>1179</v>
      </c>
      <c r="F68" s="77" t="s">
        <v>318</v>
      </c>
      <c r="G68" s="15" t="s">
        <v>80</v>
      </c>
      <c r="H68" s="15" t="s">
        <v>99</v>
      </c>
      <c r="I68" s="17" t="s">
        <v>260</v>
      </c>
      <c r="J68" s="238">
        <v>20930</v>
      </c>
      <c r="K68" s="18" t="s">
        <v>7</v>
      </c>
      <c r="L68" s="16" t="s">
        <v>253</v>
      </c>
      <c r="M68" s="148" t="s">
        <v>190</v>
      </c>
      <c r="N68" s="19" t="str">
        <f>_xlfn.XLOOKUP(Calculations[[#This Row],[For XLOOKUP]],Factors[For XLOOKUP],Factors[Factor],"")</f>
        <v>Σ.Ε. CO₂ m.</v>
      </c>
      <c r="O68" s="19">
        <f>_xlfn.XLOOKUP(Calculations[[#This Row],[For XLOOKUP]],Factors[For XLOOKUP],Factors[Value],"")</f>
        <v>2.3432595615E-3</v>
      </c>
      <c r="P68" s="19" t="str">
        <f>_xlfn.XLOOKUP(Calculations[[#This Row],[For XLOOKUP]],Factors[For XLOOKUP],Factors[Units],"")</f>
        <v>tn CO2/lt</v>
      </c>
      <c r="Q68" s="19" t="str">
        <f>_xlfn.XLOOKUP(Calculations[[#This Row],[For XLOOKUP]],Factors[For XLOOKUP],Factors[Source],"")</f>
        <v>Greece. National Inventory Submissions 2024</v>
      </c>
      <c r="R68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49.044422622195</v>
      </c>
      <c r="S68" s="19" t="str">
        <f>IF(LEFT(Calculations[[#This Row],[Emission Factor]],7)="Σ.Ε. CH",Calculations[[#This Row],[Value]]*Calculations[[#This Row],[Τιμή]],"-")</f>
        <v>-</v>
      </c>
      <c r="T6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" s="19" t="str">
        <f>IF(LEFT(Calculations[[#This Row],[Emission Factor]],3)="GWP",Calculations[[#This Row],[Τιμή]],"-")</f>
        <v>-</v>
      </c>
      <c r="V68" s="19" t="str">
        <f>IF(OR(Calculations[[#This Row],[Emission Factor]]="Σ.Ε. CO₂ eq",Calculations[[#This Row],[Emission Factor]]="CO₂ eq"),Calculations[[#This Row],[Value]]*Calculations[[#This Row],[Τιμή]],"-")</f>
        <v>-</v>
      </c>
      <c r="W68" s="19" t="str">
        <f>IF(Calculations[[#This Row],[Πηγή εκπομπών]]="Electricity consumed in office buildings and projects - market based",Calculations[[#This Row],[t CO2]],"")</f>
        <v/>
      </c>
      <c r="X6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49.044422622195</v>
      </c>
    </row>
    <row r="69" spans="1:24" s="14" customFormat="1" ht="15" hidden="1" thickTop="1">
      <c r="A69" s="15" t="s">
        <v>0</v>
      </c>
      <c r="B69" s="15" t="s">
        <v>0</v>
      </c>
      <c r="C69" s="16" t="s">
        <v>624</v>
      </c>
      <c r="D69" s="77" t="s">
        <v>895</v>
      </c>
      <c r="E69" s="16" t="s">
        <v>1179</v>
      </c>
      <c r="F69" s="77" t="s">
        <v>318</v>
      </c>
      <c r="G69" s="15" t="s">
        <v>80</v>
      </c>
      <c r="H69" s="15" t="s">
        <v>99</v>
      </c>
      <c r="I69" s="17" t="s">
        <v>260</v>
      </c>
      <c r="J69" s="79" cm="1">
        <f t="array" ref="J69">_xlfn.XLOOKUP(1,(Calculations[Πληροφορίες]=Calculations[[#This Row],[Πληροφορίες]])*(Calculations[Εταιρεία]=F69),Calculations[Τιμή])</f>
        <v>20930</v>
      </c>
      <c r="K69" s="18" t="s">
        <v>7</v>
      </c>
      <c r="L69" s="16" t="s">
        <v>253</v>
      </c>
      <c r="M69" s="148" t="s">
        <v>192</v>
      </c>
      <c r="N69" s="19" t="str">
        <f>_xlfn.XLOOKUP(Calculations[[#This Row],[For XLOOKUP]],Factors[For XLOOKUP],Factors[Factor],"")</f>
        <v>Σ.Ε. CH₄ m.</v>
      </c>
      <c r="O69" s="19">
        <f>_xlfn.XLOOKUP(Calculations[[#This Row],[For XLOOKUP]],Factors[For XLOOKUP],Factors[Value],"")</f>
        <v>2.9862611012340788E-7</v>
      </c>
      <c r="P69" s="19" t="str">
        <f>_xlfn.XLOOKUP(Calculations[[#This Row],[For XLOOKUP]],Factors[For XLOOKUP],Factors[Units],"")</f>
        <v>tn CH₄/lt</v>
      </c>
      <c r="Q69" s="19" t="str">
        <f>_xlfn.XLOOKUP(Calculations[[#This Row],[For XLOOKUP]],Factors[For XLOOKUP],Factors[Source],"")</f>
        <v>Greece. National Inventory Submissions 2024</v>
      </c>
      <c r="R6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" s="19">
        <f>IF(LEFT(Calculations[[#This Row],[Emission Factor]],7)="Σ.Ε. CH",Calculations[[#This Row],[Value]]*Calculations[[#This Row],[Τιμή]],"-")</f>
        <v>6.2502444848829266E-3</v>
      </c>
      <c r="T6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" s="19" t="str">
        <f>IF(LEFT(Calculations[[#This Row],[Emission Factor]],3)="GWP",Calculations[[#This Row],[Τιμή]],"-")</f>
        <v>-</v>
      </c>
      <c r="V69" s="19" t="str">
        <f>IF(OR(Calculations[[#This Row],[Emission Factor]]="Σ.Ε. CO₂ eq",Calculations[[#This Row],[Emission Factor]]="CO₂ eq"),Calculations[[#This Row],[Value]]*Calculations[[#This Row],[Τιμή]],"-")</f>
        <v>-</v>
      </c>
      <c r="W69" s="19" t="str">
        <f>IF(Calculations[[#This Row],[Πηγή εκπομπών]]="Electricity consumed in office buildings and projects - market based",Calculations[[#This Row],[t CO2]],"")</f>
        <v/>
      </c>
      <c r="X6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0.17500684557672194</v>
      </c>
    </row>
    <row r="70" spans="1:24" s="14" customFormat="1" ht="15" hidden="1" thickTop="1">
      <c r="A70" s="15" t="s">
        <v>0</v>
      </c>
      <c r="B70" s="15" t="s">
        <v>0</v>
      </c>
      <c r="C70" s="16" t="s">
        <v>624</v>
      </c>
      <c r="D70" s="77" t="s">
        <v>895</v>
      </c>
      <c r="E70" s="16" t="s">
        <v>1179</v>
      </c>
      <c r="F70" s="77" t="s">
        <v>318</v>
      </c>
      <c r="G70" s="15" t="s">
        <v>80</v>
      </c>
      <c r="H70" s="15" t="s">
        <v>99</v>
      </c>
      <c r="I70" s="17" t="s">
        <v>260</v>
      </c>
      <c r="J70" s="79" cm="1">
        <f t="array" ref="J70">_xlfn.XLOOKUP(1,(Calculations[Πληροφορίες]=Calculations[[#This Row],[Πληροφορίες]])*(Calculations[Εταιρεία]=F70),Calculations[Τιμή])</f>
        <v>20930</v>
      </c>
      <c r="K70" s="18" t="s">
        <v>7</v>
      </c>
      <c r="L70" s="16" t="s">
        <v>253</v>
      </c>
      <c r="M70" s="148" t="s">
        <v>194</v>
      </c>
      <c r="N70" s="19" t="str">
        <f>_xlfn.XLOOKUP(Calculations[[#This Row],[For XLOOKUP]],Factors[For XLOOKUP],Factors[Factor],"")</f>
        <v>Σ.Ε. N2O m.</v>
      </c>
      <c r="O70" s="19">
        <f>_xlfn.XLOOKUP(Calculations[[#This Row],[For XLOOKUP]],Factors[For XLOOKUP],Factors[Value],"")</f>
        <v>4.3350728455066983E-8</v>
      </c>
      <c r="P70" s="19" t="str">
        <f>_xlfn.XLOOKUP(Calculations[[#This Row],[For XLOOKUP]],Factors[For XLOOKUP],Factors[Units],"")</f>
        <v>tn N2O/lt</v>
      </c>
      <c r="Q70" s="19" t="str">
        <f>_xlfn.XLOOKUP(Calculations[[#This Row],[For XLOOKUP]],Factors[For XLOOKUP],Factors[Source],"")</f>
        <v>Greece. National Inventory Submissions 2024</v>
      </c>
      <c r="R7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" s="19" t="str">
        <f>IF(LEFT(Calculations[[#This Row],[Emission Factor]],7)="Σ.Ε. CH",Calculations[[#This Row],[Value]]*Calculations[[#This Row],[Τιμή]],"-")</f>
        <v>-</v>
      </c>
      <c r="T70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9.0733074656455196E-4</v>
      </c>
      <c r="U70" s="19" t="str">
        <f>IF(LEFT(Calculations[[#This Row],[Emission Factor]],3)="GWP",Calculations[[#This Row],[Τιμή]],"-")</f>
        <v>-</v>
      </c>
      <c r="V70" s="19" t="str">
        <f>IF(OR(Calculations[[#This Row],[Emission Factor]]="Σ.Ε. CO₂ eq",Calculations[[#This Row],[Emission Factor]]="CO₂ eq"),Calculations[[#This Row],[Value]]*Calculations[[#This Row],[Τιμή]],"-")</f>
        <v>-</v>
      </c>
      <c r="W70" s="19" t="str">
        <f>IF(Calculations[[#This Row],[Πηγή εκπομπών]]="Electricity consumed in office buildings and projects - market based",Calculations[[#This Row],[t CO2]],"")</f>
        <v/>
      </c>
      <c r="X7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0.24044264783960628</v>
      </c>
    </row>
    <row r="71" spans="1:24" s="14" customFormat="1" ht="15" hidden="1" thickTop="1">
      <c r="A71" s="15" t="s">
        <v>0</v>
      </c>
      <c r="B71" s="15" t="s">
        <v>0</v>
      </c>
      <c r="C71" s="16" t="s">
        <v>624</v>
      </c>
      <c r="D71" s="77" t="s">
        <v>895</v>
      </c>
      <c r="E71" s="77" t="s">
        <v>1141</v>
      </c>
      <c r="F71" s="77" t="s">
        <v>312</v>
      </c>
      <c r="G71" s="15" t="s">
        <v>80</v>
      </c>
      <c r="H71" s="15" t="s">
        <v>99</v>
      </c>
      <c r="I71" s="17" t="s">
        <v>260</v>
      </c>
      <c r="J71" s="238">
        <f>13257.52+5978.41</f>
        <v>19235.93</v>
      </c>
      <c r="K71" s="18" t="s">
        <v>7</v>
      </c>
      <c r="L71" s="16" t="s">
        <v>253</v>
      </c>
      <c r="M71" s="148" t="s">
        <v>190</v>
      </c>
      <c r="N71" s="19" t="str">
        <f>_xlfn.XLOOKUP(Calculations[[#This Row],[For XLOOKUP]],Factors[For XLOOKUP],Factors[Factor],"")</f>
        <v>Σ.Ε. CO₂ m.</v>
      </c>
      <c r="O71" s="19">
        <f>_xlfn.XLOOKUP(Calculations[[#This Row],[For XLOOKUP]],Factors[For XLOOKUP],Factors[Value],"")</f>
        <v>2.3432595615E-3</v>
      </c>
      <c r="P71" s="19" t="str">
        <f>_xlfn.XLOOKUP(Calculations[[#This Row],[For XLOOKUP]],Factors[For XLOOKUP],Factors[Units],"")</f>
        <v>tn CO2/lt</v>
      </c>
      <c r="Q71" s="19" t="str">
        <f>_xlfn.XLOOKUP(Calculations[[#This Row],[For XLOOKUP]],Factors[For XLOOKUP],Factors[Source],"")</f>
        <v>Greece. National Inventory Submissions 2024</v>
      </c>
      <c r="R71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45.074776896844696</v>
      </c>
      <c r="S71" s="19" t="str">
        <f>IF(LEFT(Calculations[[#This Row],[Emission Factor]],7)="Σ.Ε. CH",Calculations[[#This Row],[Value]]*Calculations[[#This Row],[Τιμή]],"-")</f>
        <v>-</v>
      </c>
      <c r="T7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" s="19" t="str">
        <f>IF(LEFT(Calculations[[#This Row],[Emission Factor]],3)="GWP",Calculations[[#This Row],[Τιμή]],"-")</f>
        <v>-</v>
      </c>
      <c r="V71" s="19" t="str">
        <f>IF(OR(Calculations[[#This Row],[Emission Factor]]="Σ.Ε. CO₂ eq",Calculations[[#This Row],[Emission Factor]]="CO₂ eq"),Calculations[[#This Row],[Value]]*Calculations[[#This Row],[Τιμή]],"-")</f>
        <v>-</v>
      </c>
      <c r="W71" s="19" t="str">
        <f>IF(Calculations[[#This Row],[Πηγή εκπομπών]]="Electricity consumed in office buildings and projects - market based",Calculations[[#This Row],[t CO2]],"")</f>
        <v/>
      </c>
      <c r="X7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45.074776896844696</v>
      </c>
    </row>
    <row r="72" spans="1:24" s="14" customFormat="1" ht="15" hidden="1" thickTop="1">
      <c r="A72" s="15" t="s">
        <v>0</v>
      </c>
      <c r="B72" s="15" t="s">
        <v>0</v>
      </c>
      <c r="C72" s="16" t="s">
        <v>624</v>
      </c>
      <c r="D72" s="77" t="s">
        <v>895</v>
      </c>
      <c r="E72" s="77" t="s">
        <v>1141</v>
      </c>
      <c r="F72" s="77" t="s">
        <v>312</v>
      </c>
      <c r="G72" s="15" t="s">
        <v>80</v>
      </c>
      <c r="H72" s="15" t="s">
        <v>99</v>
      </c>
      <c r="I72" s="17" t="s">
        <v>260</v>
      </c>
      <c r="J72" s="79" cm="1">
        <f t="array" ref="J72">_xlfn.XLOOKUP(1,(Calculations[Πληροφορίες]=Calculations[[#This Row],[Πληροφορίες]])*(Calculations[Εταιρεία]=F72),Calculations[Τιμή])</f>
        <v>19235.93</v>
      </c>
      <c r="K72" s="18" t="s">
        <v>7</v>
      </c>
      <c r="L72" s="16" t="s">
        <v>253</v>
      </c>
      <c r="M72" s="148" t="s">
        <v>192</v>
      </c>
      <c r="N72" s="19" t="str">
        <f>_xlfn.XLOOKUP(Calculations[[#This Row],[For XLOOKUP]],Factors[For XLOOKUP],Factors[Factor],"")</f>
        <v>Σ.Ε. CH₄ m.</v>
      </c>
      <c r="O72" s="19">
        <f>_xlfn.XLOOKUP(Calculations[[#This Row],[For XLOOKUP]],Factors[For XLOOKUP],Factors[Value],"")</f>
        <v>2.9862611012340788E-7</v>
      </c>
      <c r="P72" s="19" t="str">
        <f>_xlfn.XLOOKUP(Calculations[[#This Row],[For XLOOKUP]],Factors[For XLOOKUP],Factors[Units],"")</f>
        <v>tn CH₄/lt</v>
      </c>
      <c r="Q72" s="19" t="str">
        <f>_xlfn.XLOOKUP(Calculations[[#This Row],[For XLOOKUP]],Factors[For XLOOKUP],Factors[Source],"")</f>
        <v>Greece. National Inventory Submissions 2024</v>
      </c>
      <c r="R7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" s="19">
        <f>IF(LEFT(Calculations[[#This Row],[Emission Factor]],7)="Σ.Ε. CH",Calculations[[#This Row],[Value]]*Calculations[[#This Row],[Τιμή]],"-")</f>
        <v>5.7443509505061656E-3</v>
      </c>
      <c r="T7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" s="19" t="str">
        <f>IF(LEFT(Calculations[[#This Row],[Emission Factor]],3)="GWP",Calculations[[#This Row],[Τιμή]],"-")</f>
        <v>-</v>
      </c>
      <c r="V72" s="19" t="str">
        <f>IF(OR(Calculations[[#This Row],[Emission Factor]]="Σ.Ε. CO₂ eq",Calculations[[#This Row],[Emission Factor]]="CO₂ eq"),Calculations[[#This Row],[Value]]*Calculations[[#This Row],[Τιμή]],"-")</f>
        <v>-</v>
      </c>
      <c r="W72" s="19" t="str">
        <f>IF(Calculations[[#This Row],[Πηγή εκπομπών]]="Electricity consumed in office buildings and projects - market based",Calculations[[#This Row],[t CO2]],"")</f>
        <v/>
      </c>
      <c r="X7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0.16084182661417262</v>
      </c>
    </row>
    <row r="73" spans="1:24" s="14" customFormat="1" ht="15" hidden="1" thickTop="1">
      <c r="A73" s="15" t="s">
        <v>0</v>
      </c>
      <c r="B73" s="15" t="s">
        <v>0</v>
      </c>
      <c r="C73" s="16" t="s">
        <v>624</v>
      </c>
      <c r="D73" s="77" t="s">
        <v>895</v>
      </c>
      <c r="E73" s="77" t="s">
        <v>1141</v>
      </c>
      <c r="F73" s="77" t="s">
        <v>312</v>
      </c>
      <c r="G73" s="15" t="s">
        <v>80</v>
      </c>
      <c r="H73" s="15" t="s">
        <v>99</v>
      </c>
      <c r="I73" s="17" t="s">
        <v>260</v>
      </c>
      <c r="J73" s="79" cm="1">
        <f t="array" ref="J73">_xlfn.XLOOKUP(1,(Calculations[Πληροφορίες]=Calculations[[#This Row],[Πληροφορίες]])*(Calculations[Εταιρεία]=F73),Calculations[Τιμή])</f>
        <v>19235.93</v>
      </c>
      <c r="K73" s="18" t="s">
        <v>7</v>
      </c>
      <c r="L73" s="16" t="s">
        <v>253</v>
      </c>
      <c r="M73" s="148" t="s">
        <v>194</v>
      </c>
      <c r="N73" s="19" t="str">
        <f>_xlfn.XLOOKUP(Calculations[[#This Row],[For XLOOKUP]],Factors[For XLOOKUP],Factors[Factor],"")</f>
        <v>Σ.Ε. N2O m.</v>
      </c>
      <c r="O73" s="19">
        <f>_xlfn.XLOOKUP(Calculations[[#This Row],[For XLOOKUP]],Factors[For XLOOKUP],Factors[Value],"")</f>
        <v>4.3350728455066983E-8</v>
      </c>
      <c r="P73" s="19" t="str">
        <f>_xlfn.XLOOKUP(Calculations[[#This Row],[For XLOOKUP]],Factors[For XLOOKUP],Factors[Units],"")</f>
        <v>tn N2O/lt</v>
      </c>
      <c r="Q73" s="19" t="str">
        <f>_xlfn.XLOOKUP(Calculations[[#This Row],[For XLOOKUP]],Factors[For XLOOKUP],Factors[Source],"")</f>
        <v>Greece. National Inventory Submissions 2024</v>
      </c>
      <c r="R7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" s="19" t="str">
        <f>IF(LEFT(Calculations[[#This Row],[Emission Factor]],7)="Σ.Ε. CH",Calculations[[#This Row],[Value]]*Calculations[[#This Row],[Τιμή]],"-")</f>
        <v>-</v>
      </c>
      <c r="T7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8.3389157801067666E-4</v>
      </c>
      <c r="U73" s="19" t="str">
        <f>IF(LEFT(Calculations[[#This Row],[Emission Factor]],3)="GWP",Calculations[[#This Row],[Τιμή]],"-")</f>
        <v>-</v>
      </c>
      <c r="V73" s="19" t="str">
        <f>IF(OR(Calculations[[#This Row],[Emission Factor]]="Σ.Ε. CO₂ eq",Calculations[[#This Row],[Emission Factor]]="CO₂ eq"),Calculations[[#This Row],[Value]]*Calculations[[#This Row],[Τιμή]],"-")</f>
        <v>-</v>
      </c>
      <c r="W73" s="19" t="str">
        <f>IF(Calculations[[#This Row],[Πηγή εκπομπών]]="Electricity consumed in office buildings and projects - market based",Calculations[[#This Row],[t CO2]],"")</f>
        <v/>
      </c>
      <c r="X7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0.22098126817282931</v>
      </c>
    </row>
    <row r="74" spans="1:24" s="14" customFormat="1" ht="15" hidden="1" thickTop="1">
      <c r="A74" s="15" t="s">
        <v>0</v>
      </c>
      <c r="B74" s="15" t="s">
        <v>0</v>
      </c>
      <c r="C74" s="16" t="s">
        <v>624</v>
      </c>
      <c r="D74" s="16" t="s">
        <v>895</v>
      </c>
      <c r="E74" s="16" t="s">
        <v>1137</v>
      </c>
      <c r="F74" s="11" t="s">
        <v>319</v>
      </c>
      <c r="G74" s="15" t="s">
        <v>80</v>
      </c>
      <c r="H74" s="15" t="s">
        <v>99</v>
      </c>
      <c r="I74" s="17" t="s">
        <v>260</v>
      </c>
      <c r="J74" s="238">
        <v>1608.75</v>
      </c>
      <c r="K74" s="18" t="s">
        <v>7</v>
      </c>
      <c r="L74" s="16" t="s">
        <v>253</v>
      </c>
      <c r="M74" s="148" t="s">
        <v>190</v>
      </c>
      <c r="N74" s="19" t="str">
        <f>_xlfn.XLOOKUP(Calculations[[#This Row],[For XLOOKUP]],Factors[For XLOOKUP],Factors[Factor],"")</f>
        <v>Σ.Ε. CO₂ m.</v>
      </c>
      <c r="O74" s="19">
        <f>_xlfn.XLOOKUP(Calculations[[#This Row],[For XLOOKUP]],Factors[For XLOOKUP],Factors[Value],"")</f>
        <v>2.3432595615E-3</v>
      </c>
      <c r="P74" s="19" t="str">
        <f>_xlfn.XLOOKUP(Calculations[[#This Row],[For XLOOKUP]],Factors[For XLOOKUP],Factors[Units],"")</f>
        <v>tn CO2/lt</v>
      </c>
      <c r="Q74" s="19" t="str">
        <f>_xlfn.XLOOKUP(Calculations[[#This Row],[For XLOOKUP]],Factors[For XLOOKUP],Factors[Source],"")</f>
        <v>Greece. National Inventory Submissions 2024</v>
      </c>
      <c r="R74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3.769718819563125</v>
      </c>
      <c r="S74" s="19" t="str">
        <f>IF(LEFT(Calculations[[#This Row],[Emission Factor]],7)="Σ.Ε. CH",Calculations[[#This Row],[Value]]*Calculations[[#This Row],[Τιμή]],"-")</f>
        <v>-</v>
      </c>
      <c r="T7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" s="19" t="str">
        <f>IF(LEFT(Calculations[[#This Row],[Emission Factor]],3)="GWP",Calculations[[#This Row],[Τιμή]],"-")</f>
        <v>-</v>
      </c>
      <c r="V74" s="19" t="str">
        <f>IF(OR(Calculations[[#This Row],[Emission Factor]]="Σ.Ε. CO₂ eq",Calculations[[#This Row],[Emission Factor]]="CO₂ eq"),Calculations[[#This Row],[Value]]*Calculations[[#This Row],[Τιμή]],"-")</f>
        <v>-</v>
      </c>
      <c r="W74" s="19" t="str">
        <f>IF(Calculations[[#This Row],[Πηγή εκπομπών]]="Electricity consumed in office buildings and projects - market based",Calculations[[#This Row],[t CO2]],"")</f>
        <v/>
      </c>
      <c r="X7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3.769718819563125</v>
      </c>
    </row>
    <row r="75" spans="1:24" s="14" customFormat="1" ht="15" hidden="1" thickTop="1">
      <c r="A75" s="15" t="s">
        <v>0</v>
      </c>
      <c r="B75" s="15" t="s">
        <v>0</v>
      </c>
      <c r="C75" s="16" t="s">
        <v>624</v>
      </c>
      <c r="D75" s="16" t="s">
        <v>895</v>
      </c>
      <c r="E75" s="16" t="s">
        <v>1137</v>
      </c>
      <c r="F75" s="11" t="s">
        <v>319</v>
      </c>
      <c r="G75" s="15" t="s">
        <v>80</v>
      </c>
      <c r="H75" s="15" t="s">
        <v>99</v>
      </c>
      <c r="I75" s="17" t="s">
        <v>260</v>
      </c>
      <c r="J75" s="79" cm="1">
        <f t="array" ref="J7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1608.75</v>
      </c>
      <c r="K75" s="18" t="s">
        <v>7</v>
      </c>
      <c r="L75" s="16" t="s">
        <v>253</v>
      </c>
      <c r="M75" s="148" t="s">
        <v>192</v>
      </c>
      <c r="N75" s="19" t="str">
        <f>_xlfn.XLOOKUP(Calculations[[#This Row],[For XLOOKUP]],Factors[For XLOOKUP],Factors[Factor],"")</f>
        <v>Σ.Ε. CH₄ m.</v>
      </c>
      <c r="O75" s="19">
        <f>_xlfn.XLOOKUP(Calculations[[#This Row],[For XLOOKUP]],Factors[For XLOOKUP],Factors[Value],"")</f>
        <v>2.9862611012340788E-7</v>
      </c>
      <c r="P75" s="19" t="str">
        <f>_xlfn.XLOOKUP(Calculations[[#This Row],[For XLOOKUP]],Factors[For XLOOKUP],Factors[Units],"")</f>
        <v>tn CH₄/lt</v>
      </c>
      <c r="Q75" s="19" t="str">
        <f>_xlfn.XLOOKUP(Calculations[[#This Row],[For XLOOKUP]],Factors[For XLOOKUP],Factors[Source],"")</f>
        <v>Greece. National Inventory Submissions 2024</v>
      </c>
      <c r="R7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" s="19">
        <f>IF(LEFT(Calculations[[#This Row],[Emission Factor]],7)="Σ.Ε. CH",Calculations[[#This Row],[Value]]*Calculations[[#This Row],[Τιμή]],"-")</f>
        <v>4.8041475466103242E-4</v>
      </c>
      <c r="T7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" s="19" t="str">
        <f>IF(LEFT(Calculations[[#This Row],[Emission Factor]],3)="GWP",Calculations[[#This Row],[Τιμή]],"-")</f>
        <v>-</v>
      </c>
      <c r="V75" s="19" t="str">
        <f>IF(OR(Calculations[[#This Row],[Emission Factor]]="Σ.Ε. CO₂ eq",Calculations[[#This Row],[Emission Factor]]="CO₂ eq"),Calculations[[#This Row],[Value]]*Calculations[[#This Row],[Τιμή]],"-")</f>
        <v>-</v>
      </c>
      <c r="W75" s="19" t="str">
        <f>IF(Calculations[[#This Row],[Πηγή εκπομπών]]="Electricity consumed in office buildings and projects - market based",Calculations[[#This Row],[t CO2]],"")</f>
        <v/>
      </c>
      <c r="X7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1.3451613130508907E-2</v>
      </c>
    </row>
    <row r="76" spans="1:24" s="14" customFormat="1" ht="15" hidden="1" thickTop="1">
      <c r="A76" s="15" t="s">
        <v>0</v>
      </c>
      <c r="B76" s="15" t="s">
        <v>0</v>
      </c>
      <c r="C76" s="16" t="s">
        <v>624</v>
      </c>
      <c r="D76" s="16" t="s">
        <v>895</v>
      </c>
      <c r="E76" s="16" t="s">
        <v>1137</v>
      </c>
      <c r="F76" s="11" t="s">
        <v>319</v>
      </c>
      <c r="G76" s="15" t="s">
        <v>80</v>
      </c>
      <c r="H76" s="15" t="s">
        <v>99</v>
      </c>
      <c r="I76" s="17" t="s">
        <v>260</v>
      </c>
      <c r="J76" s="79" cm="1">
        <f t="array" ref="J7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1608.75</v>
      </c>
      <c r="K76" s="18" t="s">
        <v>7</v>
      </c>
      <c r="L76" s="16" t="s">
        <v>253</v>
      </c>
      <c r="M76" s="148" t="s">
        <v>194</v>
      </c>
      <c r="N76" s="19" t="str">
        <f>_xlfn.XLOOKUP(Calculations[[#This Row],[For XLOOKUP]],Factors[For XLOOKUP],Factors[Factor],"")</f>
        <v>Σ.Ε. N2O m.</v>
      </c>
      <c r="O76" s="19">
        <f>_xlfn.XLOOKUP(Calculations[[#This Row],[For XLOOKUP]],Factors[For XLOOKUP],Factors[Value],"")</f>
        <v>4.3350728455066983E-8</v>
      </c>
      <c r="P76" s="19" t="str">
        <f>_xlfn.XLOOKUP(Calculations[[#This Row],[For XLOOKUP]],Factors[For XLOOKUP],Factors[Units],"")</f>
        <v>tn N2O/lt</v>
      </c>
      <c r="Q76" s="19" t="str">
        <f>_xlfn.XLOOKUP(Calculations[[#This Row],[For XLOOKUP]],Factors[For XLOOKUP],Factors[Source],"")</f>
        <v>Greece. National Inventory Submissions 2024</v>
      </c>
      <c r="R7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" s="19" t="str">
        <f>IF(LEFT(Calculations[[#This Row],[Emission Factor]],7)="Σ.Ε. CH",Calculations[[#This Row],[Value]]*Calculations[[#This Row],[Τιμή]],"-")</f>
        <v>-</v>
      </c>
      <c r="T76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6.9740484402089004E-5</v>
      </c>
      <c r="U76" s="19" t="str">
        <f>IF(LEFT(Calculations[[#This Row],[Emission Factor]],3)="GWP",Calculations[[#This Row],[Τιμή]],"-")</f>
        <v>-</v>
      </c>
      <c r="V76" s="19" t="str">
        <f>IF(OR(Calculations[[#This Row],[Emission Factor]]="Σ.Ε. CO₂ eq",Calculations[[#This Row],[Emission Factor]]="CO₂ eq"),Calculations[[#This Row],[Value]]*Calculations[[#This Row],[Τιμή]],"-")</f>
        <v>-</v>
      </c>
      <c r="W76" s="19" t="str">
        <f>IF(Calculations[[#This Row],[Πηγή εκπομπών]]="Electricity consumed in office buildings and projects - market based",Calculations[[#This Row],[t CO2]],"")</f>
        <v/>
      </c>
      <c r="X7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1.8481228366553585E-2</v>
      </c>
    </row>
    <row r="77" spans="1:24" s="14" customFormat="1" ht="15" hidden="1" thickTop="1">
      <c r="A77" s="15" t="s">
        <v>0</v>
      </c>
      <c r="B77" s="15" t="s">
        <v>0</v>
      </c>
      <c r="C77" s="16" t="s">
        <v>624</v>
      </c>
      <c r="D77" s="16" t="s">
        <v>897</v>
      </c>
      <c r="E77" s="211" t="s">
        <v>1150</v>
      </c>
      <c r="F77" s="209" t="s">
        <v>320</v>
      </c>
      <c r="G77" s="15" t="s">
        <v>80</v>
      </c>
      <c r="H77" s="15" t="s">
        <v>99</v>
      </c>
      <c r="I77" s="17" t="s">
        <v>260</v>
      </c>
      <c r="J77" s="238">
        <v>3156.18</v>
      </c>
      <c r="K77" s="18" t="s">
        <v>7</v>
      </c>
      <c r="L77" s="16" t="s">
        <v>253</v>
      </c>
      <c r="M77" s="148" t="s">
        <v>190</v>
      </c>
      <c r="N77" s="19" t="str">
        <f>_xlfn.XLOOKUP(Calculations[[#This Row],[For XLOOKUP]],Factors[For XLOOKUP],Factors[Factor],"")</f>
        <v>Σ.Ε. CO₂ m.</v>
      </c>
      <c r="O77" s="19">
        <f>_xlfn.XLOOKUP(Calculations[[#This Row],[For XLOOKUP]],Factors[For XLOOKUP],Factors[Value],"")</f>
        <v>2.3432595615E-3</v>
      </c>
      <c r="P77" s="19" t="str">
        <f>_xlfn.XLOOKUP(Calculations[[#This Row],[For XLOOKUP]],Factors[For XLOOKUP],Factors[Units],"")</f>
        <v>tn CO2/lt</v>
      </c>
      <c r="Q77" s="19" t="str">
        <f>_xlfn.XLOOKUP(Calculations[[#This Row],[For XLOOKUP]],Factors[For XLOOKUP],Factors[Source],"")</f>
        <v>Greece. National Inventory Submissions 2024</v>
      </c>
      <c r="R7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7.3957489628150697</v>
      </c>
      <c r="S77" s="19" t="str">
        <f>IF(LEFT(Calculations[[#This Row],[Emission Factor]],7)="Σ.Ε. CH",Calculations[[#This Row],[Value]]*Calculations[[#This Row],[Τιμή]],"-")</f>
        <v>-</v>
      </c>
      <c r="T7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" s="19" t="str">
        <f>IF(LEFT(Calculations[[#This Row],[Emission Factor]],3)="GWP",Calculations[[#This Row],[Τιμή]],"-")</f>
        <v>-</v>
      </c>
      <c r="V77" s="19" t="str">
        <f>IF(OR(Calculations[[#This Row],[Emission Factor]]="Σ.Ε. CO₂ eq",Calculations[[#This Row],[Emission Factor]]="CO₂ eq"),Calculations[[#This Row],[Value]]*Calculations[[#This Row],[Τιμή]],"-")</f>
        <v>-</v>
      </c>
      <c r="W77" s="19" t="str">
        <f>IF(Calculations[[#This Row],[Πηγή εκπομπών]]="Electricity consumed in office buildings and projects - market based",Calculations[[#This Row],[t CO2]],"")</f>
        <v/>
      </c>
      <c r="X7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7.3957489628150697</v>
      </c>
    </row>
    <row r="78" spans="1:24" s="14" customFormat="1" ht="15" hidden="1" thickTop="1">
      <c r="A78" s="15" t="s">
        <v>0</v>
      </c>
      <c r="B78" s="15" t="s">
        <v>0</v>
      </c>
      <c r="C78" s="16" t="s">
        <v>624</v>
      </c>
      <c r="D78" s="16" t="s">
        <v>897</v>
      </c>
      <c r="E78" s="211" t="s">
        <v>1150</v>
      </c>
      <c r="F78" s="209" t="s">
        <v>320</v>
      </c>
      <c r="G78" s="15" t="s">
        <v>80</v>
      </c>
      <c r="H78" s="15" t="s">
        <v>99</v>
      </c>
      <c r="I78" s="17" t="s">
        <v>260</v>
      </c>
      <c r="J78" s="79" cm="1">
        <f t="array" ref="J78">_xlfn.XLOOKUP(1,(Calculations[Πληροφορίες]=Calculations[[#This Row],[Πληροφορίες]])*(Calculations[Εταιρεία]=F78),Calculations[Τιμή])</f>
        <v>3156.18</v>
      </c>
      <c r="K78" s="18" t="s">
        <v>7</v>
      </c>
      <c r="L78" s="16" t="s">
        <v>253</v>
      </c>
      <c r="M78" s="148" t="s">
        <v>192</v>
      </c>
      <c r="N78" s="19" t="str">
        <f>_xlfn.XLOOKUP(Calculations[[#This Row],[For XLOOKUP]],Factors[For XLOOKUP],Factors[Factor],"")</f>
        <v>Σ.Ε. CH₄ m.</v>
      </c>
      <c r="O78" s="19">
        <f>_xlfn.XLOOKUP(Calculations[[#This Row],[For XLOOKUP]],Factors[For XLOOKUP],Factors[Value],"")</f>
        <v>2.9862611012340788E-7</v>
      </c>
      <c r="P78" s="19" t="str">
        <f>_xlfn.XLOOKUP(Calculations[[#This Row],[For XLOOKUP]],Factors[For XLOOKUP],Factors[Units],"")</f>
        <v>tn CH₄/lt</v>
      </c>
      <c r="Q78" s="19" t="str">
        <f>_xlfn.XLOOKUP(Calculations[[#This Row],[For XLOOKUP]],Factors[For XLOOKUP],Factors[Source],"")</f>
        <v>Greece. National Inventory Submissions 2024</v>
      </c>
      <c r="R7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" s="19">
        <f>IF(LEFT(Calculations[[#This Row],[Emission Factor]],7)="Σ.Ε. CH",Calculations[[#This Row],[Value]]*Calculations[[#This Row],[Τιμή]],"-")</f>
        <v>9.4251775624929737E-4</v>
      </c>
      <c r="T7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" s="19" t="str">
        <f>IF(LEFT(Calculations[[#This Row],[Emission Factor]],3)="GWP",Calculations[[#This Row],[Τιμή]],"-")</f>
        <v>-</v>
      </c>
      <c r="V78" s="19" t="str">
        <f>IF(OR(Calculations[[#This Row],[Emission Factor]]="Σ.Ε. CO₂ eq",Calculations[[#This Row],[Emission Factor]]="CO₂ eq"),Calculations[[#This Row],[Value]]*Calculations[[#This Row],[Τιμή]],"-")</f>
        <v>-</v>
      </c>
      <c r="W78" s="19" t="str">
        <f>IF(Calculations[[#This Row],[Πηγή εκπομπών]]="Electricity consumed in office buildings and projects - market based",Calculations[[#This Row],[t CO2]],"")</f>
        <v/>
      </c>
      <c r="X7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2.6390497174980328E-2</v>
      </c>
    </row>
    <row r="79" spans="1:24" s="14" customFormat="1" ht="15" hidden="1" thickTop="1">
      <c r="A79" s="15" t="s">
        <v>0</v>
      </c>
      <c r="B79" s="15" t="s">
        <v>0</v>
      </c>
      <c r="C79" s="16" t="s">
        <v>624</v>
      </c>
      <c r="D79" s="16" t="s">
        <v>897</v>
      </c>
      <c r="E79" s="211" t="s">
        <v>1150</v>
      </c>
      <c r="F79" s="209" t="s">
        <v>320</v>
      </c>
      <c r="G79" s="15" t="s">
        <v>80</v>
      </c>
      <c r="H79" s="15" t="s">
        <v>99</v>
      </c>
      <c r="I79" s="17" t="s">
        <v>260</v>
      </c>
      <c r="J79" s="79" cm="1">
        <f t="array" ref="J79">_xlfn.XLOOKUP(1,(Calculations[Πληροφορίες]=Calculations[[#This Row],[Πληροφορίες]])*(Calculations[Εταιρεία]=F79),Calculations[Τιμή])</f>
        <v>3156.18</v>
      </c>
      <c r="K79" s="18" t="s">
        <v>7</v>
      </c>
      <c r="L79" s="16" t="s">
        <v>253</v>
      </c>
      <c r="M79" s="148" t="s">
        <v>194</v>
      </c>
      <c r="N79" s="19" t="str">
        <f>_xlfn.XLOOKUP(Calculations[[#This Row],[For XLOOKUP]],Factors[For XLOOKUP],Factors[Factor],"")</f>
        <v>Σ.Ε. N2O m.</v>
      </c>
      <c r="O79" s="19">
        <f>_xlfn.XLOOKUP(Calculations[[#This Row],[For XLOOKUP]],Factors[For XLOOKUP],Factors[Value],"")</f>
        <v>4.3350728455066983E-8</v>
      </c>
      <c r="P79" s="19" t="str">
        <f>_xlfn.XLOOKUP(Calculations[[#This Row],[For XLOOKUP]],Factors[For XLOOKUP],Factors[Units],"")</f>
        <v>tn N2O/lt</v>
      </c>
      <c r="Q79" s="19" t="str">
        <f>_xlfn.XLOOKUP(Calculations[[#This Row],[For XLOOKUP]],Factors[For XLOOKUP],Factors[Source],"")</f>
        <v>Greece. National Inventory Submissions 2024</v>
      </c>
      <c r="R7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" s="19" t="str">
        <f>IF(LEFT(Calculations[[#This Row],[Emission Factor]],7)="Σ.Ε. CH",Calculations[[#This Row],[Value]]*Calculations[[#This Row],[Τιμή]],"-")</f>
        <v>-</v>
      </c>
      <c r="T79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1.3682270213531331E-4</v>
      </c>
      <c r="U79" s="19" t="str">
        <f>IF(LEFT(Calculations[[#This Row],[Emission Factor]],3)="GWP",Calculations[[#This Row],[Τιμή]],"-")</f>
        <v>-</v>
      </c>
      <c r="V79" s="19" t="str">
        <f>IF(OR(Calculations[[#This Row],[Emission Factor]]="Σ.Ε. CO₂ eq",Calculations[[#This Row],[Emission Factor]]="CO₂ eq"),Calculations[[#This Row],[Value]]*Calculations[[#This Row],[Τιμή]],"-")</f>
        <v>-</v>
      </c>
      <c r="W79" s="19" t="str">
        <f>IF(Calculations[[#This Row],[Πηγή εκπομπών]]="Electricity consumed in office buildings and projects - market based",Calculations[[#This Row],[t CO2]],"")</f>
        <v/>
      </c>
      <c r="X7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3.6258016065858024E-2</v>
      </c>
    </row>
    <row r="80" spans="1:24" s="14" customFormat="1" ht="29.4" hidden="1" thickTop="1">
      <c r="A80" s="15" t="s">
        <v>0</v>
      </c>
      <c r="B80" s="15" t="s">
        <v>0</v>
      </c>
      <c r="C80" s="16" t="s">
        <v>624</v>
      </c>
      <c r="D80" s="16" t="s">
        <v>897</v>
      </c>
      <c r="E80" s="211" t="s">
        <v>1151</v>
      </c>
      <c r="F80" s="209" t="s">
        <v>320</v>
      </c>
      <c r="G80" s="15" t="s">
        <v>80</v>
      </c>
      <c r="H80" s="15" t="s">
        <v>99</v>
      </c>
      <c r="I80" s="17" t="s">
        <v>260</v>
      </c>
      <c r="J80" s="238">
        <v>1022.41</v>
      </c>
      <c r="K80" s="18" t="s">
        <v>7</v>
      </c>
      <c r="L80" s="16" t="s">
        <v>253</v>
      </c>
      <c r="M80" s="148" t="s">
        <v>190</v>
      </c>
      <c r="N80" s="19" t="str">
        <f>_xlfn.XLOOKUP(Calculations[[#This Row],[For XLOOKUP]],Factors[For XLOOKUP],Factors[Factor],"")</f>
        <v>Σ.Ε. CO₂ m.</v>
      </c>
      <c r="O80" s="19">
        <f>_xlfn.XLOOKUP(Calculations[[#This Row],[For XLOOKUP]],Factors[For XLOOKUP],Factors[Value],"")</f>
        <v>2.3432595615E-3</v>
      </c>
      <c r="P80" s="19" t="str">
        <f>_xlfn.XLOOKUP(Calculations[[#This Row],[For XLOOKUP]],Factors[For XLOOKUP],Factors[Units],"")</f>
        <v>tn CO2/lt</v>
      </c>
      <c r="Q80" s="19" t="str">
        <f>_xlfn.XLOOKUP(Calculations[[#This Row],[For XLOOKUP]],Factors[For XLOOKUP],Factors[Source],"")</f>
        <v>Greece. National Inventory Submissions 2024</v>
      </c>
      <c r="R80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2.395772008273215</v>
      </c>
      <c r="S80" s="19" t="str">
        <f>IF(LEFT(Calculations[[#This Row],[Emission Factor]],7)="Σ.Ε. CH",Calculations[[#This Row],[Value]]*Calculations[[#This Row],[Τιμή]],"-")</f>
        <v>-</v>
      </c>
      <c r="T8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" s="19" t="str">
        <f>IF(LEFT(Calculations[[#This Row],[Emission Factor]],3)="GWP",Calculations[[#This Row],[Τιμή]],"-")</f>
        <v>-</v>
      </c>
      <c r="V80" s="19" t="str">
        <f>IF(OR(Calculations[[#This Row],[Emission Factor]]="Σ.Ε. CO₂ eq",Calculations[[#This Row],[Emission Factor]]="CO₂ eq"),Calculations[[#This Row],[Value]]*Calculations[[#This Row],[Τιμή]],"-")</f>
        <v>-</v>
      </c>
      <c r="W80" s="19" t="str">
        <f>IF(Calculations[[#This Row],[Πηγή εκπομπών]]="Electricity consumed in office buildings and projects - market based",Calculations[[#This Row],[t CO2]],"")</f>
        <v/>
      </c>
      <c r="X8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2.395772008273215</v>
      </c>
    </row>
    <row r="81" spans="1:24" s="14" customFormat="1" ht="29.4" hidden="1" thickTop="1">
      <c r="A81" s="15" t="s">
        <v>0</v>
      </c>
      <c r="B81" s="15" t="s">
        <v>0</v>
      </c>
      <c r="C81" s="16" t="s">
        <v>624</v>
      </c>
      <c r="D81" s="77" t="s">
        <v>897</v>
      </c>
      <c r="E81" s="211" t="s">
        <v>1151</v>
      </c>
      <c r="F81" s="209" t="s">
        <v>320</v>
      </c>
      <c r="G81" s="15" t="s">
        <v>80</v>
      </c>
      <c r="H81" s="15" t="s">
        <v>99</v>
      </c>
      <c r="I81" s="17" t="s">
        <v>260</v>
      </c>
      <c r="J81" s="79">
        <v>1022.41</v>
      </c>
      <c r="K81" s="18" t="s">
        <v>7</v>
      </c>
      <c r="L81" s="16" t="s">
        <v>253</v>
      </c>
      <c r="M81" s="148" t="s">
        <v>192</v>
      </c>
      <c r="N81" s="19" t="str">
        <f>_xlfn.XLOOKUP(Calculations[[#This Row],[For XLOOKUP]],Factors[For XLOOKUP],Factors[Factor],"")</f>
        <v>Σ.Ε. CH₄ m.</v>
      </c>
      <c r="O81" s="19">
        <f>_xlfn.XLOOKUP(Calculations[[#This Row],[For XLOOKUP]],Factors[For XLOOKUP],Factors[Value],"")</f>
        <v>2.9862611012340788E-7</v>
      </c>
      <c r="P81" s="19" t="str">
        <f>_xlfn.XLOOKUP(Calculations[[#This Row],[For XLOOKUP]],Factors[For XLOOKUP],Factors[Units],"")</f>
        <v>tn CH₄/lt</v>
      </c>
      <c r="Q81" s="19" t="str">
        <f>_xlfn.XLOOKUP(Calculations[[#This Row],[For XLOOKUP]],Factors[For XLOOKUP],Factors[Source],"")</f>
        <v>Greece. National Inventory Submissions 2024</v>
      </c>
      <c r="R8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" s="19">
        <f>IF(LEFT(Calculations[[#This Row],[Emission Factor]],7)="Σ.Ε. CH",Calculations[[#This Row],[Value]]*Calculations[[#This Row],[Τιμή]],"-")</f>
        <v>3.0531832125127342E-4</v>
      </c>
      <c r="T8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" s="19" t="str">
        <f>IF(LEFT(Calculations[[#This Row],[Emission Factor]],3)="GWP",Calculations[[#This Row],[Τιμή]],"-")</f>
        <v>-</v>
      </c>
      <c r="V81" s="19" t="str">
        <f>IF(OR(Calculations[[#This Row],[Emission Factor]]="Σ.Ε. CO₂ eq",Calculations[[#This Row],[Emission Factor]]="CO₂ eq"),Calculations[[#This Row],[Value]]*Calculations[[#This Row],[Τιμή]],"-")</f>
        <v>-</v>
      </c>
      <c r="W81" s="19" t="str">
        <f>IF(Calculations[[#This Row],[Πηγή εκπομπών]]="Electricity consumed in office buildings and projects - market based",Calculations[[#This Row],[t CO2]],"")</f>
        <v/>
      </c>
      <c r="X8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8.5489129950356551E-3</v>
      </c>
    </row>
    <row r="82" spans="1:24" s="14" customFormat="1" ht="29.4" hidden="1" thickTop="1">
      <c r="A82" s="15" t="s">
        <v>0</v>
      </c>
      <c r="B82" s="15" t="s">
        <v>0</v>
      </c>
      <c r="C82" s="16" t="s">
        <v>624</v>
      </c>
      <c r="D82" s="77" t="s">
        <v>897</v>
      </c>
      <c r="E82" s="211" t="s">
        <v>1151</v>
      </c>
      <c r="F82" s="209" t="s">
        <v>320</v>
      </c>
      <c r="G82" s="15" t="s">
        <v>80</v>
      </c>
      <c r="H82" s="15" t="s">
        <v>99</v>
      </c>
      <c r="I82" s="17" t="s">
        <v>260</v>
      </c>
      <c r="J82" s="79">
        <v>1022.41</v>
      </c>
      <c r="K82" s="18" t="s">
        <v>7</v>
      </c>
      <c r="L82" s="16" t="s">
        <v>253</v>
      </c>
      <c r="M82" s="148" t="s">
        <v>194</v>
      </c>
      <c r="N82" s="19" t="str">
        <f>_xlfn.XLOOKUP(Calculations[[#This Row],[For XLOOKUP]],Factors[For XLOOKUP],Factors[Factor],"")</f>
        <v>Σ.Ε. N2O m.</v>
      </c>
      <c r="O82" s="19">
        <f>_xlfn.XLOOKUP(Calculations[[#This Row],[For XLOOKUP]],Factors[For XLOOKUP],Factors[Value],"")</f>
        <v>4.3350728455066983E-8</v>
      </c>
      <c r="P82" s="19" t="str">
        <f>_xlfn.XLOOKUP(Calculations[[#This Row],[For XLOOKUP]],Factors[For XLOOKUP],Factors[Units],"")</f>
        <v>tn N2O/lt</v>
      </c>
      <c r="Q82" s="19" t="str">
        <f>_xlfn.XLOOKUP(Calculations[[#This Row],[For XLOOKUP]],Factors[For XLOOKUP],Factors[Source],"")</f>
        <v>Greece. National Inventory Submissions 2024</v>
      </c>
      <c r="R8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" s="19" t="str">
        <f>IF(LEFT(Calculations[[#This Row],[Emission Factor]],7)="Σ.Ε. CH",Calculations[[#This Row],[Value]]*Calculations[[#This Row],[Τιμή]],"-")</f>
        <v>-</v>
      </c>
      <c r="T82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4.4322218279745035E-5</v>
      </c>
      <c r="U82" s="19" t="str">
        <f>IF(LEFT(Calculations[[#This Row],[Emission Factor]],3)="GWP",Calculations[[#This Row],[Τιμή]],"-")</f>
        <v>-</v>
      </c>
      <c r="V82" s="19" t="str">
        <f>IF(OR(Calculations[[#This Row],[Emission Factor]]="Σ.Ε. CO₂ eq",Calculations[[#This Row],[Emission Factor]]="CO₂ eq"),Calculations[[#This Row],[Value]]*Calculations[[#This Row],[Τιμή]],"-")</f>
        <v>-</v>
      </c>
      <c r="W82" s="19" t="str">
        <f>IF(Calculations[[#This Row],[Πηγή εκπομπών]]="Electricity consumed in office buildings and projects - market based",Calculations[[#This Row],[t CO2]],"")</f>
        <v/>
      </c>
      <c r="X8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1.1745387844132434E-2</v>
      </c>
    </row>
    <row r="83" spans="1:24" s="14" customFormat="1" ht="15" hidden="1" thickTop="1">
      <c r="A83" s="15" t="s">
        <v>0</v>
      </c>
      <c r="B83" s="15" t="s">
        <v>0</v>
      </c>
      <c r="C83" s="16" t="s">
        <v>624</v>
      </c>
      <c r="D83" s="77" t="s">
        <v>894</v>
      </c>
      <c r="E83" s="77"/>
      <c r="F83" s="77" t="s">
        <v>317</v>
      </c>
      <c r="G83" s="15" t="s">
        <v>80</v>
      </c>
      <c r="H83" s="15" t="s">
        <v>99</v>
      </c>
      <c r="I83" s="17" t="s">
        <v>100</v>
      </c>
      <c r="J83" s="238">
        <v>42388.039999999994</v>
      </c>
      <c r="K83" s="18" t="s">
        <v>7</v>
      </c>
      <c r="L83" s="16" t="s">
        <v>250</v>
      </c>
      <c r="M83" s="148" t="s">
        <v>221</v>
      </c>
      <c r="N83" s="19" t="str">
        <f>_xlfn.XLOOKUP(Calculations[[#This Row],[For XLOOKUP]],Factors[For XLOOKUP],Factors[Factor],"")</f>
        <v>Σ.Ε. CO₂ m.</v>
      </c>
      <c r="O83" s="19">
        <f>_xlfn.XLOOKUP(Calculations[[#This Row],[For XLOOKUP]],Factors[For XLOOKUP],Factors[Value],"")</f>
        <v>2.6092581300000001E-3</v>
      </c>
      <c r="P83" s="19" t="str">
        <f>_xlfn.XLOOKUP(Calculations[[#This Row],[For XLOOKUP]],Factors[For XLOOKUP],Factors[Units],"")</f>
        <v>tn CO2/lt</v>
      </c>
      <c r="Q83" s="19" t="str">
        <f>_xlfn.XLOOKUP(Calculations[[#This Row],[For XLOOKUP]],Factors[For XLOOKUP],Factors[Source],"")</f>
        <v>Greece. National Inventory Submissions 2024</v>
      </c>
      <c r="R83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110.60133798476518</v>
      </c>
      <c r="S83" s="19" t="str">
        <f>IF(LEFT(Calculations[[#This Row],[Emission Factor]],7)="Σ.Ε. CH",Calculations[[#This Row],[Value]]*Calculations[[#This Row],[Τιμή]],"-")</f>
        <v>-</v>
      </c>
      <c r="T8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" s="19" t="str">
        <f>IF(LEFT(Calculations[[#This Row],[Emission Factor]],3)="GWP",Calculations[[#This Row],[Τιμή]],"-")</f>
        <v>-</v>
      </c>
      <c r="V83" s="19" t="str">
        <f>IF(OR(Calculations[[#This Row],[Emission Factor]]="Σ.Ε. CO₂ eq",Calculations[[#This Row],[Emission Factor]]="CO₂ eq"),Calculations[[#This Row],[Value]]*Calculations[[#This Row],[Τιμή]],"-")</f>
        <v>-</v>
      </c>
      <c r="W83" s="19" t="str">
        <f>IF(Calculations[[#This Row],[Πηγή εκπομπών]]="Electricity consumed in office buildings and projects - market based",Calculations[[#This Row],[t CO2]],"")</f>
        <v/>
      </c>
      <c r="X8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110.60133798476518</v>
      </c>
    </row>
    <row r="84" spans="1:24" s="14" customFormat="1" ht="15" hidden="1" thickTop="1">
      <c r="A84" s="15" t="s">
        <v>0</v>
      </c>
      <c r="B84" s="15" t="s">
        <v>0</v>
      </c>
      <c r="C84" s="16" t="s">
        <v>624</v>
      </c>
      <c r="D84" s="77" t="s">
        <v>894</v>
      </c>
      <c r="E84" s="77"/>
      <c r="F84" s="77" t="s">
        <v>317</v>
      </c>
      <c r="G84" s="15" t="s">
        <v>80</v>
      </c>
      <c r="H84" s="15" t="s">
        <v>99</v>
      </c>
      <c r="I84" s="17" t="s">
        <v>100</v>
      </c>
      <c r="J84" s="79">
        <v>42388.039999999994</v>
      </c>
      <c r="K84" s="18" t="s">
        <v>7</v>
      </c>
      <c r="L84" s="16" t="s">
        <v>250</v>
      </c>
      <c r="M84" s="148" t="s">
        <v>223</v>
      </c>
      <c r="N84" s="19" t="str">
        <f>_xlfn.XLOOKUP(Calculations[[#This Row],[For XLOOKUP]],Factors[For XLOOKUP],Factors[Factor],"")</f>
        <v>Σ.Ε. CH₄ m.</v>
      </c>
      <c r="O84" s="19">
        <f>_xlfn.XLOOKUP(Calculations[[#This Row],[For XLOOKUP]],Factors[For XLOOKUP],Factors[Value],"")</f>
        <v>1.7372982352295353E-8</v>
      </c>
      <c r="P84" s="19" t="str">
        <f>_xlfn.XLOOKUP(Calculations[[#This Row],[For XLOOKUP]],Factors[For XLOOKUP],Factors[Units],"")</f>
        <v>tn CH₄/lt</v>
      </c>
      <c r="Q84" s="19" t="str">
        <f>_xlfn.XLOOKUP(Calculations[[#This Row],[For XLOOKUP]],Factors[For XLOOKUP],Factors[Source],"")</f>
        <v>Greece. National Inventory Submissions 2024</v>
      </c>
      <c r="R8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" s="19">
        <f>IF(LEFT(Calculations[[#This Row],[Emission Factor]],7)="Σ.Ε. CH",Calculations[[#This Row],[Value]]*Calculations[[#This Row],[Τιμή]],"-")</f>
        <v>7.3640667086838937E-4</v>
      </c>
      <c r="T8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" s="19" t="str">
        <f>IF(LEFT(Calculations[[#This Row],[Emission Factor]],3)="GWP",Calculations[[#This Row],[Τιμή]],"-")</f>
        <v>-</v>
      </c>
      <c r="V84" s="19" t="str">
        <f>IF(OR(Calculations[[#This Row],[Emission Factor]]="Σ.Ε. CO₂ eq",Calculations[[#This Row],[Emission Factor]]="CO₂ eq"),Calculations[[#This Row],[Value]]*Calculations[[#This Row],[Τιμή]],"-")</f>
        <v>-</v>
      </c>
      <c r="W84" s="19" t="str">
        <f>IF(Calculations[[#This Row],[Πηγή εκπομπών]]="Electricity consumed in office buildings and projects - market based",Calculations[[#This Row],[t CO2]],"")</f>
        <v/>
      </c>
      <c r="X8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2.0619386784314901E-2</v>
      </c>
    </row>
    <row r="85" spans="1:24" s="14" customFormat="1" ht="15" hidden="1" thickTop="1">
      <c r="A85" s="15" t="s">
        <v>0</v>
      </c>
      <c r="B85" s="15" t="s">
        <v>0</v>
      </c>
      <c r="C85" s="16" t="s">
        <v>624</v>
      </c>
      <c r="D85" s="77" t="s">
        <v>894</v>
      </c>
      <c r="E85" s="77"/>
      <c r="F85" s="77" t="s">
        <v>317</v>
      </c>
      <c r="G85" s="15" t="s">
        <v>80</v>
      </c>
      <c r="H85" s="15" t="s">
        <v>99</v>
      </c>
      <c r="I85" s="17" t="s">
        <v>100</v>
      </c>
      <c r="J85" s="79">
        <v>42388.039999999994</v>
      </c>
      <c r="K85" s="18" t="s">
        <v>7</v>
      </c>
      <c r="L85" s="16" t="s">
        <v>250</v>
      </c>
      <c r="M85" s="148" t="s">
        <v>225</v>
      </c>
      <c r="N85" s="19" t="str">
        <f>_xlfn.XLOOKUP(Calculations[[#This Row],[For XLOOKUP]],Factors[For XLOOKUP],Factors[Factor],"")</f>
        <v>Σ.Ε. N2O m.</v>
      </c>
      <c r="O85" s="19">
        <f>_xlfn.XLOOKUP(Calculations[[#This Row],[For XLOOKUP]],Factors[For XLOOKUP],Factors[Value],"")</f>
        <v>7.4692304125650385E-8</v>
      </c>
      <c r="P85" s="19" t="str">
        <f>_xlfn.XLOOKUP(Calculations[[#This Row],[For XLOOKUP]],Factors[For XLOOKUP],Factors[Units],"")</f>
        <v>tn N2O/lt</v>
      </c>
      <c r="Q85" s="19" t="str">
        <f>_xlfn.XLOOKUP(Calculations[[#This Row],[For XLOOKUP]],Factors[For XLOOKUP],Factors[Source],"")</f>
        <v>Greece. National Inventory Submissions 2024</v>
      </c>
      <c r="R8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" s="19" t="str">
        <f>IF(LEFT(Calculations[[#This Row],[Emission Factor]],7)="Σ.Ε. CH",Calculations[[#This Row],[Value]]*Calculations[[#This Row],[Τιμή]],"-")</f>
        <v>-</v>
      </c>
      <c r="T85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3.1660603749702329E-3</v>
      </c>
      <c r="U85" s="19" t="str">
        <f>IF(LEFT(Calculations[[#This Row],[Emission Factor]],3)="GWP",Calculations[[#This Row],[Τιμή]],"-")</f>
        <v>-</v>
      </c>
      <c r="V85" s="19" t="str">
        <f>IF(OR(Calculations[[#This Row],[Emission Factor]]="Σ.Ε. CO₂ eq",Calculations[[#This Row],[Emission Factor]]="CO₂ eq"),Calculations[[#This Row],[Value]]*Calculations[[#This Row],[Τιμή]],"-")</f>
        <v>-</v>
      </c>
      <c r="W85" s="19" t="str">
        <f>IF(Calculations[[#This Row],[Πηγή εκπομπών]]="Electricity consumed in office buildings and projects - market based",Calculations[[#This Row],[t CO2]],"")</f>
        <v/>
      </c>
      <c r="X8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0.83900599936711173</v>
      </c>
    </row>
    <row r="86" spans="1:24" s="14" customFormat="1" ht="15" hidden="1" thickTop="1">
      <c r="A86" s="15" t="s">
        <v>0</v>
      </c>
      <c r="B86" s="15" t="s">
        <v>0</v>
      </c>
      <c r="C86" s="16" t="s">
        <v>624</v>
      </c>
      <c r="D86" s="77" t="s">
        <v>895</v>
      </c>
      <c r="E86" s="16" t="s">
        <v>1179</v>
      </c>
      <c r="F86" s="77" t="s">
        <v>318</v>
      </c>
      <c r="G86" s="15" t="s">
        <v>80</v>
      </c>
      <c r="H86" s="15" t="s">
        <v>99</v>
      </c>
      <c r="I86" s="17" t="s">
        <v>100</v>
      </c>
      <c r="J86" s="238">
        <v>281826</v>
      </c>
      <c r="K86" s="18" t="s">
        <v>7</v>
      </c>
      <c r="L86" s="16" t="s">
        <v>250</v>
      </c>
      <c r="M86" s="148" t="s">
        <v>221</v>
      </c>
      <c r="N86" s="19" t="str">
        <f>_xlfn.XLOOKUP(Calculations[[#This Row],[For XLOOKUP]],Factors[For XLOOKUP],Factors[Factor],"")</f>
        <v>Σ.Ε. CO₂ m.</v>
      </c>
      <c r="O86" s="19">
        <f>_xlfn.XLOOKUP(Calculations[[#This Row],[For XLOOKUP]],Factors[For XLOOKUP],Factors[Value],"")</f>
        <v>2.6092581300000001E-3</v>
      </c>
      <c r="P86" s="19" t="str">
        <f>_xlfn.XLOOKUP(Calculations[[#This Row],[For XLOOKUP]],Factors[For XLOOKUP],Factors[Units],"")</f>
        <v>tn CO2/lt</v>
      </c>
      <c r="Q86" s="19" t="str">
        <f>_xlfn.XLOOKUP(Calculations[[#This Row],[For XLOOKUP]],Factors[For XLOOKUP],Factors[Source],"")</f>
        <v>Greece. National Inventory Submissions 2024</v>
      </c>
      <c r="R86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735.35678174537998</v>
      </c>
      <c r="S86" s="19" t="str">
        <f>IF(LEFT(Calculations[[#This Row],[Emission Factor]],7)="Σ.Ε. CH",Calculations[[#This Row],[Value]]*Calculations[[#This Row],[Τιμή]],"-")</f>
        <v>-</v>
      </c>
      <c r="T8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" s="19" t="str">
        <f>IF(LEFT(Calculations[[#This Row],[Emission Factor]],3)="GWP",Calculations[[#This Row],[Τιμή]],"-")</f>
        <v>-</v>
      </c>
      <c r="V86" s="19" t="str">
        <f>IF(OR(Calculations[[#This Row],[Emission Factor]]="Σ.Ε. CO₂ eq",Calculations[[#This Row],[Emission Factor]]="CO₂ eq"),Calculations[[#This Row],[Value]]*Calculations[[#This Row],[Τιμή]],"-")</f>
        <v>-</v>
      </c>
      <c r="W86" s="19" t="str">
        <f>IF(Calculations[[#This Row],[Πηγή εκπομπών]]="Electricity consumed in office buildings and projects - market based",Calculations[[#This Row],[t CO2]],"")</f>
        <v/>
      </c>
      <c r="X8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735.35678174537998</v>
      </c>
    </row>
    <row r="87" spans="1:24" s="14" customFormat="1" ht="15" hidden="1" thickTop="1">
      <c r="A87" s="15" t="s">
        <v>0</v>
      </c>
      <c r="B87" s="15" t="s">
        <v>0</v>
      </c>
      <c r="C87" s="16" t="s">
        <v>624</v>
      </c>
      <c r="D87" s="77" t="s">
        <v>895</v>
      </c>
      <c r="E87" s="16" t="s">
        <v>1179</v>
      </c>
      <c r="F87" s="77" t="s">
        <v>318</v>
      </c>
      <c r="G87" s="15" t="s">
        <v>80</v>
      </c>
      <c r="H87" s="15" t="s">
        <v>99</v>
      </c>
      <c r="I87" s="17" t="s">
        <v>100</v>
      </c>
      <c r="J87" s="79" cm="1">
        <f t="array" ref="J87">_xlfn.XLOOKUP(1,(Calculations[Πληροφορίες]=Calculations[[#This Row],[Πληροφορίες]])*(Calculations[Εταιρεία]=F87),Calculations[Τιμή])</f>
        <v>281826</v>
      </c>
      <c r="K87" s="18" t="s">
        <v>7</v>
      </c>
      <c r="L87" s="16" t="s">
        <v>250</v>
      </c>
      <c r="M87" s="148" t="s">
        <v>223</v>
      </c>
      <c r="N87" s="19" t="str">
        <f>_xlfn.XLOOKUP(Calculations[[#This Row],[For XLOOKUP]],Factors[For XLOOKUP],Factors[Factor],"")</f>
        <v>Σ.Ε. CH₄ m.</v>
      </c>
      <c r="O87" s="19">
        <f>_xlfn.XLOOKUP(Calculations[[#This Row],[For XLOOKUP]],Factors[For XLOOKUP],Factors[Value],"")</f>
        <v>1.7372982352295353E-8</v>
      </c>
      <c r="P87" s="19" t="str">
        <f>_xlfn.XLOOKUP(Calculations[[#This Row],[For XLOOKUP]],Factors[For XLOOKUP],Factors[Units],"")</f>
        <v>tn CH₄/lt</v>
      </c>
      <c r="Q87" s="19" t="str">
        <f>_xlfn.XLOOKUP(Calculations[[#This Row],[For XLOOKUP]],Factors[For XLOOKUP],Factors[Source],"")</f>
        <v>Greece. National Inventory Submissions 2024</v>
      </c>
      <c r="R8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" s="19">
        <f>IF(LEFT(Calculations[[#This Row],[Emission Factor]],7)="Σ.Ε. CH",Calculations[[#This Row],[Value]]*Calculations[[#This Row],[Τιμή]],"-")</f>
        <v>4.8961581244179901E-3</v>
      </c>
      <c r="T8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" s="19" t="str">
        <f>IF(LEFT(Calculations[[#This Row],[Emission Factor]],3)="GWP",Calculations[[#This Row],[Τιμή]],"-")</f>
        <v>-</v>
      </c>
      <c r="V87" s="19" t="str">
        <f>IF(OR(Calculations[[#This Row],[Emission Factor]]="Σ.Ε. CO₂ eq",Calculations[[#This Row],[Emission Factor]]="CO₂ eq"),Calculations[[#This Row],[Value]]*Calculations[[#This Row],[Τιμή]],"-")</f>
        <v>-</v>
      </c>
      <c r="W87" s="19" t="str">
        <f>IF(Calculations[[#This Row],[Πηγή εκπομπών]]="Electricity consumed in office buildings and projects - market based",Calculations[[#This Row],[t CO2]],"")</f>
        <v/>
      </c>
      <c r="X8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0.13709242748370373</v>
      </c>
    </row>
    <row r="88" spans="1:24" s="14" customFormat="1" ht="15" hidden="1" thickTop="1">
      <c r="A88" s="15" t="s">
        <v>0</v>
      </c>
      <c r="B88" s="15" t="s">
        <v>0</v>
      </c>
      <c r="C88" s="16" t="s">
        <v>624</v>
      </c>
      <c r="D88" s="77" t="s">
        <v>895</v>
      </c>
      <c r="E88" s="16" t="s">
        <v>1179</v>
      </c>
      <c r="F88" s="77" t="s">
        <v>318</v>
      </c>
      <c r="G88" s="15" t="s">
        <v>80</v>
      </c>
      <c r="H88" s="15" t="s">
        <v>99</v>
      </c>
      <c r="I88" s="17" t="s">
        <v>100</v>
      </c>
      <c r="J88" s="79" cm="1">
        <f t="array" ref="J88">_xlfn.XLOOKUP(1,(Calculations[Πληροφορίες]=Calculations[[#This Row],[Πληροφορίες]])*(Calculations[Εταιρεία]=F88),Calculations[Τιμή])</f>
        <v>281826</v>
      </c>
      <c r="K88" s="18" t="s">
        <v>7</v>
      </c>
      <c r="L88" s="16" t="s">
        <v>250</v>
      </c>
      <c r="M88" s="148" t="s">
        <v>225</v>
      </c>
      <c r="N88" s="19" t="str">
        <f>_xlfn.XLOOKUP(Calculations[[#This Row],[For XLOOKUP]],Factors[For XLOOKUP],Factors[Factor],"")</f>
        <v>Σ.Ε. N2O m.</v>
      </c>
      <c r="O88" s="19">
        <f>_xlfn.XLOOKUP(Calculations[[#This Row],[For XLOOKUP]],Factors[For XLOOKUP],Factors[Value],"")</f>
        <v>7.4692304125650385E-8</v>
      </c>
      <c r="P88" s="19" t="str">
        <f>_xlfn.XLOOKUP(Calculations[[#This Row],[For XLOOKUP]],Factors[For XLOOKUP],Factors[Units],"")</f>
        <v>tn N2O/lt</v>
      </c>
      <c r="Q88" s="19" t="str">
        <f>_xlfn.XLOOKUP(Calculations[[#This Row],[For XLOOKUP]],Factors[For XLOOKUP],Factors[Source],"")</f>
        <v>Greece. National Inventory Submissions 2024</v>
      </c>
      <c r="R8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" s="19" t="str">
        <f>IF(LEFT(Calculations[[#This Row],[Emission Factor]],7)="Σ.Ε. CH",Calculations[[#This Row],[Value]]*Calculations[[#This Row],[Τιμή]],"-")</f>
        <v>-</v>
      </c>
      <c r="T88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2.1050233302515545E-2</v>
      </c>
      <c r="U88" s="19" t="str">
        <f>IF(LEFT(Calculations[[#This Row],[Emission Factor]],3)="GWP",Calculations[[#This Row],[Τιμή]],"-")</f>
        <v>-</v>
      </c>
      <c r="V88" s="19" t="str">
        <f>IF(OR(Calculations[[#This Row],[Emission Factor]]="Σ.Ε. CO₂ eq",Calculations[[#This Row],[Emission Factor]]="CO₂ eq"),Calculations[[#This Row],[Value]]*Calculations[[#This Row],[Τιμή]],"-")</f>
        <v>-</v>
      </c>
      <c r="W88" s="19" t="str">
        <f>IF(Calculations[[#This Row],[Πηγή εκπομπών]]="Electricity consumed in office buildings and projects - market based",Calculations[[#This Row],[t CO2]],"")</f>
        <v/>
      </c>
      <c r="X8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5.5783118251666197</v>
      </c>
    </row>
    <row r="89" spans="1:24" s="14" customFormat="1" ht="15" hidden="1" thickTop="1">
      <c r="A89" s="15" t="s">
        <v>0</v>
      </c>
      <c r="B89" s="15" t="s">
        <v>0</v>
      </c>
      <c r="C89" s="16" t="s">
        <v>624</v>
      </c>
      <c r="D89" s="16" t="s">
        <v>895</v>
      </c>
      <c r="E89" s="16" t="s">
        <v>1141</v>
      </c>
      <c r="F89" s="77" t="s">
        <v>312</v>
      </c>
      <c r="G89" s="15" t="s">
        <v>80</v>
      </c>
      <c r="H89" s="15" t="s">
        <v>99</v>
      </c>
      <c r="I89" s="17" t="s">
        <v>100</v>
      </c>
      <c r="J89" s="238">
        <v>298734.89</v>
      </c>
      <c r="K89" s="18" t="s">
        <v>7</v>
      </c>
      <c r="L89" s="16" t="s">
        <v>250</v>
      </c>
      <c r="M89" s="148" t="s">
        <v>221</v>
      </c>
      <c r="N89" s="19" t="str">
        <f>_xlfn.XLOOKUP(Calculations[[#This Row],[For XLOOKUP]],Factors[For XLOOKUP],Factors[Factor],"")</f>
        <v>Σ.Ε. CO₂ m.</v>
      </c>
      <c r="O89" s="19">
        <f>_xlfn.XLOOKUP(Calculations[[#This Row],[For XLOOKUP]],Factors[For XLOOKUP],Factors[Value],"")</f>
        <v>2.6092581300000001E-3</v>
      </c>
      <c r="P89" s="19" t="str">
        <f>_xlfn.XLOOKUP(Calculations[[#This Row],[For XLOOKUP]],Factors[For XLOOKUP],Factors[Units],"")</f>
        <v>tn CO2/lt</v>
      </c>
      <c r="Q89" s="19" t="str">
        <f>_xlfn.XLOOKUP(Calculations[[#This Row],[For XLOOKUP]],Factors[For XLOOKUP],Factors[Source],"")</f>
        <v>Greece. National Inventory Submissions 2024</v>
      </c>
      <c r="R89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779.47644044715571</v>
      </c>
      <c r="S89" s="19" t="str">
        <f>IF(LEFT(Calculations[[#This Row],[Emission Factor]],7)="Σ.Ε. CH",Calculations[[#This Row],[Value]]*Calculations[[#This Row],[Τιμή]],"-")</f>
        <v>-</v>
      </c>
      <c r="T8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" s="19" t="str">
        <f>IF(LEFT(Calculations[[#This Row],[Emission Factor]],3)="GWP",Calculations[[#This Row],[Τιμή]],"-")</f>
        <v>-</v>
      </c>
      <c r="V89" s="19" t="str">
        <f>IF(OR(Calculations[[#This Row],[Emission Factor]]="Σ.Ε. CO₂ eq",Calculations[[#This Row],[Emission Factor]]="CO₂ eq"),Calculations[[#This Row],[Value]]*Calculations[[#This Row],[Τιμή]],"-")</f>
        <v>-</v>
      </c>
      <c r="W89" s="19" t="str">
        <f>IF(Calculations[[#This Row],[Πηγή εκπομπών]]="Electricity consumed in office buildings and projects - market based",Calculations[[#This Row],[t CO2]],"")</f>
        <v/>
      </c>
      <c r="X8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779.47644044715571</v>
      </c>
    </row>
    <row r="90" spans="1:24" s="14" customFormat="1" ht="15" hidden="1" thickTop="1">
      <c r="A90" s="15" t="s">
        <v>0</v>
      </c>
      <c r="B90" s="15" t="s">
        <v>0</v>
      </c>
      <c r="C90" s="16" t="s">
        <v>624</v>
      </c>
      <c r="D90" s="77" t="s">
        <v>895</v>
      </c>
      <c r="E90" s="16" t="s">
        <v>1141</v>
      </c>
      <c r="F90" s="77" t="s">
        <v>312</v>
      </c>
      <c r="G90" s="15" t="s">
        <v>80</v>
      </c>
      <c r="H90" s="15" t="s">
        <v>99</v>
      </c>
      <c r="I90" s="17" t="s">
        <v>100</v>
      </c>
      <c r="J90" s="79" cm="1">
        <f t="array" ref="J90">_xlfn.XLOOKUP(1,(Calculations[Πληροφορίες]=Calculations[[#This Row],[Πληροφορίες]])*(Calculations[Εταιρεία]=F90),Calculations[Τιμή])</f>
        <v>298734.89</v>
      </c>
      <c r="K90" s="18" t="s">
        <v>7</v>
      </c>
      <c r="L90" s="16" t="s">
        <v>250</v>
      </c>
      <c r="M90" s="148" t="s">
        <v>223</v>
      </c>
      <c r="N90" s="19" t="str">
        <f>_xlfn.XLOOKUP(Calculations[[#This Row],[For XLOOKUP]],Factors[For XLOOKUP],Factors[Factor],"")</f>
        <v>Σ.Ε. CH₄ m.</v>
      </c>
      <c r="O90" s="19">
        <f>_xlfn.XLOOKUP(Calculations[[#This Row],[For XLOOKUP]],Factors[For XLOOKUP],Factors[Value],"")</f>
        <v>1.7372982352295353E-8</v>
      </c>
      <c r="P90" s="19" t="str">
        <f>_xlfn.XLOOKUP(Calculations[[#This Row],[For XLOOKUP]],Factors[For XLOOKUP],Factors[Units],"")</f>
        <v>tn CH₄/lt</v>
      </c>
      <c r="Q90" s="19" t="str">
        <f>_xlfn.XLOOKUP(Calculations[[#This Row],[For XLOOKUP]],Factors[For XLOOKUP],Factors[Source],"")</f>
        <v>Greece. National Inventory Submissions 2024</v>
      </c>
      <c r="R9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" s="19">
        <f>IF(LEFT(Calculations[[#This Row],[Emission Factor]],7)="Σ.Ε. CH",Calculations[[#This Row],[Value]]*Calculations[[#This Row],[Τιμή]],"-")</f>
        <v>5.1899159719848934E-3</v>
      </c>
      <c r="T9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" s="19" t="str">
        <f>IF(LEFT(Calculations[[#This Row],[Emission Factor]],3)="GWP",Calculations[[#This Row],[Τιμή]],"-")</f>
        <v>-</v>
      </c>
      <c r="V90" s="19" t="str">
        <f>IF(OR(Calculations[[#This Row],[Emission Factor]]="Σ.Ε. CO₂ eq",Calculations[[#This Row],[Emission Factor]]="CO₂ eq"),Calculations[[#This Row],[Value]]*Calculations[[#This Row],[Τιμή]],"-")</f>
        <v>-</v>
      </c>
      <c r="W90" s="19" t="str">
        <f>IF(Calculations[[#This Row],[Πηγή εκπομπών]]="Electricity consumed in office buildings and projects - market based",Calculations[[#This Row],[t CO2]],"")</f>
        <v/>
      </c>
      <c r="X9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0.14531764721557702</v>
      </c>
    </row>
    <row r="91" spans="1:24" s="14" customFormat="1" ht="15" hidden="1" thickTop="1">
      <c r="A91" s="15" t="s">
        <v>0</v>
      </c>
      <c r="B91" s="15" t="s">
        <v>0</v>
      </c>
      <c r="C91" s="16" t="s">
        <v>624</v>
      </c>
      <c r="D91" s="77" t="s">
        <v>895</v>
      </c>
      <c r="E91" s="16" t="s">
        <v>1141</v>
      </c>
      <c r="F91" s="77" t="s">
        <v>312</v>
      </c>
      <c r="G91" s="15" t="s">
        <v>80</v>
      </c>
      <c r="H91" s="15" t="s">
        <v>99</v>
      </c>
      <c r="I91" s="17" t="s">
        <v>100</v>
      </c>
      <c r="J91" s="79" cm="1">
        <f t="array" ref="J91">_xlfn.XLOOKUP(1,(Calculations[Πληροφορίες]=Calculations[[#This Row],[Πληροφορίες]])*(Calculations[Εταιρεία]=F91),Calculations[Τιμή])</f>
        <v>298734.89</v>
      </c>
      <c r="K91" s="18" t="s">
        <v>7</v>
      </c>
      <c r="L91" s="16" t="s">
        <v>250</v>
      </c>
      <c r="M91" s="148" t="s">
        <v>225</v>
      </c>
      <c r="N91" s="19" t="str">
        <f>_xlfn.XLOOKUP(Calculations[[#This Row],[For XLOOKUP]],Factors[For XLOOKUP],Factors[Factor],"")</f>
        <v>Σ.Ε. N2O m.</v>
      </c>
      <c r="O91" s="19">
        <f>_xlfn.XLOOKUP(Calculations[[#This Row],[For XLOOKUP]],Factors[For XLOOKUP],Factors[Value],"")</f>
        <v>7.4692304125650385E-8</v>
      </c>
      <c r="P91" s="19" t="str">
        <f>_xlfn.XLOOKUP(Calculations[[#This Row],[For XLOOKUP]],Factors[For XLOOKUP],Factors[Units],"")</f>
        <v>tn N2O/lt</v>
      </c>
      <c r="Q91" s="19" t="str">
        <f>_xlfn.XLOOKUP(Calculations[[#This Row],[For XLOOKUP]],Factors[For XLOOKUP],Factors[Source],"")</f>
        <v>Greece. National Inventory Submissions 2024</v>
      </c>
      <c r="R9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" s="19" t="str">
        <f>IF(LEFT(Calculations[[#This Row],[Emission Factor]],7)="Σ.Ε. CH",Calculations[[#This Row],[Value]]*Calculations[[#This Row],[Τιμή]],"-")</f>
        <v>-</v>
      </c>
      <c r="T91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2.2313197256822716E-2</v>
      </c>
      <c r="U91" s="19" t="str">
        <f>IF(LEFT(Calculations[[#This Row],[Emission Factor]],3)="GWP",Calculations[[#This Row],[Τιμή]],"-")</f>
        <v>-</v>
      </c>
      <c r="V91" s="19" t="str">
        <f>IF(OR(Calculations[[#This Row],[Emission Factor]]="Σ.Ε. CO₂ eq",Calculations[[#This Row],[Emission Factor]]="CO₂ eq"),Calculations[[#This Row],[Value]]*Calculations[[#This Row],[Τιμή]],"-")</f>
        <v>-</v>
      </c>
      <c r="W91" s="19" t="str">
        <f>IF(Calculations[[#This Row],[Πηγή εκπομπών]]="Electricity consumed in office buildings and projects - market based",Calculations[[#This Row],[t CO2]],"")</f>
        <v/>
      </c>
      <c r="X9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5.9129972730580196</v>
      </c>
    </row>
    <row r="92" spans="1:24" s="14" customFormat="1" ht="15" hidden="1" thickTop="1">
      <c r="A92" s="15" t="s">
        <v>0</v>
      </c>
      <c r="B92" s="15" t="s">
        <v>0</v>
      </c>
      <c r="C92" s="16" t="s">
        <v>624</v>
      </c>
      <c r="D92" s="77" t="s">
        <v>894</v>
      </c>
      <c r="E92" s="16"/>
      <c r="F92" s="77" t="s">
        <v>317</v>
      </c>
      <c r="G92" s="15" t="s">
        <v>80</v>
      </c>
      <c r="H92" s="15" t="s">
        <v>99</v>
      </c>
      <c r="I92" s="17" t="s">
        <v>260</v>
      </c>
      <c r="J92" s="238">
        <v>4513.13</v>
      </c>
      <c r="K92" s="18" t="s">
        <v>7</v>
      </c>
      <c r="L92" s="16" t="s">
        <v>255</v>
      </c>
      <c r="M92" s="148" t="s">
        <v>222</v>
      </c>
      <c r="N92" s="19" t="str">
        <f>_xlfn.XLOOKUP(Calculations[[#This Row],[For XLOOKUP]],Factors[For XLOOKUP],Factors[Factor],"")</f>
        <v>Σ.Ε. CO₂ m.</v>
      </c>
      <c r="O92" s="19">
        <f>_xlfn.XLOOKUP(Calculations[[#This Row],[For XLOOKUP]],Factors[For XLOOKUP],Factors[Value],"")</f>
        <v>2.3432595615E-3</v>
      </c>
      <c r="P92" s="19" t="str">
        <f>_xlfn.XLOOKUP(Calculations[[#This Row],[For XLOOKUP]],Factors[For XLOOKUP],Factors[Units],"")</f>
        <v>tn CO2/lt</v>
      </c>
      <c r="Q92" s="19" t="str">
        <f>_xlfn.XLOOKUP(Calculations[[#This Row],[For XLOOKUP]],Factors[For XLOOKUP],Factors[Source],"")</f>
        <v>Greece. National Inventory Submissions 2024</v>
      </c>
      <c r="R92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10.575435024792496</v>
      </c>
      <c r="S92" s="19" t="str">
        <f>IF(LEFT(Calculations[[#This Row],[Emission Factor]],7)="Σ.Ε. CH",Calculations[[#This Row],[Value]]*Calculations[[#This Row],[Τιμή]],"-")</f>
        <v>-</v>
      </c>
      <c r="T9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" s="19" t="str">
        <f>IF(LEFT(Calculations[[#This Row],[Emission Factor]],3)="GWP",Calculations[[#This Row],[Τιμή]],"-")</f>
        <v>-</v>
      </c>
      <c r="V92" s="19" t="str">
        <f>IF(OR(Calculations[[#This Row],[Emission Factor]]="Σ.Ε. CO₂ eq",Calculations[[#This Row],[Emission Factor]]="CO₂ eq"),Calculations[[#This Row],[Value]]*Calculations[[#This Row],[Τιμή]],"-")</f>
        <v>-</v>
      </c>
      <c r="W92" s="19" t="str">
        <f>IF(Calculations[[#This Row],[Πηγή εκπομπών]]="Electricity consumed in office buildings and projects - market based",Calculations[[#This Row],[t CO2]],"")</f>
        <v/>
      </c>
      <c r="X9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10.575435024792496</v>
      </c>
    </row>
    <row r="93" spans="1:24" s="14" customFormat="1" ht="15" hidden="1" thickTop="1">
      <c r="A93" s="15" t="s">
        <v>0</v>
      </c>
      <c r="B93" s="15" t="s">
        <v>0</v>
      </c>
      <c r="C93" s="16" t="s">
        <v>624</v>
      </c>
      <c r="D93" s="77" t="s">
        <v>894</v>
      </c>
      <c r="E93" s="16"/>
      <c r="F93" s="77" t="s">
        <v>317</v>
      </c>
      <c r="G93" s="15" t="s">
        <v>80</v>
      </c>
      <c r="H93" s="15" t="s">
        <v>99</v>
      </c>
      <c r="I93" s="17" t="s">
        <v>260</v>
      </c>
      <c r="J93" s="79" cm="1">
        <f t="array" ref="J93">_xlfn.XLOOKUP(1,(Calculations[Πληροφορίες]=Calculations[[#This Row],[Πληροφορίες]])*(Calculations[Εταιρεία]=F93),Calculations[Τιμή])</f>
        <v>4513.13</v>
      </c>
      <c r="K93" s="18" t="s">
        <v>7</v>
      </c>
      <c r="L93" s="16" t="s">
        <v>255</v>
      </c>
      <c r="M93" s="148" t="s">
        <v>224</v>
      </c>
      <c r="N93" s="19" t="str">
        <f>_xlfn.XLOOKUP(Calculations[[#This Row],[For XLOOKUP]],Factors[For XLOOKUP],Factors[Factor],"")</f>
        <v>Σ.Ε. CH₄ m.</v>
      </c>
      <c r="O93" s="19">
        <f>_xlfn.XLOOKUP(Calculations[[#This Row],[For XLOOKUP]],Factors[For XLOOKUP],Factors[Value],"")</f>
        <v>5.3615742548369984E-7</v>
      </c>
      <c r="P93" s="19" t="str">
        <f>_xlfn.XLOOKUP(Calculations[[#This Row],[For XLOOKUP]],Factors[For XLOOKUP],Factors[Units],"")</f>
        <v>tn CH₄/lt</v>
      </c>
      <c r="Q93" s="19" t="str">
        <f>_xlfn.XLOOKUP(Calculations[[#This Row],[For XLOOKUP]],Factors[For XLOOKUP],Factors[Source],"")</f>
        <v>Greece. National Inventory Submissions 2024</v>
      </c>
      <c r="R9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" s="19">
        <f>IF(LEFT(Calculations[[#This Row],[Emission Factor]],7)="Σ.Ε. CH",Calculations[[#This Row],[Value]]*Calculations[[#This Row],[Τιμή]],"-")</f>
        <v>2.4197481616732505E-3</v>
      </c>
      <c r="T9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" s="19" t="str">
        <f>IF(LEFT(Calculations[[#This Row],[Emission Factor]],3)="GWP",Calculations[[#This Row],[Τιμή]],"-")</f>
        <v>-</v>
      </c>
      <c r="V93" s="19" t="str">
        <f>IF(OR(Calculations[[#This Row],[Emission Factor]]="Σ.Ε. CO₂ eq",Calculations[[#This Row],[Emission Factor]]="CO₂ eq"),Calculations[[#This Row],[Value]]*Calculations[[#This Row],[Τιμή]],"-")</f>
        <v>-</v>
      </c>
      <c r="W93" s="19" t="str">
        <f>IF(Calculations[[#This Row],[Πηγή εκπομπών]]="Electricity consumed in office buildings and projects - market based",Calculations[[#This Row],[t CO2]],"")</f>
        <v/>
      </c>
      <c r="X9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6.7752948526851015E-2</v>
      </c>
    </row>
    <row r="94" spans="1:24" s="14" customFormat="1" ht="15" hidden="1" thickTop="1">
      <c r="A94" s="15" t="s">
        <v>0</v>
      </c>
      <c r="B94" s="15" t="s">
        <v>0</v>
      </c>
      <c r="C94" s="16" t="s">
        <v>624</v>
      </c>
      <c r="D94" s="77" t="s">
        <v>894</v>
      </c>
      <c r="E94" s="16"/>
      <c r="F94" s="77" t="s">
        <v>317</v>
      </c>
      <c r="G94" s="15" t="s">
        <v>80</v>
      </c>
      <c r="H94" s="15" t="s">
        <v>99</v>
      </c>
      <c r="I94" s="17" t="s">
        <v>260</v>
      </c>
      <c r="J94" s="79" cm="1">
        <f t="array" ref="J94">_xlfn.XLOOKUP(1,(Calculations[Πληροφορίες]=Calculations[[#This Row],[Πληροφορίες]])*(Calculations[Εταιρεία]=F94),Calculations[Τιμή])</f>
        <v>4513.13</v>
      </c>
      <c r="K94" s="18" t="s">
        <v>7</v>
      </c>
      <c r="L94" s="16" t="s">
        <v>255</v>
      </c>
      <c r="M94" s="148" t="s">
        <v>226</v>
      </c>
      <c r="N94" s="19" t="str">
        <f>_xlfn.XLOOKUP(Calculations[[#This Row],[For XLOOKUP]],Factors[For XLOOKUP],Factors[Factor],"")</f>
        <v>Σ.Ε. N2O m.</v>
      </c>
      <c r="O94" s="19">
        <f>_xlfn.XLOOKUP(Calculations[[#This Row],[For XLOOKUP]],Factors[For XLOOKUP],Factors[Value],"")</f>
        <v>8.8029037706651387E-8</v>
      </c>
      <c r="P94" s="19" t="str">
        <f>_xlfn.XLOOKUP(Calculations[[#This Row],[For XLOOKUP]],Factors[For XLOOKUP],Factors[Units],"")</f>
        <v>tn N2O/lt</v>
      </c>
      <c r="Q94" s="19" t="str">
        <f>_xlfn.XLOOKUP(Calculations[[#This Row],[For XLOOKUP]],Factors[For XLOOKUP],Factors[Source],"")</f>
        <v>Greece. National Inventory Submissions 2024</v>
      </c>
      <c r="R9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" s="19" t="str">
        <f>IF(LEFT(Calculations[[#This Row],[Emission Factor]],7)="Σ.Ε. CH",Calculations[[#This Row],[Value]]*Calculations[[#This Row],[Τιμή]],"-")</f>
        <v>-</v>
      </c>
      <c r="T94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3.9728649094501956E-4</v>
      </c>
      <c r="U94" s="19" t="str">
        <f>IF(LEFT(Calculations[[#This Row],[Emission Factor]],3)="GWP",Calculations[[#This Row],[Τιμή]],"-")</f>
        <v>-</v>
      </c>
      <c r="V94" s="19" t="str">
        <f>IF(OR(Calculations[[#This Row],[Emission Factor]]="Σ.Ε. CO₂ eq",Calculations[[#This Row],[Emission Factor]]="CO₂ eq"),Calculations[[#This Row],[Value]]*Calculations[[#This Row],[Τιμή]],"-")</f>
        <v>-</v>
      </c>
      <c r="W94" s="19" t="str">
        <f>IF(Calculations[[#This Row],[Πηγή εκπομπών]]="Electricity consumed in office buildings and projects - market based",Calculations[[#This Row],[t CO2]],"")</f>
        <v/>
      </c>
      <c r="X9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0.10528092010043018</v>
      </c>
    </row>
    <row r="95" spans="1:24" s="14" customFormat="1" ht="15" hidden="1" thickTop="1">
      <c r="A95" s="15" t="s">
        <v>0</v>
      </c>
      <c r="B95" s="15" t="s">
        <v>0</v>
      </c>
      <c r="C95" s="16" t="s">
        <v>624</v>
      </c>
      <c r="D95" s="77" t="s">
        <v>895</v>
      </c>
      <c r="E95" s="77" t="s">
        <v>1179</v>
      </c>
      <c r="F95" s="77" t="s">
        <v>318</v>
      </c>
      <c r="G95" s="15" t="s">
        <v>80</v>
      </c>
      <c r="H95" s="15" t="s">
        <v>99</v>
      </c>
      <c r="I95" s="17" t="s">
        <v>260</v>
      </c>
      <c r="J95" s="238">
        <v>4558</v>
      </c>
      <c r="K95" s="18" t="s">
        <v>7</v>
      </c>
      <c r="L95" s="16" t="s">
        <v>255</v>
      </c>
      <c r="M95" s="148" t="s">
        <v>222</v>
      </c>
      <c r="N95" s="19" t="str">
        <f>_xlfn.XLOOKUP(Calculations[[#This Row],[For XLOOKUP]],Factors[For XLOOKUP],Factors[Factor],"")</f>
        <v>Σ.Ε. CO₂ m.</v>
      </c>
      <c r="O95" s="19">
        <f>_xlfn.XLOOKUP(Calculations[[#This Row],[For XLOOKUP]],Factors[For XLOOKUP],Factors[Value],"")</f>
        <v>2.3432595615E-3</v>
      </c>
      <c r="P95" s="19" t="str">
        <f>_xlfn.XLOOKUP(Calculations[[#This Row],[For XLOOKUP]],Factors[For XLOOKUP],Factors[Units],"")</f>
        <v>tn CO2/lt</v>
      </c>
      <c r="Q95" s="19" t="str">
        <f>_xlfn.XLOOKUP(Calculations[[#This Row],[For XLOOKUP]],Factors[For XLOOKUP],Factors[Source],"")</f>
        <v>Greece. National Inventory Submissions 2024</v>
      </c>
      <c r="R9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10.680577081317001</v>
      </c>
      <c r="S95" s="19" t="str">
        <f>IF(LEFT(Calculations[[#This Row],[Emission Factor]],7)="Σ.Ε. CH",Calculations[[#This Row],[Value]]*Calculations[[#This Row],[Τιμή]],"-")</f>
        <v>-</v>
      </c>
      <c r="T9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" s="19" t="str">
        <f>IF(LEFT(Calculations[[#This Row],[Emission Factor]],3)="GWP",Calculations[[#This Row],[Τιμή]],"-")</f>
        <v>-</v>
      </c>
      <c r="V95" s="19" t="str">
        <f>IF(OR(Calculations[[#This Row],[Emission Factor]]="Σ.Ε. CO₂ eq",Calculations[[#This Row],[Emission Factor]]="CO₂ eq"),Calculations[[#This Row],[Value]]*Calculations[[#This Row],[Τιμή]],"-")</f>
        <v>-</v>
      </c>
      <c r="W95" s="19" t="str">
        <f>IF(Calculations[[#This Row],[Πηγή εκπομπών]]="Electricity consumed in office buildings and projects - market based",Calculations[[#This Row],[t CO2]],"")</f>
        <v/>
      </c>
      <c r="X9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10.680577081317001</v>
      </c>
    </row>
    <row r="96" spans="1:24" s="14" customFormat="1" ht="15" hidden="1" thickTop="1">
      <c r="A96" s="15" t="s">
        <v>0</v>
      </c>
      <c r="B96" s="15" t="s">
        <v>0</v>
      </c>
      <c r="C96" s="16" t="s">
        <v>624</v>
      </c>
      <c r="D96" s="77" t="s">
        <v>895</v>
      </c>
      <c r="E96" s="77" t="s">
        <v>1179</v>
      </c>
      <c r="F96" s="77" t="s">
        <v>318</v>
      </c>
      <c r="G96" s="15" t="s">
        <v>80</v>
      </c>
      <c r="H96" s="15" t="s">
        <v>99</v>
      </c>
      <c r="I96" s="17" t="s">
        <v>260</v>
      </c>
      <c r="J96" s="79" cm="1">
        <f t="array" ref="J96">_xlfn.XLOOKUP(1,(Calculations[Πληροφορίες]=Calculations[[#This Row],[Πληροφορίες]])*(Calculations[Εταιρεία]=F96),Calculations[Τιμή])</f>
        <v>4558</v>
      </c>
      <c r="K96" s="18" t="s">
        <v>7</v>
      </c>
      <c r="L96" s="16" t="s">
        <v>255</v>
      </c>
      <c r="M96" s="148" t="s">
        <v>224</v>
      </c>
      <c r="N96" s="19" t="str">
        <f>_xlfn.XLOOKUP(Calculations[[#This Row],[For XLOOKUP]],Factors[For XLOOKUP],Factors[Factor],"")</f>
        <v>Σ.Ε. CH₄ m.</v>
      </c>
      <c r="O96" s="19">
        <f>_xlfn.XLOOKUP(Calculations[[#This Row],[For XLOOKUP]],Factors[For XLOOKUP],Factors[Value],"")</f>
        <v>5.3615742548369984E-7</v>
      </c>
      <c r="P96" s="19" t="str">
        <f>_xlfn.XLOOKUP(Calculations[[#This Row],[For XLOOKUP]],Factors[For XLOOKUP],Factors[Units],"")</f>
        <v>tn CH₄/lt</v>
      </c>
      <c r="Q96" s="19" t="str">
        <f>_xlfn.XLOOKUP(Calculations[[#This Row],[For XLOOKUP]],Factors[For XLOOKUP],Factors[Source],"")</f>
        <v>Greece. National Inventory Submissions 2024</v>
      </c>
      <c r="R9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" s="19">
        <f>IF(LEFT(Calculations[[#This Row],[Emission Factor]],7)="Σ.Ε. CH",Calculations[[#This Row],[Value]]*Calculations[[#This Row],[Τιμή]],"-")</f>
        <v>2.443805545354704E-3</v>
      </c>
      <c r="T9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" s="19" t="str">
        <f>IF(LEFT(Calculations[[#This Row],[Emission Factor]],3)="GWP",Calculations[[#This Row],[Τιμή]],"-")</f>
        <v>-</v>
      </c>
      <c r="V96" s="19" t="str">
        <f>IF(OR(Calculations[[#This Row],[Emission Factor]]="Σ.Ε. CO₂ eq",Calculations[[#This Row],[Emission Factor]]="CO₂ eq"),Calculations[[#This Row],[Value]]*Calculations[[#This Row],[Τιμή]],"-")</f>
        <v>-</v>
      </c>
      <c r="W96" s="19" t="str">
        <f>IF(Calculations[[#This Row],[Πηγή εκπομπών]]="Electricity consumed in office buildings and projects - market based",Calculations[[#This Row],[t CO2]],"")</f>
        <v/>
      </c>
      <c r="X9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6.8426555269931716E-2</v>
      </c>
    </row>
    <row r="97" spans="1:24" s="14" customFormat="1" ht="15" hidden="1" thickTop="1">
      <c r="A97" s="15" t="s">
        <v>0</v>
      </c>
      <c r="B97" s="15" t="s">
        <v>0</v>
      </c>
      <c r="C97" s="16" t="s">
        <v>624</v>
      </c>
      <c r="D97" s="77" t="s">
        <v>895</v>
      </c>
      <c r="E97" s="77" t="s">
        <v>1179</v>
      </c>
      <c r="F97" s="77" t="s">
        <v>318</v>
      </c>
      <c r="G97" s="15" t="s">
        <v>80</v>
      </c>
      <c r="H97" s="15" t="s">
        <v>99</v>
      </c>
      <c r="I97" s="17" t="s">
        <v>260</v>
      </c>
      <c r="J97" s="79" cm="1">
        <f t="array" ref="J97">_xlfn.XLOOKUP(1,(Calculations[Πληροφορίες]=Calculations[[#This Row],[Πληροφορίες]])*(Calculations[Εταιρεία]=F97),Calculations[Τιμή])</f>
        <v>4558</v>
      </c>
      <c r="K97" s="18" t="s">
        <v>7</v>
      </c>
      <c r="L97" s="16" t="s">
        <v>255</v>
      </c>
      <c r="M97" s="148" t="s">
        <v>226</v>
      </c>
      <c r="N97" s="19" t="str">
        <f>_xlfn.XLOOKUP(Calculations[[#This Row],[For XLOOKUP]],Factors[For XLOOKUP],Factors[Factor],"")</f>
        <v>Σ.Ε. N2O m.</v>
      </c>
      <c r="O97" s="19">
        <f>_xlfn.XLOOKUP(Calculations[[#This Row],[For XLOOKUP]],Factors[For XLOOKUP],Factors[Value],"")</f>
        <v>8.8029037706651387E-8</v>
      </c>
      <c r="P97" s="19" t="str">
        <f>_xlfn.XLOOKUP(Calculations[[#This Row],[For XLOOKUP]],Factors[For XLOOKUP],Factors[Units],"")</f>
        <v>tn N2O/lt</v>
      </c>
      <c r="Q97" s="19" t="str">
        <f>_xlfn.XLOOKUP(Calculations[[#This Row],[For XLOOKUP]],Factors[For XLOOKUP],Factors[Source],"")</f>
        <v>Greece. National Inventory Submissions 2024</v>
      </c>
      <c r="R9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" s="19" t="str">
        <f>IF(LEFT(Calculations[[#This Row],[Emission Factor]],7)="Σ.Ε. CH",Calculations[[#This Row],[Value]]*Calculations[[#This Row],[Τιμή]],"-")</f>
        <v>-</v>
      </c>
      <c r="T97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4.0123635386691702E-4</v>
      </c>
      <c r="U97" s="19" t="str">
        <f>IF(LEFT(Calculations[[#This Row],[Emission Factor]],3)="GWP",Calculations[[#This Row],[Τιμή]],"-")</f>
        <v>-</v>
      </c>
      <c r="V97" s="19" t="str">
        <f>IF(OR(Calculations[[#This Row],[Emission Factor]]="Σ.Ε. CO₂ eq",Calculations[[#This Row],[Emission Factor]]="CO₂ eq"),Calculations[[#This Row],[Value]]*Calculations[[#This Row],[Τιμή]],"-")</f>
        <v>-</v>
      </c>
      <c r="W97" s="19" t="str">
        <f>IF(Calculations[[#This Row],[Πηγή εκπομπών]]="Electricity consumed in office buildings and projects - market based",Calculations[[#This Row],[t CO2]],"")</f>
        <v/>
      </c>
      <c r="X9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0.106327633774733</v>
      </c>
    </row>
    <row r="98" spans="1:24" s="14" customFormat="1" ht="15" hidden="1" thickTop="1">
      <c r="A98" s="15" t="s">
        <v>0</v>
      </c>
      <c r="B98" s="15" t="s">
        <v>0</v>
      </c>
      <c r="C98" s="16" t="s">
        <v>624</v>
      </c>
      <c r="D98" s="77" t="s">
        <v>895</v>
      </c>
      <c r="E98" s="16" t="s">
        <v>1141</v>
      </c>
      <c r="F98" s="77" t="s">
        <v>312</v>
      </c>
      <c r="G98" s="15" t="s">
        <v>80</v>
      </c>
      <c r="H98" s="15" t="s">
        <v>99</v>
      </c>
      <c r="I98" s="17" t="s">
        <v>260</v>
      </c>
      <c r="J98" s="238">
        <v>14639.94</v>
      </c>
      <c r="K98" s="18" t="s">
        <v>7</v>
      </c>
      <c r="L98" s="16" t="s">
        <v>255</v>
      </c>
      <c r="M98" s="148" t="s">
        <v>222</v>
      </c>
      <c r="N98" s="19" t="str">
        <f>_xlfn.XLOOKUP(Calculations[[#This Row],[For XLOOKUP]],Factors[For XLOOKUP],Factors[Factor],"")</f>
        <v>Σ.Ε. CO₂ m.</v>
      </c>
      <c r="O98" s="19">
        <f>_xlfn.XLOOKUP(Calculations[[#This Row],[For XLOOKUP]],Factors[For XLOOKUP],Factors[Value],"")</f>
        <v>2.3432595615E-3</v>
      </c>
      <c r="P98" s="19" t="str">
        <f>_xlfn.XLOOKUP(Calculations[[#This Row],[For XLOOKUP]],Factors[For XLOOKUP],Factors[Units],"")</f>
        <v>tn CO2/lt</v>
      </c>
      <c r="Q98" s="19" t="str">
        <f>_xlfn.XLOOKUP(Calculations[[#This Row],[For XLOOKUP]],Factors[For XLOOKUP],Factors[Source],"")</f>
        <v>Greece. National Inventory Submissions 2024</v>
      </c>
      <c r="R98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34.305179384786314</v>
      </c>
      <c r="S98" s="19" t="str">
        <f>IF(LEFT(Calculations[[#This Row],[Emission Factor]],7)="Σ.Ε. CH",Calculations[[#This Row],[Value]]*Calculations[[#This Row],[Τιμή]],"-")</f>
        <v>-</v>
      </c>
      <c r="T9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" s="19" t="str">
        <f>IF(LEFT(Calculations[[#This Row],[Emission Factor]],3)="GWP",Calculations[[#This Row],[Τιμή]],"-")</f>
        <v>-</v>
      </c>
      <c r="V98" s="19" t="str">
        <f>IF(OR(Calculations[[#This Row],[Emission Factor]]="Σ.Ε. CO₂ eq",Calculations[[#This Row],[Emission Factor]]="CO₂ eq"),Calculations[[#This Row],[Value]]*Calculations[[#This Row],[Τιμή]],"-")</f>
        <v>-</v>
      </c>
      <c r="W98" s="19" t="str">
        <f>IF(Calculations[[#This Row],[Πηγή εκπομπών]]="Electricity consumed in office buildings and projects - market based",Calculations[[#This Row],[t CO2]],"")</f>
        <v/>
      </c>
      <c r="X9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34.305179384786314</v>
      </c>
    </row>
    <row r="99" spans="1:24" s="14" customFormat="1" ht="15" hidden="1" thickTop="1">
      <c r="A99" s="15" t="s">
        <v>0</v>
      </c>
      <c r="B99" s="15" t="s">
        <v>0</v>
      </c>
      <c r="C99" s="16" t="s">
        <v>624</v>
      </c>
      <c r="D99" s="77" t="s">
        <v>895</v>
      </c>
      <c r="E99" s="16" t="s">
        <v>1141</v>
      </c>
      <c r="F99" s="77" t="s">
        <v>312</v>
      </c>
      <c r="G99" s="15" t="s">
        <v>80</v>
      </c>
      <c r="H99" s="15" t="s">
        <v>99</v>
      </c>
      <c r="I99" s="17" t="s">
        <v>260</v>
      </c>
      <c r="J99" s="79" cm="1">
        <f t="array" ref="J99">_xlfn.XLOOKUP(1,(Calculations[Πληροφορίες]=Calculations[[#This Row],[Πληροφορίες]])*(Calculations[Εταιρεία]=F99),Calculations[Τιμή])</f>
        <v>14639.94</v>
      </c>
      <c r="K99" s="18" t="s">
        <v>7</v>
      </c>
      <c r="L99" s="16" t="s">
        <v>255</v>
      </c>
      <c r="M99" s="148" t="s">
        <v>224</v>
      </c>
      <c r="N99" s="19" t="str">
        <f>_xlfn.XLOOKUP(Calculations[[#This Row],[For XLOOKUP]],Factors[For XLOOKUP],Factors[Factor],"")</f>
        <v>Σ.Ε. CH₄ m.</v>
      </c>
      <c r="O99" s="19">
        <f>_xlfn.XLOOKUP(Calculations[[#This Row],[For XLOOKUP]],Factors[For XLOOKUP],Factors[Value],"")</f>
        <v>5.3615742548369984E-7</v>
      </c>
      <c r="P99" s="19" t="str">
        <f>_xlfn.XLOOKUP(Calculations[[#This Row],[For XLOOKUP]],Factors[For XLOOKUP],Factors[Units],"")</f>
        <v>tn CH₄/lt</v>
      </c>
      <c r="Q99" s="19" t="str">
        <f>_xlfn.XLOOKUP(Calculations[[#This Row],[For XLOOKUP]],Factors[For XLOOKUP],Factors[Source],"")</f>
        <v>Greece. National Inventory Submissions 2024</v>
      </c>
      <c r="R9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" s="19">
        <f>IF(LEFT(Calculations[[#This Row],[Emission Factor]],7)="Σ.Ε. CH",Calculations[[#This Row],[Value]]*Calculations[[#This Row],[Τιμή]],"-")</f>
        <v>7.8493125396358367E-3</v>
      </c>
      <c r="T9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" s="19" t="str">
        <f>IF(LEFT(Calculations[[#This Row],[Emission Factor]],3)="GWP",Calculations[[#This Row],[Τιμή]],"-")</f>
        <v>-</v>
      </c>
      <c r="V99" s="19" t="str">
        <f>IF(OR(Calculations[[#This Row],[Emission Factor]]="Σ.Ε. CO₂ eq",Calculations[[#This Row],[Emission Factor]]="CO₂ eq"),Calculations[[#This Row],[Value]]*Calculations[[#This Row],[Τιμή]],"-")</f>
        <v>-</v>
      </c>
      <c r="W99" s="19" t="str">
        <f>IF(Calculations[[#This Row],[Πηγή εκπομπών]]="Electricity consumed in office buildings and projects - market based",Calculations[[#This Row],[t CO2]],"")</f>
        <v/>
      </c>
      <c r="X9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0.21978075110980344</v>
      </c>
    </row>
    <row r="100" spans="1:24" s="14" customFormat="1" ht="15" hidden="1" thickTop="1">
      <c r="A100" s="15" t="s">
        <v>0</v>
      </c>
      <c r="B100" s="15" t="s">
        <v>0</v>
      </c>
      <c r="C100" s="16" t="s">
        <v>624</v>
      </c>
      <c r="D100" s="77" t="s">
        <v>895</v>
      </c>
      <c r="E100" s="16" t="s">
        <v>1141</v>
      </c>
      <c r="F100" s="77" t="s">
        <v>312</v>
      </c>
      <c r="G100" s="15" t="s">
        <v>80</v>
      </c>
      <c r="H100" s="15" t="s">
        <v>99</v>
      </c>
      <c r="I100" s="17" t="s">
        <v>260</v>
      </c>
      <c r="J100" s="79" cm="1">
        <f t="array" ref="J100">_xlfn.XLOOKUP(1,(Calculations[Πληροφορίες]=Calculations[[#This Row],[Πληροφορίες]])*(Calculations[Εταιρεία]=F100),Calculations[Τιμή])</f>
        <v>14639.94</v>
      </c>
      <c r="K100" s="18" t="s">
        <v>7</v>
      </c>
      <c r="L100" s="16" t="s">
        <v>255</v>
      </c>
      <c r="M100" s="148" t="s">
        <v>226</v>
      </c>
      <c r="N100" s="19" t="str">
        <f>_xlfn.XLOOKUP(Calculations[[#This Row],[For XLOOKUP]],Factors[For XLOOKUP],Factors[Factor],"")</f>
        <v>Σ.Ε. N2O m.</v>
      </c>
      <c r="O100" s="19">
        <f>_xlfn.XLOOKUP(Calculations[[#This Row],[For XLOOKUP]],Factors[For XLOOKUP],Factors[Value],"")</f>
        <v>8.8029037706651387E-8</v>
      </c>
      <c r="P100" s="19" t="str">
        <f>_xlfn.XLOOKUP(Calculations[[#This Row],[For XLOOKUP]],Factors[For XLOOKUP],Factors[Units],"")</f>
        <v>tn N2O/lt</v>
      </c>
      <c r="Q100" s="19" t="str">
        <f>_xlfn.XLOOKUP(Calculations[[#This Row],[For XLOOKUP]],Factors[For XLOOKUP],Factors[Source],"")</f>
        <v>Greece. National Inventory Submissions 2024</v>
      </c>
      <c r="R10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" s="19" t="str">
        <f>IF(LEFT(Calculations[[#This Row],[Emission Factor]],7)="Σ.Ε. CH",Calculations[[#This Row],[Value]]*Calculations[[#This Row],[Τιμή]],"-")</f>
        <v>-</v>
      </c>
      <c r="T100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1.2887398302831139E-3</v>
      </c>
      <c r="U100" s="19" t="str">
        <f>IF(LEFT(Calculations[[#This Row],[Emission Factor]],3)="GWP",Calculations[[#This Row],[Τιμή]],"-")</f>
        <v>-</v>
      </c>
      <c r="V100" s="19" t="str">
        <f>IF(OR(Calculations[[#This Row],[Emission Factor]]="Σ.Ε. CO₂ eq",Calculations[[#This Row],[Emission Factor]]="CO₂ eq"),Calculations[[#This Row],[Value]]*Calculations[[#This Row],[Τιμή]],"-")</f>
        <v>-</v>
      </c>
      <c r="W100" s="19" t="str">
        <f>IF(Calculations[[#This Row],[Πηγή εκπομπών]]="Electricity consumed in office buildings and projects - market based",Calculations[[#This Row],[t CO2]],"")</f>
        <v/>
      </c>
      <c r="X10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0.34151605502502519</v>
      </c>
    </row>
    <row r="101" spans="1:24" s="14" customFormat="1" ht="15" hidden="1" thickTop="1">
      <c r="A101" s="15" t="s">
        <v>0</v>
      </c>
      <c r="B101" s="15" t="s">
        <v>0</v>
      </c>
      <c r="C101" s="16" t="s">
        <v>624</v>
      </c>
      <c r="D101" s="77" t="s">
        <v>1144</v>
      </c>
      <c r="E101" s="77" t="s">
        <v>1146</v>
      </c>
      <c r="F101" s="11" t="s">
        <v>647</v>
      </c>
      <c r="G101" s="15" t="s">
        <v>80</v>
      </c>
      <c r="H101" s="15" t="s">
        <v>99</v>
      </c>
      <c r="I101" s="17" t="s">
        <v>260</v>
      </c>
      <c r="J101" s="238">
        <v>120.7</v>
      </c>
      <c r="K101" s="18" t="s">
        <v>7</v>
      </c>
      <c r="L101" s="16" t="s">
        <v>255</v>
      </c>
      <c r="M101" s="148" t="s">
        <v>222</v>
      </c>
      <c r="N101" s="19" t="str">
        <f>_xlfn.XLOOKUP(Calculations[[#This Row],[For XLOOKUP]],Factors[For XLOOKUP],Factors[Factor],"")</f>
        <v>Σ.Ε. CO₂ m.</v>
      </c>
      <c r="O101" s="19">
        <f>_xlfn.XLOOKUP(Calculations[[#This Row],[For XLOOKUP]],Factors[For XLOOKUP],Factors[Value],"")</f>
        <v>2.3432595615E-3</v>
      </c>
      <c r="P101" s="19" t="str">
        <f>_xlfn.XLOOKUP(Calculations[[#This Row],[For XLOOKUP]],Factors[For XLOOKUP],Factors[Units],"")</f>
        <v>tn CO2/lt</v>
      </c>
      <c r="Q101" s="19" t="str">
        <f>_xlfn.XLOOKUP(Calculations[[#This Row],[For XLOOKUP]],Factors[For XLOOKUP],Factors[Source],"")</f>
        <v>Greece. National Inventory Submissions 2024</v>
      </c>
      <c r="R101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0.28283142907305003</v>
      </c>
      <c r="S101" s="19" t="str">
        <f>IF(LEFT(Calculations[[#This Row],[Emission Factor]],7)="Σ.Ε. CH",Calculations[[#This Row],[Value]]*Calculations[[#This Row],[Τιμή]],"-")</f>
        <v>-</v>
      </c>
      <c r="T10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" s="19" t="str">
        <f>IF(LEFT(Calculations[[#This Row],[Emission Factor]],3)="GWP",Calculations[[#This Row],[Τιμή]],"-")</f>
        <v>-</v>
      </c>
      <c r="V101" s="19" t="str">
        <f>IF(OR(Calculations[[#This Row],[Emission Factor]]="Σ.Ε. CO₂ eq",Calculations[[#This Row],[Emission Factor]]="CO₂ eq"),Calculations[[#This Row],[Value]]*Calculations[[#This Row],[Τιμή]],"-")</f>
        <v>-</v>
      </c>
      <c r="W101" s="19" t="str">
        <f>IF(Calculations[[#This Row],[Πηγή εκπομπών]]="Electricity consumed in office buildings and projects - market based",Calculations[[#This Row],[t CO2]],"")</f>
        <v/>
      </c>
      <c r="X10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0.28283142907305003</v>
      </c>
    </row>
    <row r="102" spans="1:24" s="14" customFormat="1" ht="15" hidden="1" thickTop="1">
      <c r="A102" s="15" t="s">
        <v>0</v>
      </c>
      <c r="B102" s="15" t="s">
        <v>0</v>
      </c>
      <c r="C102" s="16" t="s">
        <v>624</v>
      </c>
      <c r="D102" s="77" t="s">
        <v>1144</v>
      </c>
      <c r="E102" s="77" t="s">
        <v>1146</v>
      </c>
      <c r="F102" s="11" t="s">
        <v>647</v>
      </c>
      <c r="G102" s="15" t="s">
        <v>80</v>
      </c>
      <c r="H102" s="15" t="s">
        <v>99</v>
      </c>
      <c r="I102" s="17" t="s">
        <v>260</v>
      </c>
      <c r="J102" s="79">
        <v>120.7</v>
      </c>
      <c r="K102" s="18" t="s">
        <v>7</v>
      </c>
      <c r="L102" s="16" t="s">
        <v>255</v>
      </c>
      <c r="M102" s="148" t="s">
        <v>224</v>
      </c>
      <c r="N102" s="19" t="str">
        <f>_xlfn.XLOOKUP(Calculations[[#This Row],[For XLOOKUP]],Factors[For XLOOKUP],Factors[Factor],"")</f>
        <v>Σ.Ε. CH₄ m.</v>
      </c>
      <c r="O102" s="19">
        <f>_xlfn.XLOOKUP(Calculations[[#This Row],[For XLOOKUP]],Factors[For XLOOKUP],Factors[Value],"")</f>
        <v>5.3615742548369984E-7</v>
      </c>
      <c r="P102" s="19" t="str">
        <f>_xlfn.XLOOKUP(Calculations[[#This Row],[For XLOOKUP]],Factors[For XLOOKUP],Factors[Units],"")</f>
        <v>tn CH₄/lt</v>
      </c>
      <c r="Q102" s="19" t="str">
        <f>_xlfn.XLOOKUP(Calculations[[#This Row],[For XLOOKUP]],Factors[For XLOOKUP],Factors[Source],"")</f>
        <v>Greece. National Inventory Submissions 2024</v>
      </c>
      <c r="R10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2" s="19">
        <f>IF(LEFT(Calculations[[#This Row],[Emission Factor]],7)="Σ.Ε. CH",Calculations[[#This Row],[Value]]*Calculations[[#This Row],[Τιμή]],"-")</f>
        <v>6.4714201255882569E-5</v>
      </c>
      <c r="T10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2" s="19" t="str">
        <f>IF(LEFT(Calculations[[#This Row],[Emission Factor]],3)="GWP",Calculations[[#This Row],[Τιμή]],"-")</f>
        <v>-</v>
      </c>
      <c r="V102" s="19" t="str">
        <f>IF(OR(Calculations[[#This Row],[Emission Factor]]="Σ.Ε. CO₂ eq",Calculations[[#This Row],[Emission Factor]]="CO₂ eq"),Calculations[[#This Row],[Value]]*Calculations[[#This Row],[Τιμή]],"-")</f>
        <v>-</v>
      </c>
      <c r="W102" s="19" t="str">
        <f>IF(Calculations[[#This Row],[Πηγή εκπομπών]]="Electricity consumed in office buildings and projects - market based",Calculations[[#This Row],[t CO2]],"")</f>
        <v/>
      </c>
      <c r="X10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1.8119976351647119E-3</v>
      </c>
    </row>
    <row r="103" spans="1:24" s="14" customFormat="1" ht="15" hidden="1" thickTop="1">
      <c r="A103" s="15" t="s">
        <v>0</v>
      </c>
      <c r="B103" s="15" t="s">
        <v>0</v>
      </c>
      <c r="C103" s="16" t="s">
        <v>624</v>
      </c>
      <c r="D103" s="77" t="s">
        <v>1144</v>
      </c>
      <c r="E103" s="77" t="s">
        <v>1146</v>
      </c>
      <c r="F103" s="11" t="s">
        <v>647</v>
      </c>
      <c r="G103" s="15" t="s">
        <v>80</v>
      </c>
      <c r="H103" s="15" t="s">
        <v>99</v>
      </c>
      <c r="I103" s="17" t="s">
        <v>260</v>
      </c>
      <c r="J103" s="79">
        <v>120.7</v>
      </c>
      <c r="K103" s="18" t="s">
        <v>7</v>
      </c>
      <c r="L103" s="16" t="s">
        <v>255</v>
      </c>
      <c r="M103" s="148" t="s">
        <v>226</v>
      </c>
      <c r="N103" s="19" t="str">
        <f>_xlfn.XLOOKUP(Calculations[[#This Row],[For XLOOKUP]],Factors[For XLOOKUP],Factors[Factor],"")</f>
        <v>Σ.Ε. N2O m.</v>
      </c>
      <c r="O103" s="19">
        <f>_xlfn.XLOOKUP(Calculations[[#This Row],[For XLOOKUP]],Factors[For XLOOKUP],Factors[Value],"")</f>
        <v>8.8029037706651387E-8</v>
      </c>
      <c r="P103" s="19" t="str">
        <f>_xlfn.XLOOKUP(Calculations[[#This Row],[For XLOOKUP]],Factors[For XLOOKUP],Factors[Units],"")</f>
        <v>tn N2O/lt</v>
      </c>
      <c r="Q103" s="19" t="str">
        <f>_xlfn.XLOOKUP(Calculations[[#This Row],[For XLOOKUP]],Factors[For XLOOKUP],Factors[Source],"")</f>
        <v>Greece. National Inventory Submissions 2024</v>
      </c>
      <c r="R10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3" s="19" t="str">
        <f>IF(LEFT(Calculations[[#This Row],[Emission Factor]],7)="Σ.Ε. CH",Calculations[[#This Row],[Value]]*Calculations[[#This Row],[Τιμή]],"-")</f>
        <v>-</v>
      </c>
      <c r="T10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1.0625104851192823E-5</v>
      </c>
      <c r="U103" s="19" t="str">
        <f>IF(LEFT(Calculations[[#This Row],[Emission Factor]],3)="GWP",Calculations[[#This Row],[Τιμή]],"-")</f>
        <v>-</v>
      </c>
      <c r="V103" s="19" t="str">
        <f>IF(OR(Calculations[[#This Row],[Emission Factor]]="Σ.Ε. CO₂ eq",Calculations[[#This Row],[Emission Factor]]="CO₂ eq"),Calculations[[#This Row],[Value]]*Calculations[[#This Row],[Τιμή]],"-")</f>
        <v>-</v>
      </c>
      <c r="W103" s="19" t="str">
        <f>IF(Calculations[[#This Row],[Πηγή εκπομπών]]="Electricity consumed in office buildings and projects - market based",Calculations[[#This Row],[t CO2]],"")</f>
        <v/>
      </c>
      <c r="X10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2.8156527855660979E-3</v>
      </c>
    </row>
    <row r="104" spans="1:24" s="14" customFormat="1" ht="15" hidden="1" thickTop="1">
      <c r="A104" s="15" t="s">
        <v>0</v>
      </c>
      <c r="B104" s="15" t="s">
        <v>0</v>
      </c>
      <c r="C104" s="16" t="s">
        <v>624</v>
      </c>
      <c r="D104" s="16" t="s">
        <v>894</v>
      </c>
      <c r="E104" s="77"/>
      <c r="F104" s="77" t="s">
        <v>317</v>
      </c>
      <c r="G104" s="15" t="s">
        <v>80</v>
      </c>
      <c r="H104" s="15" t="s">
        <v>99</v>
      </c>
      <c r="I104" s="17" t="s">
        <v>260</v>
      </c>
      <c r="J104" s="238">
        <v>728</v>
      </c>
      <c r="K104" s="18" t="s">
        <v>7</v>
      </c>
      <c r="L104" s="16" t="s">
        <v>256</v>
      </c>
      <c r="M104" s="148" t="s">
        <v>227</v>
      </c>
      <c r="N104" s="19" t="str">
        <f>_xlfn.XLOOKUP(Calculations[[#This Row],[For XLOOKUP]],Factors[For XLOOKUP],Factors[Factor],"")</f>
        <v>Σ.Ε. CO₂ m.</v>
      </c>
      <c r="O104" s="19">
        <f>_xlfn.XLOOKUP(Calculations[[#This Row],[For XLOOKUP]],Factors[For XLOOKUP],Factors[Value],"")</f>
        <v>2.3432595615E-3</v>
      </c>
      <c r="P104" s="19" t="str">
        <f>_xlfn.XLOOKUP(Calculations[[#This Row],[For XLOOKUP]],Factors[For XLOOKUP],Factors[Units],"")</f>
        <v>tn CO2/lt</v>
      </c>
      <c r="Q104" s="19" t="str">
        <f>_xlfn.XLOOKUP(Calculations[[#This Row],[For XLOOKUP]],Factors[For XLOOKUP],Factors[Source],"")</f>
        <v>Greece. National Inventory Submissions 2024</v>
      </c>
      <c r="R104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1.7058929607719999</v>
      </c>
      <c r="S104" s="19" t="str">
        <f>IF(LEFT(Calculations[[#This Row],[Emission Factor]],7)="Σ.Ε. CH",Calculations[[#This Row],[Value]]*Calculations[[#This Row],[Τιμή]],"-")</f>
        <v>-</v>
      </c>
      <c r="T10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4" s="19" t="str">
        <f>IF(LEFT(Calculations[[#This Row],[Emission Factor]],3)="GWP",Calculations[[#This Row],[Τιμή]],"-")</f>
        <v>-</v>
      </c>
      <c r="V104" s="19" t="str">
        <f>IF(OR(Calculations[[#This Row],[Emission Factor]]="Σ.Ε. CO₂ eq",Calculations[[#This Row],[Emission Factor]]="CO₂ eq"),Calculations[[#This Row],[Value]]*Calculations[[#This Row],[Τιμή]],"-")</f>
        <v>-</v>
      </c>
      <c r="W104" s="19" t="str">
        <f>IF(Calculations[[#This Row],[Πηγή εκπομπών]]="Electricity consumed in office buildings and projects - market based",Calculations[[#This Row],[t CO2]],"")</f>
        <v/>
      </c>
      <c r="X10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1.7058929607719999</v>
      </c>
    </row>
    <row r="105" spans="1:24" s="14" customFormat="1" ht="15" hidden="1" thickTop="1">
      <c r="A105" s="15" t="s">
        <v>0</v>
      </c>
      <c r="B105" s="15" t="s">
        <v>0</v>
      </c>
      <c r="C105" s="16" t="s">
        <v>624</v>
      </c>
      <c r="D105" s="16" t="s">
        <v>894</v>
      </c>
      <c r="E105" s="77"/>
      <c r="F105" s="77" t="s">
        <v>317</v>
      </c>
      <c r="G105" s="15" t="s">
        <v>80</v>
      </c>
      <c r="H105" s="15" t="s">
        <v>99</v>
      </c>
      <c r="I105" s="17" t="s">
        <v>260</v>
      </c>
      <c r="J105" s="79" cm="1">
        <f t="array" ref="J105">_xlfn.XLOOKUP(1,(Calculations[Πληροφορίες]=Calculations[[#This Row],[Πληροφορίες]])*(Calculations[Εταιρεία]=F105),Calculations[Τιμή])</f>
        <v>728</v>
      </c>
      <c r="K105" s="18" t="s">
        <v>7</v>
      </c>
      <c r="L105" s="16" t="s">
        <v>256</v>
      </c>
      <c r="M105" s="148" t="s">
        <v>230</v>
      </c>
      <c r="N105" s="19" t="str">
        <f>_xlfn.XLOOKUP(Calculations[[#This Row],[For XLOOKUP]],Factors[For XLOOKUP],Factors[Factor],"")</f>
        <v>Σ.Ε. CH₄ m.</v>
      </c>
      <c r="O105" s="19">
        <f>_xlfn.XLOOKUP(Calculations[[#This Row],[For XLOOKUP]],Factors[For XLOOKUP],Factors[Value],"")</f>
        <v>2.9946324170571233E-6</v>
      </c>
      <c r="P105" s="19" t="str">
        <f>_xlfn.XLOOKUP(Calculations[[#This Row],[For XLOOKUP]],Factors[For XLOOKUP],Factors[Units],"")</f>
        <v>tn CH₄/lt</v>
      </c>
      <c r="Q105" s="19" t="str">
        <f>_xlfn.XLOOKUP(Calculations[[#This Row],[For XLOOKUP]],Factors[For XLOOKUP],Factors[Source],"")</f>
        <v>Greece. National Inventory Submissions 2024</v>
      </c>
      <c r="R10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5" s="19">
        <f>IF(LEFT(Calculations[[#This Row],[Emission Factor]],7)="Σ.Ε. CH",Calculations[[#This Row],[Value]]*Calculations[[#This Row],[Τιμή]],"-")</f>
        <v>2.1800923996175858E-3</v>
      </c>
      <c r="T10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5" s="19" t="str">
        <f>IF(LEFT(Calculations[[#This Row],[Emission Factor]],3)="GWP",Calculations[[#This Row],[Τιμή]],"-")</f>
        <v>-</v>
      </c>
      <c r="V105" s="19" t="str">
        <f>IF(OR(Calculations[[#This Row],[Emission Factor]]="Σ.Ε. CO₂ eq",Calculations[[#This Row],[Emission Factor]]="CO₂ eq"),Calculations[[#This Row],[Value]]*Calculations[[#This Row],[Τιμή]],"-")</f>
        <v>-</v>
      </c>
      <c r="W105" s="19" t="str">
        <f>IF(Calculations[[#This Row],[Πηγή εκπομπών]]="Electricity consumed in office buildings and projects - market based",Calculations[[#This Row],[t CO2]],"")</f>
        <v/>
      </c>
      <c r="X10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6.1042587189292404E-2</v>
      </c>
    </row>
    <row r="106" spans="1:24" s="14" customFormat="1" ht="15" hidden="1" thickTop="1">
      <c r="A106" s="15" t="s">
        <v>0</v>
      </c>
      <c r="B106" s="15" t="s">
        <v>0</v>
      </c>
      <c r="C106" s="16" t="s">
        <v>624</v>
      </c>
      <c r="D106" s="16" t="s">
        <v>894</v>
      </c>
      <c r="E106" s="77"/>
      <c r="F106" s="77" t="s">
        <v>317</v>
      </c>
      <c r="G106" s="15" t="s">
        <v>80</v>
      </c>
      <c r="H106" s="15" t="s">
        <v>99</v>
      </c>
      <c r="I106" s="17" t="s">
        <v>260</v>
      </c>
      <c r="J106" s="79" cm="1">
        <f t="array" ref="J106">_xlfn.XLOOKUP(1,(Calculations[Πληροφορίες]=Calculations[[#This Row],[Πληροφορίες]])*(Calculations[Εταιρεία]=F106),Calculations[Τιμή])</f>
        <v>728</v>
      </c>
      <c r="K106" s="18" t="s">
        <v>7</v>
      </c>
      <c r="L106" s="16" t="s">
        <v>256</v>
      </c>
      <c r="M106" s="148" t="s">
        <v>231</v>
      </c>
      <c r="N106" s="19" t="str">
        <f>_xlfn.XLOOKUP(Calculations[[#This Row],[For XLOOKUP]],Factors[For XLOOKUP],Factors[Factor],"")</f>
        <v>Σ.Ε. N2O m.</v>
      </c>
      <c r="O106" s="19">
        <f>_xlfn.XLOOKUP(Calculations[[#This Row],[For XLOOKUP]],Factors[For XLOOKUP],Factors[Value],"")</f>
        <v>4.9134776882805899E-8</v>
      </c>
      <c r="P106" s="19" t="str">
        <f>_xlfn.XLOOKUP(Calculations[[#This Row],[For XLOOKUP]],Factors[For XLOOKUP],Factors[Units],"")</f>
        <v>tn N2O/lt</v>
      </c>
      <c r="Q106" s="19" t="str">
        <f>_xlfn.XLOOKUP(Calculations[[#This Row],[For XLOOKUP]],Factors[For XLOOKUP],Factors[Source],"")</f>
        <v>Greece. National Inventory Submissions 2024</v>
      </c>
      <c r="R10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6" s="19" t="str">
        <f>IF(LEFT(Calculations[[#This Row],[Emission Factor]],7)="Σ.Ε. CH",Calculations[[#This Row],[Value]]*Calculations[[#This Row],[Τιμή]],"-")</f>
        <v>-</v>
      </c>
      <c r="T106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3.5770117570682693E-5</v>
      </c>
      <c r="U106" s="19" t="str">
        <f>IF(LEFT(Calculations[[#This Row],[Emission Factor]],3)="GWP",Calculations[[#This Row],[Τιμή]],"-")</f>
        <v>-</v>
      </c>
      <c r="V106" s="19" t="str">
        <f>IF(OR(Calculations[[#This Row],[Emission Factor]]="Σ.Ε. CO₂ eq",Calculations[[#This Row],[Emission Factor]]="CO₂ eq"),Calculations[[#This Row],[Value]]*Calculations[[#This Row],[Τιμή]],"-")</f>
        <v>-</v>
      </c>
      <c r="W106" s="19" t="str">
        <f>IF(Calculations[[#This Row],[Πηγή εκπομπών]]="Electricity consumed in office buildings and projects - market based",Calculations[[#This Row],[t CO2]],"")</f>
        <v/>
      </c>
      <c r="X10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9.4790811562309139E-3</v>
      </c>
    </row>
    <row r="107" spans="1:24" s="14" customFormat="1" ht="15" hidden="1" thickTop="1">
      <c r="A107" s="15" t="s">
        <v>0</v>
      </c>
      <c r="B107" s="15" t="s">
        <v>0</v>
      </c>
      <c r="C107" s="16" t="s">
        <v>624</v>
      </c>
      <c r="D107" s="16" t="s">
        <v>895</v>
      </c>
      <c r="E107" s="16" t="s">
        <v>1137</v>
      </c>
      <c r="F107" s="11" t="s">
        <v>319</v>
      </c>
      <c r="G107" s="15" t="s">
        <v>80</v>
      </c>
      <c r="H107" s="15" t="s">
        <v>99</v>
      </c>
      <c r="I107" s="17" t="s">
        <v>260</v>
      </c>
      <c r="J107" s="238">
        <v>955.04</v>
      </c>
      <c r="K107" s="18" t="s">
        <v>7</v>
      </c>
      <c r="L107" s="16" t="s">
        <v>256</v>
      </c>
      <c r="M107" s="148" t="s">
        <v>227</v>
      </c>
      <c r="N107" s="19" t="str">
        <f>_xlfn.XLOOKUP(Calculations[[#This Row],[For XLOOKUP]],Factors[For XLOOKUP],Factors[Factor],"")</f>
        <v>Σ.Ε. CO₂ m.</v>
      </c>
      <c r="O107" s="19">
        <f>_xlfn.XLOOKUP(Calculations[[#This Row],[For XLOOKUP]],Factors[For XLOOKUP],Factors[Value],"")</f>
        <v>2.3432595615E-3</v>
      </c>
      <c r="P107" s="19" t="str">
        <f>_xlfn.XLOOKUP(Calculations[[#This Row],[For XLOOKUP]],Factors[For XLOOKUP],Factors[Units],"")</f>
        <v>tn CO2/lt</v>
      </c>
      <c r="Q107" s="19" t="str">
        <f>_xlfn.XLOOKUP(Calculations[[#This Row],[For XLOOKUP]],Factors[For XLOOKUP],Factors[Source],"")</f>
        <v>Greece. National Inventory Submissions 2024</v>
      </c>
      <c r="R10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2.2379066116149597</v>
      </c>
      <c r="S107" s="19" t="str">
        <f>IF(LEFT(Calculations[[#This Row],[Emission Factor]],7)="Σ.Ε. CH",Calculations[[#This Row],[Value]]*Calculations[[#This Row],[Τιμή]],"-")</f>
        <v>-</v>
      </c>
      <c r="T10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7" s="19" t="str">
        <f>IF(LEFT(Calculations[[#This Row],[Emission Factor]],3)="GWP",Calculations[[#This Row],[Τιμή]],"-")</f>
        <v>-</v>
      </c>
      <c r="V107" s="19" t="str">
        <f>IF(OR(Calculations[[#This Row],[Emission Factor]]="Σ.Ε. CO₂ eq",Calculations[[#This Row],[Emission Factor]]="CO₂ eq"),Calculations[[#This Row],[Value]]*Calculations[[#This Row],[Τιμή]],"-")</f>
        <v>-</v>
      </c>
      <c r="W107" s="19" t="str">
        <f>IF(Calculations[[#This Row],[Πηγή εκπομπών]]="Electricity consumed in office buildings and projects - market based",Calculations[[#This Row],[t CO2]],"")</f>
        <v/>
      </c>
      <c r="X10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2.2379066116149597</v>
      </c>
    </row>
    <row r="108" spans="1:24" s="14" customFormat="1" ht="15" hidden="1" thickTop="1">
      <c r="A108" s="15" t="s">
        <v>0</v>
      </c>
      <c r="B108" s="15" t="s">
        <v>0</v>
      </c>
      <c r="C108" s="16" t="s">
        <v>624</v>
      </c>
      <c r="D108" s="16" t="s">
        <v>895</v>
      </c>
      <c r="E108" s="16" t="s">
        <v>1137</v>
      </c>
      <c r="F108" s="11" t="s">
        <v>319</v>
      </c>
      <c r="G108" s="15" t="s">
        <v>80</v>
      </c>
      <c r="H108" s="15" t="s">
        <v>99</v>
      </c>
      <c r="I108" s="17" t="s">
        <v>260</v>
      </c>
      <c r="J108" s="79" cm="1">
        <f t="array" ref="J108">_xlfn.XLOOKUP(1,(Calculations[Πληροφορίες]=Calculations[[#This Row],[Πληροφορίες]])*(Calculations[Εταιρεία]=F108),Calculations[Τιμή])</f>
        <v>955.04</v>
      </c>
      <c r="K108" s="18" t="s">
        <v>7</v>
      </c>
      <c r="L108" s="16" t="s">
        <v>256</v>
      </c>
      <c r="M108" s="148" t="s">
        <v>230</v>
      </c>
      <c r="N108" s="19" t="str">
        <f>_xlfn.XLOOKUP(Calculations[[#This Row],[For XLOOKUP]],Factors[For XLOOKUP],Factors[Factor],"")</f>
        <v>Σ.Ε. CH₄ m.</v>
      </c>
      <c r="O108" s="19">
        <f>_xlfn.XLOOKUP(Calculations[[#This Row],[For XLOOKUP]],Factors[For XLOOKUP],Factors[Value],"")</f>
        <v>2.9946324170571233E-6</v>
      </c>
      <c r="P108" s="19" t="str">
        <f>_xlfn.XLOOKUP(Calculations[[#This Row],[For XLOOKUP]],Factors[For XLOOKUP],Factors[Units],"")</f>
        <v>tn CH₄/lt</v>
      </c>
      <c r="Q108" s="19" t="str">
        <f>_xlfn.XLOOKUP(Calculations[[#This Row],[For XLOOKUP]],Factors[For XLOOKUP],Factors[Source],"")</f>
        <v>Greece. National Inventory Submissions 2024</v>
      </c>
      <c r="R10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8" s="19">
        <f>IF(LEFT(Calculations[[#This Row],[Emission Factor]],7)="Σ.Ε. CH",Calculations[[#This Row],[Value]]*Calculations[[#This Row],[Τιμή]],"-")</f>
        <v>2.859993743586235E-3</v>
      </c>
      <c r="T10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8" s="19" t="str">
        <f>IF(LEFT(Calculations[[#This Row],[Emission Factor]],3)="GWP",Calculations[[#This Row],[Τιμή]],"-")</f>
        <v>-</v>
      </c>
      <c r="V108" s="19" t="str">
        <f>IF(OR(Calculations[[#This Row],[Emission Factor]]="Σ.Ε. CO₂ eq",Calculations[[#This Row],[Emission Factor]]="CO₂ eq"),Calculations[[#This Row],[Value]]*Calculations[[#This Row],[Τιμή]],"-")</f>
        <v>-</v>
      </c>
      <c r="W108" s="19" t="str">
        <f>IF(Calculations[[#This Row],[Πηγή εκπομπών]]="Electricity consumed in office buildings and projects - market based",Calculations[[#This Row],[t CO2]],"")</f>
        <v/>
      </c>
      <c r="X10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8.0079824820414577E-2</v>
      </c>
    </row>
    <row r="109" spans="1:24" s="14" customFormat="1" ht="15" hidden="1" thickTop="1">
      <c r="A109" s="15" t="s">
        <v>0</v>
      </c>
      <c r="B109" s="15" t="s">
        <v>0</v>
      </c>
      <c r="C109" s="16" t="s">
        <v>624</v>
      </c>
      <c r="D109" s="16" t="s">
        <v>895</v>
      </c>
      <c r="E109" s="16" t="s">
        <v>1137</v>
      </c>
      <c r="F109" s="11" t="s">
        <v>319</v>
      </c>
      <c r="G109" s="15" t="s">
        <v>80</v>
      </c>
      <c r="H109" s="15" t="s">
        <v>99</v>
      </c>
      <c r="I109" s="17" t="s">
        <v>260</v>
      </c>
      <c r="J109" s="79" cm="1">
        <f t="array" ref="J109">_xlfn.XLOOKUP(1,(Calculations[Πληροφορίες]=Calculations[[#This Row],[Πληροφορίες]])*(Calculations[Εταιρεία]=F109),Calculations[Τιμή])</f>
        <v>955.04</v>
      </c>
      <c r="K109" s="18" t="s">
        <v>7</v>
      </c>
      <c r="L109" s="16" t="s">
        <v>256</v>
      </c>
      <c r="M109" s="148" t="s">
        <v>231</v>
      </c>
      <c r="N109" s="19" t="str">
        <f>_xlfn.XLOOKUP(Calculations[[#This Row],[For XLOOKUP]],Factors[For XLOOKUP],Factors[Factor],"")</f>
        <v>Σ.Ε. N2O m.</v>
      </c>
      <c r="O109" s="19">
        <f>_xlfn.XLOOKUP(Calculations[[#This Row],[For XLOOKUP]],Factors[For XLOOKUP],Factors[Value],"")</f>
        <v>4.9134776882805899E-8</v>
      </c>
      <c r="P109" s="19" t="str">
        <f>_xlfn.XLOOKUP(Calculations[[#This Row],[For XLOOKUP]],Factors[For XLOOKUP],Factors[Units],"")</f>
        <v>tn N2O/lt</v>
      </c>
      <c r="Q109" s="19" t="str">
        <f>_xlfn.XLOOKUP(Calculations[[#This Row],[For XLOOKUP]],Factors[For XLOOKUP],Factors[Source],"")</f>
        <v>Greece. National Inventory Submissions 2024</v>
      </c>
      <c r="R10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9" s="19" t="str">
        <f>IF(LEFT(Calculations[[#This Row],[Emission Factor]],7)="Σ.Ε. CH",Calculations[[#This Row],[Value]]*Calculations[[#This Row],[Τιμή]],"-")</f>
        <v>-</v>
      </c>
      <c r="T109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4.6925677314154946E-5</v>
      </c>
      <c r="U109" s="19" t="str">
        <f>IF(LEFT(Calculations[[#This Row],[Emission Factor]],3)="GWP",Calculations[[#This Row],[Τιμή]],"-")</f>
        <v>-</v>
      </c>
      <c r="V109" s="19" t="str">
        <f>IF(OR(Calculations[[#This Row],[Emission Factor]]="Σ.Ε. CO₂ eq",Calculations[[#This Row],[Emission Factor]]="CO₂ eq"),Calculations[[#This Row],[Value]]*Calculations[[#This Row],[Τιμή]],"-")</f>
        <v>-</v>
      </c>
      <c r="W109" s="19" t="str">
        <f>IF(Calculations[[#This Row],[Πηγή εκπομπών]]="Electricity consumed in office buildings and projects - market based",Calculations[[#This Row],[t CO2]],"")</f>
        <v/>
      </c>
      <c r="X10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1.2435304488251061E-2</v>
      </c>
    </row>
    <row r="110" spans="1:24" s="14" customFormat="1" ht="15" hidden="1" thickTop="1">
      <c r="A110" s="15" t="s">
        <v>0</v>
      </c>
      <c r="B110" s="15" t="s">
        <v>0</v>
      </c>
      <c r="C110" s="16" t="s">
        <v>624</v>
      </c>
      <c r="D110" s="77" t="s">
        <v>1144</v>
      </c>
      <c r="E110" s="77" t="s">
        <v>1146</v>
      </c>
      <c r="F110" s="11" t="s">
        <v>647</v>
      </c>
      <c r="G110" s="15" t="s">
        <v>80</v>
      </c>
      <c r="H110" s="15" t="s">
        <v>99</v>
      </c>
      <c r="I110" s="17" t="s">
        <v>260</v>
      </c>
      <c r="J110" s="238">
        <v>5255.85</v>
      </c>
      <c r="K110" s="18" t="s">
        <v>7</v>
      </c>
      <c r="L110" s="16" t="s">
        <v>256</v>
      </c>
      <c r="M110" s="148" t="s">
        <v>227</v>
      </c>
      <c r="N110" s="19" t="str">
        <f>_xlfn.XLOOKUP(Calculations[[#This Row],[For XLOOKUP]],Factors[For XLOOKUP],Factors[Factor],"")</f>
        <v>Σ.Ε. CO₂ m.</v>
      </c>
      <c r="O110" s="19">
        <f>_xlfn.XLOOKUP(Calculations[[#This Row],[For XLOOKUP]],Factors[For XLOOKUP],Factors[Value],"")</f>
        <v>2.3432595615E-3</v>
      </c>
      <c r="P110" s="19" t="str">
        <f>_xlfn.XLOOKUP(Calculations[[#This Row],[For XLOOKUP]],Factors[For XLOOKUP],Factors[Units],"")</f>
        <v>tn CO2/lt</v>
      </c>
      <c r="Q110" s="19" t="str">
        <f>_xlfn.XLOOKUP(Calculations[[#This Row],[For XLOOKUP]],Factors[For XLOOKUP],Factors[Source],"")</f>
        <v>Greece. National Inventory Submissions 2024</v>
      </c>
      <c r="R110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12.315820766309775</v>
      </c>
      <c r="S110" s="19" t="str">
        <f>IF(LEFT(Calculations[[#This Row],[Emission Factor]],7)="Σ.Ε. CH",Calculations[[#This Row],[Value]]*Calculations[[#This Row],[Τιμή]],"-")</f>
        <v>-</v>
      </c>
      <c r="T11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0" s="19" t="str">
        <f>IF(LEFT(Calculations[[#This Row],[Emission Factor]],3)="GWP",Calculations[[#This Row],[Τιμή]],"-")</f>
        <v>-</v>
      </c>
      <c r="V110" s="19" t="str">
        <f>IF(OR(Calculations[[#This Row],[Emission Factor]]="Σ.Ε. CO₂ eq",Calculations[[#This Row],[Emission Factor]]="CO₂ eq"),Calculations[[#This Row],[Value]]*Calculations[[#This Row],[Τιμή]],"-")</f>
        <v>-</v>
      </c>
      <c r="W110" s="19" t="str">
        <f>IF(Calculations[[#This Row],[Πηγή εκπομπών]]="Electricity consumed in office buildings and projects - market based",Calculations[[#This Row],[t CO2]],"")</f>
        <v/>
      </c>
      <c r="X11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12.315820766309775</v>
      </c>
    </row>
    <row r="111" spans="1:24" s="14" customFormat="1" ht="15" hidden="1" thickTop="1">
      <c r="A111" s="15" t="s">
        <v>0</v>
      </c>
      <c r="B111" s="15" t="s">
        <v>0</v>
      </c>
      <c r="C111" s="16" t="s">
        <v>624</v>
      </c>
      <c r="D111" s="77" t="s">
        <v>1144</v>
      </c>
      <c r="E111" s="77" t="s">
        <v>1146</v>
      </c>
      <c r="F111" s="11" t="s">
        <v>647</v>
      </c>
      <c r="G111" s="15" t="s">
        <v>80</v>
      </c>
      <c r="H111" s="15" t="s">
        <v>99</v>
      </c>
      <c r="I111" s="17" t="s">
        <v>260</v>
      </c>
      <c r="J111" s="79">
        <v>5255.85</v>
      </c>
      <c r="K111" s="18" t="s">
        <v>7</v>
      </c>
      <c r="L111" s="16" t="s">
        <v>256</v>
      </c>
      <c r="M111" s="148" t="s">
        <v>230</v>
      </c>
      <c r="N111" s="19" t="str">
        <f>_xlfn.XLOOKUP(Calculations[[#This Row],[For XLOOKUP]],Factors[For XLOOKUP],Factors[Factor],"")</f>
        <v>Σ.Ε. CH₄ m.</v>
      </c>
      <c r="O111" s="19">
        <f>_xlfn.XLOOKUP(Calculations[[#This Row],[For XLOOKUP]],Factors[For XLOOKUP],Factors[Value],"")</f>
        <v>2.9946324170571233E-6</v>
      </c>
      <c r="P111" s="19" t="str">
        <f>_xlfn.XLOOKUP(Calculations[[#This Row],[For XLOOKUP]],Factors[For XLOOKUP],Factors[Units],"")</f>
        <v>tn CH₄/lt</v>
      </c>
      <c r="Q111" s="19" t="str">
        <f>_xlfn.XLOOKUP(Calculations[[#This Row],[For XLOOKUP]],Factors[For XLOOKUP],Factors[Source],"")</f>
        <v>Greece. National Inventory Submissions 2024</v>
      </c>
      <c r="R11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1" s="19">
        <f>IF(LEFT(Calculations[[#This Row],[Emission Factor]],7)="Σ.Ε. CH",Calculations[[#This Row],[Value]]*Calculations[[#This Row],[Τιμή]],"-")</f>
        <v>1.5739338789189684E-2</v>
      </c>
      <c r="T11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1" s="19" t="str">
        <f>IF(LEFT(Calculations[[#This Row],[Emission Factor]],3)="GWP",Calculations[[#This Row],[Τιμή]],"-")</f>
        <v>-</v>
      </c>
      <c r="V111" s="19" t="str">
        <f>IF(OR(Calculations[[#This Row],[Emission Factor]]="Σ.Ε. CO₂ eq",Calculations[[#This Row],[Emission Factor]]="CO₂ eq"),Calculations[[#This Row],[Value]]*Calculations[[#This Row],[Τιμή]],"-")</f>
        <v>-</v>
      </c>
      <c r="W111" s="19" t="str">
        <f>IF(Calculations[[#This Row],[Πηγή εκπομπών]]="Electricity consumed in office buildings and projects - market based",Calculations[[#This Row],[t CO2]],"")</f>
        <v/>
      </c>
      <c r="X11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0.44070148609731119</v>
      </c>
    </row>
    <row r="112" spans="1:24" s="14" customFormat="1" ht="15" hidden="1" thickTop="1">
      <c r="A112" s="15" t="s">
        <v>0</v>
      </c>
      <c r="B112" s="15" t="s">
        <v>0</v>
      </c>
      <c r="C112" s="16" t="s">
        <v>624</v>
      </c>
      <c r="D112" s="77" t="s">
        <v>1144</v>
      </c>
      <c r="E112" s="77" t="s">
        <v>1146</v>
      </c>
      <c r="F112" s="11" t="s">
        <v>647</v>
      </c>
      <c r="G112" s="15" t="s">
        <v>80</v>
      </c>
      <c r="H112" s="15" t="s">
        <v>99</v>
      </c>
      <c r="I112" s="17" t="s">
        <v>260</v>
      </c>
      <c r="J112" s="79">
        <v>5255.85</v>
      </c>
      <c r="K112" s="18" t="s">
        <v>7</v>
      </c>
      <c r="L112" s="16" t="s">
        <v>256</v>
      </c>
      <c r="M112" s="148" t="s">
        <v>231</v>
      </c>
      <c r="N112" s="19" t="str">
        <f>_xlfn.XLOOKUP(Calculations[[#This Row],[For XLOOKUP]],Factors[For XLOOKUP],Factors[Factor],"")</f>
        <v>Σ.Ε. N2O m.</v>
      </c>
      <c r="O112" s="19">
        <f>_xlfn.XLOOKUP(Calculations[[#This Row],[For XLOOKUP]],Factors[For XLOOKUP],Factors[Value],"")</f>
        <v>4.9134776882805899E-8</v>
      </c>
      <c r="P112" s="19" t="str">
        <f>_xlfn.XLOOKUP(Calculations[[#This Row],[For XLOOKUP]],Factors[For XLOOKUP],Factors[Units],"")</f>
        <v>tn N2O/lt</v>
      </c>
      <c r="Q112" s="19" t="str">
        <f>_xlfn.XLOOKUP(Calculations[[#This Row],[For XLOOKUP]],Factors[For XLOOKUP],Factors[Source],"")</f>
        <v>Greece. National Inventory Submissions 2024</v>
      </c>
      <c r="R11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2" s="19" t="str">
        <f>IF(LEFT(Calculations[[#This Row],[Emission Factor]],7)="Σ.Ε. CH",Calculations[[#This Row],[Value]]*Calculations[[#This Row],[Τιμή]],"-")</f>
        <v>-</v>
      </c>
      <c r="T112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2.5824501707949542E-4</v>
      </c>
      <c r="U112" s="19" t="str">
        <f>IF(LEFT(Calculations[[#This Row],[Emission Factor]],3)="GWP",Calculations[[#This Row],[Τιμή]],"-")</f>
        <v>-</v>
      </c>
      <c r="V112" s="19" t="str">
        <f>IF(OR(Calculations[[#This Row],[Emission Factor]]="Σ.Ε. CO₂ eq",Calculations[[#This Row],[Emission Factor]]="CO₂ eq"),Calculations[[#This Row],[Value]]*Calculations[[#This Row],[Τιμή]],"-")</f>
        <v>-</v>
      </c>
      <c r="W112" s="19" t="str">
        <f>IF(Calculations[[#This Row],[Πηγή εκπομπών]]="Electricity consumed in office buildings and projects - market based",Calculations[[#This Row],[t CO2]],"")</f>
        <v/>
      </c>
      <c r="X11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6.8434929526066279E-2</v>
      </c>
    </row>
    <row r="113" spans="1:24" s="14" customFormat="1" ht="15" hidden="1" thickTop="1">
      <c r="A113" s="15" t="s">
        <v>0</v>
      </c>
      <c r="B113" s="15" t="s">
        <v>0</v>
      </c>
      <c r="C113" s="16" t="s">
        <v>624</v>
      </c>
      <c r="D113" s="16" t="s">
        <v>895</v>
      </c>
      <c r="E113" s="16" t="s">
        <v>1141</v>
      </c>
      <c r="F113" s="209" t="s">
        <v>312</v>
      </c>
      <c r="G113" s="15" t="s">
        <v>80</v>
      </c>
      <c r="H113" s="15" t="s">
        <v>99</v>
      </c>
      <c r="I113" s="17" t="s">
        <v>101</v>
      </c>
      <c r="J113" s="239">
        <v>11890.61</v>
      </c>
      <c r="K113" s="18" t="s">
        <v>7</v>
      </c>
      <c r="L113" s="16" t="s">
        <v>257</v>
      </c>
      <c r="M113" s="148" t="s">
        <v>233</v>
      </c>
      <c r="N113" s="19" t="str">
        <f>_xlfn.XLOOKUP(Calculations[[#This Row],[For XLOOKUP]],Factors[For XLOOKUP],Factors[Factor],"")</f>
        <v>Σ.Ε. CO₂ m.</v>
      </c>
      <c r="O113" s="19">
        <f>_xlfn.XLOOKUP(Calculations[[#This Row],[For XLOOKUP]],Factors[For XLOOKUP],Factors[Value],"")</f>
        <v>1.6462501807867685E-3</v>
      </c>
      <c r="P113" s="19" t="str">
        <f>_xlfn.XLOOKUP(Calculations[[#This Row],[For XLOOKUP]],Factors[For XLOOKUP],Factors[Units],"")</f>
        <v>tn CO2/lt</v>
      </c>
      <c r="Q113" s="19" t="str">
        <f>_xlfn.XLOOKUP(Calculations[[#This Row],[For XLOOKUP]],Factors[For XLOOKUP],Factors[Source],"")</f>
        <v>Greece. National Inventory Submissions 2024</v>
      </c>
      <c r="R113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19.57491886216496</v>
      </c>
      <c r="S113" s="19" t="str">
        <f>IF(LEFT(Calculations[[#This Row],[Emission Factor]],7)="Σ.Ε. CH",Calculations[[#This Row],[Value]]*Calculations[[#This Row],[Τιμή]],"-")</f>
        <v>-</v>
      </c>
      <c r="T11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3" s="19" t="str">
        <f>IF(LEFT(Calculations[[#This Row],[Emission Factor]],3)="GWP",Calculations[[#This Row],[Τιμή]],"-")</f>
        <v>-</v>
      </c>
      <c r="V113" s="19" t="str">
        <f>IF(OR(Calculations[[#This Row],[Emission Factor]]="Σ.Ε. CO₂ eq",Calculations[[#This Row],[Emission Factor]]="CO₂ eq"),Calculations[[#This Row],[Value]]*Calculations[[#This Row],[Τιμή]],"-")</f>
        <v>-</v>
      </c>
      <c r="W113" s="19" t="str">
        <f>IF(Calculations[[#This Row],[Πηγή εκπομπών]]="Electricity consumed in office buildings and projects - market based",Calculations[[#This Row],[t CO2]],"")</f>
        <v/>
      </c>
      <c r="X11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19.57491886216496</v>
      </c>
    </row>
    <row r="114" spans="1:24" s="14" customFormat="1" ht="15" hidden="1" thickTop="1">
      <c r="A114" s="15" t="s">
        <v>0</v>
      </c>
      <c r="B114" s="15" t="s">
        <v>0</v>
      </c>
      <c r="C114" s="16" t="s">
        <v>624</v>
      </c>
      <c r="D114" s="16" t="s">
        <v>895</v>
      </c>
      <c r="E114" s="16" t="s">
        <v>1141</v>
      </c>
      <c r="F114" s="209" t="s">
        <v>312</v>
      </c>
      <c r="G114" s="15" t="s">
        <v>80</v>
      </c>
      <c r="H114" s="15" t="s">
        <v>99</v>
      </c>
      <c r="I114" s="17" t="s">
        <v>101</v>
      </c>
      <c r="J114" s="79" cm="1">
        <f t="array" ref="J114">_xlfn.XLOOKUP(1,(Calculations[Πληροφορίες]=Calculations[[#This Row],[Πληροφορίες]])*(Calculations[Εταιρεία]=F114),Calculations[Τιμή])</f>
        <v>11890.61</v>
      </c>
      <c r="K114" s="18" t="s">
        <v>7</v>
      </c>
      <c r="L114" s="16" t="s">
        <v>257</v>
      </c>
      <c r="M114" s="148" t="s">
        <v>234</v>
      </c>
      <c r="N114" s="19" t="str">
        <f>_xlfn.XLOOKUP(Calculations[[#This Row],[For XLOOKUP]],Factors[For XLOOKUP],Factors[Factor],"")</f>
        <v>Σ.Ε. CH₄ m.</v>
      </c>
      <c r="O114" s="19">
        <f>_xlfn.XLOOKUP(Calculations[[#This Row],[For XLOOKUP]],Factors[For XLOOKUP],Factors[Value],"")</f>
        <v>2.1969928601050937E-7</v>
      </c>
      <c r="P114" s="19" t="str">
        <f>_xlfn.XLOOKUP(Calculations[[#This Row],[For XLOOKUP]],Factors[For XLOOKUP],Factors[Units],"")</f>
        <v>tn CH₄/lt</v>
      </c>
      <c r="Q114" s="19" t="str">
        <f>_xlfn.XLOOKUP(Calculations[[#This Row],[For XLOOKUP]],Factors[For XLOOKUP],Factors[Source],"")</f>
        <v>Greece. National Inventory Submissions 2024</v>
      </c>
      <c r="R11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4" s="19">
        <f>IF(LEFT(Calculations[[#This Row],[Emission Factor]],7)="Σ.Ε. CH",Calculations[[#This Row],[Value]]*Calculations[[#This Row],[Τιμή]],"-")</f>
        <v>2.6123585272294228E-3</v>
      </c>
      <c r="T11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4" s="19" t="str">
        <f>IF(LEFT(Calculations[[#This Row],[Emission Factor]],3)="GWP",Calculations[[#This Row],[Τιμή]],"-")</f>
        <v>-</v>
      </c>
      <c r="V114" s="19" t="str">
        <f>IF(OR(Calculations[[#This Row],[Emission Factor]]="Σ.Ε. CO₂ eq",Calculations[[#This Row],[Emission Factor]]="CO₂ eq"),Calculations[[#This Row],[Value]]*Calculations[[#This Row],[Τιμή]],"-")</f>
        <v>-</v>
      </c>
      <c r="W114" s="19" t="str">
        <f>IF(Calculations[[#This Row],[Πηγή εκπομπών]]="Electricity consumed in office buildings and projects - market based",Calculations[[#This Row],[t CO2]],"")</f>
        <v/>
      </c>
      <c r="X11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7.3146038762423843E-2</v>
      </c>
    </row>
    <row r="115" spans="1:24" s="14" customFormat="1" ht="15" hidden="1" thickTop="1">
      <c r="A115" s="15" t="s">
        <v>0</v>
      </c>
      <c r="B115" s="15" t="s">
        <v>0</v>
      </c>
      <c r="C115" s="16" t="s">
        <v>624</v>
      </c>
      <c r="D115" s="16" t="s">
        <v>895</v>
      </c>
      <c r="E115" s="16" t="s">
        <v>1141</v>
      </c>
      <c r="F115" s="209" t="s">
        <v>312</v>
      </c>
      <c r="G115" s="15" t="s">
        <v>80</v>
      </c>
      <c r="H115" s="15" t="s">
        <v>99</v>
      </c>
      <c r="I115" s="17" t="s">
        <v>101</v>
      </c>
      <c r="J115" s="79" cm="1">
        <f t="array" ref="J115">_xlfn.XLOOKUP(1,(Calculations[Πληροφορίες]=Calculations[[#This Row],[Πληροφορίες]])*(Calculations[Εταιρεία]=F115),Calculations[Τιμή])</f>
        <v>11890.61</v>
      </c>
      <c r="K115" s="18" t="s">
        <v>7</v>
      </c>
      <c r="L115" s="16" t="s">
        <v>257</v>
      </c>
      <c r="M115" s="148" t="s">
        <v>235</v>
      </c>
      <c r="N115" s="19" t="str">
        <f>_xlfn.XLOOKUP(Calculations[[#This Row],[For XLOOKUP]],Factors[For XLOOKUP],Factors[Factor],"")</f>
        <v>Σ.Ε. N2O m.</v>
      </c>
      <c r="O115" s="19">
        <f>_xlfn.XLOOKUP(Calculations[[#This Row],[For XLOOKUP]],Factors[For XLOOKUP],Factors[Value],"")</f>
        <v>4.2897820698533063E-8</v>
      </c>
      <c r="P115" s="19" t="str">
        <f>_xlfn.XLOOKUP(Calculations[[#This Row],[For XLOOKUP]],Factors[For XLOOKUP],Factors[Units],"")</f>
        <v>tn N2O/lt</v>
      </c>
      <c r="Q115" s="19" t="str">
        <f>_xlfn.XLOOKUP(Calculations[[#This Row],[For XLOOKUP]],Factors[For XLOOKUP],Factors[Source],"")</f>
        <v>Greece. National Inventory Submissions 2024</v>
      </c>
      <c r="R11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5" s="19" t="str">
        <f>IF(LEFT(Calculations[[#This Row],[Emission Factor]],7)="Σ.Ε. CH",Calculations[[#This Row],[Value]]*Calculations[[#This Row],[Τιμή]],"-")</f>
        <v>-</v>
      </c>
      <c r="T115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5.1008125577618421E-4</v>
      </c>
      <c r="U115" s="19" t="str">
        <f>IF(LEFT(Calculations[[#This Row],[Emission Factor]],3)="GWP",Calculations[[#This Row],[Τιμή]],"-")</f>
        <v>-</v>
      </c>
      <c r="V115" s="19" t="str">
        <f>IF(OR(Calculations[[#This Row],[Emission Factor]]="Σ.Ε. CO₂ eq",Calculations[[#This Row],[Emission Factor]]="CO₂ eq"),Calculations[[#This Row],[Value]]*Calculations[[#This Row],[Τιμή]],"-")</f>
        <v>-</v>
      </c>
      <c r="W115" s="19" t="str">
        <f>IF(Calculations[[#This Row],[Πηγή εκπομπών]]="Electricity consumed in office buildings and projects - market based",Calculations[[#This Row],[t CO2]],"")</f>
        <v/>
      </c>
      <c r="X11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0.1351715327806888</v>
      </c>
    </row>
    <row r="116" spans="1:24" s="14" customFormat="1" ht="15" hidden="1" thickTop="1">
      <c r="A116" s="15" t="s">
        <v>0</v>
      </c>
      <c r="B116" s="15" t="s">
        <v>0</v>
      </c>
      <c r="C116" s="16" t="s">
        <v>327</v>
      </c>
      <c r="D116" s="16" t="s">
        <v>894</v>
      </c>
      <c r="E116" s="16" t="s">
        <v>1187</v>
      </c>
      <c r="F116" s="16" t="s">
        <v>317</v>
      </c>
      <c r="G116" s="15" t="s">
        <v>80</v>
      </c>
      <c r="H116" s="15" t="s">
        <v>99</v>
      </c>
      <c r="I116" s="17" t="s">
        <v>100</v>
      </c>
      <c r="J116" s="238">
        <v>2517</v>
      </c>
      <c r="K116" s="18" t="s">
        <v>7</v>
      </c>
      <c r="L116" s="16" t="s">
        <v>250</v>
      </c>
      <c r="M116" s="148" t="s">
        <v>1331</v>
      </c>
      <c r="N116" s="19" t="str">
        <f>_xlfn.XLOOKUP(Calculations[[#This Row],[For XLOOKUP]],Factors[For XLOOKUP],Factors[Factor],"")</f>
        <v>Σ.Ε. CO₂ m.</v>
      </c>
      <c r="O116" s="19">
        <f>_xlfn.XLOOKUP(Calculations[[#This Row],[For XLOOKUP]],Factors[For XLOOKUP],Factors[Value],"")</f>
        <v>2.707101965305117E-3</v>
      </c>
      <c r="P116" s="19" t="str">
        <f>_xlfn.XLOOKUP(Calculations[[#This Row],[For XLOOKUP]],Factors[For XLOOKUP],Factors[Units],"")</f>
        <v>tn CO2/lt</v>
      </c>
      <c r="Q116" s="19" t="str">
        <f>_xlfn.XLOOKUP(Calculations[[#This Row],[For XLOOKUP]],Factors[For XLOOKUP],Factors[Source],"")</f>
        <v>Cyprus. National Inventory Report (NIR) 2024</v>
      </c>
      <c r="R116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6.8137756466729797</v>
      </c>
      <c r="S116" s="19" t="str">
        <f>IF(LEFT(Calculations[[#This Row],[Emission Factor]],7)="Σ.Ε. CH",Calculations[[#This Row],[Value]]*Calculations[[#This Row],[Τιμή]],"-")</f>
        <v>-</v>
      </c>
      <c r="T11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6" s="19" t="str">
        <f>IF(LEFT(Calculations[[#This Row],[Emission Factor]],3)="GWP",Calculations[[#This Row],[Τιμή]],"-")</f>
        <v>-</v>
      </c>
      <c r="V116" s="19" t="str">
        <f>IF(OR(Calculations[[#This Row],[Emission Factor]]="Σ.Ε. CO₂ eq",Calculations[[#This Row],[Emission Factor]]="CO₂ eq"),Calculations[[#This Row],[Value]]*Calculations[[#This Row],[Τιμή]],"-")</f>
        <v>-</v>
      </c>
      <c r="W116" s="19" t="str">
        <f>IF(Calculations[[#This Row],[Πηγή εκπομπών]]="Electricity consumed in office buildings and projects - market based",Calculations[[#This Row],[t CO2]],"")</f>
        <v/>
      </c>
      <c r="X11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6.8137756466729797</v>
      </c>
    </row>
    <row r="117" spans="1:24" s="14" customFormat="1" ht="15" hidden="1" thickTop="1">
      <c r="A117" s="15" t="s">
        <v>0</v>
      </c>
      <c r="B117" s="15" t="s">
        <v>0</v>
      </c>
      <c r="C117" s="16" t="s">
        <v>327</v>
      </c>
      <c r="D117" s="77" t="s">
        <v>894</v>
      </c>
      <c r="E117" s="16" t="s">
        <v>1187</v>
      </c>
      <c r="F117" s="16" t="s">
        <v>317</v>
      </c>
      <c r="G117" s="15" t="s">
        <v>80</v>
      </c>
      <c r="H117" s="15" t="s">
        <v>99</v>
      </c>
      <c r="I117" s="17" t="s">
        <v>100</v>
      </c>
      <c r="J117" s="79">
        <v>2517</v>
      </c>
      <c r="K117" s="18" t="s">
        <v>7</v>
      </c>
      <c r="L117" s="16" t="s">
        <v>250</v>
      </c>
      <c r="M117" s="148" t="s">
        <v>1332</v>
      </c>
      <c r="N117" s="19" t="str">
        <f>_xlfn.XLOOKUP(Calculations[[#This Row],[For XLOOKUP]],Factors[For XLOOKUP],Factors[Factor],"")</f>
        <v>Σ.Ε. CH₄ m.</v>
      </c>
      <c r="O117" s="19">
        <f>_xlfn.XLOOKUP(Calculations[[#This Row],[For XLOOKUP]],Factors[For XLOOKUP],Factors[Value],"")</f>
        <v>1.92302232501156E-8</v>
      </c>
      <c r="P117" s="19" t="str">
        <f>_xlfn.XLOOKUP(Calculations[[#This Row],[For XLOOKUP]],Factors[For XLOOKUP],Factors[Units],"")</f>
        <v>tn CH₄/lt</v>
      </c>
      <c r="Q117" s="19" t="str">
        <f>_xlfn.XLOOKUP(Calculations[[#This Row],[For XLOOKUP]],Factors[For XLOOKUP],Factors[Source],"")</f>
        <v>Cyprus. National Inventory Report (NIR) 2024</v>
      </c>
      <c r="R11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7" s="19">
        <f>IF(LEFT(Calculations[[#This Row],[Emission Factor]],7)="Σ.Ε. CH",Calculations[[#This Row],[Value]]*Calculations[[#This Row],[Τιμή]],"-")</f>
        <v>4.8402471920540964E-5</v>
      </c>
      <c r="T11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7" s="19" t="str">
        <f>IF(LEFT(Calculations[[#This Row],[Emission Factor]],3)="GWP",Calculations[[#This Row],[Τιμή]],"-")</f>
        <v>-</v>
      </c>
      <c r="V117" s="19" t="str">
        <f>IF(OR(Calculations[[#This Row],[Emission Factor]]="Σ.Ε. CO₂ eq",Calculations[[#This Row],[Emission Factor]]="CO₂ eq"),Calculations[[#This Row],[Value]]*Calculations[[#This Row],[Τιμή]],"-")</f>
        <v>-</v>
      </c>
      <c r="W117" s="19" t="str">
        <f>IF(Calculations[[#This Row],[Πηγή εκπομπών]]="Electricity consumed in office buildings and projects - market based",Calculations[[#This Row],[t CO2]],"")</f>
        <v/>
      </c>
      <c r="X11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1.355269213775147E-3</v>
      </c>
    </row>
    <row r="118" spans="1:24" s="14" customFormat="1" ht="15" hidden="1" thickTop="1">
      <c r="A118" s="15" t="s">
        <v>0</v>
      </c>
      <c r="B118" s="15" t="s">
        <v>0</v>
      </c>
      <c r="C118" s="16" t="s">
        <v>327</v>
      </c>
      <c r="D118" s="77" t="s">
        <v>894</v>
      </c>
      <c r="E118" s="16" t="s">
        <v>1187</v>
      </c>
      <c r="F118" s="16" t="s">
        <v>317</v>
      </c>
      <c r="G118" s="15" t="s">
        <v>80</v>
      </c>
      <c r="H118" s="15" t="s">
        <v>99</v>
      </c>
      <c r="I118" s="17" t="s">
        <v>100</v>
      </c>
      <c r="J118" s="79">
        <v>2517</v>
      </c>
      <c r="K118" s="18" t="s">
        <v>7</v>
      </c>
      <c r="L118" s="16" t="s">
        <v>250</v>
      </c>
      <c r="M118" s="148" t="s">
        <v>1333</v>
      </c>
      <c r="N118" s="19" t="str">
        <f>_xlfn.XLOOKUP(Calculations[[#This Row],[For XLOOKUP]],Factors[For XLOOKUP],Factors[Factor],"")</f>
        <v>Σ.Ε. N2O m.</v>
      </c>
      <c r="O118" s="19">
        <f>_xlfn.XLOOKUP(Calculations[[#This Row],[For XLOOKUP]],Factors[For XLOOKUP],Factors[Value],"")</f>
        <v>6.4195613913975801E-8</v>
      </c>
      <c r="P118" s="19" t="str">
        <f>_xlfn.XLOOKUP(Calculations[[#This Row],[For XLOOKUP]],Factors[For XLOOKUP],Factors[Units],"")</f>
        <v>tn N2O/lt</v>
      </c>
      <c r="Q118" s="19" t="str">
        <f>_xlfn.XLOOKUP(Calculations[[#This Row],[For XLOOKUP]],Factors[For XLOOKUP],Factors[Source],"")</f>
        <v>Cyprus. National Inventory Report (NIR) 2024</v>
      </c>
      <c r="R11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8" s="19" t="str">
        <f>IF(LEFT(Calculations[[#This Row],[Emission Factor]],7)="Σ.Ε. CH",Calculations[[#This Row],[Value]]*Calculations[[#This Row],[Τιμή]],"-")</f>
        <v>-</v>
      </c>
      <c r="T118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1.6158036022147709E-4</v>
      </c>
      <c r="U118" s="19" t="str">
        <f>IF(LEFT(Calculations[[#This Row],[Emission Factor]],3)="GWP",Calculations[[#This Row],[Τιμή]],"-")</f>
        <v>-</v>
      </c>
      <c r="V118" s="19" t="str">
        <f>IF(OR(Calculations[[#This Row],[Emission Factor]]="Σ.Ε. CO₂ eq",Calculations[[#This Row],[Emission Factor]]="CO₂ eq"),Calculations[[#This Row],[Value]]*Calculations[[#This Row],[Τιμή]],"-")</f>
        <v>-</v>
      </c>
      <c r="W118" s="19" t="str">
        <f>IF(Calculations[[#This Row],[Πηγή εκπομπών]]="Electricity consumed in office buildings and projects - market based",Calculations[[#This Row],[t CO2]],"")</f>
        <v/>
      </c>
      <c r="X11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4.2818795458691425E-2</v>
      </c>
    </row>
    <row r="119" spans="1:24" s="14" customFormat="1" ht="15" hidden="1" thickTop="1">
      <c r="A119" s="15" t="s">
        <v>0</v>
      </c>
      <c r="B119" s="15" t="s">
        <v>0</v>
      </c>
      <c r="C119" s="16" t="s">
        <v>624</v>
      </c>
      <c r="D119" s="77" t="s">
        <v>894</v>
      </c>
      <c r="E119" s="77"/>
      <c r="F119" s="11" t="s">
        <v>317</v>
      </c>
      <c r="G119" s="15" t="s">
        <v>98</v>
      </c>
      <c r="H119" s="15" t="s">
        <v>93</v>
      </c>
      <c r="I119" s="17" t="s">
        <v>93</v>
      </c>
      <c r="J119" s="243">
        <f>(7399.73366-(5977362.1*0.000200430000000001))</f>
        <v>6201.6909742969938</v>
      </c>
      <c r="K119" s="18" t="s">
        <v>198</v>
      </c>
      <c r="L119" s="16" t="s">
        <v>73</v>
      </c>
      <c r="M119" s="148" t="s">
        <v>73</v>
      </c>
      <c r="N119" s="19" t="str">
        <f>_xlfn.XLOOKUP(Calculations[[#This Row],[For XLOOKUP]],Factors[For XLOOKUP],Factors[Factor],"")</f>
        <v>CO₂</v>
      </c>
      <c r="O119" s="19">
        <f>_xlfn.XLOOKUP(Calculations[[#This Row],[For XLOOKUP]],Factors[For XLOOKUP],Factors[Value],"")</f>
        <v>1</v>
      </c>
      <c r="P119" s="19" t="str">
        <f>_xlfn.XLOOKUP(Calculations[[#This Row],[For XLOOKUP]],Factors[For XLOOKUP],Factors[Units],"")</f>
        <v>tn CO2</v>
      </c>
      <c r="Q119" s="19">
        <f>_xlfn.XLOOKUP(Calculations[[#This Row],[For XLOOKUP]],Factors[For XLOOKUP],Factors[Source],"")</f>
        <v>0</v>
      </c>
      <c r="R119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6201.6909742969938</v>
      </c>
      <c r="S119" s="19" t="str">
        <f>IF(LEFT(Calculations[[#This Row],[Emission Factor]],7)="Σ.Ε. CH",Calculations[[#This Row],[Value]]*Calculations[[#This Row],[Τιμή]],"-")</f>
        <v>-</v>
      </c>
      <c r="T11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9" s="19" t="str">
        <f>IF(LEFT(Calculations[[#This Row],[Emission Factor]],3)="GWP",Calculations[[#This Row],[Τιμή]],"-")</f>
        <v>-</v>
      </c>
      <c r="V119" s="19" t="str">
        <f>IF(OR(Calculations[[#This Row],[Emission Factor]]="Σ.Ε. CO₂ eq",Calculations[[#This Row],[Emission Factor]]="CO₂ eq"),Calculations[[#This Row],[Value]]*Calculations[[#This Row],[Τιμή]],"-")</f>
        <v>-</v>
      </c>
      <c r="W119" s="19" t="str">
        <f>IF(Calculations[[#This Row],[Πηγή εκπομπών]]="Electricity consumed in office buildings and projects - market based",Calculations[[#This Row],[t CO2]],"")</f>
        <v/>
      </c>
      <c r="X11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6201.6909742969938</v>
      </c>
    </row>
    <row r="120" spans="1:24" s="14" customFormat="1" ht="15" hidden="1" thickTop="1">
      <c r="A120" s="15" t="s">
        <v>0</v>
      </c>
      <c r="B120" s="15" t="s">
        <v>0</v>
      </c>
      <c r="C120" s="16" t="s">
        <v>624</v>
      </c>
      <c r="D120" s="77" t="s">
        <v>894</v>
      </c>
      <c r="E120" s="77"/>
      <c r="F120" s="77" t="s">
        <v>317</v>
      </c>
      <c r="G120" s="15" t="s">
        <v>78</v>
      </c>
      <c r="H120" s="15" t="s">
        <v>258</v>
      </c>
      <c r="I120" s="17" t="s">
        <v>90</v>
      </c>
      <c r="J120" s="210">
        <f>13438.73-1756</f>
        <v>11682.73</v>
      </c>
      <c r="K120" s="18" t="s">
        <v>7</v>
      </c>
      <c r="L120" s="16" t="s">
        <v>249</v>
      </c>
      <c r="M120" s="148" t="s">
        <v>204</v>
      </c>
      <c r="N120" s="19" t="str">
        <f>_xlfn.XLOOKUP(Calculations[[#This Row],[For XLOOKUP]],Factors[For XLOOKUP],Factors[Factor],"")</f>
        <v>Σ.Ε. CO₂ m.</v>
      </c>
      <c r="O120" s="19">
        <f>_xlfn.XLOOKUP(Calculations[[#This Row],[For XLOOKUP]],Factors[For XLOOKUP],Factors[Value],"")</f>
        <v>2.7370491168929394E-3</v>
      </c>
      <c r="P120" s="19" t="str">
        <f>_xlfn.XLOOKUP(Calculations[[#This Row],[For XLOOKUP]],Factors[For XLOOKUP],Factors[Units],"")</f>
        <v>tn CO2/lt</v>
      </c>
      <c r="Q120" s="19" t="str">
        <f>_xlfn.XLOOKUP(Calculations[[#This Row],[For XLOOKUP]],Factors[For XLOOKUP],Factors[Source],"")</f>
        <v>Greece. National Inventory Submissions 2024</v>
      </c>
      <c r="R120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31.976205829398648</v>
      </c>
      <c r="S120" s="19" t="str">
        <f>IF(LEFT(Calculations[[#This Row],[Emission Factor]],7)="Σ.Ε. CH",Calculations[[#This Row],[Value]]*Calculations[[#This Row],[Τιμή]],"-")</f>
        <v>-</v>
      </c>
      <c r="T12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0" s="19" t="str">
        <f>IF(LEFT(Calculations[[#This Row],[Emission Factor]],3)="GWP",Calculations[[#This Row],[Τιμή]],"-")</f>
        <v>-</v>
      </c>
      <c r="V120" s="19" t="str">
        <f>IF(OR(Calculations[[#This Row],[Emission Factor]]="Σ.Ε. CO₂ eq",Calculations[[#This Row],[Emission Factor]]="CO₂ eq"),Calculations[[#This Row],[Value]]*Calculations[[#This Row],[Τιμή]],"-")</f>
        <v>-</v>
      </c>
      <c r="W120" s="19" t="str">
        <f>IF(Calculations[[#This Row],[Πηγή εκπομπών]]="Electricity consumed in office buildings and projects - market based",Calculations[[#This Row],[t CO2]],"")</f>
        <v/>
      </c>
      <c r="X12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31.976205829398648</v>
      </c>
    </row>
    <row r="121" spans="1:24" s="14" customFormat="1" ht="15" hidden="1" thickTop="1">
      <c r="A121" s="15" t="s">
        <v>0</v>
      </c>
      <c r="B121" s="15" t="s">
        <v>0</v>
      </c>
      <c r="C121" s="16" t="s">
        <v>624</v>
      </c>
      <c r="D121" s="77" t="s">
        <v>894</v>
      </c>
      <c r="E121" s="77"/>
      <c r="F121" s="77" t="s">
        <v>317</v>
      </c>
      <c r="G121" s="15" t="s">
        <v>78</v>
      </c>
      <c r="H121" s="15" t="s">
        <v>258</v>
      </c>
      <c r="I121" s="17" t="s">
        <v>90</v>
      </c>
      <c r="J121" s="79" cm="1">
        <f t="array" ref="J121">_xlfn.XLOOKUP(1,(Calculations[Πληροφορίες]=Calculations[[#This Row],[Πληροφορίες]])*(Calculations[Εταιρεία]=F121),Calculations[Τιμή])</f>
        <v>11682.73</v>
      </c>
      <c r="K121" s="18" t="s">
        <v>7</v>
      </c>
      <c r="L121" s="16" t="s">
        <v>249</v>
      </c>
      <c r="M121" s="148" t="s">
        <v>206</v>
      </c>
      <c r="N121" s="19" t="str">
        <f>_xlfn.XLOOKUP(Calculations[[#This Row],[For XLOOKUP]],Factors[For XLOOKUP],Factors[Factor],"")</f>
        <v>Σ.Ε. CH₄ m.</v>
      </c>
      <c r="O121" s="19">
        <f>_xlfn.XLOOKUP(Calculations[[#This Row],[For XLOOKUP]],Factors[For XLOOKUP],Factors[Value],"")</f>
        <v>1.0689300000000002E-7</v>
      </c>
      <c r="P121" s="19" t="str">
        <f>_xlfn.XLOOKUP(Calculations[[#This Row],[For XLOOKUP]],Factors[For XLOOKUP],Factors[Units],"")</f>
        <v>tn CH₄/lt</v>
      </c>
      <c r="Q121" s="19" t="str">
        <f>_xlfn.XLOOKUP(Calculations[[#This Row],[For XLOOKUP]],Factors[For XLOOKUP],Factors[Source],"")</f>
        <v>Greece. National Inventory Submissions 2024</v>
      </c>
      <c r="R12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1" s="19">
        <f>IF(LEFT(Calculations[[#This Row],[Emission Factor]],7)="Σ.Ε. CH",Calculations[[#This Row],[Value]]*Calculations[[#This Row],[Τιμή]],"-")</f>
        <v>1.2488020578900001E-3</v>
      </c>
      <c r="T12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1" s="19" t="str">
        <f>IF(LEFT(Calculations[[#This Row],[Emission Factor]],3)="GWP",Calculations[[#This Row],[Τιμή]],"-")</f>
        <v>-</v>
      </c>
      <c r="V121" s="19" t="str">
        <f>IF(OR(Calculations[[#This Row],[Emission Factor]]="Σ.Ε. CO₂ eq",Calculations[[#This Row],[Emission Factor]]="CO₂ eq"),Calculations[[#This Row],[Value]]*Calculations[[#This Row],[Τιμή]],"-")</f>
        <v>-</v>
      </c>
      <c r="W121" s="19" t="str">
        <f>IF(Calculations[[#This Row],[Πηγή εκπομπών]]="Electricity consumed in office buildings and projects - market based",Calculations[[#This Row],[t CO2]],"")</f>
        <v/>
      </c>
      <c r="X12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3.4966457620920002E-2</v>
      </c>
    </row>
    <row r="122" spans="1:24" s="14" customFormat="1" ht="15" hidden="1" thickTop="1">
      <c r="A122" s="15" t="s">
        <v>0</v>
      </c>
      <c r="B122" s="15" t="s">
        <v>0</v>
      </c>
      <c r="C122" s="16" t="s">
        <v>624</v>
      </c>
      <c r="D122" s="77" t="s">
        <v>894</v>
      </c>
      <c r="E122" s="16"/>
      <c r="F122" s="77" t="s">
        <v>317</v>
      </c>
      <c r="G122" s="15" t="s">
        <v>78</v>
      </c>
      <c r="H122" s="15" t="s">
        <v>258</v>
      </c>
      <c r="I122" s="17" t="s">
        <v>90</v>
      </c>
      <c r="J122" s="79" cm="1">
        <f t="array" ref="J122">_xlfn.XLOOKUP(1,(Calculations[Πληροφορίες]=Calculations[[#This Row],[Πληροφορίες]])*(Calculations[Εταιρεία]=F122),Calculations[Τιμή])</f>
        <v>11682.73</v>
      </c>
      <c r="K122" s="18" t="s">
        <v>7</v>
      </c>
      <c r="L122" s="16" t="s">
        <v>249</v>
      </c>
      <c r="M122" s="148" t="s">
        <v>208</v>
      </c>
      <c r="N122" s="19" t="str">
        <f>_xlfn.XLOOKUP(Calculations[[#This Row],[For XLOOKUP]],Factors[For XLOOKUP],Factors[Factor],"")</f>
        <v>Σ.Ε. N2O m.</v>
      </c>
      <c r="O122" s="19">
        <f>_xlfn.XLOOKUP(Calculations[[#This Row],[For XLOOKUP]],Factors[For XLOOKUP],Factors[Value],"")</f>
        <v>2.1378600000000001E-8</v>
      </c>
      <c r="P122" s="19" t="str">
        <f>_xlfn.XLOOKUP(Calculations[[#This Row],[For XLOOKUP]],Factors[For XLOOKUP],Factors[Units],"")</f>
        <v>tn N2O/lt</v>
      </c>
      <c r="Q122" s="19" t="str">
        <f>_xlfn.XLOOKUP(Calculations[[#This Row],[For XLOOKUP]],Factors[For XLOOKUP],Factors[Source],"")</f>
        <v>Greece. National Inventory Submissions 2024</v>
      </c>
      <c r="R12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2" s="19" t="str">
        <f>IF(LEFT(Calculations[[#This Row],[Emission Factor]],7)="Σ.Ε. CH",Calculations[[#This Row],[Value]]*Calculations[[#This Row],[Τιμή]],"-")</f>
        <v>-</v>
      </c>
      <c r="T122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2.49760411578E-4</v>
      </c>
      <c r="U122" s="19" t="str">
        <f>IF(LEFT(Calculations[[#This Row],[Emission Factor]],3)="GWP",Calculations[[#This Row],[Τιμή]],"-")</f>
        <v>-</v>
      </c>
      <c r="V122" s="19" t="str">
        <f>IF(OR(Calculations[[#This Row],[Emission Factor]]="Σ.Ε. CO₂ eq",Calculations[[#This Row],[Emission Factor]]="CO₂ eq"),Calculations[[#This Row],[Value]]*Calculations[[#This Row],[Τιμή]],"-")</f>
        <v>-</v>
      </c>
      <c r="W122" s="19" t="str">
        <f>IF(Calculations[[#This Row],[Πηγή εκπομπών]]="Electricity consumed in office buildings and projects - market based",Calculations[[#This Row],[t CO2]],"")</f>
        <v/>
      </c>
      <c r="X12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6.6186509068170002E-2</v>
      </c>
    </row>
    <row r="123" spans="1:24" s="14" customFormat="1" ht="15" hidden="1" thickTop="1">
      <c r="A123" s="15" t="s">
        <v>0</v>
      </c>
      <c r="B123" s="15" t="s">
        <v>0</v>
      </c>
      <c r="C123" s="16" t="s">
        <v>327</v>
      </c>
      <c r="D123" s="77" t="s">
        <v>894</v>
      </c>
      <c r="E123" s="16" t="s">
        <v>1187</v>
      </c>
      <c r="F123" s="77" t="s">
        <v>317</v>
      </c>
      <c r="G123" s="15" t="s">
        <v>78</v>
      </c>
      <c r="H123" s="15" t="s">
        <v>258</v>
      </c>
      <c r="I123" s="17" t="s">
        <v>90</v>
      </c>
      <c r="J123" s="210">
        <v>1756</v>
      </c>
      <c r="K123" s="18" t="s">
        <v>7</v>
      </c>
      <c r="L123" s="16" t="s">
        <v>249</v>
      </c>
      <c r="M123" s="148" t="s">
        <v>1225</v>
      </c>
      <c r="N123" s="19" t="str">
        <f>_xlfn.XLOOKUP(Calculations[[#This Row],[For XLOOKUP]],Factors[For XLOOKUP],Factors[Factor],"")</f>
        <v>Σ.Ε. CO₂ m.</v>
      </c>
      <c r="O123" s="19">
        <f>_xlfn.XLOOKUP(Calculations[[#This Row],[For XLOOKUP]],Factors[For XLOOKUP],Factors[Value],"")</f>
        <v>2.7660641198992519E-3</v>
      </c>
      <c r="P123" s="19" t="str">
        <f>_xlfn.XLOOKUP(Calculations[[#This Row],[For XLOOKUP]],Factors[For XLOOKUP],Factors[Units],"")</f>
        <v>tn CO2/lt</v>
      </c>
      <c r="Q123" s="19" t="str">
        <f>_xlfn.XLOOKUP(Calculations[[#This Row],[For XLOOKUP]],Factors[For XLOOKUP],Factors[Source],"")</f>
        <v>Cyprus. National Inventory Table (CRT) 2024</v>
      </c>
      <c r="R123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4.8572085945430867</v>
      </c>
      <c r="S123" s="19" t="str">
        <f>IF(LEFT(Calculations[[#This Row],[Emission Factor]],7)="Σ.Ε. CH",Calculations[[#This Row],[Value]]*Calculations[[#This Row],[Τιμή]],"-")</f>
        <v>-</v>
      </c>
      <c r="T12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3" s="19" t="str">
        <f>IF(LEFT(Calculations[[#This Row],[Emission Factor]],3)="GWP",Calculations[[#This Row],[Τιμή]],"-")</f>
        <v>-</v>
      </c>
      <c r="V123" s="19" t="str">
        <f>IF(OR(Calculations[[#This Row],[Emission Factor]]="Σ.Ε. CO₂ eq",Calculations[[#This Row],[Emission Factor]]="CO₂ eq"),Calculations[[#This Row],[Value]]*Calculations[[#This Row],[Τιμή]],"-")</f>
        <v>-</v>
      </c>
      <c r="W123" s="19" t="str">
        <f>IF(Calculations[[#This Row],[Πηγή εκπομπών]]="Electricity consumed in office buildings and projects - market based",Calculations[[#This Row],[t CO2]],"")</f>
        <v/>
      </c>
      <c r="X12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4.8572085945430867</v>
      </c>
    </row>
    <row r="124" spans="1:24" s="14" customFormat="1" ht="15" hidden="1" thickTop="1">
      <c r="A124" s="15" t="s">
        <v>0</v>
      </c>
      <c r="B124" s="15" t="s">
        <v>0</v>
      </c>
      <c r="C124" s="16" t="s">
        <v>327</v>
      </c>
      <c r="D124" s="77" t="s">
        <v>894</v>
      </c>
      <c r="E124" s="16" t="s">
        <v>1187</v>
      </c>
      <c r="F124" s="77" t="s">
        <v>317</v>
      </c>
      <c r="G124" s="15" t="s">
        <v>78</v>
      </c>
      <c r="H124" s="15" t="s">
        <v>258</v>
      </c>
      <c r="I124" s="17" t="s">
        <v>90</v>
      </c>
      <c r="J124" s="79">
        <v>1756</v>
      </c>
      <c r="K124" s="18" t="s">
        <v>7</v>
      </c>
      <c r="L124" s="16" t="s">
        <v>249</v>
      </c>
      <c r="M124" s="148" t="s">
        <v>1226</v>
      </c>
      <c r="N124" s="19" t="str">
        <f>_xlfn.XLOOKUP(Calculations[[#This Row],[For XLOOKUP]],Factors[For XLOOKUP],Factors[Factor],"")</f>
        <v>Σ.Ε. CH₄ m.</v>
      </c>
      <c r="O124" s="19">
        <f>_xlfn.XLOOKUP(Calculations[[#This Row],[For XLOOKUP]],Factors[For XLOOKUP],Factors[Value],"")</f>
        <v>1.09005E-7</v>
      </c>
      <c r="P124" s="19" t="str">
        <f>_xlfn.XLOOKUP(Calculations[[#This Row],[For XLOOKUP]],Factors[For XLOOKUP],Factors[Units],"")</f>
        <v>tn CH₄/lt</v>
      </c>
      <c r="Q124" s="19" t="str">
        <f>_xlfn.XLOOKUP(Calculations[[#This Row],[For XLOOKUP]],Factors[For XLOOKUP],Factors[Source],"")</f>
        <v>Cyprus. National Inventory Table (CRT) 2024</v>
      </c>
      <c r="R12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4" s="19">
        <f>IF(LEFT(Calculations[[#This Row],[Emission Factor]],7)="Σ.Ε. CH",Calculations[[#This Row],[Value]]*Calculations[[#This Row],[Τιμή]],"-")</f>
        <v>1.9141278000000002E-4</v>
      </c>
      <c r="T12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4" s="19" t="str">
        <f>IF(LEFT(Calculations[[#This Row],[Emission Factor]],3)="GWP",Calculations[[#This Row],[Τιμή]],"-")</f>
        <v>-</v>
      </c>
      <c r="V124" s="19" t="str">
        <f>IF(OR(Calculations[[#This Row],[Emission Factor]]="Σ.Ε. CO₂ eq",Calculations[[#This Row],[Emission Factor]]="CO₂ eq"),Calculations[[#This Row],[Value]]*Calculations[[#This Row],[Τιμή]],"-")</f>
        <v>-</v>
      </c>
      <c r="W124" s="19" t="str">
        <f>IF(Calculations[[#This Row],[Πηγή εκπομπών]]="Electricity consumed in office buildings and projects - market based",Calculations[[#This Row],[t CO2]],"")</f>
        <v/>
      </c>
      <c r="X12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5.3595578400000001E-3</v>
      </c>
    </row>
    <row r="125" spans="1:24" s="14" customFormat="1" ht="15" hidden="1" thickTop="1">
      <c r="A125" s="15" t="s">
        <v>0</v>
      </c>
      <c r="B125" s="15" t="s">
        <v>0</v>
      </c>
      <c r="C125" s="16" t="s">
        <v>327</v>
      </c>
      <c r="D125" s="77" t="s">
        <v>894</v>
      </c>
      <c r="E125" s="16" t="s">
        <v>1187</v>
      </c>
      <c r="F125" s="77" t="s">
        <v>317</v>
      </c>
      <c r="G125" s="15" t="s">
        <v>78</v>
      </c>
      <c r="H125" s="15" t="s">
        <v>258</v>
      </c>
      <c r="I125" s="17" t="s">
        <v>90</v>
      </c>
      <c r="J125" s="79">
        <v>1756</v>
      </c>
      <c r="K125" s="18" t="s">
        <v>7</v>
      </c>
      <c r="L125" s="16" t="s">
        <v>249</v>
      </c>
      <c r="M125" s="148" t="s">
        <v>1227</v>
      </c>
      <c r="N125" s="19" t="str">
        <f>_xlfn.XLOOKUP(Calculations[[#This Row],[For XLOOKUP]],Factors[For XLOOKUP],Factors[Factor],"")</f>
        <v>Σ.Ε. N2O m.</v>
      </c>
      <c r="O125" s="19">
        <f>_xlfn.XLOOKUP(Calculations[[#This Row],[For XLOOKUP]],Factors[For XLOOKUP],Factors[Value],"")</f>
        <v>2.1800999999999998E-8</v>
      </c>
      <c r="P125" s="19" t="str">
        <f>_xlfn.XLOOKUP(Calculations[[#This Row],[For XLOOKUP]],Factors[For XLOOKUP],Factors[Units],"")</f>
        <v>tn N2O/lt</v>
      </c>
      <c r="Q125" s="19" t="str">
        <f>_xlfn.XLOOKUP(Calculations[[#This Row],[For XLOOKUP]],Factors[For XLOOKUP],Factors[Source],"")</f>
        <v>Cyprus. National Inventory Table (CRT) 2024</v>
      </c>
      <c r="R12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5" s="19" t="str">
        <f>IF(LEFT(Calculations[[#This Row],[Emission Factor]],7)="Σ.Ε. CH",Calculations[[#This Row],[Value]]*Calculations[[#This Row],[Τιμή]],"-")</f>
        <v>-</v>
      </c>
      <c r="T125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3.8282555999999998E-5</v>
      </c>
      <c r="U125" s="19" t="str">
        <f>IF(LEFT(Calculations[[#This Row],[Emission Factor]],3)="GWP",Calculations[[#This Row],[Τιμή]],"-")</f>
        <v>-</v>
      </c>
      <c r="V125" s="19" t="str">
        <f>IF(OR(Calculations[[#This Row],[Emission Factor]]="Σ.Ε. CO₂ eq",Calculations[[#This Row],[Emission Factor]]="CO₂ eq"),Calculations[[#This Row],[Value]]*Calculations[[#This Row],[Τιμή]],"-")</f>
        <v>-</v>
      </c>
      <c r="W125" s="19" t="str">
        <f>IF(Calculations[[#This Row],[Πηγή εκπομπών]]="Electricity consumed in office buildings and projects - market based",Calculations[[#This Row],[t CO2]],"")</f>
        <v/>
      </c>
      <c r="X12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1.0144877339999999E-2</v>
      </c>
    </row>
    <row r="126" spans="1:24" s="14" customFormat="1" ht="15" hidden="1" thickTop="1">
      <c r="A126" s="15" t="s">
        <v>0</v>
      </c>
      <c r="B126" s="15" t="s">
        <v>0</v>
      </c>
      <c r="C126" s="16" t="s">
        <v>624</v>
      </c>
      <c r="D126" s="77" t="s">
        <v>895</v>
      </c>
      <c r="E126" s="16" t="s">
        <v>1179</v>
      </c>
      <c r="F126" s="77" t="s">
        <v>318</v>
      </c>
      <c r="G126" s="15" t="s">
        <v>78</v>
      </c>
      <c r="H126" s="15" t="s">
        <v>258</v>
      </c>
      <c r="I126" s="17" t="s">
        <v>90</v>
      </c>
      <c r="J126" s="210">
        <v>9380</v>
      </c>
      <c r="K126" s="18" t="s">
        <v>7</v>
      </c>
      <c r="L126" s="16" t="s">
        <v>249</v>
      </c>
      <c r="M126" s="148" t="s">
        <v>204</v>
      </c>
      <c r="N126" s="19" t="str">
        <f>_xlfn.XLOOKUP(Calculations[[#This Row],[For XLOOKUP]],Factors[For XLOOKUP],Factors[Factor],"")</f>
        <v>Σ.Ε. CO₂ m.</v>
      </c>
      <c r="O126" s="19">
        <f>_xlfn.XLOOKUP(Calculations[[#This Row],[For XLOOKUP]],Factors[For XLOOKUP],Factors[Value],"")</f>
        <v>2.7370491168929394E-3</v>
      </c>
      <c r="P126" s="19" t="str">
        <f>_xlfn.XLOOKUP(Calculations[[#This Row],[For XLOOKUP]],Factors[For XLOOKUP],Factors[Units],"")</f>
        <v>tn CO2/lt</v>
      </c>
      <c r="Q126" s="19" t="str">
        <f>_xlfn.XLOOKUP(Calculations[[#This Row],[For XLOOKUP]],Factors[For XLOOKUP],Factors[Source],"")</f>
        <v>Greece. National Inventory Submissions 2024</v>
      </c>
      <c r="R126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25.673520716455773</v>
      </c>
      <c r="S126" s="19" t="str">
        <f>IF(LEFT(Calculations[[#This Row],[Emission Factor]],7)="Σ.Ε. CH",Calculations[[#This Row],[Value]]*Calculations[[#This Row],[Τιμή]],"-")</f>
        <v>-</v>
      </c>
      <c r="T12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6" s="19" t="str">
        <f>IF(LEFT(Calculations[[#This Row],[Emission Factor]],3)="GWP",Calculations[[#This Row],[Τιμή]],"-")</f>
        <v>-</v>
      </c>
      <c r="V126" s="19" t="str">
        <f>IF(OR(Calculations[[#This Row],[Emission Factor]]="Σ.Ε. CO₂ eq",Calculations[[#This Row],[Emission Factor]]="CO₂ eq"),Calculations[[#This Row],[Value]]*Calculations[[#This Row],[Τιμή]],"-")</f>
        <v>-</v>
      </c>
      <c r="W126" s="19" t="str">
        <f>IF(Calculations[[#This Row],[Πηγή εκπομπών]]="Electricity consumed in office buildings and projects - market based",Calculations[[#This Row],[t CO2]],"")</f>
        <v/>
      </c>
      <c r="X12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25.673520716455773</v>
      </c>
    </row>
    <row r="127" spans="1:24" s="14" customFormat="1" ht="15" hidden="1" thickTop="1">
      <c r="A127" s="15" t="s">
        <v>0</v>
      </c>
      <c r="B127" s="15" t="s">
        <v>0</v>
      </c>
      <c r="C127" s="16" t="s">
        <v>624</v>
      </c>
      <c r="D127" s="77" t="s">
        <v>895</v>
      </c>
      <c r="E127" s="16" t="s">
        <v>1179</v>
      </c>
      <c r="F127" s="77" t="s">
        <v>318</v>
      </c>
      <c r="G127" s="15" t="s">
        <v>78</v>
      </c>
      <c r="H127" s="15" t="s">
        <v>258</v>
      </c>
      <c r="I127" s="17" t="s">
        <v>90</v>
      </c>
      <c r="J127" s="79" cm="1">
        <f t="array" ref="J127">_xlfn.XLOOKUP(1,(Calculations[Πληροφορίες]=Calculations[[#This Row],[Πληροφορίες]])*(Calculations[Εταιρεία]=F127),Calculations[Τιμή])</f>
        <v>9380</v>
      </c>
      <c r="K127" s="18" t="s">
        <v>7</v>
      </c>
      <c r="L127" s="16" t="s">
        <v>249</v>
      </c>
      <c r="M127" s="148" t="s">
        <v>206</v>
      </c>
      <c r="N127" s="19" t="str">
        <f>_xlfn.XLOOKUP(Calculations[[#This Row],[For XLOOKUP]],Factors[For XLOOKUP],Factors[Factor],"")</f>
        <v>Σ.Ε. CH₄ m.</v>
      </c>
      <c r="O127" s="19">
        <f>_xlfn.XLOOKUP(Calculations[[#This Row],[For XLOOKUP]],Factors[For XLOOKUP],Factors[Value],"")</f>
        <v>1.0689300000000002E-7</v>
      </c>
      <c r="P127" s="19" t="str">
        <f>_xlfn.XLOOKUP(Calculations[[#This Row],[For XLOOKUP]],Factors[For XLOOKUP],Factors[Units],"")</f>
        <v>tn CH₄/lt</v>
      </c>
      <c r="Q127" s="19" t="str">
        <f>_xlfn.XLOOKUP(Calculations[[#This Row],[For XLOOKUP]],Factors[For XLOOKUP],Factors[Source],"")</f>
        <v>Greece. National Inventory Submissions 2024</v>
      </c>
      <c r="R12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7" s="19">
        <f>IF(LEFT(Calculations[[#This Row],[Emission Factor]],7)="Σ.Ε. CH",Calculations[[#This Row],[Value]]*Calculations[[#This Row],[Τιμή]],"-")</f>
        <v>1.0026563400000001E-3</v>
      </c>
      <c r="T12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7" s="19" t="str">
        <f>IF(LEFT(Calculations[[#This Row],[Emission Factor]],3)="GWP",Calculations[[#This Row],[Τιμή]],"-")</f>
        <v>-</v>
      </c>
      <c r="V127" s="19" t="str">
        <f>IF(OR(Calculations[[#This Row],[Emission Factor]]="Σ.Ε. CO₂ eq",Calculations[[#This Row],[Emission Factor]]="CO₂ eq"),Calculations[[#This Row],[Value]]*Calculations[[#This Row],[Τιμή]],"-")</f>
        <v>-</v>
      </c>
      <c r="W127" s="19" t="str">
        <f>IF(Calculations[[#This Row],[Πηγή εκπομπών]]="Electricity consumed in office buildings and projects - market based",Calculations[[#This Row],[t CO2]],"")</f>
        <v/>
      </c>
      <c r="X12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2.8074377520000006E-2</v>
      </c>
    </row>
    <row r="128" spans="1:24" s="14" customFormat="1" ht="15" hidden="1" thickTop="1">
      <c r="A128" s="15" t="s">
        <v>0</v>
      </c>
      <c r="B128" s="15" t="s">
        <v>0</v>
      </c>
      <c r="C128" s="16" t="s">
        <v>624</v>
      </c>
      <c r="D128" s="77" t="s">
        <v>895</v>
      </c>
      <c r="E128" s="77" t="s">
        <v>1179</v>
      </c>
      <c r="F128" s="77" t="s">
        <v>318</v>
      </c>
      <c r="G128" s="15" t="s">
        <v>78</v>
      </c>
      <c r="H128" s="15" t="s">
        <v>258</v>
      </c>
      <c r="I128" s="17" t="s">
        <v>90</v>
      </c>
      <c r="J128" s="79" cm="1">
        <f t="array" ref="J128">_xlfn.XLOOKUP(1,(Calculations[Πληροφορίες]=Calculations[[#This Row],[Πληροφορίες]])*(Calculations[Εταιρεία]=F128),Calculations[Τιμή])</f>
        <v>9380</v>
      </c>
      <c r="K128" s="18" t="s">
        <v>7</v>
      </c>
      <c r="L128" s="16" t="s">
        <v>249</v>
      </c>
      <c r="M128" s="148" t="s">
        <v>208</v>
      </c>
      <c r="N128" s="19" t="str">
        <f>_xlfn.XLOOKUP(Calculations[[#This Row],[For XLOOKUP]],Factors[For XLOOKUP],Factors[Factor],"")</f>
        <v>Σ.Ε. N2O m.</v>
      </c>
      <c r="O128" s="19">
        <f>_xlfn.XLOOKUP(Calculations[[#This Row],[For XLOOKUP]],Factors[For XLOOKUP],Factors[Value],"")</f>
        <v>2.1378600000000001E-8</v>
      </c>
      <c r="P128" s="19" t="str">
        <f>_xlfn.XLOOKUP(Calculations[[#This Row],[For XLOOKUP]],Factors[For XLOOKUP],Factors[Units],"")</f>
        <v>tn N2O/lt</v>
      </c>
      <c r="Q128" s="19" t="str">
        <f>_xlfn.XLOOKUP(Calculations[[#This Row],[For XLOOKUP]],Factors[For XLOOKUP],Factors[Source],"")</f>
        <v>Greece. National Inventory Submissions 2024</v>
      </c>
      <c r="R12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8" s="19" t="str">
        <f>IF(LEFT(Calculations[[#This Row],[Emission Factor]],7)="Σ.Ε. CH",Calculations[[#This Row],[Value]]*Calculations[[#This Row],[Τιμή]],"-")</f>
        <v>-</v>
      </c>
      <c r="T128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2.0053126800000001E-4</v>
      </c>
      <c r="U128" s="19" t="str">
        <f>IF(LEFT(Calculations[[#This Row],[Emission Factor]],3)="GWP",Calculations[[#This Row],[Τιμή]],"-")</f>
        <v>-</v>
      </c>
      <c r="V128" s="19" t="str">
        <f>IF(OR(Calculations[[#This Row],[Emission Factor]]="Σ.Ε. CO₂ eq",Calculations[[#This Row],[Emission Factor]]="CO₂ eq"),Calculations[[#This Row],[Value]]*Calculations[[#This Row],[Τιμή]],"-")</f>
        <v>-</v>
      </c>
      <c r="W128" s="19" t="str">
        <f>IF(Calculations[[#This Row],[Πηγή εκπομπών]]="Electricity consumed in office buildings and projects - market based",Calculations[[#This Row],[t CO2]],"")</f>
        <v/>
      </c>
      <c r="X12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5.3140786020000004E-2</v>
      </c>
    </row>
    <row r="129" spans="1:24" s="14" customFormat="1" ht="15" hidden="1" thickTop="1">
      <c r="A129" s="15" t="s">
        <v>0</v>
      </c>
      <c r="B129" s="15" t="s">
        <v>0</v>
      </c>
      <c r="C129" s="16" t="s">
        <v>624</v>
      </c>
      <c r="D129" s="77" t="s">
        <v>895</v>
      </c>
      <c r="E129" s="77" t="s">
        <v>1141</v>
      </c>
      <c r="F129" s="77" t="s">
        <v>312</v>
      </c>
      <c r="G129" s="15" t="s">
        <v>78</v>
      </c>
      <c r="H129" s="15" t="s">
        <v>258</v>
      </c>
      <c r="I129" s="17" t="s">
        <v>90</v>
      </c>
      <c r="J129" s="210">
        <v>2200</v>
      </c>
      <c r="K129" s="18" t="s">
        <v>7</v>
      </c>
      <c r="L129" s="16" t="s">
        <v>249</v>
      </c>
      <c r="M129" s="148" t="s">
        <v>204</v>
      </c>
      <c r="N129" s="19" t="str">
        <f>_xlfn.XLOOKUP(Calculations[[#This Row],[For XLOOKUP]],Factors[For XLOOKUP],Factors[Factor],"")</f>
        <v>Σ.Ε. CO₂ m.</v>
      </c>
      <c r="O129" s="19">
        <f>_xlfn.XLOOKUP(Calculations[[#This Row],[For XLOOKUP]],Factors[For XLOOKUP],Factors[Value],"")</f>
        <v>2.7370491168929394E-3</v>
      </c>
      <c r="P129" s="19" t="str">
        <f>_xlfn.XLOOKUP(Calculations[[#This Row],[For XLOOKUP]],Factors[For XLOOKUP],Factors[Units],"")</f>
        <v>tn CO2/lt</v>
      </c>
      <c r="Q129" s="19" t="str">
        <f>_xlfn.XLOOKUP(Calculations[[#This Row],[For XLOOKUP]],Factors[For XLOOKUP],Factors[Source],"")</f>
        <v>Greece. National Inventory Submissions 2024</v>
      </c>
      <c r="R129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6.0215080571644668</v>
      </c>
      <c r="S129" s="19" t="str">
        <f>IF(LEFT(Calculations[[#This Row],[Emission Factor]],7)="Σ.Ε. CH",Calculations[[#This Row],[Value]]*Calculations[[#This Row],[Τιμή]],"-")</f>
        <v>-</v>
      </c>
      <c r="T12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9" s="19" t="str">
        <f>IF(LEFT(Calculations[[#This Row],[Emission Factor]],3)="GWP",Calculations[[#This Row],[Τιμή]],"-")</f>
        <v>-</v>
      </c>
      <c r="V129" s="19" t="str">
        <f>IF(OR(Calculations[[#This Row],[Emission Factor]]="Σ.Ε. CO₂ eq",Calculations[[#This Row],[Emission Factor]]="CO₂ eq"),Calculations[[#This Row],[Value]]*Calculations[[#This Row],[Τιμή]],"-")</f>
        <v>-</v>
      </c>
      <c r="W129" s="19" t="str">
        <f>IF(Calculations[[#This Row],[Πηγή εκπομπών]]="Electricity consumed in office buildings and projects - market based",Calculations[[#This Row],[t CO2]],"")</f>
        <v/>
      </c>
      <c r="X12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6.0215080571644668</v>
      </c>
    </row>
    <row r="130" spans="1:24" s="14" customFormat="1" ht="15" hidden="1" thickTop="1">
      <c r="A130" s="15" t="s">
        <v>0</v>
      </c>
      <c r="B130" s="15" t="s">
        <v>0</v>
      </c>
      <c r="C130" s="16" t="s">
        <v>624</v>
      </c>
      <c r="D130" s="77" t="s">
        <v>895</v>
      </c>
      <c r="E130" s="77" t="s">
        <v>1141</v>
      </c>
      <c r="F130" s="77" t="s">
        <v>312</v>
      </c>
      <c r="G130" s="15" t="s">
        <v>78</v>
      </c>
      <c r="H130" s="15" t="s">
        <v>258</v>
      </c>
      <c r="I130" s="17" t="s">
        <v>90</v>
      </c>
      <c r="J130" s="79" cm="1">
        <f t="array" ref="J130">_xlfn.XLOOKUP(1,(Calculations[Πληροφορίες]=Calculations[[#This Row],[Πληροφορίες]])*(Calculations[Εταιρεία]=F130),Calculations[Τιμή])</f>
        <v>2200</v>
      </c>
      <c r="K130" s="18" t="s">
        <v>7</v>
      </c>
      <c r="L130" s="16" t="s">
        <v>249</v>
      </c>
      <c r="M130" s="148" t="s">
        <v>206</v>
      </c>
      <c r="N130" s="19" t="str">
        <f>_xlfn.XLOOKUP(Calculations[[#This Row],[For XLOOKUP]],Factors[For XLOOKUP],Factors[Factor],"")</f>
        <v>Σ.Ε. CH₄ m.</v>
      </c>
      <c r="O130" s="19">
        <f>_xlfn.XLOOKUP(Calculations[[#This Row],[For XLOOKUP]],Factors[For XLOOKUP],Factors[Value],"")</f>
        <v>1.0689300000000002E-7</v>
      </c>
      <c r="P130" s="19" t="str">
        <f>_xlfn.XLOOKUP(Calculations[[#This Row],[For XLOOKUP]],Factors[For XLOOKUP],Factors[Units],"")</f>
        <v>tn CH₄/lt</v>
      </c>
      <c r="Q130" s="19" t="str">
        <f>_xlfn.XLOOKUP(Calculations[[#This Row],[For XLOOKUP]],Factors[For XLOOKUP],Factors[Source],"")</f>
        <v>Greece. National Inventory Submissions 2024</v>
      </c>
      <c r="R13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0" s="19">
        <f>IF(LEFT(Calculations[[#This Row],[Emission Factor]],7)="Σ.Ε. CH",Calculations[[#This Row],[Value]]*Calculations[[#This Row],[Τιμή]],"-")</f>
        <v>2.3516460000000004E-4</v>
      </c>
      <c r="T13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0" s="19" t="str">
        <f>IF(LEFT(Calculations[[#This Row],[Emission Factor]],3)="GWP",Calculations[[#This Row],[Τιμή]],"-")</f>
        <v>-</v>
      </c>
      <c r="V130" s="19" t="str">
        <f>IF(OR(Calculations[[#This Row],[Emission Factor]]="Σ.Ε. CO₂ eq",Calculations[[#This Row],[Emission Factor]]="CO₂ eq"),Calculations[[#This Row],[Value]]*Calculations[[#This Row],[Τιμή]],"-")</f>
        <v>-</v>
      </c>
      <c r="W130" s="19" t="str">
        <f>IF(Calculations[[#This Row],[Πηγή εκπομπών]]="Electricity consumed in office buildings and projects - market based",Calculations[[#This Row],[t CO2]],"")</f>
        <v/>
      </c>
      <c r="X13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6.5846088000000007E-3</v>
      </c>
    </row>
    <row r="131" spans="1:24" s="14" customFormat="1" ht="15" hidden="1" thickTop="1">
      <c r="A131" s="15" t="s">
        <v>0</v>
      </c>
      <c r="B131" s="15" t="s">
        <v>0</v>
      </c>
      <c r="C131" s="16" t="s">
        <v>624</v>
      </c>
      <c r="D131" s="16" t="s">
        <v>895</v>
      </c>
      <c r="E131" s="77" t="s">
        <v>1141</v>
      </c>
      <c r="F131" s="77" t="s">
        <v>312</v>
      </c>
      <c r="G131" s="15" t="s">
        <v>78</v>
      </c>
      <c r="H131" s="15" t="s">
        <v>258</v>
      </c>
      <c r="I131" s="17" t="s">
        <v>90</v>
      </c>
      <c r="J131" s="79" cm="1">
        <f t="array" ref="J131">_xlfn.XLOOKUP(1,(Calculations[Πληροφορίες]=Calculations[[#This Row],[Πληροφορίες]])*(Calculations[Εταιρεία]=F131),Calculations[Τιμή])</f>
        <v>2200</v>
      </c>
      <c r="K131" s="18" t="s">
        <v>7</v>
      </c>
      <c r="L131" s="16" t="s">
        <v>249</v>
      </c>
      <c r="M131" s="148" t="s">
        <v>208</v>
      </c>
      <c r="N131" s="19" t="str">
        <f>_xlfn.XLOOKUP(Calculations[[#This Row],[For XLOOKUP]],Factors[For XLOOKUP],Factors[Factor],"")</f>
        <v>Σ.Ε. N2O m.</v>
      </c>
      <c r="O131" s="19">
        <f>_xlfn.XLOOKUP(Calculations[[#This Row],[For XLOOKUP]],Factors[For XLOOKUP],Factors[Value],"")</f>
        <v>2.1378600000000001E-8</v>
      </c>
      <c r="P131" s="19" t="str">
        <f>_xlfn.XLOOKUP(Calculations[[#This Row],[For XLOOKUP]],Factors[For XLOOKUP],Factors[Units],"")</f>
        <v>tn N2O/lt</v>
      </c>
      <c r="Q131" s="19" t="str">
        <f>_xlfn.XLOOKUP(Calculations[[#This Row],[For XLOOKUP]],Factors[For XLOOKUP],Factors[Source],"")</f>
        <v>Greece. National Inventory Submissions 2024</v>
      </c>
      <c r="R13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1" s="19" t="str">
        <f>IF(LEFT(Calculations[[#This Row],[Emission Factor]],7)="Σ.Ε. CH",Calculations[[#This Row],[Value]]*Calculations[[#This Row],[Τιμή]],"-")</f>
        <v>-</v>
      </c>
      <c r="T131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4.7032920000000003E-5</v>
      </c>
      <c r="U131" s="19" t="str">
        <f>IF(LEFT(Calculations[[#This Row],[Emission Factor]],3)="GWP",Calculations[[#This Row],[Τιμή]],"-")</f>
        <v>-</v>
      </c>
      <c r="V131" s="19" t="str">
        <f>IF(OR(Calculations[[#This Row],[Emission Factor]]="Σ.Ε. CO₂ eq",Calculations[[#This Row],[Emission Factor]]="CO₂ eq"),Calculations[[#This Row],[Value]]*Calculations[[#This Row],[Τιμή]],"-")</f>
        <v>-</v>
      </c>
      <c r="W131" s="19" t="str">
        <f>IF(Calculations[[#This Row],[Πηγή εκπομπών]]="Electricity consumed in office buildings and projects - market based",Calculations[[#This Row],[t CO2]],"")</f>
        <v/>
      </c>
      <c r="X13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1.2463723800000001E-2</v>
      </c>
    </row>
    <row r="132" spans="1:24" s="14" customFormat="1" ht="15" hidden="1" thickTop="1">
      <c r="A132" s="15" t="s">
        <v>0</v>
      </c>
      <c r="B132" s="15" t="s">
        <v>0</v>
      </c>
      <c r="C132" s="16" t="s">
        <v>624</v>
      </c>
      <c r="D132" s="16" t="s">
        <v>894</v>
      </c>
      <c r="E132" s="77"/>
      <c r="F132" s="77" t="s">
        <v>317</v>
      </c>
      <c r="G132" s="15" t="s">
        <v>78</v>
      </c>
      <c r="H132" s="15" t="s">
        <v>258</v>
      </c>
      <c r="I132" s="17" t="s">
        <v>259</v>
      </c>
      <c r="J132" s="210">
        <v>925.98</v>
      </c>
      <c r="K132" s="18" t="s">
        <v>7</v>
      </c>
      <c r="L132" s="16" t="s">
        <v>254</v>
      </c>
      <c r="M132" s="148" t="s">
        <v>205</v>
      </c>
      <c r="N132" s="19" t="str">
        <f>_xlfn.XLOOKUP(Calculations[[#This Row],[For XLOOKUP]],Factors[For XLOOKUP],Factors[Factor],"")</f>
        <v>Σ.Ε. CO₂ m.</v>
      </c>
      <c r="O132" s="19">
        <f>_xlfn.XLOOKUP(Calculations[[#This Row],[For XLOOKUP]],Factors[For XLOOKUP],Factors[Value],"")</f>
        <v>2.4570164450789206E-3</v>
      </c>
      <c r="P132" s="19" t="str">
        <f>_xlfn.XLOOKUP(Calculations[[#This Row],[For XLOOKUP]],Factors[For XLOOKUP],Factors[Units],"")</f>
        <v>tn CO2/lt</v>
      </c>
      <c r="Q132" s="19" t="str">
        <f>_xlfn.XLOOKUP(Calculations[[#This Row],[For XLOOKUP]],Factors[For XLOOKUP],Factors[Source],"")</f>
        <v>Greece. National Inventory Submissions 2024</v>
      </c>
      <c r="R132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2.2751480878141788</v>
      </c>
      <c r="S132" s="19" t="str">
        <f>IF(LEFT(Calculations[[#This Row],[Emission Factor]],7)="Σ.Ε. CH",Calculations[[#This Row],[Value]]*Calculations[[#This Row],[Τιμή]],"-")</f>
        <v>-</v>
      </c>
      <c r="T13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2" s="19" t="str">
        <f>IF(LEFT(Calculations[[#This Row],[Emission Factor]],3)="GWP",Calculations[[#This Row],[Τιμή]],"-")</f>
        <v>-</v>
      </c>
      <c r="V132" s="19" t="str">
        <f>IF(OR(Calculations[[#This Row],[Emission Factor]]="Σ.Ε. CO₂ eq",Calculations[[#This Row],[Emission Factor]]="CO₂ eq"),Calculations[[#This Row],[Value]]*Calculations[[#This Row],[Τιμή]],"-")</f>
        <v>-</v>
      </c>
      <c r="W132" s="19" t="str">
        <f>IF(Calculations[[#This Row],[Πηγή εκπομπών]]="Electricity consumed in office buildings and projects - market based",Calculations[[#This Row],[t CO2]],"")</f>
        <v/>
      </c>
      <c r="X13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2.2751480878141788</v>
      </c>
    </row>
    <row r="133" spans="1:24" s="14" customFormat="1" ht="15" hidden="1" thickTop="1">
      <c r="A133" s="15" t="s">
        <v>0</v>
      </c>
      <c r="B133" s="15" t="s">
        <v>0</v>
      </c>
      <c r="C133" s="16" t="s">
        <v>624</v>
      </c>
      <c r="D133" s="16" t="s">
        <v>894</v>
      </c>
      <c r="E133" s="77"/>
      <c r="F133" s="77" t="s">
        <v>317</v>
      </c>
      <c r="G133" s="15" t="s">
        <v>78</v>
      </c>
      <c r="H133" s="15" t="s">
        <v>258</v>
      </c>
      <c r="I133" s="17" t="s">
        <v>259</v>
      </c>
      <c r="J133" s="79" cm="1">
        <f t="array" ref="J133">_xlfn.XLOOKUP(1,(Calculations[Πληροφορίες]=Calculations[[#This Row],[Πληροφορίες]])*(Calculations[Εταιρεία]=F133),Calculations[Τιμή])</f>
        <v>925.98</v>
      </c>
      <c r="K133" s="18" t="s">
        <v>7</v>
      </c>
      <c r="L133" s="16" t="s">
        <v>254</v>
      </c>
      <c r="M133" s="148" t="s">
        <v>207</v>
      </c>
      <c r="N133" s="19" t="str">
        <f>_xlfn.XLOOKUP(Calculations[[#This Row],[For XLOOKUP]],Factors[For XLOOKUP],Factors[Factor],"")</f>
        <v>Σ.Ε. CH₄ m.</v>
      </c>
      <c r="O133" s="19">
        <f>_xlfn.XLOOKUP(Calculations[[#This Row],[For XLOOKUP]],Factors[For XLOOKUP],Factors[Value],"")</f>
        <v>9.595657500000001E-8</v>
      </c>
      <c r="P133" s="19" t="str">
        <f>_xlfn.XLOOKUP(Calculations[[#This Row],[For XLOOKUP]],Factors[For XLOOKUP],Factors[Units],"")</f>
        <v>tn CH₄/lt</v>
      </c>
      <c r="Q133" s="19" t="str">
        <f>_xlfn.XLOOKUP(Calculations[[#This Row],[For XLOOKUP]],Factors[For XLOOKUP],Factors[Source],"")</f>
        <v>Greece. National Inventory Submissions 2024</v>
      </c>
      <c r="R13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3" s="19">
        <f>IF(LEFT(Calculations[[#This Row],[Emission Factor]],7)="Σ.Ε. CH",Calculations[[#This Row],[Value]]*Calculations[[#This Row],[Τιμή]],"-")</f>
        <v>8.8853869318500009E-5</v>
      </c>
      <c r="T13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3" s="19" t="str">
        <f>IF(LEFT(Calculations[[#This Row],[Emission Factor]],3)="GWP",Calculations[[#This Row],[Τιμή]],"-")</f>
        <v>-</v>
      </c>
      <c r="V133" s="19" t="str">
        <f>IF(OR(Calculations[[#This Row],[Emission Factor]]="Σ.Ε. CO₂ eq",Calculations[[#This Row],[Emission Factor]]="CO₂ eq"),Calculations[[#This Row],[Value]]*Calculations[[#This Row],[Τιμή]],"-")</f>
        <v>-</v>
      </c>
      <c r="W133" s="19" t="str">
        <f>IF(Calculations[[#This Row],[Πηγή εκπομπών]]="Electricity consumed in office buildings and projects - market based",Calculations[[#This Row],[t CO2]],"")</f>
        <v/>
      </c>
      <c r="X13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2.487908340918E-3</v>
      </c>
    </row>
    <row r="134" spans="1:24" s="14" customFormat="1" ht="15" hidden="1" thickTop="1">
      <c r="A134" s="15" t="s">
        <v>0</v>
      </c>
      <c r="B134" s="15" t="s">
        <v>0</v>
      </c>
      <c r="C134" s="16" t="s">
        <v>624</v>
      </c>
      <c r="D134" s="77" t="s">
        <v>894</v>
      </c>
      <c r="E134" s="77"/>
      <c r="F134" s="77" t="s">
        <v>317</v>
      </c>
      <c r="G134" s="15" t="s">
        <v>78</v>
      </c>
      <c r="H134" s="15" t="s">
        <v>258</v>
      </c>
      <c r="I134" s="17" t="s">
        <v>259</v>
      </c>
      <c r="J134" s="79" cm="1">
        <f t="array" ref="J134">_xlfn.XLOOKUP(1,(Calculations[Πληροφορίες]=Calculations[[#This Row],[Πληροφορίες]])*(Calculations[Εταιρεία]=F134),Calculations[Τιμή])</f>
        <v>925.98</v>
      </c>
      <c r="K134" s="18" t="s">
        <v>7</v>
      </c>
      <c r="L134" s="16" t="s">
        <v>254</v>
      </c>
      <c r="M134" s="148" t="s">
        <v>209</v>
      </c>
      <c r="N134" s="19" t="str">
        <f>_xlfn.XLOOKUP(Calculations[[#This Row],[For XLOOKUP]],Factors[For XLOOKUP],Factors[Factor],"")</f>
        <v>Σ.Ε. N2O m.</v>
      </c>
      <c r="O134" s="19">
        <f>_xlfn.XLOOKUP(Calculations[[#This Row],[For XLOOKUP]],Factors[For XLOOKUP],Factors[Value],"")</f>
        <v>1.9191314999999997E-8</v>
      </c>
      <c r="P134" s="19" t="str">
        <f>_xlfn.XLOOKUP(Calculations[[#This Row],[For XLOOKUP]],Factors[For XLOOKUP],Factors[Units],"")</f>
        <v>tn N2O/lt</v>
      </c>
      <c r="Q134" s="19" t="str">
        <f>_xlfn.XLOOKUP(Calculations[[#This Row],[For XLOOKUP]],Factors[For XLOOKUP],Factors[Source],"")</f>
        <v>Greece. National Inventory Submissions 2024</v>
      </c>
      <c r="R13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4" s="19" t="str">
        <f>IF(LEFT(Calculations[[#This Row],[Emission Factor]],7)="Σ.Ε. CH",Calculations[[#This Row],[Value]]*Calculations[[#This Row],[Τιμή]],"-")</f>
        <v>-</v>
      </c>
      <c r="T134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1.7770773863699996E-5</v>
      </c>
      <c r="U134" s="19" t="str">
        <f>IF(LEFT(Calculations[[#This Row],[Emission Factor]],3)="GWP",Calculations[[#This Row],[Τιμή]],"-")</f>
        <v>-</v>
      </c>
      <c r="V134" s="19" t="str">
        <f>IF(OR(Calculations[[#This Row],[Emission Factor]]="Σ.Ε. CO₂ eq",Calculations[[#This Row],[Emission Factor]]="CO₂ eq"),Calculations[[#This Row],[Value]]*Calculations[[#This Row],[Τιμή]],"-")</f>
        <v>-</v>
      </c>
      <c r="W134" s="19" t="str">
        <f>IF(Calculations[[#This Row],[Πηγή εκπομπών]]="Electricity consumed in office buildings and projects - market based",Calculations[[#This Row],[t CO2]],"")</f>
        <v/>
      </c>
      <c r="X13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4.7092550738804988E-3</v>
      </c>
    </row>
    <row r="135" spans="1:24" s="14" customFormat="1" ht="15" hidden="1" thickTop="1">
      <c r="A135" s="15" t="s">
        <v>0</v>
      </c>
      <c r="B135" s="15" t="s">
        <v>0</v>
      </c>
      <c r="C135" s="16" t="s">
        <v>624</v>
      </c>
      <c r="D135" s="77" t="s">
        <v>895</v>
      </c>
      <c r="E135" s="77" t="s">
        <v>1179</v>
      </c>
      <c r="F135" s="77" t="s">
        <v>318</v>
      </c>
      <c r="G135" s="15" t="s">
        <v>78</v>
      </c>
      <c r="H135" s="15" t="s">
        <v>258</v>
      </c>
      <c r="I135" s="17" t="s">
        <v>259</v>
      </c>
      <c r="J135" s="210">
        <v>1451</v>
      </c>
      <c r="K135" s="18" t="s">
        <v>7</v>
      </c>
      <c r="L135" s="16" t="s">
        <v>254</v>
      </c>
      <c r="M135" s="148" t="s">
        <v>205</v>
      </c>
      <c r="N135" s="19" t="str">
        <f>_xlfn.XLOOKUP(Calculations[[#This Row],[For XLOOKUP]],Factors[For XLOOKUP],Factors[Factor],"")</f>
        <v>Σ.Ε. CO₂ m.</v>
      </c>
      <c r="O135" s="19">
        <f>_xlfn.XLOOKUP(Calculations[[#This Row],[For XLOOKUP]],Factors[For XLOOKUP],Factors[Value],"")</f>
        <v>2.4570164450789206E-3</v>
      </c>
      <c r="P135" s="19" t="str">
        <f>_xlfn.XLOOKUP(Calculations[[#This Row],[For XLOOKUP]],Factors[For XLOOKUP],Factors[Units],"")</f>
        <v>tn CO2/lt</v>
      </c>
      <c r="Q135" s="19" t="str">
        <f>_xlfn.XLOOKUP(Calculations[[#This Row],[For XLOOKUP]],Factors[For XLOOKUP],Factors[Source],"")</f>
        <v>Greece. National Inventory Submissions 2024</v>
      </c>
      <c r="R13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3.5651308618095139</v>
      </c>
      <c r="S135" s="19" t="str">
        <f>IF(LEFT(Calculations[[#This Row],[Emission Factor]],7)="Σ.Ε. CH",Calculations[[#This Row],[Value]]*Calculations[[#This Row],[Τιμή]],"-")</f>
        <v>-</v>
      </c>
      <c r="T13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5" s="19" t="str">
        <f>IF(LEFT(Calculations[[#This Row],[Emission Factor]],3)="GWP",Calculations[[#This Row],[Τιμή]],"-")</f>
        <v>-</v>
      </c>
      <c r="V135" s="19" t="str">
        <f>IF(OR(Calculations[[#This Row],[Emission Factor]]="Σ.Ε. CO₂ eq",Calculations[[#This Row],[Emission Factor]]="CO₂ eq"),Calculations[[#This Row],[Value]]*Calculations[[#This Row],[Τιμή]],"-")</f>
        <v>-</v>
      </c>
      <c r="W135" s="19" t="str">
        <f>IF(Calculations[[#This Row],[Πηγή εκπομπών]]="Electricity consumed in office buildings and projects - market based",Calculations[[#This Row],[t CO2]],"")</f>
        <v/>
      </c>
      <c r="X13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3.5651308618095139</v>
      </c>
    </row>
    <row r="136" spans="1:24" s="14" customFormat="1" ht="15" hidden="1" thickTop="1">
      <c r="A136" s="15" t="s">
        <v>0</v>
      </c>
      <c r="B136" s="15" t="s">
        <v>0</v>
      </c>
      <c r="C136" s="16" t="s">
        <v>624</v>
      </c>
      <c r="D136" s="77" t="s">
        <v>895</v>
      </c>
      <c r="E136" s="77" t="s">
        <v>1179</v>
      </c>
      <c r="F136" s="77" t="s">
        <v>318</v>
      </c>
      <c r="G136" s="15" t="s">
        <v>78</v>
      </c>
      <c r="H136" s="15" t="s">
        <v>258</v>
      </c>
      <c r="I136" s="17" t="s">
        <v>259</v>
      </c>
      <c r="J136" s="79" cm="1">
        <f t="array" ref="J136">_xlfn.XLOOKUP(1,(Calculations[Πληροφορίες]=Calculations[[#This Row],[Πληροφορίες]])*(Calculations[Εταιρεία]=F136),Calculations[Τιμή])</f>
        <v>1451</v>
      </c>
      <c r="K136" s="18" t="s">
        <v>7</v>
      </c>
      <c r="L136" s="16" t="s">
        <v>254</v>
      </c>
      <c r="M136" s="148" t="s">
        <v>207</v>
      </c>
      <c r="N136" s="19" t="str">
        <f>_xlfn.XLOOKUP(Calculations[[#This Row],[For XLOOKUP]],Factors[For XLOOKUP],Factors[Factor],"")</f>
        <v>Σ.Ε. CH₄ m.</v>
      </c>
      <c r="O136" s="19">
        <f>_xlfn.XLOOKUP(Calculations[[#This Row],[For XLOOKUP]],Factors[For XLOOKUP],Factors[Value],"")</f>
        <v>9.595657500000001E-8</v>
      </c>
      <c r="P136" s="19" t="str">
        <f>_xlfn.XLOOKUP(Calculations[[#This Row],[For XLOOKUP]],Factors[For XLOOKUP],Factors[Units],"")</f>
        <v>tn CH₄/lt</v>
      </c>
      <c r="Q136" s="19" t="str">
        <f>_xlfn.XLOOKUP(Calculations[[#This Row],[For XLOOKUP]],Factors[For XLOOKUP],Factors[Source],"")</f>
        <v>Greece. National Inventory Submissions 2024</v>
      </c>
      <c r="R13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6" s="19">
        <f>IF(LEFT(Calculations[[#This Row],[Emission Factor]],7)="Σ.Ε. CH",Calculations[[#This Row],[Value]]*Calculations[[#This Row],[Τιμή]],"-")</f>
        <v>1.3923299032500002E-4</v>
      </c>
      <c r="T13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6" s="19" t="str">
        <f>IF(LEFT(Calculations[[#This Row],[Emission Factor]],3)="GWP",Calculations[[#This Row],[Τιμή]],"-")</f>
        <v>-</v>
      </c>
      <c r="V136" s="19" t="str">
        <f>IF(OR(Calculations[[#This Row],[Emission Factor]]="Σ.Ε. CO₂ eq",Calculations[[#This Row],[Emission Factor]]="CO₂ eq"),Calculations[[#This Row],[Value]]*Calculations[[#This Row],[Τιμή]],"-")</f>
        <v>-</v>
      </c>
      <c r="W136" s="19" t="str">
        <f>IF(Calculations[[#This Row],[Πηγή εκπομπών]]="Electricity consumed in office buildings and projects - market based",Calculations[[#This Row],[t CO2]],"")</f>
        <v/>
      </c>
      <c r="X13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3.8985237291000005E-3</v>
      </c>
    </row>
    <row r="137" spans="1:24" s="14" customFormat="1" ht="15" hidden="1" thickTop="1">
      <c r="A137" s="15" t="s">
        <v>0</v>
      </c>
      <c r="B137" s="15" t="s">
        <v>0</v>
      </c>
      <c r="C137" s="16" t="s">
        <v>624</v>
      </c>
      <c r="D137" s="16" t="s">
        <v>895</v>
      </c>
      <c r="E137" s="16" t="s">
        <v>1179</v>
      </c>
      <c r="F137" s="16" t="s">
        <v>318</v>
      </c>
      <c r="G137" s="15" t="s">
        <v>78</v>
      </c>
      <c r="H137" s="15" t="s">
        <v>258</v>
      </c>
      <c r="I137" s="17" t="s">
        <v>259</v>
      </c>
      <c r="J137" s="79" cm="1">
        <f t="array" ref="J137">_xlfn.XLOOKUP(1,(Calculations[Πληροφορίες]=Calculations[[#This Row],[Πληροφορίες]])*(Calculations[Εταιρεία]=F137),Calculations[Τιμή])</f>
        <v>1451</v>
      </c>
      <c r="K137" s="18" t="s">
        <v>7</v>
      </c>
      <c r="L137" s="16" t="s">
        <v>254</v>
      </c>
      <c r="M137" s="148" t="s">
        <v>209</v>
      </c>
      <c r="N137" s="19" t="str">
        <f>_xlfn.XLOOKUP(Calculations[[#This Row],[For XLOOKUP]],Factors[For XLOOKUP],Factors[Factor],"")</f>
        <v>Σ.Ε. N2O m.</v>
      </c>
      <c r="O137" s="19">
        <f>_xlfn.XLOOKUP(Calculations[[#This Row],[For XLOOKUP]],Factors[For XLOOKUP],Factors[Value],"")</f>
        <v>1.9191314999999997E-8</v>
      </c>
      <c r="P137" s="19" t="str">
        <f>_xlfn.XLOOKUP(Calculations[[#This Row],[For XLOOKUP]],Factors[For XLOOKUP],Factors[Units],"")</f>
        <v>tn N2O/lt</v>
      </c>
      <c r="Q137" s="19" t="str">
        <f>_xlfn.XLOOKUP(Calculations[[#This Row],[For XLOOKUP]],Factors[For XLOOKUP],Factors[Source],"")</f>
        <v>Greece. National Inventory Submissions 2024</v>
      </c>
      <c r="R13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7" s="19" t="str">
        <f>IF(LEFT(Calculations[[#This Row],[Emission Factor]],7)="Σ.Ε. CH",Calculations[[#This Row],[Value]]*Calculations[[#This Row],[Τιμή]],"-")</f>
        <v>-</v>
      </c>
      <c r="T137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2.7846598064999997E-5</v>
      </c>
      <c r="U137" s="19" t="str">
        <f>IF(LEFT(Calculations[[#This Row],[Emission Factor]],3)="GWP",Calculations[[#This Row],[Τιμή]],"-")</f>
        <v>-</v>
      </c>
      <c r="V137" s="19" t="str">
        <f>IF(OR(Calculations[[#This Row],[Emission Factor]]="Σ.Ε. CO₂ eq",Calculations[[#This Row],[Emission Factor]]="CO₂ eq"),Calculations[[#This Row],[Value]]*Calculations[[#This Row],[Τιμή]],"-")</f>
        <v>-</v>
      </c>
      <c r="W137" s="19" t="str">
        <f>IF(Calculations[[#This Row],[Πηγή εκπομπών]]="Electricity consumed in office buildings and projects - market based",Calculations[[#This Row],[t CO2]],"")</f>
        <v/>
      </c>
      <c r="X13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7.379348487224999E-3</v>
      </c>
    </row>
    <row r="138" spans="1:24" s="14" customFormat="1" ht="15" hidden="1" thickTop="1">
      <c r="A138" s="15" t="s">
        <v>0</v>
      </c>
      <c r="B138" s="15" t="s">
        <v>0</v>
      </c>
      <c r="C138" s="16" t="s">
        <v>624</v>
      </c>
      <c r="D138" s="16" t="s">
        <v>894</v>
      </c>
      <c r="E138" s="16"/>
      <c r="F138" s="209" t="s">
        <v>317</v>
      </c>
      <c r="G138" s="15" t="s">
        <v>78</v>
      </c>
      <c r="H138" s="15" t="s">
        <v>97</v>
      </c>
      <c r="I138" s="17" t="s">
        <v>301</v>
      </c>
      <c r="J138" s="79" cm="1">
        <f t="array" ref="J138">_xlfn.XLOOKUP(1,(Calculations[Πληροφορίες]=Calculations[[#This Row],[Πληροφορίες]])*(Calculations[Εταιρεία]=F138),Calculations[Τιμή])</f>
        <v>1825735.531</v>
      </c>
      <c r="K138" s="18" t="s">
        <v>300</v>
      </c>
      <c r="L138" s="16" t="s">
        <v>258</v>
      </c>
      <c r="M138" s="148" t="s">
        <v>297</v>
      </c>
      <c r="N138" s="19" t="str">
        <f>_xlfn.XLOOKUP(Calculations[[#This Row],[For XLOOKUP]],Factors[For XLOOKUP],Factors[Factor],"")</f>
        <v>Σ.Ε. CH₄ st.</v>
      </c>
      <c r="O138" s="19">
        <f>_xlfn.XLOOKUP(Calculations[[#This Row],[For XLOOKUP]],Factors[For XLOOKUP],Factors[Value],"")</f>
        <v>1.0550558752316243E-6</v>
      </c>
      <c r="P138" s="19" t="str">
        <f>_xlfn.XLOOKUP(Calculations[[#This Row],[For XLOOKUP]],Factors[For XLOOKUP],Factors[Units],"")</f>
        <v>tn CH4/MMBtu</v>
      </c>
      <c r="Q138" s="19" t="str">
        <f>_xlfn.XLOOKUP(Calculations[[#This Row],[For XLOOKUP]],Factors[For XLOOKUP],Factors[Source],"")</f>
        <v>Greece. National Inventory Submissions 2024</v>
      </c>
      <c r="R13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8" s="19">
        <f>IF(LEFT(Calculations[[#This Row],[Emission Factor]],7)="Σ.Ε. CH",Calculations[[#This Row],[Value]]*Calculations[[#This Row],[Τιμή]],"-")</f>
        <v>1.9262529986006793</v>
      </c>
      <c r="T13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8" s="19" t="str">
        <f>IF(LEFT(Calculations[[#This Row],[Emission Factor]],3)="GWP",Calculations[[#This Row],[Τιμή]],"-")</f>
        <v>-</v>
      </c>
      <c r="V138" s="19" t="str">
        <f>IF(OR(Calculations[[#This Row],[Emission Factor]]="Σ.Ε. CO₂ eq",Calculations[[#This Row],[Emission Factor]]="CO₂ eq"),Calculations[[#This Row],[Value]]*Calculations[[#This Row],[Τιμή]],"-")</f>
        <v>-</v>
      </c>
      <c r="W138" s="19" t="str">
        <f>IF(Calculations[[#This Row],[Πηγή εκπομπών]]="Electricity consumed in office buildings and projects - market based",Calculations[[#This Row],[t CO2]],"")</f>
        <v/>
      </c>
      <c r="X13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53.935083960819021</v>
      </c>
    </row>
    <row r="139" spans="1:24" s="14" customFormat="1" ht="15" hidden="1" thickTop="1">
      <c r="A139" s="15" t="s">
        <v>0</v>
      </c>
      <c r="B139" s="15" t="s">
        <v>0</v>
      </c>
      <c r="C139" s="16" t="s">
        <v>624</v>
      </c>
      <c r="D139" s="16" t="s">
        <v>894</v>
      </c>
      <c r="E139" s="16"/>
      <c r="F139" s="209" t="s">
        <v>317</v>
      </c>
      <c r="G139" s="15" t="s">
        <v>78</v>
      </c>
      <c r="H139" s="15" t="s">
        <v>97</v>
      </c>
      <c r="I139" s="17" t="s">
        <v>301</v>
      </c>
      <c r="J139" s="79" cm="1">
        <f t="array" ref="J139">_xlfn.XLOOKUP(1,(Calculations[Πληροφορίες]=Calculations[[#This Row],[Πληροφορίες]])*(Calculations[Εταιρεία]=F139),Calculations[Τιμή])</f>
        <v>1825735.531</v>
      </c>
      <c r="K139" s="18" t="s">
        <v>300</v>
      </c>
      <c r="L139" s="16" t="s">
        <v>258</v>
      </c>
      <c r="M139" s="148" t="s">
        <v>298</v>
      </c>
      <c r="N139" s="19" t="str">
        <f>_xlfn.XLOOKUP(Calculations[[#This Row],[For XLOOKUP]],Factors[For XLOOKUP],Factors[Factor],"")</f>
        <v>Σ.Ε. N2O st.</v>
      </c>
      <c r="O139" s="19">
        <f>_xlfn.XLOOKUP(Calculations[[#This Row],[For XLOOKUP]],Factors[For XLOOKUP],Factors[Value],"")</f>
        <v>1.0550558752316244E-7</v>
      </c>
      <c r="P139" s="19" t="str">
        <f>_xlfn.XLOOKUP(Calculations[[#This Row],[For XLOOKUP]],Factors[For XLOOKUP],Factors[Units],"")</f>
        <v>tn N2O/MMBtu</v>
      </c>
      <c r="Q139" s="19" t="str">
        <f>_xlfn.XLOOKUP(Calculations[[#This Row],[For XLOOKUP]],Factors[For XLOOKUP],Factors[Source],"")</f>
        <v>Greece. National Inventory Submissions 2024</v>
      </c>
      <c r="R13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9" s="19" t="str">
        <f>IF(LEFT(Calculations[[#This Row],[Emission Factor]],7)="Σ.Ε. CH",Calculations[[#This Row],[Value]]*Calculations[[#This Row],[Τιμή]],"-")</f>
        <v>-</v>
      </c>
      <c r="T139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0.19262529986006793</v>
      </c>
      <c r="U139" s="19" t="str">
        <f>IF(LEFT(Calculations[[#This Row],[Emission Factor]],3)="GWP",Calculations[[#This Row],[Τιμή]],"-")</f>
        <v>-</v>
      </c>
      <c r="V139" s="19" t="str">
        <f>IF(OR(Calculations[[#This Row],[Emission Factor]]="Σ.Ε. CO₂ eq",Calculations[[#This Row],[Emission Factor]]="CO₂ eq"),Calculations[[#This Row],[Value]]*Calculations[[#This Row],[Τιμή]],"-")</f>
        <v>-</v>
      </c>
      <c r="W139" s="19" t="str">
        <f>IF(Calculations[[#This Row],[Πηγή εκπομπών]]="Electricity consumed in office buildings and projects - market based",Calculations[[#This Row],[t CO2]],"")</f>
        <v/>
      </c>
      <c r="X13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51.045704462918003</v>
      </c>
    </row>
    <row r="140" spans="1:24" s="14" customFormat="1" ht="15" hidden="1" thickTop="1">
      <c r="A140" s="15" t="s">
        <v>0</v>
      </c>
      <c r="B140" s="15" t="s">
        <v>0</v>
      </c>
      <c r="C140" s="16" t="s">
        <v>624</v>
      </c>
      <c r="D140" s="77" t="s">
        <v>894</v>
      </c>
      <c r="E140" s="77"/>
      <c r="F140" s="11" t="s">
        <v>317</v>
      </c>
      <c r="G140" s="15" t="s">
        <v>78</v>
      </c>
      <c r="H140" s="15" t="s">
        <v>97</v>
      </c>
      <c r="I140" s="17" t="s">
        <v>302</v>
      </c>
      <c r="J140" s="79" cm="1">
        <f t="array" ref="J140">_xlfn.XLOOKUP(1,(Calculations[Πληροφορίες]=Calculations[[#This Row],[Πληροφορίες]])*(Calculations[Εταιρεία]=F140),Calculations[Τιμή])</f>
        <v>192.01999999999998</v>
      </c>
      <c r="K140" s="18" t="s">
        <v>300</v>
      </c>
      <c r="L140" s="16" t="s">
        <v>310</v>
      </c>
      <c r="M140" s="148" t="s">
        <v>308</v>
      </c>
      <c r="N140" s="19" t="str">
        <f>_xlfn.XLOOKUP(Calculations[[#This Row],[For XLOOKUP]],Factors[For XLOOKUP],Factors[Factor],"")</f>
        <v>Σ.Ε. CH₄ st.</v>
      </c>
      <c r="O140" s="19">
        <f>_xlfn.XLOOKUP(Calculations[[#This Row],[For XLOOKUP]],Factors[For XLOOKUP],Factors[Value],"")</f>
        <v>1.0550558752316243E-6</v>
      </c>
      <c r="P140" s="19" t="str">
        <f>_xlfn.XLOOKUP(Calculations[[#This Row],[For XLOOKUP]],Factors[For XLOOKUP],Factors[Units],"")</f>
        <v>tn CH4/MMBtu</v>
      </c>
      <c r="Q140" s="19" t="str">
        <f>_xlfn.XLOOKUP(Calculations[[#This Row],[For XLOOKUP]],Factors[For XLOOKUP],Factors[Source],"")</f>
        <v>Greece. National Inventory Submissions 2024</v>
      </c>
      <c r="R14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0" s="19">
        <f>IF(LEFT(Calculations[[#This Row],[Emission Factor]],7)="Σ.Ε. CH",Calculations[[#This Row],[Value]]*Calculations[[#This Row],[Τιμή]],"-")</f>
        <v>2.0259182916197648E-4</v>
      </c>
      <c r="T14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0" s="19" t="str">
        <f>IF(LEFT(Calculations[[#This Row],[Emission Factor]],3)="GWP",Calculations[[#This Row],[Τιμή]],"-")</f>
        <v>-</v>
      </c>
      <c r="V140" s="19" t="str">
        <f>IF(OR(Calculations[[#This Row],[Emission Factor]]="Σ.Ε. CO₂ eq",Calculations[[#This Row],[Emission Factor]]="CO₂ eq"),Calculations[[#This Row],[Value]]*Calculations[[#This Row],[Τιμή]],"-")</f>
        <v>-</v>
      </c>
      <c r="W140" s="19" t="str">
        <f>IF(Calculations[[#This Row],[Πηγή εκπομπών]]="Electricity consumed in office buildings and projects - market based",Calculations[[#This Row],[t CO2]],"")</f>
        <v/>
      </c>
      <c r="X14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5.6725712165353413E-3</v>
      </c>
    </row>
    <row r="141" spans="1:24" s="14" customFormat="1" ht="15" hidden="1" thickTop="1">
      <c r="A141" s="15" t="s">
        <v>0</v>
      </c>
      <c r="B141" s="15" t="s">
        <v>0</v>
      </c>
      <c r="C141" s="16" t="s">
        <v>624</v>
      </c>
      <c r="D141" s="77" t="s">
        <v>894</v>
      </c>
      <c r="E141" s="77"/>
      <c r="F141" s="11" t="s">
        <v>317</v>
      </c>
      <c r="G141" s="15" t="s">
        <v>78</v>
      </c>
      <c r="H141" s="15" t="s">
        <v>97</v>
      </c>
      <c r="I141" s="17" t="s">
        <v>302</v>
      </c>
      <c r="J141" s="79" cm="1">
        <f t="array" ref="J141">_xlfn.XLOOKUP(1,(Calculations[Πληροφορίες]=Calculations[[#This Row],[Πληροφορίες]])*(Calculations[Εταιρεία]=F141),Calculations[Τιμή])</f>
        <v>192.01999999999998</v>
      </c>
      <c r="K141" s="18" t="s">
        <v>300</v>
      </c>
      <c r="L141" s="16" t="s">
        <v>310</v>
      </c>
      <c r="M141" s="148" t="s">
        <v>309</v>
      </c>
      <c r="N141" s="19" t="str">
        <f>_xlfn.XLOOKUP(Calculations[[#This Row],[For XLOOKUP]],Factors[For XLOOKUP],Factors[Factor],"")</f>
        <v>Σ.Ε. N2O st.</v>
      </c>
      <c r="O141" s="19">
        <f>_xlfn.XLOOKUP(Calculations[[#This Row],[For XLOOKUP]],Factors[For XLOOKUP],Factors[Value],"")</f>
        <v>1.0550558752316244E-7</v>
      </c>
      <c r="P141" s="19" t="str">
        <f>_xlfn.XLOOKUP(Calculations[[#This Row],[For XLOOKUP]],Factors[For XLOOKUP],Factors[Units],"")</f>
        <v>tn N2O/MMBtu</v>
      </c>
      <c r="Q141" s="19" t="str">
        <f>_xlfn.XLOOKUP(Calculations[[#This Row],[For XLOOKUP]],Factors[For XLOOKUP],Factors[Source],"")</f>
        <v>Greece. National Inventory Submissions 2024</v>
      </c>
      <c r="R14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1" s="19" t="str">
        <f>IF(LEFT(Calculations[[#This Row],[Emission Factor]],7)="Σ.Ε. CH",Calculations[[#This Row],[Value]]*Calculations[[#This Row],[Τιμή]],"-")</f>
        <v>-</v>
      </c>
      <c r="T141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2.0259182916197648E-5</v>
      </c>
      <c r="U141" s="19" t="str">
        <f>IF(LEFT(Calculations[[#This Row],[Emission Factor]],3)="GWP",Calculations[[#This Row],[Τιμή]],"-")</f>
        <v>-</v>
      </c>
      <c r="V141" s="19" t="str">
        <f>IF(OR(Calculations[[#This Row],[Emission Factor]]="Σ.Ε. CO₂ eq",Calculations[[#This Row],[Emission Factor]]="CO₂ eq"),Calculations[[#This Row],[Value]]*Calculations[[#This Row],[Τιμή]],"-")</f>
        <v>-</v>
      </c>
      <c r="W141" s="19" t="str">
        <f>IF(Calculations[[#This Row],[Πηγή εκπομπών]]="Electricity consumed in office buildings and projects - market based",Calculations[[#This Row],[t CO2]],"")</f>
        <v/>
      </c>
      <c r="X14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5.3686834727923764E-3</v>
      </c>
    </row>
    <row r="142" spans="1:24" s="14" customFormat="1" ht="15" hidden="1" thickTop="1">
      <c r="A142" s="15" t="s">
        <v>0</v>
      </c>
      <c r="B142" s="15" t="s">
        <v>0</v>
      </c>
      <c r="C142" s="16" t="s">
        <v>328</v>
      </c>
      <c r="D142" s="77" t="s">
        <v>894</v>
      </c>
      <c r="E142" s="77" t="s">
        <v>1188</v>
      </c>
      <c r="F142" s="11" t="s">
        <v>317</v>
      </c>
      <c r="G142" s="15" t="s">
        <v>78</v>
      </c>
      <c r="H142" s="15" t="s">
        <v>290</v>
      </c>
      <c r="I142" s="17" t="s">
        <v>292</v>
      </c>
      <c r="J142" s="79" cm="1">
        <f t="array" ref="J142">_xlfn.XLOOKUP(1,(Calculations[Πληροφορίες]=Calculations[[#This Row],[Πληροφορίες]])*(Calculations[Έργο]=Calculations[[#This Row],[Έργο]]),Calculations[Τιμή])</f>
        <v>24434</v>
      </c>
      <c r="K142" s="18" t="s">
        <v>291</v>
      </c>
      <c r="L142" s="16" t="s">
        <v>286</v>
      </c>
      <c r="M142" s="148" t="s">
        <v>288</v>
      </c>
      <c r="N142" s="19" t="str">
        <f>_xlfn.XLOOKUP(Calculations[[#This Row],[For XLOOKUP]],Factors[For XLOOKUP],Factors[Factor],"")</f>
        <v>Σ.Ε. CH₄ st.</v>
      </c>
      <c r="O142" s="19">
        <f>_xlfn.XLOOKUP(Calculations[[#This Row],[For XLOOKUP]],Factors[For XLOOKUP],Factors[Value],"")</f>
        <v>3.539181617089804E-4</v>
      </c>
      <c r="P142" s="19" t="str">
        <f>_xlfn.XLOOKUP(Calculations[[#This Row],[For XLOOKUP]],Factors[For XLOOKUP],Factors[Units],"")</f>
        <v>tn CH4/KWh</v>
      </c>
      <c r="Q142" s="19" t="str">
        <f>_xlfn.XLOOKUP(Calculations[[#This Row],[For XLOOKUP]],Factors[For XLOOKUP],Factors[Source],"")</f>
        <v>Germany. National Inventory Submissions 2024</v>
      </c>
      <c r="R14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2" s="19">
        <f>IF(LEFT(Calculations[[#This Row],[Emission Factor]],7)="Σ.Ε. CH",Calculations[[#This Row],[Value]]*Calculations[[#This Row],[Τιμή]],"-")</f>
        <v>8.6476363631972273</v>
      </c>
      <c r="T14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2" s="19" t="str">
        <f>IF(LEFT(Calculations[[#This Row],[Emission Factor]],3)="GWP",Calculations[[#This Row],[Τιμή]],"-")</f>
        <v>-</v>
      </c>
      <c r="V142" s="19" t="str">
        <f>IF(OR(Calculations[[#This Row],[Emission Factor]]="Σ.Ε. CO₂ eq",Calculations[[#This Row],[Emission Factor]]="CO₂ eq"),Calculations[[#This Row],[Value]]*Calculations[[#This Row],[Τιμή]],"-")</f>
        <v>-</v>
      </c>
      <c r="W142" s="19" t="str">
        <f>IF(Calculations[[#This Row],[Πηγή εκπομπών]]="Electricity consumed in office buildings and projects - market based",Calculations[[#This Row],[t CO2]],"")</f>
        <v/>
      </c>
      <c r="X14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242.13381816952236</v>
      </c>
    </row>
    <row r="143" spans="1:24" s="14" customFormat="1" ht="15" hidden="1" thickTop="1">
      <c r="A143" s="15" t="s">
        <v>0</v>
      </c>
      <c r="B143" s="15" t="s">
        <v>0</v>
      </c>
      <c r="C143" s="16" t="s">
        <v>328</v>
      </c>
      <c r="D143" s="77" t="s">
        <v>894</v>
      </c>
      <c r="E143" s="16" t="s">
        <v>1188</v>
      </c>
      <c r="F143" s="11" t="s">
        <v>317</v>
      </c>
      <c r="G143" s="15" t="s">
        <v>78</v>
      </c>
      <c r="H143" s="15" t="s">
        <v>290</v>
      </c>
      <c r="I143" s="17" t="s">
        <v>292</v>
      </c>
      <c r="J143" s="79" cm="1">
        <f t="array" ref="J143">_xlfn.XLOOKUP(1,(Calculations[Πληροφορίες]=Calculations[[#This Row],[Πληροφορίες]])*(Calculations[Έργο]=Calculations[[#This Row],[Έργο]]),Calculations[Τιμή])</f>
        <v>24434</v>
      </c>
      <c r="K143" s="18" t="s">
        <v>291</v>
      </c>
      <c r="L143" s="16" t="s">
        <v>286</v>
      </c>
      <c r="M143" s="148" t="s">
        <v>289</v>
      </c>
      <c r="N143" s="19" t="str">
        <f>_xlfn.XLOOKUP(Calculations[[#This Row],[For XLOOKUP]],Factors[For XLOOKUP],Factors[Factor],"")</f>
        <v>Σ.Ε. N2O st.</v>
      </c>
      <c r="O143" s="19">
        <f>_xlfn.XLOOKUP(Calculations[[#This Row],[For XLOOKUP]],Factors[For XLOOKUP],Factors[Value],"")</f>
        <v>5.6830284691087483E-6</v>
      </c>
      <c r="P143" s="19" t="str">
        <f>_xlfn.XLOOKUP(Calculations[[#This Row],[For XLOOKUP]],Factors[For XLOOKUP],Factors[Units],"")</f>
        <v>tn N2O/kWh</v>
      </c>
      <c r="Q143" s="19" t="str">
        <f>_xlfn.XLOOKUP(Calculations[[#This Row],[For XLOOKUP]],Factors[For XLOOKUP],Factors[Source],"")</f>
        <v>Germany. National Inventory Submissions 2024</v>
      </c>
      <c r="R14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3" s="19" t="str">
        <f>IF(LEFT(Calculations[[#This Row],[Emission Factor]],7)="Σ.Ε. CH",Calculations[[#This Row],[Value]]*Calculations[[#This Row],[Τιμή]],"-")</f>
        <v>-</v>
      </c>
      <c r="T14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0.13885911761420316</v>
      </c>
      <c r="U143" s="19" t="str">
        <f>IF(LEFT(Calculations[[#This Row],[Emission Factor]],3)="GWP",Calculations[[#This Row],[Τιμή]],"-")</f>
        <v>-</v>
      </c>
      <c r="V143" s="19" t="str">
        <f>IF(OR(Calculations[[#This Row],[Emission Factor]]="Σ.Ε. CO₂ eq",Calculations[[#This Row],[Emission Factor]]="CO₂ eq"),Calculations[[#This Row],[Value]]*Calculations[[#This Row],[Τιμή]],"-")</f>
        <v>-</v>
      </c>
      <c r="W143" s="19" t="str">
        <f>IF(Calculations[[#This Row],[Πηγή εκπομπών]]="Electricity consumed in office buildings and projects - market based",Calculations[[#This Row],[t CO2]],"")</f>
        <v/>
      </c>
      <c r="X14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36.797666167763836</v>
      </c>
    </row>
    <row r="144" spans="1:24" s="14" customFormat="1" ht="15" hidden="1" thickTop="1">
      <c r="A144" s="15" t="s">
        <v>0</v>
      </c>
      <c r="B144" s="15" t="s">
        <v>0</v>
      </c>
      <c r="C144" s="16" t="s">
        <v>624</v>
      </c>
      <c r="D144" s="77" t="s">
        <v>895</v>
      </c>
      <c r="E144" s="208" t="s">
        <v>1140</v>
      </c>
      <c r="F144" s="77" t="s">
        <v>322</v>
      </c>
      <c r="G144" s="15" t="s">
        <v>81</v>
      </c>
      <c r="H144" s="15" t="s">
        <v>1185</v>
      </c>
      <c r="I144" s="17" t="s">
        <v>1185</v>
      </c>
      <c r="J144" s="243">
        <f>96*10^-3</f>
        <v>9.6000000000000002E-2</v>
      </c>
      <c r="K144" s="18" t="s">
        <v>280</v>
      </c>
      <c r="L144" s="16" t="s">
        <v>1186</v>
      </c>
      <c r="M144" s="148" t="s">
        <v>761</v>
      </c>
      <c r="N144" s="19" t="str">
        <f>_xlfn.XLOOKUP(Calculations[[#This Row],[For XLOOKUP]],Factors[For XLOOKUP],Factors[Factor],"")</f>
        <v>CO₂</v>
      </c>
      <c r="O144" s="19">
        <f>_xlfn.XLOOKUP(Calculations[[#This Row],[For XLOOKUP]],Factors[For XLOOKUP],Factors[Value],"")</f>
        <v>1</v>
      </c>
      <c r="P144" s="19">
        <f>_xlfn.XLOOKUP(Calculations[[#This Row],[For XLOOKUP]],Factors[For XLOOKUP],Factors[Units],"")</f>
        <v>0</v>
      </c>
      <c r="Q144" s="19">
        <f>_xlfn.XLOOKUP(Calculations[[#This Row],[For XLOOKUP]],Factors[For XLOOKUP],Factors[Source],"")</f>
        <v>0</v>
      </c>
      <c r="R144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9.6000000000000002E-2</v>
      </c>
      <c r="S144" s="19" t="str">
        <f>IF(LEFT(Calculations[[#This Row],[Emission Factor]],7)="Σ.Ε. CH",Calculations[[#This Row],[Value]]*Calculations[[#This Row],[Τιμή]],"-")</f>
        <v>-</v>
      </c>
      <c r="T14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4" s="19" t="str">
        <f>IF(LEFT(Calculations[[#This Row],[Emission Factor]],3)="GWP",Calculations[[#This Row],[Τιμή]],"-")</f>
        <v>-</v>
      </c>
      <c r="V144" s="19" t="str">
        <f>IF(OR(Calculations[[#This Row],[Emission Factor]]="Σ.Ε. CO₂ eq",Calculations[[#This Row],[Emission Factor]]="CO₂ eq"),Calculations[[#This Row],[Value]]*Calculations[[#This Row],[Τιμή]],"-")</f>
        <v>-</v>
      </c>
      <c r="W144" s="19" t="str">
        <f>IF(Calculations[[#This Row],[Πηγή εκπομπών]]="Electricity consumed in office buildings and projects - market based",Calculations[[#This Row],[t CO2]],"")</f>
        <v/>
      </c>
      <c r="X14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9.6000000000000002E-2</v>
      </c>
    </row>
    <row r="145" spans="1:24" s="14" customFormat="1" ht="15" hidden="1" thickTop="1">
      <c r="A145" s="15" t="s">
        <v>0</v>
      </c>
      <c r="B145" s="15" t="s">
        <v>0</v>
      </c>
      <c r="C145" s="16" t="s">
        <v>624</v>
      </c>
      <c r="D145" s="77" t="s">
        <v>894</v>
      </c>
      <c r="E145" s="16"/>
      <c r="F145" s="11" t="s">
        <v>317</v>
      </c>
      <c r="G145" s="15" t="s">
        <v>81</v>
      </c>
      <c r="H145" s="15" t="s">
        <v>1185</v>
      </c>
      <c r="I145" s="17" t="s">
        <v>1185</v>
      </c>
      <c r="J145" s="243">
        <f>40.06*10^-3</f>
        <v>4.0060000000000005E-2</v>
      </c>
      <c r="K145" s="18" t="s">
        <v>280</v>
      </c>
      <c r="L145" s="16" t="s">
        <v>1186</v>
      </c>
      <c r="M145" s="148" t="s">
        <v>761</v>
      </c>
      <c r="N145" s="19" t="str">
        <f>_xlfn.XLOOKUP(Calculations[[#This Row],[For XLOOKUP]],Factors[For XLOOKUP],Factors[Factor],"")</f>
        <v>CO₂</v>
      </c>
      <c r="O145" s="19">
        <f>_xlfn.XLOOKUP(Calculations[[#This Row],[For XLOOKUP]],Factors[For XLOOKUP],Factors[Value],"")</f>
        <v>1</v>
      </c>
      <c r="P145" s="19">
        <f>_xlfn.XLOOKUP(Calculations[[#This Row],[For XLOOKUP]],Factors[For XLOOKUP],Factors[Units],"")</f>
        <v>0</v>
      </c>
      <c r="Q145" s="19">
        <f>_xlfn.XLOOKUP(Calculations[[#This Row],[For XLOOKUP]],Factors[For XLOOKUP],Factors[Source],"")</f>
        <v>0</v>
      </c>
      <c r="R14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4.0060000000000005E-2</v>
      </c>
      <c r="S145" s="19" t="str">
        <f>IF(LEFT(Calculations[[#This Row],[Emission Factor]],7)="Σ.Ε. CH",Calculations[[#This Row],[Value]]*Calculations[[#This Row],[Τιμή]],"-")</f>
        <v>-</v>
      </c>
      <c r="T14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5" s="19" t="str">
        <f>IF(LEFT(Calculations[[#This Row],[Emission Factor]],3)="GWP",Calculations[[#This Row],[Τιμή]],"-")</f>
        <v>-</v>
      </c>
      <c r="V145" s="19" t="str">
        <f>IF(OR(Calculations[[#This Row],[Emission Factor]]="Σ.Ε. CO₂ eq",Calculations[[#This Row],[Emission Factor]]="CO₂ eq"),Calculations[[#This Row],[Value]]*Calculations[[#This Row],[Τιμή]],"-")</f>
        <v>-</v>
      </c>
      <c r="W145" s="19" t="str">
        <f>IF(Calculations[[#This Row],[Πηγή εκπομπών]]="Electricity consumed in office buildings and projects - market based",Calculations[[#This Row],[t CO2]],"")</f>
        <v/>
      </c>
      <c r="X14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4.0060000000000005E-2</v>
      </c>
    </row>
    <row r="146" spans="1:24" s="14" customFormat="1" ht="15" hidden="1" thickTop="1">
      <c r="A146" s="15" t="s">
        <v>0</v>
      </c>
      <c r="B146" s="15" t="s">
        <v>0</v>
      </c>
      <c r="C146" s="16" t="s">
        <v>624</v>
      </c>
      <c r="D146" s="77" t="s">
        <v>895</v>
      </c>
      <c r="E146" s="208" t="s">
        <v>1140</v>
      </c>
      <c r="F146" s="77" t="s">
        <v>322</v>
      </c>
      <c r="G146" s="15" t="s">
        <v>81</v>
      </c>
      <c r="H146" s="15" t="s">
        <v>82</v>
      </c>
      <c r="I146" s="17" t="s">
        <v>82</v>
      </c>
      <c r="J146" s="23">
        <f>9*10^-3</f>
        <v>9.0000000000000011E-3</v>
      </c>
      <c r="K146" s="18" t="s">
        <v>280</v>
      </c>
      <c r="L146" s="16" t="s">
        <v>265</v>
      </c>
      <c r="M146" s="148" t="s">
        <v>60</v>
      </c>
      <c r="N146" s="19" t="str">
        <f>_xlfn.XLOOKUP(Calculations[[#This Row],[For XLOOKUP]],Factors[For XLOOKUP],Factors[Factor],"")</f>
        <v>GWP 100-year</v>
      </c>
      <c r="O146" s="19">
        <f>_xlfn.XLOOKUP(Calculations[[#This Row],[For XLOOKUP]],Factors[For XLOOKUP],Factors[Value],"")</f>
        <v>677</v>
      </c>
      <c r="P146" s="19" t="str">
        <f>_xlfn.XLOOKUP(Calculations[[#This Row],[For XLOOKUP]],Factors[For XLOOKUP],Factors[Units],"")</f>
        <v>kg CO2 eq / kg HFC</v>
      </c>
      <c r="Q146" s="19" t="str">
        <f>_xlfn.XLOOKUP(Calculations[[#This Row],[For XLOOKUP]],Factors[For XLOOKUP],Factors[Source],"")</f>
        <v>IPCC - AR5</v>
      </c>
      <c r="R14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6" s="19" t="str">
        <f>IF(LEFT(Calculations[[#This Row],[Emission Factor]],7)="Σ.Ε. CH",Calculations[[#This Row],[Value]]*Calculations[[#This Row],[Τιμή]],"-")</f>
        <v>-</v>
      </c>
      <c r="T14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6" s="19">
        <f>IF(LEFT(Calculations[[#This Row],[Emission Factor]],3)="GWP",Calculations[[#This Row],[Τιμή]],"-")</f>
        <v>9.0000000000000011E-3</v>
      </c>
      <c r="V146" s="19" t="str">
        <f>IF(OR(Calculations[[#This Row],[Emission Factor]]="Σ.Ε. CO₂ eq",Calculations[[#This Row],[Emission Factor]]="CO₂ eq"),Calculations[[#This Row],[Value]]*Calculations[[#This Row],[Τιμή]],"-")</f>
        <v>-</v>
      </c>
      <c r="W146" s="19" t="str">
        <f>IF(Calculations[[#This Row],[Πηγή εκπομπών]]="Electricity consumed in office buildings and projects - market based",Calculations[[#This Row],[t CO2]],"")</f>
        <v/>
      </c>
      <c r="X14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12.827374553336144</v>
      </c>
    </row>
    <row r="147" spans="1:24" s="14" customFormat="1" ht="15" hidden="1" thickTop="1">
      <c r="A147" s="15" t="s">
        <v>0</v>
      </c>
      <c r="B147" s="15" t="s">
        <v>0</v>
      </c>
      <c r="C147" s="16" t="s">
        <v>624</v>
      </c>
      <c r="D147" s="77" t="s">
        <v>894</v>
      </c>
      <c r="E147" s="16"/>
      <c r="F147" s="77" t="s">
        <v>317</v>
      </c>
      <c r="G147" s="15" t="s">
        <v>81</v>
      </c>
      <c r="H147" s="15" t="s">
        <v>82</v>
      </c>
      <c r="I147" s="17" t="s">
        <v>82</v>
      </c>
      <c r="J147" s="23">
        <f>76.1*10^-3</f>
        <v>7.6100000000000001E-2</v>
      </c>
      <c r="K147" s="18" t="s">
        <v>280</v>
      </c>
      <c r="L147" s="16" t="s">
        <v>264</v>
      </c>
      <c r="M147" s="148" t="s">
        <v>58</v>
      </c>
      <c r="N147" s="19" t="str">
        <f>_xlfn.XLOOKUP(Calculations[[#This Row],[For XLOOKUP]],Factors[For XLOOKUP],Factors[Factor],"")</f>
        <v>GWP 100-year</v>
      </c>
      <c r="O147" s="19">
        <f>_xlfn.XLOOKUP(Calculations[[#This Row],[For XLOOKUP]],Factors[For XLOOKUP],Factors[Value],"")</f>
        <v>1624.21</v>
      </c>
      <c r="P147" s="19" t="str">
        <f>_xlfn.XLOOKUP(Calculations[[#This Row],[For XLOOKUP]],Factors[For XLOOKUP],Factors[Units],"")</f>
        <v>kg CO2 eq / kg HFC</v>
      </c>
      <c r="Q147" s="19" t="str">
        <f>_xlfn.XLOOKUP(Calculations[[#This Row],[For XLOOKUP]],Factors[For XLOOKUP],Factors[Source],"")</f>
        <v>IPCC - AR5</v>
      </c>
      <c r="R14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7" s="19" t="str">
        <f>IF(LEFT(Calculations[[#This Row],[Emission Factor]],7)="Σ.Ε. CH",Calculations[[#This Row],[Value]]*Calculations[[#This Row],[Τιμή]],"-")</f>
        <v>-</v>
      </c>
      <c r="T14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7" s="19">
        <f>IF(LEFT(Calculations[[#This Row],[Emission Factor]],3)="GWP",Calculations[[#This Row],[Τιμή]],"-")</f>
        <v>7.6100000000000001E-2</v>
      </c>
      <c r="V147" s="19" t="str">
        <f>IF(OR(Calculations[[#This Row],[Emission Factor]]="Σ.Ε. CO₂ eq",Calculations[[#This Row],[Emission Factor]]="CO₂ eq"),Calculations[[#This Row],[Value]]*Calculations[[#This Row],[Τιμή]],"-")</f>
        <v>-</v>
      </c>
      <c r="W147" s="19" t="str">
        <f>IF(Calculations[[#This Row],[Πηγή εκπομπών]]="Electricity consumed in office buildings and projects - market based",Calculations[[#This Row],[t CO2]],"")</f>
        <v/>
      </c>
      <c r="X14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108.46257816765338</v>
      </c>
    </row>
    <row r="148" spans="1:24" s="14" customFormat="1" ht="15" hidden="1" thickTop="1">
      <c r="A148" s="15" t="s">
        <v>0</v>
      </c>
      <c r="B148" s="15" t="s">
        <v>0</v>
      </c>
      <c r="C148" s="16" t="s">
        <v>624</v>
      </c>
      <c r="D148" s="77" t="s">
        <v>895</v>
      </c>
      <c r="E148" s="208" t="s">
        <v>1140</v>
      </c>
      <c r="F148" s="77" t="s">
        <v>322</v>
      </c>
      <c r="G148" s="15" t="s">
        <v>81</v>
      </c>
      <c r="H148" s="15" t="s">
        <v>82</v>
      </c>
      <c r="I148" s="17" t="s">
        <v>82</v>
      </c>
      <c r="J148" s="78">
        <f>50*10^-3</f>
        <v>0.05</v>
      </c>
      <c r="K148" s="18" t="s">
        <v>280</v>
      </c>
      <c r="L148" s="16" t="s">
        <v>264</v>
      </c>
      <c r="M148" s="148" t="s">
        <v>58</v>
      </c>
      <c r="N148" s="19" t="str">
        <f>_xlfn.XLOOKUP(Calculations[[#This Row],[For XLOOKUP]],Factors[For XLOOKUP],Factors[Factor],"")</f>
        <v>GWP 100-year</v>
      </c>
      <c r="O148" s="19">
        <f>_xlfn.XLOOKUP(Calculations[[#This Row],[For XLOOKUP]],Factors[For XLOOKUP],Factors[Value],"")</f>
        <v>1624.21</v>
      </c>
      <c r="P148" s="19" t="str">
        <f>_xlfn.XLOOKUP(Calculations[[#This Row],[For XLOOKUP]],Factors[For XLOOKUP],Factors[Units],"")</f>
        <v>kg CO2 eq / kg HFC</v>
      </c>
      <c r="Q148" s="19" t="str">
        <f>_xlfn.XLOOKUP(Calculations[[#This Row],[For XLOOKUP]],Factors[For XLOOKUP],Factors[Source],"")</f>
        <v>IPCC - AR5</v>
      </c>
      <c r="R14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8" s="19" t="str">
        <f>IF(LEFT(Calculations[[#This Row],[Emission Factor]],7)="Σ.Ε. CH",Calculations[[#This Row],[Value]]*Calculations[[#This Row],[Τιμή]],"-")</f>
        <v>-</v>
      </c>
      <c r="T14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8" s="19">
        <f>IF(LEFT(Calculations[[#This Row],[Emission Factor]],3)="GWP",Calculations[[#This Row],[Τιμή]],"-")</f>
        <v>0.05</v>
      </c>
      <c r="V148" s="19" t="str">
        <f>IF(OR(Calculations[[#This Row],[Emission Factor]]="Σ.Ε. CO₂ eq",Calculations[[#This Row],[Emission Factor]]="CO₂ eq"),Calculations[[#This Row],[Value]]*Calculations[[#This Row],[Τιμή]],"-")</f>
        <v>-</v>
      </c>
      <c r="W148" s="19" t="str">
        <f>IF(Calculations[[#This Row],[Πηγή εκπομπών]]="Electricity consumed in office buildings and projects - market based",Calculations[[#This Row],[t CO2]],"")</f>
        <v/>
      </c>
      <c r="X14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71.263191962978567</v>
      </c>
    </row>
    <row r="149" spans="1:24" s="14" customFormat="1" ht="15" hidden="1" thickTop="1">
      <c r="A149" s="15" t="s">
        <v>0</v>
      </c>
      <c r="B149" s="15" t="s">
        <v>0</v>
      </c>
      <c r="C149" s="16" t="s">
        <v>624</v>
      </c>
      <c r="D149" s="77" t="s">
        <v>895</v>
      </c>
      <c r="E149" s="201" t="s">
        <v>1140</v>
      </c>
      <c r="F149" s="11" t="s">
        <v>322</v>
      </c>
      <c r="G149" s="15" t="s">
        <v>81</v>
      </c>
      <c r="H149" s="15" t="s">
        <v>82</v>
      </c>
      <c r="I149" s="17" t="s">
        <v>82</v>
      </c>
      <c r="J149" s="78">
        <f>50*10^-3</f>
        <v>0.05</v>
      </c>
      <c r="K149" s="18" t="s">
        <v>280</v>
      </c>
      <c r="L149" s="16" t="s">
        <v>266</v>
      </c>
      <c r="M149" s="148" t="s">
        <v>69</v>
      </c>
      <c r="N149" s="19" t="str">
        <f>_xlfn.XLOOKUP(Calculations[[#This Row],[For XLOOKUP]],Factors[For XLOOKUP],Factors[Factor],"")</f>
        <v>GWP 100-year</v>
      </c>
      <c r="O149" s="19">
        <f>_xlfn.XLOOKUP(Calculations[[#This Row],[For XLOOKUP]],Factors[For XLOOKUP],Factors[Value],"")</f>
        <v>1923.5</v>
      </c>
      <c r="P149" s="19" t="str">
        <f>_xlfn.XLOOKUP(Calculations[[#This Row],[For XLOOKUP]],Factors[For XLOOKUP],Factors[Units],"")</f>
        <v>kg CO2 eq / kg HFC</v>
      </c>
      <c r="Q149" s="19" t="str">
        <f>_xlfn.XLOOKUP(Calculations[[#This Row],[For XLOOKUP]],Factors[For XLOOKUP],Factors[Source],"")</f>
        <v>IPCC - AR5</v>
      </c>
      <c r="R14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9" s="19" t="str">
        <f>IF(LEFT(Calculations[[#This Row],[Emission Factor]],7)="Σ.Ε. CH",Calculations[[#This Row],[Value]]*Calculations[[#This Row],[Τιμή]],"-")</f>
        <v>-</v>
      </c>
      <c r="T14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9" s="19">
        <f>IF(LEFT(Calculations[[#This Row],[Emission Factor]],3)="GWP",Calculations[[#This Row],[Τιμή]],"-")</f>
        <v>0.05</v>
      </c>
      <c r="V149" s="19" t="str">
        <f>IF(OR(Calculations[[#This Row],[Emission Factor]]="Σ.Ε. CO₂ eq",Calculations[[#This Row],[Emission Factor]]="CO₂ eq"),Calculations[[#This Row],[Value]]*Calculations[[#This Row],[Τιμή]],"-")</f>
        <v>-</v>
      </c>
      <c r="W149" s="19" t="str">
        <f>IF(Calculations[[#This Row],[Πηγή εκπομπών]]="Electricity consumed in office buildings and projects - market based",Calculations[[#This Row],[t CO2]],"")</f>
        <v/>
      </c>
      <c r="X14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71.263191962978567</v>
      </c>
    </row>
    <row r="150" spans="1:24" s="14" customFormat="1" ht="15" hidden="1" thickTop="1">
      <c r="A150" s="15" t="s">
        <v>0</v>
      </c>
      <c r="B150" s="15" t="s">
        <v>0</v>
      </c>
      <c r="C150" s="16" t="s">
        <v>624</v>
      </c>
      <c r="D150" s="77" t="s">
        <v>895</v>
      </c>
      <c r="E150" s="77"/>
      <c r="F150" s="77" t="s">
        <v>317</v>
      </c>
      <c r="G150" s="15" t="s">
        <v>81</v>
      </c>
      <c r="H150" s="15" t="s">
        <v>82</v>
      </c>
      <c r="I150" s="17" t="s">
        <v>82</v>
      </c>
      <c r="J150" s="78">
        <f>20*10^-3</f>
        <v>0.02</v>
      </c>
      <c r="K150" s="18" t="s">
        <v>280</v>
      </c>
      <c r="L150" s="16" t="s">
        <v>266</v>
      </c>
      <c r="M150" s="148" t="s">
        <v>69</v>
      </c>
      <c r="N150" s="19" t="str">
        <f>_xlfn.XLOOKUP(Calculations[[#This Row],[For XLOOKUP]],Factors[For XLOOKUP],Factors[Factor],"")</f>
        <v>GWP 100-year</v>
      </c>
      <c r="O150" s="19">
        <f>_xlfn.XLOOKUP(Calculations[[#This Row],[For XLOOKUP]],Factors[For XLOOKUP],Factors[Value],"")</f>
        <v>1923.5</v>
      </c>
      <c r="P150" s="19" t="str">
        <f>_xlfn.XLOOKUP(Calculations[[#This Row],[For XLOOKUP]],Factors[For XLOOKUP],Factors[Units],"")</f>
        <v>kg CO2 eq / kg HFC</v>
      </c>
      <c r="Q150" s="19" t="str">
        <f>_xlfn.XLOOKUP(Calculations[[#This Row],[For XLOOKUP]],Factors[For XLOOKUP],Factors[Source],"")</f>
        <v>IPCC - AR5</v>
      </c>
      <c r="R15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0" s="19" t="str">
        <f>IF(LEFT(Calculations[[#This Row],[Emission Factor]],7)="Σ.Ε. CH",Calculations[[#This Row],[Value]]*Calculations[[#This Row],[Τιμή]],"-")</f>
        <v>-</v>
      </c>
      <c r="T15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0" s="19">
        <f>IF(LEFT(Calculations[[#This Row],[Emission Factor]],3)="GWP",Calculations[[#This Row],[Τιμή]],"-")</f>
        <v>0.02</v>
      </c>
      <c r="V150" s="19" t="str">
        <f>IF(OR(Calculations[[#This Row],[Emission Factor]]="Σ.Ε. CO₂ eq",Calculations[[#This Row],[Emission Factor]]="CO₂ eq"),Calculations[[#This Row],[Value]]*Calculations[[#This Row],[Τιμή]],"-")</f>
        <v>-</v>
      </c>
      <c r="W150" s="19" t="str">
        <f>IF(Calculations[[#This Row],[Πηγή εκπομπών]]="Electricity consumed in office buildings and projects - market based",Calculations[[#This Row],[t CO2]],"")</f>
        <v/>
      </c>
      <c r="X15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28.505276785191427</v>
      </c>
    </row>
    <row r="151" spans="1:24" s="14" customFormat="1" ht="15" hidden="1" thickTop="1">
      <c r="A151" s="15" t="s">
        <v>0</v>
      </c>
      <c r="B151" s="15" t="s">
        <v>0</v>
      </c>
      <c r="C151" s="16" t="s">
        <v>624</v>
      </c>
      <c r="D151" s="77" t="s">
        <v>895</v>
      </c>
      <c r="E151" s="77" t="s">
        <v>1140</v>
      </c>
      <c r="F151" s="11" t="s">
        <v>322</v>
      </c>
      <c r="G151" s="15" t="s">
        <v>81</v>
      </c>
      <c r="H151" s="15" t="s">
        <v>82</v>
      </c>
      <c r="I151" s="17" t="s">
        <v>82</v>
      </c>
      <c r="J151" s="23">
        <f>10*10^-3</f>
        <v>0.01</v>
      </c>
      <c r="K151" s="18" t="s">
        <v>280</v>
      </c>
      <c r="L151" s="16" t="s">
        <v>1181</v>
      </c>
      <c r="M151" s="148" t="s">
        <v>64</v>
      </c>
      <c r="N151" s="19" t="str">
        <f>_xlfn.XLOOKUP(Calculations[[#This Row],[For XLOOKUP]],Factors[For XLOOKUP],Factors[Factor],"")</f>
        <v>GWP 100-year</v>
      </c>
      <c r="O151" s="19">
        <f>_xlfn.XLOOKUP(Calculations[[#This Row],[For XLOOKUP]],Factors[For XLOOKUP],Factors[Value],"")</f>
        <v>1300</v>
      </c>
      <c r="P151" s="19" t="str">
        <f>_xlfn.XLOOKUP(Calculations[[#This Row],[For XLOOKUP]],Factors[For XLOOKUP],Factors[Units],"")</f>
        <v>kg CO2 eq / kg HFC</v>
      </c>
      <c r="Q151" s="19" t="str">
        <f>_xlfn.XLOOKUP(Calculations[[#This Row],[For XLOOKUP]],Factors[For XLOOKUP],Factors[Source],"")</f>
        <v>IPCC - AR5</v>
      </c>
      <c r="R15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1" s="19" t="str">
        <f>IF(LEFT(Calculations[[#This Row],[Emission Factor]],7)="Σ.Ε. CH",Calculations[[#This Row],[Value]]*Calculations[[#This Row],[Τιμή]],"-")</f>
        <v>-</v>
      </c>
      <c r="T15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1" s="19">
        <f>IF(LEFT(Calculations[[#This Row],[Emission Factor]],3)="GWP",Calculations[[#This Row],[Τιμή]],"-")</f>
        <v>0.01</v>
      </c>
      <c r="V151" s="19" t="str">
        <f>IF(OR(Calculations[[#This Row],[Emission Factor]]="Σ.Ε. CO₂ eq",Calculations[[#This Row],[Emission Factor]]="CO₂ eq"),Calculations[[#This Row],[Value]]*Calculations[[#This Row],[Τιμή]],"-")</f>
        <v>-</v>
      </c>
      <c r="W151" s="19" t="str">
        <f>IF(Calculations[[#This Row],[Πηγή εκπομπών]]="Electricity consumed in office buildings and projects - market based",Calculations[[#This Row],[t CO2]],"")</f>
        <v/>
      </c>
      <c r="X15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14.252638392595713</v>
      </c>
    </row>
    <row r="152" spans="1:24" s="14" customFormat="1" ht="15" hidden="1" thickTop="1">
      <c r="A152" s="15" t="s">
        <v>0</v>
      </c>
      <c r="B152" s="15" t="s">
        <v>0</v>
      </c>
      <c r="C152" s="16" t="s">
        <v>327</v>
      </c>
      <c r="D152" s="77" t="s">
        <v>894</v>
      </c>
      <c r="E152" s="16" t="s">
        <v>1187</v>
      </c>
      <c r="F152" s="11" t="s">
        <v>317</v>
      </c>
      <c r="G152" s="15" t="s">
        <v>81</v>
      </c>
      <c r="H152" s="15" t="s">
        <v>82</v>
      </c>
      <c r="I152" s="17" t="s">
        <v>82</v>
      </c>
      <c r="J152" s="78">
        <f>9*10^-3</f>
        <v>9.0000000000000011E-3</v>
      </c>
      <c r="K152" s="18" t="s">
        <v>280</v>
      </c>
      <c r="L152" s="16" t="s">
        <v>1181</v>
      </c>
      <c r="M152" s="148" t="s">
        <v>64</v>
      </c>
      <c r="N152" s="19" t="str">
        <f>_xlfn.XLOOKUP(Calculations[[#This Row],[For XLOOKUP]],Factors[For XLOOKUP],Factors[Factor],"")</f>
        <v>GWP 100-year</v>
      </c>
      <c r="O152" s="19">
        <f>_xlfn.XLOOKUP(Calculations[[#This Row],[For XLOOKUP]],Factors[For XLOOKUP],Factors[Value],"")</f>
        <v>1300</v>
      </c>
      <c r="P152" s="19" t="str">
        <f>_xlfn.XLOOKUP(Calculations[[#This Row],[For XLOOKUP]],Factors[For XLOOKUP],Factors[Units],"")</f>
        <v>kg CO2 eq / kg HFC</v>
      </c>
      <c r="Q152" s="19" t="str">
        <f>_xlfn.XLOOKUP(Calculations[[#This Row],[For XLOOKUP]],Factors[For XLOOKUP],Factors[Source],"")</f>
        <v>IPCC - AR5</v>
      </c>
      <c r="R15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2" s="19" t="str">
        <f>IF(LEFT(Calculations[[#This Row],[Emission Factor]],7)="Σ.Ε. CH",Calculations[[#This Row],[Value]]*Calculations[[#This Row],[Τιμή]],"-")</f>
        <v>-</v>
      </c>
      <c r="T15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2" s="19">
        <f>IF(LEFT(Calculations[[#This Row],[Emission Factor]],3)="GWP",Calculations[[#This Row],[Τιμή]],"-")</f>
        <v>9.0000000000000011E-3</v>
      </c>
      <c r="V152" s="19" t="str">
        <f>IF(OR(Calculations[[#This Row],[Emission Factor]]="Σ.Ε. CO₂ eq",Calculations[[#This Row],[Emission Factor]]="CO₂ eq"),Calculations[[#This Row],[Value]]*Calculations[[#This Row],[Τιμή]],"-")</f>
        <v>-</v>
      </c>
      <c r="W152" s="19" t="str">
        <f>IF(Calculations[[#This Row],[Πηγή εκπομπών]]="Electricity consumed in office buildings and projects - market based",Calculations[[#This Row],[t CO2]],"")</f>
        <v/>
      </c>
      <c r="X15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12.827374553336144</v>
      </c>
    </row>
    <row r="153" spans="1:24" s="14" customFormat="1" ht="15" hidden="1" thickTop="1">
      <c r="A153" s="15" t="s">
        <v>0</v>
      </c>
      <c r="B153" s="15" t="s">
        <v>0</v>
      </c>
      <c r="C153" s="16" t="s">
        <v>624</v>
      </c>
      <c r="D153" s="77" t="s">
        <v>897</v>
      </c>
      <c r="E153" s="208" t="s">
        <v>1150</v>
      </c>
      <c r="F153" s="77" t="s">
        <v>320</v>
      </c>
      <c r="G153" s="15" t="s">
        <v>81</v>
      </c>
      <c r="H153" s="15" t="s">
        <v>82</v>
      </c>
      <c r="I153" s="17" t="s">
        <v>82</v>
      </c>
      <c r="J153" s="242">
        <f>8.94133386173514*10^-3</f>
        <v>8.9413338617351408E-3</v>
      </c>
      <c r="K153" s="18" t="s">
        <v>280</v>
      </c>
      <c r="L153" s="16" t="s">
        <v>1183</v>
      </c>
      <c r="M153" s="148" t="s">
        <v>1184</v>
      </c>
      <c r="N153" s="19" t="str">
        <f>_xlfn.XLOOKUP(Calculations[[#This Row],[For XLOOKUP]],Factors[For XLOOKUP],Factors[Factor],"")</f>
        <v>GWP 100-year</v>
      </c>
      <c r="O153" s="19">
        <f>_xlfn.XLOOKUP(Calculations[[#This Row],[For XLOOKUP]],Factors[For XLOOKUP],Factors[Value],"")</f>
        <v>1120</v>
      </c>
      <c r="P153" s="19" t="str">
        <f>_xlfn.XLOOKUP(Calculations[[#This Row],[For XLOOKUP]],Factors[For XLOOKUP],Factors[Units],"")</f>
        <v>kg CO2 eq / kg HFC</v>
      </c>
      <c r="Q153" s="19" t="str">
        <f>_xlfn.XLOOKUP(Calculations[[#This Row],[For XLOOKUP]],Factors[For XLOOKUP],Factors[Source],"")</f>
        <v>IPCC - AR5</v>
      </c>
      <c r="R15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3" s="19" t="str">
        <f>IF(LEFT(Calculations[[#This Row],[Emission Factor]],7)="Σ.Ε. CH",Calculations[[#This Row],[Value]]*Calculations[[#This Row],[Τιμή]],"-")</f>
        <v>-</v>
      </c>
      <c r="T15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3" s="19">
        <f>IF(LEFT(Calculations[[#This Row],[Emission Factor]],3)="GWP",Calculations[[#This Row],[Τιμή]],"-")</f>
        <v>8.9413338617351408E-3</v>
      </c>
      <c r="V153" s="19" t="str">
        <f>IF(OR(Calculations[[#This Row],[Emission Factor]]="Σ.Ε. CO₂ eq",Calculations[[#This Row],[Emission Factor]]="CO₂ eq"),Calculations[[#This Row],[Value]]*Calculations[[#This Row],[Τιμή]],"-")</f>
        <v>-</v>
      </c>
      <c r="W153" s="19" t="str">
        <f>IF(Calculations[[#This Row],[Πηγή εκπομπών]]="Electricity consumed in office buildings and projects - market based",Calculations[[#This Row],[t CO2]],"")</f>
        <v/>
      </c>
      <c r="X15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12.743759827878236</v>
      </c>
    </row>
    <row r="154" spans="1:24" s="14" customFormat="1" ht="15" hidden="1" thickTop="1">
      <c r="A154" s="15" t="s">
        <v>0</v>
      </c>
      <c r="B154" s="15" t="s">
        <v>0</v>
      </c>
      <c r="C154" s="16" t="s">
        <v>624</v>
      </c>
      <c r="D154" s="77" t="s">
        <v>1144</v>
      </c>
      <c r="E154" s="16" t="s">
        <v>1146</v>
      </c>
      <c r="F154" s="11" t="s">
        <v>647</v>
      </c>
      <c r="G154" s="15" t="s">
        <v>81</v>
      </c>
      <c r="H154" s="15" t="s">
        <v>82</v>
      </c>
      <c r="I154" s="17" t="s">
        <v>82</v>
      </c>
      <c r="J154" s="242">
        <f>79.1923489224173*10^-3</f>
        <v>7.9192348922417291E-2</v>
      </c>
      <c r="K154" s="18" t="s">
        <v>280</v>
      </c>
      <c r="L154" s="16" t="s">
        <v>1183</v>
      </c>
      <c r="M154" s="148" t="s">
        <v>1184</v>
      </c>
      <c r="N154" s="19" t="str">
        <f>_xlfn.XLOOKUP(Calculations[[#This Row],[For XLOOKUP]],Factors[For XLOOKUP],Factors[Factor],"")</f>
        <v>GWP 100-year</v>
      </c>
      <c r="O154" s="19">
        <f>_xlfn.XLOOKUP(Calculations[[#This Row],[For XLOOKUP]],Factors[For XLOOKUP],Factors[Value],"")</f>
        <v>1120</v>
      </c>
      <c r="P154" s="19" t="str">
        <f>_xlfn.XLOOKUP(Calculations[[#This Row],[For XLOOKUP]],Factors[For XLOOKUP],Factors[Units],"")</f>
        <v>kg CO2 eq / kg HFC</v>
      </c>
      <c r="Q154" s="19" t="str">
        <f>_xlfn.XLOOKUP(Calculations[[#This Row],[For XLOOKUP]],Factors[For XLOOKUP],Factors[Source],"")</f>
        <v>IPCC - AR5</v>
      </c>
      <c r="R15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4" s="19" t="str">
        <f>IF(LEFT(Calculations[[#This Row],[Emission Factor]],7)="Σ.Ε. CH",Calculations[[#This Row],[Value]]*Calculations[[#This Row],[Τιμή]],"-")</f>
        <v>-</v>
      </c>
      <c r="T15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4" s="19">
        <f>IF(LEFT(Calculations[[#This Row],[Emission Factor]],3)="GWP",Calculations[[#This Row],[Τιμή]],"-")</f>
        <v>7.9192348922417291E-2</v>
      </c>
      <c r="V154" s="19" t="str">
        <f>IF(OR(Calculations[[#This Row],[Emission Factor]]="Σ.Ε. CO₂ eq",Calculations[[#This Row],[Emission Factor]]="CO₂ eq"),Calculations[[#This Row],[Value]]*Calculations[[#This Row],[Τιμή]],"-")</f>
        <v>-</v>
      </c>
      <c r="W154" s="19" t="str">
        <f>IF(Calculations[[#This Row],[Πηγή εκπομπών]]="Electricity consumed in office buildings and projects - market based",Calculations[[#This Row],[t CO2]],"")</f>
        <v/>
      </c>
      <c r="X15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112.86999126514804</v>
      </c>
    </row>
    <row r="155" spans="1:24" s="14" customFormat="1" ht="15" hidden="1" thickTop="1">
      <c r="A155" s="15" t="s">
        <v>0</v>
      </c>
      <c r="B155" s="15" t="s">
        <v>0</v>
      </c>
      <c r="C155" s="16" t="s">
        <v>624</v>
      </c>
      <c r="D155" s="77" t="s">
        <v>895</v>
      </c>
      <c r="E155" s="16" t="s">
        <v>1136</v>
      </c>
      <c r="F155" s="77" t="s">
        <v>319</v>
      </c>
      <c r="G155" s="15" t="s">
        <v>81</v>
      </c>
      <c r="H155" s="15" t="s">
        <v>82</v>
      </c>
      <c r="I155" s="17" t="s">
        <v>82</v>
      </c>
      <c r="J155" s="242">
        <f>24.2306276945723*10^-3</f>
        <v>2.42306276945723E-2</v>
      </c>
      <c r="K155" s="18" t="s">
        <v>280</v>
      </c>
      <c r="L155" s="16" t="s">
        <v>1183</v>
      </c>
      <c r="M155" s="148" t="s">
        <v>1184</v>
      </c>
      <c r="N155" s="19" t="str">
        <f>_xlfn.XLOOKUP(Calculations[[#This Row],[For XLOOKUP]],Factors[For XLOOKUP],Factors[Factor],"")</f>
        <v>GWP 100-year</v>
      </c>
      <c r="O155" s="19">
        <f>_xlfn.XLOOKUP(Calculations[[#This Row],[For XLOOKUP]],Factors[For XLOOKUP],Factors[Value],"")</f>
        <v>1120</v>
      </c>
      <c r="P155" s="19" t="str">
        <f>_xlfn.XLOOKUP(Calculations[[#This Row],[For XLOOKUP]],Factors[For XLOOKUP],Factors[Units],"")</f>
        <v>kg CO2 eq / kg HFC</v>
      </c>
      <c r="Q155" s="19" t="str">
        <f>_xlfn.XLOOKUP(Calculations[[#This Row],[For XLOOKUP]],Factors[For XLOOKUP],Factors[Source],"")</f>
        <v>IPCC - AR5</v>
      </c>
      <c r="R15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5" s="19" t="str">
        <f>IF(LEFT(Calculations[[#This Row],[Emission Factor]],7)="Σ.Ε. CH",Calculations[[#This Row],[Value]]*Calculations[[#This Row],[Τιμή]],"-")</f>
        <v>-</v>
      </c>
      <c r="T15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5" s="19">
        <f>IF(LEFT(Calculations[[#This Row],[Emission Factor]],3)="GWP",Calculations[[#This Row],[Τιμή]],"-")</f>
        <v>2.42306276945723E-2</v>
      </c>
      <c r="V155" s="19" t="str">
        <f>IF(OR(Calculations[[#This Row],[Emission Factor]]="Σ.Ε. CO₂ eq",Calculations[[#This Row],[Emission Factor]]="CO₂ eq"),Calculations[[#This Row],[Value]]*Calculations[[#This Row],[Τιμή]],"-")</f>
        <v>-</v>
      </c>
      <c r="W155" s="19" t="str">
        <f>IF(Calculations[[#This Row],[Πηγή εκπομπών]]="Electricity consumed in office buildings and projects - market based",Calculations[[#This Row],[t CO2]],"")</f>
        <v/>
      </c>
      <c r="X15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34.535037455635411</v>
      </c>
    </row>
    <row r="156" spans="1:24" s="14" customFormat="1" ht="15" hidden="1" thickTop="1">
      <c r="A156" s="15" t="s">
        <v>0</v>
      </c>
      <c r="B156" s="15" t="s">
        <v>0</v>
      </c>
      <c r="C156" s="16" t="s">
        <v>624</v>
      </c>
      <c r="D156" s="77" t="s">
        <v>895</v>
      </c>
      <c r="E156" s="16" t="s">
        <v>1141</v>
      </c>
      <c r="F156" s="77" t="s">
        <v>312</v>
      </c>
      <c r="G156" s="15" t="s">
        <v>81</v>
      </c>
      <c r="H156" s="15" t="s">
        <v>82</v>
      </c>
      <c r="I156" s="17" t="s">
        <v>82</v>
      </c>
      <c r="J156" s="242">
        <f>2.32242437967146*10^-3</f>
        <v>2.3224243796714601E-3</v>
      </c>
      <c r="K156" s="18" t="s">
        <v>280</v>
      </c>
      <c r="L156" s="16" t="s">
        <v>1183</v>
      </c>
      <c r="M156" s="148" t="s">
        <v>1184</v>
      </c>
      <c r="N156" s="19" t="str">
        <f>_xlfn.XLOOKUP(Calculations[[#This Row],[For XLOOKUP]],Factors[For XLOOKUP],Factors[Factor],"")</f>
        <v>GWP 100-year</v>
      </c>
      <c r="O156" s="19">
        <f>_xlfn.XLOOKUP(Calculations[[#This Row],[For XLOOKUP]],Factors[For XLOOKUP],Factors[Value],"")</f>
        <v>1120</v>
      </c>
      <c r="P156" s="19" t="str">
        <f>_xlfn.XLOOKUP(Calculations[[#This Row],[For XLOOKUP]],Factors[For XLOOKUP],Factors[Units],"")</f>
        <v>kg CO2 eq / kg HFC</v>
      </c>
      <c r="Q156" s="19" t="str">
        <f>_xlfn.XLOOKUP(Calculations[[#This Row],[For XLOOKUP]],Factors[For XLOOKUP],Factors[Source],"")</f>
        <v>IPCC - AR5</v>
      </c>
      <c r="R15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6" s="19" t="str">
        <f>IF(LEFT(Calculations[[#This Row],[Emission Factor]],7)="Σ.Ε. CH",Calculations[[#This Row],[Value]]*Calculations[[#This Row],[Τιμή]],"-")</f>
        <v>-</v>
      </c>
      <c r="T15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6" s="19">
        <f>IF(LEFT(Calculations[[#This Row],[Emission Factor]],3)="GWP",Calculations[[#This Row],[Τιμή]],"-")</f>
        <v>2.3224243796714601E-3</v>
      </c>
      <c r="V156" s="19" t="str">
        <f>IF(OR(Calculations[[#This Row],[Emission Factor]]="Σ.Ε. CO₂ eq",Calculations[[#This Row],[Emission Factor]]="CO₂ eq"),Calculations[[#This Row],[Value]]*Calculations[[#This Row],[Τιμή]],"-")</f>
        <v>-</v>
      </c>
      <c r="W156" s="19" t="str">
        <f>IF(Calculations[[#This Row],[Πηγή εκπομπών]]="Electricity consumed in office buildings and projects - market based",Calculations[[#This Row],[t CO2]],"")</f>
        <v/>
      </c>
      <c r="X15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3.3100674877605734</v>
      </c>
    </row>
    <row r="157" spans="1:24" s="14" customFormat="1" ht="15" hidden="1" thickTop="1">
      <c r="A157" s="15" t="s">
        <v>0</v>
      </c>
      <c r="B157" s="15" t="s">
        <v>0</v>
      </c>
      <c r="C157" s="16" t="s">
        <v>624</v>
      </c>
      <c r="D157" s="77" t="s">
        <v>894</v>
      </c>
      <c r="E157" s="16"/>
      <c r="F157" s="11" t="s">
        <v>317</v>
      </c>
      <c r="G157" s="15" t="s">
        <v>81</v>
      </c>
      <c r="H157" s="15" t="s">
        <v>82</v>
      </c>
      <c r="I157" s="17" t="s">
        <v>82</v>
      </c>
      <c r="J157" s="242">
        <f>42.647*10^-3</f>
        <v>4.2646999999999997E-2</v>
      </c>
      <c r="K157" s="18" t="s">
        <v>280</v>
      </c>
      <c r="L157" s="16" t="s">
        <v>1183</v>
      </c>
      <c r="M157" s="148" t="s">
        <v>1184</v>
      </c>
      <c r="N157" s="19" t="str">
        <f>_xlfn.XLOOKUP(Calculations[[#This Row],[For XLOOKUP]],Factors[For XLOOKUP],Factors[Factor],"")</f>
        <v>GWP 100-year</v>
      </c>
      <c r="O157" s="19">
        <f>_xlfn.XLOOKUP(Calculations[[#This Row],[For XLOOKUP]],Factors[For XLOOKUP],Factors[Value],"")</f>
        <v>1120</v>
      </c>
      <c r="P157" s="19" t="str">
        <f>_xlfn.XLOOKUP(Calculations[[#This Row],[For XLOOKUP]],Factors[For XLOOKUP],Factors[Units],"")</f>
        <v>kg CO2 eq / kg HFC</v>
      </c>
      <c r="Q157" s="19" t="str">
        <f>_xlfn.XLOOKUP(Calculations[[#This Row],[For XLOOKUP]],Factors[For XLOOKUP],Factors[Source],"")</f>
        <v>IPCC - AR5</v>
      </c>
      <c r="R15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7" s="19" t="str">
        <f>IF(LEFT(Calculations[[#This Row],[Emission Factor]],7)="Σ.Ε. CH",Calculations[[#This Row],[Value]]*Calculations[[#This Row],[Τιμή]],"-")</f>
        <v>-</v>
      </c>
      <c r="T15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7" s="19">
        <f>IF(LEFT(Calculations[[#This Row],[Emission Factor]],3)="GWP",Calculations[[#This Row],[Τιμή]],"-")</f>
        <v>4.2646999999999997E-2</v>
      </c>
      <c r="V157" s="19" t="str">
        <f>IF(OR(Calculations[[#This Row],[Emission Factor]]="Σ.Ε. CO₂ eq",Calculations[[#This Row],[Emission Factor]]="CO₂ eq"),Calculations[[#This Row],[Value]]*Calculations[[#This Row],[Τιμή]],"-")</f>
        <v>-</v>
      </c>
      <c r="W157" s="19" t="str">
        <f>IF(Calculations[[#This Row],[Πηγή εκπομπών]]="Electricity consumed in office buildings and projects - market based",Calculations[[#This Row],[t CO2]],"")</f>
        <v/>
      </c>
      <c r="X15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60.783226952902936</v>
      </c>
    </row>
    <row r="158" spans="1:24" s="14" customFormat="1" ht="15" hidden="1" thickTop="1">
      <c r="A158" s="15" t="s">
        <v>0</v>
      </c>
      <c r="B158" s="15" t="s">
        <v>0</v>
      </c>
      <c r="C158" s="16" t="s">
        <v>624</v>
      </c>
      <c r="D158" s="16" t="s">
        <v>894</v>
      </c>
      <c r="E158" s="16"/>
      <c r="F158" s="11" t="s">
        <v>317</v>
      </c>
      <c r="G158" s="15" t="s">
        <v>81</v>
      </c>
      <c r="H158" s="15" t="s">
        <v>82</v>
      </c>
      <c r="I158" s="17" t="s">
        <v>82</v>
      </c>
      <c r="J158" s="78">
        <f>3.77*10^-3</f>
        <v>3.7699999999999999E-3</v>
      </c>
      <c r="K158" s="18" t="s">
        <v>280</v>
      </c>
      <c r="L158" s="16" t="s">
        <v>265</v>
      </c>
      <c r="M158" s="148" t="s">
        <v>60</v>
      </c>
      <c r="N158" s="19" t="str">
        <f>_xlfn.XLOOKUP(Calculations[[#This Row],[For XLOOKUP]],Factors[For XLOOKUP],Factors[Factor],"")</f>
        <v>GWP 100-year</v>
      </c>
      <c r="O158" s="19">
        <f>_xlfn.XLOOKUP(Calculations[[#This Row],[For XLOOKUP]],Factors[For XLOOKUP],Factors[Value],"")</f>
        <v>677</v>
      </c>
      <c r="P158" s="19" t="str">
        <f>_xlfn.XLOOKUP(Calculations[[#This Row],[For XLOOKUP]],Factors[For XLOOKUP],Factors[Units],"")</f>
        <v>kg CO2 eq / kg HFC</v>
      </c>
      <c r="Q158" s="19" t="str">
        <f>_xlfn.XLOOKUP(Calculations[[#This Row],[For XLOOKUP]],Factors[For XLOOKUP],Factors[Source],"")</f>
        <v>IPCC - AR5</v>
      </c>
      <c r="R15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8" s="19" t="str">
        <f>IF(LEFT(Calculations[[#This Row],[Emission Factor]],7)="Σ.Ε. CH",Calculations[[#This Row],[Value]]*Calculations[[#This Row],[Τιμή]],"-")</f>
        <v>-</v>
      </c>
      <c r="T15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8" s="19">
        <f>IF(LEFT(Calculations[[#This Row],[Emission Factor]],3)="GWP",Calculations[[#This Row],[Τιμή]],"-")</f>
        <v>3.7699999999999999E-3</v>
      </c>
      <c r="V158" s="19" t="str">
        <f>IF(OR(Calculations[[#This Row],[Emission Factor]]="Σ.Ε. CO₂ eq",Calculations[[#This Row],[Emission Factor]]="CO₂ eq"),Calculations[[#This Row],[Value]]*Calculations[[#This Row],[Τιμή]],"-")</f>
        <v>-</v>
      </c>
      <c r="W158" s="19" t="str">
        <f>IF(Calculations[[#This Row],[Πηγή εκπομπών]]="Electricity consumed in office buildings and projects - market based",Calculations[[#This Row],[t CO2]],"")</f>
        <v/>
      </c>
      <c r="X15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5.3732446740085837</v>
      </c>
    </row>
    <row r="159" spans="1:24" s="14" customFormat="1" ht="15" hidden="1" thickTop="1">
      <c r="A159" s="15" t="s">
        <v>0</v>
      </c>
      <c r="B159" s="15" t="s">
        <v>0</v>
      </c>
      <c r="C159" s="16" t="s">
        <v>624</v>
      </c>
      <c r="D159" s="16" t="s">
        <v>894</v>
      </c>
      <c r="E159" s="16"/>
      <c r="F159" s="77" t="s">
        <v>317</v>
      </c>
      <c r="G159" s="15" t="s">
        <v>78</v>
      </c>
      <c r="H159" s="15" t="s">
        <v>79</v>
      </c>
      <c r="I159" s="17" t="s">
        <v>90</v>
      </c>
      <c r="J159" s="51">
        <f>125627.58-24434-77562</f>
        <v>23631.58</v>
      </c>
      <c r="K159" s="18" t="s">
        <v>7</v>
      </c>
      <c r="L159" s="16" t="s">
        <v>245</v>
      </c>
      <c r="M159" s="148" t="s">
        <v>210</v>
      </c>
      <c r="N159" s="19" t="str">
        <f>_xlfn.XLOOKUP(Calculations[[#This Row],[For XLOOKUP]],Factors[For XLOOKUP],Factors[Factor],"")</f>
        <v>Σ.Ε. CO₂ st.</v>
      </c>
      <c r="O159" s="19">
        <f>_xlfn.XLOOKUP(Calculations[[#This Row],[For XLOOKUP]],Factors[For XLOOKUP],Factors[Value],"")</f>
        <v>2.6288551800000004E-3</v>
      </c>
      <c r="P159" s="19" t="str">
        <f>_xlfn.XLOOKUP(Calculations[[#This Row],[For XLOOKUP]],Factors[For XLOOKUP],Factors[Units],"")</f>
        <v>tn CO2/lt</v>
      </c>
      <c r="Q159" s="19" t="str">
        <f>_xlfn.XLOOKUP(Calculations[[#This Row],[For XLOOKUP]],Factors[For XLOOKUP],Factors[Source],"")</f>
        <v>Greece. National Inventory Submissions 2024</v>
      </c>
      <c r="R159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62.124001494584412</v>
      </c>
      <c r="S159" s="19" t="str">
        <f>IF(LEFT(Calculations[[#This Row],[Emission Factor]],7)="Σ.Ε. CH",Calculations[[#This Row],[Value]]*Calculations[[#This Row],[Τιμή]],"-")</f>
        <v>-</v>
      </c>
      <c r="T15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9" s="19" t="str">
        <f>IF(LEFT(Calculations[[#This Row],[Emission Factor]],3)="GWP",Calculations[[#This Row],[Τιμή]],"-")</f>
        <v>-</v>
      </c>
      <c r="V159" s="19" t="str">
        <f>IF(OR(Calculations[[#This Row],[Emission Factor]]="Σ.Ε. CO₂ eq",Calculations[[#This Row],[Emission Factor]]="CO₂ eq"),Calculations[[#This Row],[Value]]*Calculations[[#This Row],[Τιμή]],"-")</f>
        <v>-</v>
      </c>
      <c r="W159" s="19" t="str">
        <f>IF(Calculations[[#This Row],[Πηγή εκπομπών]]="Electricity consumed in office buildings and projects - market based",Calculations[[#This Row],[t CO2]],"")</f>
        <v/>
      </c>
      <c r="X15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62.124001494584412</v>
      </c>
    </row>
    <row r="160" spans="1:24" s="14" customFormat="1" ht="15" hidden="1" thickTop="1">
      <c r="A160" s="15" t="s">
        <v>0</v>
      </c>
      <c r="B160" s="15" t="s">
        <v>0</v>
      </c>
      <c r="C160" s="16" t="s">
        <v>624</v>
      </c>
      <c r="D160" s="16" t="s">
        <v>894</v>
      </c>
      <c r="E160" s="16"/>
      <c r="F160" s="77" t="s">
        <v>317</v>
      </c>
      <c r="G160" s="15" t="s">
        <v>78</v>
      </c>
      <c r="H160" s="15" t="s">
        <v>79</v>
      </c>
      <c r="I160" s="17" t="s">
        <v>90</v>
      </c>
      <c r="J160" s="79" cm="1">
        <f t="array" ref="J160">_xlfn.XLOOKUP(1,(Calculations[Πληροφορίες]=Calculations[[#This Row],[Πληροφορίες]])*(Calculations[Εταιρεία]=F160),Calculations[Τιμή])</f>
        <v>23631.58</v>
      </c>
      <c r="K160" s="18" t="s">
        <v>7</v>
      </c>
      <c r="L160" s="16" t="s">
        <v>245</v>
      </c>
      <c r="M160" s="148" t="s">
        <v>329</v>
      </c>
      <c r="N160" s="19" t="str">
        <f>_xlfn.XLOOKUP(Calculations[[#This Row],[For XLOOKUP]],Factors[For XLOOKUP],Factors[Factor],"")</f>
        <v>Σ.Ε. CH₄ st.</v>
      </c>
      <c r="O160" s="19">
        <f>_xlfn.XLOOKUP(Calculations[[#This Row],[For XLOOKUP]],Factors[For XLOOKUP],Factors[Value],"")</f>
        <v>2.6069673432920342E-8</v>
      </c>
      <c r="P160" s="19" t="str">
        <f>_xlfn.XLOOKUP(Calculations[[#This Row],[For XLOOKUP]],Factors[For XLOOKUP],Factors[Units],"")</f>
        <v>tn CH4/lt</v>
      </c>
      <c r="Q160" s="19" t="str">
        <f>_xlfn.XLOOKUP(Calculations[[#This Row],[For XLOOKUP]],Factors[For XLOOKUP],Factors[Source],"")</f>
        <v>Greece. National Inventory Submissions 2024</v>
      </c>
      <c r="R16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0" s="19">
        <f>IF(LEFT(Calculations[[#This Row],[Emission Factor]],7)="Σ.Ε. CH",Calculations[[#This Row],[Value]]*Calculations[[#This Row],[Τιμή]],"-")</f>
        <v>6.1606757330393176E-4</v>
      </c>
      <c r="T16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0" s="19" t="str">
        <f>IF(LEFT(Calculations[[#This Row],[Emission Factor]],3)="GWP",Calculations[[#This Row],[Τιμή]],"-")</f>
        <v>-</v>
      </c>
      <c r="V160" s="19" t="str">
        <f>IF(OR(Calculations[[#This Row],[Emission Factor]]="Σ.Ε. CO₂ eq",Calculations[[#This Row],[Emission Factor]]="CO₂ eq"),Calculations[[#This Row],[Value]]*Calculations[[#This Row],[Τιμή]],"-")</f>
        <v>-</v>
      </c>
      <c r="W160" s="19" t="str">
        <f>IF(Calculations[[#This Row],[Πηγή εκπομπών]]="Electricity consumed in office buildings and projects - market based",Calculations[[#This Row],[t CO2]],"")</f>
        <v/>
      </c>
      <c r="X16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1.7249892052510089E-2</v>
      </c>
    </row>
    <row r="161" spans="1:24" s="14" customFormat="1" ht="15" hidden="1" thickTop="1">
      <c r="A161" s="15" t="s">
        <v>0</v>
      </c>
      <c r="B161" s="15" t="s">
        <v>0</v>
      </c>
      <c r="C161" s="16" t="s">
        <v>624</v>
      </c>
      <c r="D161" s="77" t="s">
        <v>894</v>
      </c>
      <c r="E161" s="77"/>
      <c r="F161" s="77" t="s">
        <v>317</v>
      </c>
      <c r="G161" s="15" t="s">
        <v>78</v>
      </c>
      <c r="H161" s="15" t="s">
        <v>79</v>
      </c>
      <c r="I161" s="17" t="s">
        <v>90</v>
      </c>
      <c r="J161" s="79" cm="1">
        <f t="array" ref="J161">_xlfn.XLOOKUP(1,(Calculations[Πληροφορίες]=Calculations[[#This Row],[Πληροφορίες]])*(Calculations[Εταιρεία]=F161),Calculations[Τιμή])</f>
        <v>23631.58</v>
      </c>
      <c r="K161" s="18" t="s">
        <v>7</v>
      </c>
      <c r="L161" s="16" t="s">
        <v>245</v>
      </c>
      <c r="M161" s="148" t="s">
        <v>211</v>
      </c>
      <c r="N161" s="19" t="str">
        <f>_xlfn.XLOOKUP(Calculations[[#This Row],[For XLOOKUP]],Factors[For XLOOKUP],Factors[Factor],"")</f>
        <v>Σ.Ε. N2O st.</v>
      </c>
      <c r="O161" s="19">
        <f>_xlfn.XLOOKUP(Calculations[[#This Row],[For XLOOKUP]],Factors[For XLOOKUP],Factors[Value],"")</f>
        <v>6.7698900000000009E-9</v>
      </c>
      <c r="P161" s="19" t="str">
        <f>_xlfn.XLOOKUP(Calculations[[#This Row],[For XLOOKUP]],Factors[For XLOOKUP],Factors[Units],"")</f>
        <v>tn N2O/lt</v>
      </c>
      <c r="Q161" s="19" t="str">
        <f>_xlfn.XLOOKUP(Calculations[[#This Row],[For XLOOKUP]],Factors[For XLOOKUP],Factors[Source],"")</f>
        <v>Greece. National Inventory Submissions 2024</v>
      </c>
      <c r="R16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1" s="19" t="str">
        <f>IF(LEFT(Calculations[[#This Row],[Emission Factor]],7)="Σ.Ε. CH",Calculations[[#This Row],[Value]]*Calculations[[#This Row],[Τιμή]],"-")</f>
        <v>-</v>
      </c>
      <c r="T161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1.5998319712620004E-4</v>
      </c>
      <c r="U161" s="19" t="str">
        <f>IF(LEFT(Calculations[[#This Row],[Emission Factor]],3)="GWP",Calculations[[#This Row],[Τιμή]],"-")</f>
        <v>-</v>
      </c>
      <c r="V161" s="19" t="str">
        <f>IF(OR(Calculations[[#This Row],[Emission Factor]]="Σ.Ε. CO₂ eq",Calculations[[#This Row],[Emission Factor]]="CO₂ eq"),Calculations[[#This Row],[Value]]*Calculations[[#This Row],[Τιμή]],"-")</f>
        <v>-</v>
      </c>
      <c r="W161" s="19" t="str">
        <f>IF(Calculations[[#This Row],[Πηγή εκπομπών]]="Electricity consumed in office buildings and projects - market based",Calculations[[#This Row],[t CO2]],"")</f>
        <v/>
      </c>
      <c r="X16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4.2395547238443007E-2</v>
      </c>
    </row>
    <row r="162" spans="1:24" s="14" customFormat="1" ht="15" hidden="1" thickTop="1">
      <c r="A162" s="15" t="s">
        <v>0</v>
      </c>
      <c r="B162" s="15" t="s">
        <v>0</v>
      </c>
      <c r="C162" s="16" t="s">
        <v>327</v>
      </c>
      <c r="D162" s="77" t="s">
        <v>894</v>
      </c>
      <c r="E162" s="77" t="s">
        <v>1187</v>
      </c>
      <c r="F162" s="77" t="s">
        <v>317</v>
      </c>
      <c r="G162" s="15" t="s">
        <v>78</v>
      </c>
      <c r="H162" s="15" t="s">
        <v>79</v>
      </c>
      <c r="I162" s="17" t="s">
        <v>90</v>
      </c>
      <c r="J162" s="51">
        <v>77562</v>
      </c>
      <c r="K162" s="18" t="s">
        <v>7</v>
      </c>
      <c r="L162" s="16" t="s">
        <v>245</v>
      </c>
      <c r="M162" s="148" t="s">
        <v>1230</v>
      </c>
      <c r="N162" s="19" t="str">
        <f>_xlfn.XLOOKUP(Calculations[[#This Row],[For XLOOKUP]],Factors[For XLOOKUP],Factors[Factor],"")</f>
        <v>Σ.Ε. CO₂ st.</v>
      </c>
      <c r="O162" s="19">
        <f>_xlfn.XLOOKUP(Calculations[[#This Row],[For XLOOKUP]],Factors[For XLOOKUP],Factors[Value],"")</f>
        <v>2.6924234999999999E-3</v>
      </c>
      <c r="P162" s="19" t="str">
        <f>_xlfn.XLOOKUP(Calculations[[#This Row],[For XLOOKUP]],Factors[For XLOOKUP],Factors[Units],"")</f>
        <v>tn CO2/lt</v>
      </c>
      <c r="Q162" s="19" t="str">
        <f>_xlfn.XLOOKUP(Calculations[[#This Row],[For XLOOKUP]],Factors[For XLOOKUP],Factors[Source],"")</f>
        <v>Cyprus. National Inventory Report (NIR) 2024</v>
      </c>
      <c r="R162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208.829751507</v>
      </c>
      <c r="S162" s="19" t="str">
        <f>IF(LEFT(Calculations[[#This Row],[Emission Factor]],7)="Σ.Ε. CH",Calculations[[#This Row],[Value]]*Calculations[[#This Row],[Τιμή]],"-")</f>
        <v>-</v>
      </c>
      <c r="T16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2" s="19" t="str">
        <f>IF(LEFT(Calculations[[#This Row],[Emission Factor]],3)="GWP",Calculations[[#This Row],[Τιμή]],"-")</f>
        <v>-</v>
      </c>
      <c r="V162" s="19" t="str">
        <f>IF(OR(Calculations[[#This Row],[Emission Factor]]="Σ.Ε. CO₂ eq",Calculations[[#This Row],[Emission Factor]]="CO₂ eq"),Calculations[[#This Row],[Value]]*Calculations[[#This Row],[Τιμή]],"-")</f>
        <v>-</v>
      </c>
      <c r="W162" s="19" t="str">
        <f>IF(Calculations[[#This Row],[Πηγή εκπομπών]]="Electricity consumed in office buildings and projects - market based",Calculations[[#This Row],[t CO2]],"")</f>
        <v/>
      </c>
      <c r="X16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208.829751507</v>
      </c>
    </row>
    <row r="163" spans="1:24" s="14" customFormat="1" ht="15" hidden="1" thickTop="1">
      <c r="A163" s="15" t="s">
        <v>0</v>
      </c>
      <c r="B163" s="15" t="s">
        <v>0</v>
      </c>
      <c r="C163" s="16" t="s">
        <v>327</v>
      </c>
      <c r="D163" s="77" t="s">
        <v>894</v>
      </c>
      <c r="E163" s="77" t="s">
        <v>1187</v>
      </c>
      <c r="F163" s="77" t="s">
        <v>317</v>
      </c>
      <c r="G163" s="15" t="s">
        <v>78</v>
      </c>
      <c r="H163" s="15" t="s">
        <v>79</v>
      </c>
      <c r="I163" s="17" t="s">
        <v>90</v>
      </c>
      <c r="J163" s="79">
        <v>77562</v>
      </c>
      <c r="K163" s="18" t="s">
        <v>7</v>
      </c>
      <c r="L163" s="16" t="s">
        <v>245</v>
      </c>
      <c r="M163" s="148" t="s">
        <v>1231</v>
      </c>
      <c r="N163" s="19" t="str">
        <f>_xlfn.XLOOKUP(Calculations[[#This Row],[For XLOOKUP]],Factors[For XLOOKUP],Factors[Factor],"")</f>
        <v>Σ.Ε. CH₄ st.</v>
      </c>
      <c r="O163" s="19">
        <f>_xlfn.XLOOKUP(Calculations[[#This Row],[For XLOOKUP]],Factors[For XLOOKUP],Factors[Value],"")</f>
        <v>3.6335000000000003E-7</v>
      </c>
      <c r="P163" s="19" t="str">
        <f>_xlfn.XLOOKUP(Calculations[[#This Row],[For XLOOKUP]],Factors[For XLOOKUP],Factors[Units],"")</f>
        <v>tn CH4/lt</v>
      </c>
      <c r="Q163" s="19" t="str">
        <f>_xlfn.XLOOKUP(Calculations[[#This Row],[For XLOOKUP]],Factors[For XLOOKUP],Factors[Source],"")</f>
        <v>Cyprus. National Inventory Report (NIR) 2024</v>
      </c>
      <c r="R16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3" s="19">
        <f>IF(LEFT(Calculations[[#This Row],[Emission Factor]],7)="Σ.Ε. CH",Calculations[[#This Row],[Value]]*Calculations[[#This Row],[Τιμή]],"-")</f>
        <v>2.8182152700000004E-2</v>
      </c>
      <c r="T16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3" s="19" t="str">
        <f>IF(LEFT(Calculations[[#This Row],[Emission Factor]],3)="GWP",Calculations[[#This Row],[Τιμή]],"-")</f>
        <v>-</v>
      </c>
      <c r="V163" s="19" t="str">
        <f>IF(OR(Calculations[[#This Row],[Emission Factor]]="Σ.Ε. CO₂ eq",Calculations[[#This Row],[Emission Factor]]="CO₂ eq"),Calculations[[#This Row],[Value]]*Calculations[[#This Row],[Τιμή]],"-")</f>
        <v>-</v>
      </c>
      <c r="W163" s="19" t="str">
        <f>IF(Calculations[[#This Row],[Πηγή εκπομπών]]="Electricity consumed in office buildings and projects - market based",Calculations[[#This Row],[t CO2]],"")</f>
        <v/>
      </c>
      <c r="X16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0.78910027560000007</v>
      </c>
    </row>
    <row r="164" spans="1:24" s="14" customFormat="1" ht="15" hidden="1" thickTop="1">
      <c r="A164" s="15" t="s">
        <v>0</v>
      </c>
      <c r="B164" s="15" t="s">
        <v>0</v>
      </c>
      <c r="C164" s="16" t="s">
        <v>327</v>
      </c>
      <c r="D164" s="77" t="s">
        <v>894</v>
      </c>
      <c r="E164" s="77" t="s">
        <v>1187</v>
      </c>
      <c r="F164" s="77" t="s">
        <v>317</v>
      </c>
      <c r="G164" s="15" t="s">
        <v>78</v>
      </c>
      <c r="H164" s="15" t="s">
        <v>79</v>
      </c>
      <c r="I164" s="17" t="s">
        <v>90</v>
      </c>
      <c r="J164" s="79">
        <v>77562</v>
      </c>
      <c r="K164" s="18" t="s">
        <v>7</v>
      </c>
      <c r="L164" s="16" t="s">
        <v>245</v>
      </c>
      <c r="M164" s="148" t="s">
        <v>1232</v>
      </c>
      <c r="N164" s="19" t="str">
        <f>_xlfn.XLOOKUP(Calculations[[#This Row],[For XLOOKUP]],Factors[For XLOOKUP],Factors[Factor],"")</f>
        <v>Σ.Ε. N2O st.</v>
      </c>
      <c r="O164" s="19">
        <f>_xlfn.XLOOKUP(Calculations[[#This Row],[For XLOOKUP]],Factors[For XLOOKUP],Factors[Value],"")</f>
        <v>2.1800999999999998E-8</v>
      </c>
      <c r="P164" s="19" t="str">
        <f>_xlfn.XLOOKUP(Calculations[[#This Row],[For XLOOKUP]],Factors[For XLOOKUP],Factors[Units],"")</f>
        <v>tn N2O/lt</v>
      </c>
      <c r="Q164" s="19" t="str">
        <f>_xlfn.XLOOKUP(Calculations[[#This Row],[For XLOOKUP]],Factors[For XLOOKUP],Factors[Source],"")</f>
        <v>Cyprus. National Inventory Report (NIR) 2024</v>
      </c>
      <c r="R16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4" s="19" t="str">
        <f>IF(LEFT(Calculations[[#This Row],[Emission Factor]],7)="Σ.Ε. CH",Calculations[[#This Row],[Value]]*Calculations[[#This Row],[Τιμή]],"-")</f>
        <v>-</v>
      </c>
      <c r="T164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1.6909291619999999E-3</v>
      </c>
      <c r="U164" s="19" t="str">
        <f>IF(LEFT(Calculations[[#This Row],[Emission Factor]],3)="GWP",Calculations[[#This Row],[Τιμή]],"-")</f>
        <v>-</v>
      </c>
      <c r="V164" s="19" t="str">
        <f>IF(OR(Calculations[[#This Row],[Emission Factor]]="Σ.Ε. CO₂ eq",Calculations[[#This Row],[Emission Factor]]="CO₂ eq"),Calculations[[#This Row],[Value]]*Calculations[[#This Row],[Τιμή]],"-")</f>
        <v>-</v>
      </c>
      <c r="W164" s="19" t="str">
        <f>IF(Calculations[[#This Row],[Πηγή εκπομπών]]="Electricity consumed in office buildings and projects - market based",Calculations[[#This Row],[t CO2]],"")</f>
        <v/>
      </c>
      <c r="X16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0.44809622792999998</v>
      </c>
    </row>
    <row r="165" spans="1:24" s="14" customFormat="1" ht="15" hidden="1" thickTop="1">
      <c r="A165" s="15" t="s">
        <v>0</v>
      </c>
      <c r="B165" s="15" t="s">
        <v>0</v>
      </c>
      <c r="C165" s="16" t="s">
        <v>624</v>
      </c>
      <c r="D165" s="77" t="s">
        <v>895</v>
      </c>
      <c r="E165" s="77" t="s">
        <v>1179</v>
      </c>
      <c r="F165" s="77" t="s">
        <v>318</v>
      </c>
      <c r="G165" s="15" t="s">
        <v>78</v>
      </c>
      <c r="H165" s="15" t="s">
        <v>79</v>
      </c>
      <c r="I165" s="17" t="s">
        <v>90</v>
      </c>
      <c r="J165" s="78">
        <v>18000</v>
      </c>
      <c r="K165" s="18" t="s">
        <v>7</v>
      </c>
      <c r="L165" s="16" t="s">
        <v>245</v>
      </c>
      <c r="M165" s="148" t="s">
        <v>210</v>
      </c>
      <c r="N165" s="19" t="str">
        <f>_xlfn.XLOOKUP(Calculations[[#This Row],[For XLOOKUP]],Factors[For XLOOKUP],Factors[Factor],"")</f>
        <v>Σ.Ε. CO₂ st.</v>
      </c>
      <c r="O165" s="19">
        <f>_xlfn.XLOOKUP(Calculations[[#This Row],[For XLOOKUP]],Factors[For XLOOKUP],Factors[Value],"")</f>
        <v>2.6288551800000004E-3</v>
      </c>
      <c r="P165" s="19" t="str">
        <f>_xlfn.XLOOKUP(Calculations[[#This Row],[For XLOOKUP]],Factors[For XLOOKUP],Factors[Units],"")</f>
        <v>tn CO2/lt</v>
      </c>
      <c r="Q165" s="19" t="str">
        <f>_xlfn.XLOOKUP(Calculations[[#This Row],[For XLOOKUP]],Factors[For XLOOKUP],Factors[Source],"")</f>
        <v>Greece. National Inventory Submissions 2024</v>
      </c>
      <c r="R16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47.319393240000011</v>
      </c>
      <c r="S165" s="19" t="str">
        <f>IF(LEFT(Calculations[[#This Row],[Emission Factor]],7)="Σ.Ε. CH",Calculations[[#This Row],[Value]]*Calculations[[#This Row],[Τιμή]],"-")</f>
        <v>-</v>
      </c>
      <c r="T16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5" s="19" t="str">
        <f>IF(LEFT(Calculations[[#This Row],[Emission Factor]],3)="GWP",Calculations[[#This Row],[Τιμή]],"-")</f>
        <v>-</v>
      </c>
      <c r="V165" s="19" t="str">
        <f>IF(OR(Calculations[[#This Row],[Emission Factor]]="Σ.Ε. CO₂ eq",Calculations[[#This Row],[Emission Factor]]="CO₂ eq"),Calculations[[#This Row],[Value]]*Calculations[[#This Row],[Τιμή]],"-")</f>
        <v>-</v>
      </c>
      <c r="W165" s="19" t="str">
        <f>IF(Calculations[[#This Row],[Πηγή εκπομπών]]="Electricity consumed in office buildings and projects - market based",Calculations[[#This Row],[t CO2]],"")</f>
        <v/>
      </c>
      <c r="X16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47.319393240000011</v>
      </c>
    </row>
    <row r="166" spans="1:24" s="14" customFormat="1" ht="15" hidden="1" thickTop="1">
      <c r="A166" s="15" t="s">
        <v>0</v>
      </c>
      <c r="B166" s="15" t="s">
        <v>0</v>
      </c>
      <c r="C166" s="16" t="s">
        <v>624</v>
      </c>
      <c r="D166" s="77" t="s">
        <v>895</v>
      </c>
      <c r="E166" s="77" t="s">
        <v>1179</v>
      </c>
      <c r="F166" s="77" t="s">
        <v>318</v>
      </c>
      <c r="G166" s="15" t="s">
        <v>78</v>
      </c>
      <c r="H166" s="15" t="s">
        <v>79</v>
      </c>
      <c r="I166" s="17" t="s">
        <v>90</v>
      </c>
      <c r="J166" s="79" cm="1">
        <f t="array" ref="J166">_xlfn.XLOOKUP(1,(Calculations[Πληροφορίες]=Calculations[[#This Row],[Πληροφορίες]])*(Calculations[Εταιρεία]=F166),Calculations[Τιμή])</f>
        <v>18000</v>
      </c>
      <c r="K166" s="18" t="s">
        <v>7</v>
      </c>
      <c r="L166" s="16" t="s">
        <v>245</v>
      </c>
      <c r="M166" s="148" t="s">
        <v>329</v>
      </c>
      <c r="N166" s="19" t="str">
        <f>_xlfn.XLOOKUP(Calculations[[#This Row],[For XLOOKUP]],Factors[For XLOOKUP],Factors[Factor],"")</f>
        <v>Σ.Ε. CH₄ st.</v>
      </c>
      <c r="O166" s="19">
        <f>_xlfn.XLOOKUP(Calculations[[#This Row],[For XLOOKUP]],Factors[For XLOOKUP],Factors[Value],"")</f>
        <v>2.6069673432920342E-8</v>
      </c>
      <c r="P166" s="19" t="str">
        <f>_xlfn.XLOOKUP(Calculations[[#This Row],[For XLOOKUP]],Factors[For XLOOKUP],Factors[Units],"")</f>
        <v>tn CH4/lt</v>
      </c>
      <c r="Q166" s="19" t="str">
        <f>_xlfn.XLOOKUP(Calculations[[#This Row],[For XLOOKUP]],Factors[For XLOOKUP],Factors[Source],"")</f>
        <v>Greece. National Inventory Submissions 2024</v>
      </c>
      <c r="R16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6" s="19">
        <f>IF(LEFT(Calculations[[#This Row],[Emission Factor]],7)="Σ.Ε. CH",Calculations[[#This Row],[Value]]*Calculations[[#This Row],[Τιμή]],"-")</f>
        <v>4.6925412179256616E-4</v>
      </c>
      <c r="T16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6" s="19" t="str">
        <f>IF(LEFT(Calculations[[#This Row],[Emission Factor]],3)="GWP",Calculations[[#This Row],[Τιμή]],"-")</f>
        <v>-</v>
      </c>
      <c r="V166" s="19" t="str">
        <f>IF(OR(Calculations[[#This Row],[Emission Factor]]="Σ.Ε. CO₂ eq",Calculations[[#This Row],[Emission Factor]]="CO₂ eq"),Calculations[[#This Row],[Value]]*Calculations[[#This Row],[Τιμή]],"-")</f>
        <v>-</v>
      </c>
      <c r="W166" s="19" t="str">
        <f>IF(Calculations[[#This Row],[Πηγή εκπομπών]]="Electricity consumed in office buildings and projects - market based",Calculations[[#This Row],[t CO2]],"")</f>
        <v/>
      </c>
      <c r="X16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1.3139115410191853E-2</v>
      </c>
    </row>
    <row r="167" spans="1:24" s="14" customFormat="1" ht="15" hidden="1" thickTop="1">
      <c r="A167" s="15" t="s">
        <v>0</v>
      </c>
      <c r="B167" s="15" t="s">
        <v>0</v>
      </c>
      <c r="C167" s="16" t="s">
        <v>624</v>
      </c>
      <c r="D167" s="16" t="s">
        <v>895</v>
      </c>
      <c r="E167" s="16" t="s">
        <v>1179</v>
      </c>
      <c r="F167" s="77" t="s">
        <v>318</v>
      </c>
      <c r="G167" s="15" t="s">
        <v>78</v>
      </c>
      <c r="H167" s="15" t="s">
        <v>79</v>
      </c>
      <c r="I167" s="17" t="s">
        <v>90</v>
      </c>
      <c r="J167" s="79" cm="1">
        <f t="array" ref="J167">_xlfn.XLOOKUP(1,(Calculations[Πληροφορίες]=Calculations[[#This Row],[Πληροφορίες]])*(Calculations[Εταιρεία]=F167),Calculations[Τιμή])</f>
        <v>18000</v>
      </c>
      <c r="K167" s="18" t="s">
        <v>7</v>
      </c>
      <c r="L167" s="16" t="s">
        <v>245</v>
      </c>
      <c r="M167" s="148" t="s">
        <v>211</v>
      </c>
      <c r="N167" s="19" t="str">
        <f>_xlfn.XLOOKUP(Calculations[[#This Row],[For XLOOKUP]],Factors[For XLOOKUP],Factors[Factor],"")</f>
        <v>Σ.Ε. N2O st.</v>
      </c>
      <c r="O167" s="19">
        <f>_xlfn.XLOOKUP(Calculations[[#This Row],[For XLOOKUP]],Factors[For XLOOKUP],Factors[Value],"")</f>
        <v>6.7698900000000009E-9</v>
      </c>
      <c r="P167" s="19" t="str">
        <f>_xlfn.XLOOKUP(Calculations[[#This Row],[For XLOOKUP]],Factors[For XLOOKUP],Factors[Units],"")</f>
        <v>tn N2O/lt</v>
      </c>
      <c r="Q167" s="19" t="str">
        <f>_xlfn.XLOOKUP(Calculations[[#This Row],[For XLOOKUP]],Factors[For XLOOKUP],Factors[Source],"")</f>
        <v>Greece. National Inventory Submissions 2024</v>
      </c>
      <c r="R16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7" s="19" t="str">
        <f>IF(LEFT(Calculations[[#This Row],[Emission Factor]],7)="Σ.Ε. CH",Calculations[[#This Row],[Value]]*Calculations[[#This Row],[Τιμή]],"-")</f>
        <v>-</v>
      </c>
      <c r="T167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1.2185802000000001E-4</v>
      </c>
      <c r="U167" s="19" t="str">
        <f>IF(LEFT(Calculations[[#This Row],[Emission Factor]],3)="GWP",Calculations[[#This Row],[Τιμή]],"-")</f>
        <v>-</v>
      </c>
      <c r="V167" s="19" t="str">
        <f>IF(OR(Calculations[[#This Row],[Emission Factor]]="Σ.Ε. CO₂ eq",Calculations[[#This Row],[Emission Factor]]="CO₂ eq"),Calculations[[#This Row],[Value]]*Calculations[[#This Row],[Τιμή]],"-")</f>
        <v>-</v>
      </c>
      <c r="W167" s="19" t="str">
        <f>IF(Calculations[[#This Row],[Πηγή εκπομπών]]="Electricity consumed in office buildings and projects - market based",Calculations[[#This Row],[t CO2]],"")</f>
        <v/>
      </c>
      <c r="X16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3.2292375300000002E-2</v>
      </c>
    </row>
    <row r="168" spans="1:24" s="14" customFormat="1" ht="15" hidden="1" thickTop="1">
      <c r="A168" s="15" t="s">
        <v>0</v>
      </c>
      <c r="B168" s="15" t="s">
        <v>0</v>
      </c>
      <c r="C168" s="16" t="s">
        <v>624</v>
      </c>
      <c r="D168" s="16" t="s">
        <v>895</v>
      </c>
      <c r="E168" s="16" t="s">
        <v>1141</v>
      </c>
      <c r="F168" s="77" t="s">
        <v>312</v>
      </c>
      <c r="G168" s="15" t="s">
        <v>78</v>
      </c>
      <c r="H168" s="15" t="s">
        <v>79</v>
      </c>
      <c r="I168" s="17" t="s">
        <v>90</v>
      </c>
      <c r="J168" s="78">
        <v>50835</v>
      </c>
      <c r="K168" s="18" t="s">
        <v>7</v>
      </c>
      <c r="L168" s="16" t="s">
        <v>245</v>
      </c>
      <c r="M168" s="148" t="s">
        <v>210</v>
      </c>
      <c r="N168" s="19" t="str">
        <f>_xlfn.XLOOKUP(Calculations[[#This Row],[For XLOOKUP]],Factors[For XLOOKUP],Factors[Factor],"")</f>
        <v>Σ.Ε. CO₂ st.</v>
      </c>
      <c r="O168" s="19">
        <f>_xlfn.XLOOKUP(Calculations[[#This Row],[For XLOOKUP]],Factors[For XLOOKUP],Factors[Value],"")</f>
        <v>2.6288551800000004E-3</v>
      </c>
      <c r="P168" s="19" t="str">
        <f>_xlfn.XLOOKUP(Calculations[[#This Row],[For XLOOKUP]],Factors[For XLOOKUP],Factors[Units],"")</f>
        <v>tn CO2/lt</v>
      </c>
      <c r="Q168" s="19" t="str">
        <f>_xlfn.XLOOKUP(Calculations[[#This Row],[For XLOOKUP]],Factors[For XLOOKUP],Factors[Source],"")</f>
        <v>Greece. National Inventory Submissions 2024</v>
      </c>
      <c r="R168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133.63785307530003</v>
      </c>
      <c r="S168" s="19" t="str">
        <f>IF(LEFT(Calculations[[#This Row],[Emission Factor]],7)="Σ.Ε. CH",Calculations[[#This Row],[Value]]*Calculations[[#This Row],[Τιμή]],"-")</f>
        <v>-</v>
      </c>
      <c r="T16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8" s="19" t="str">
        <f>IF(LEFT(Calculations[[#This Row],[Emission Factor]],3)="GWP",Calculations[[#This Row],[Τιμή]],"-")</f>
        <v>-</v>
      </c>
      <c r="V168" s="19" t="str">
        <f>IF(OR(Calculations[[#This Row],[Emission Factor]]="Σ.Ε. CO₂ eq",Calculations[[#This Row],[Emission Factor]]="CO₂ eq"),Calculations[[#This Row],[Value]]*Calculations[[#This Row],[Τιμή]],"-")</f>
        <v>-</v>
      </c>
      <c r="W168" s="19" t="str">
        <f>IF(Calculations[[#This Row],[Πηγή εκπομπών]]="Electricity consumed in office buildings and projects - market based",Calculations[[#This Row],[t CO2]],"")</f>
        <v/>
      </c>
      <c r="X16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133.63785307530003</v>
      </c>
    </row>
    <row r="169" spans="1:24" s="14" customFormat="1" ht="15" hidden="1" thickTop="1">
      <c r="A169" s="15" t="s">
        <v>0</v>
      </c>
      <c r="B169" s="15" t="s">
        <v>0</v>
      </c>
      <c r="C169" s="16" t="s">
        <v>624</v>
      </c>
      <c r="D169" s="16" t="s">
        <v>895</v>
      </c>
      <c r="E169" s="16" t="s">
        <v>1141</v>
      </c>
      <c r="F169" s="77" t="s">
        <v>312</v>
      </c>
      <c r="G169" s="15" t="s">
        <v>78</v>
      </c>
      <c r="H169" s="15" t="s">
        <v>79</v>
      </c>
      <c r="I169" s="17" t="s">
        <v>90</v>
      </c>
      <c r="J169" s="79" cm="1">
        <f t="array" ref="J169">_xlfn.XLOOKUP(1,(Calculations[Πληροφορίες]=Calculations[[#This Row],[Πληροφορίες]])*(Calculations[Εταιρεία]=F169),Calculations[Τιμή])</f>
        <v>50835</v>
      </c>
      <c r="K169" s="18" t="s">
        <v>7</v>
      </c>
      <c r="L169" s="16" t="s">
        <v>245</v>
      </c>
      <c r="M169" s="148" t="s">
        <v>329</v>
      </c>
      <c r="N169" s="19" t="str">
        <f>_xlfn.XLOOKUP(Calculations[[#This Row],[For XLOOKUP]],Factors[For XLOOKUP],Factors[Factor],"")</f>
        <v>Σ.Ε. CH₄ st.</v>
      </c>
      <c r="O169" s="19">
        <f>_xlfn.XLOOKUP(Calculations[[#This Row],[For XLOOKUP]],Factors[For XLOOKUP],Factors[Value],"")</f>
        <v>2.6069673432920342E-8</v>
      </c>
      <c r="P169" s="19" t="str">
        <f>_xlfn.XLOOKUP(Calculations[[#This Row],[For XLOOKUP]],Factors[For XLOOKUP],Factors[Units],"")</f>
        <v>tn CH4/lt</v>
      </c>
      <c r="Q169" s="19" t="str">
        <f>_xlfn.XLOOKUP(Calculations[[#This Row],[For XLOOKUP]],Factors[For XLOOKUP],Factors[Source],"")</f>
        <v>Greece. National Inventory Submissions 2024</v>
      </c>
      <c r="R16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9" s="19">
        <f>IF(LEFT(Calculations[[#This Row],[Emission Factor]],7)="Σ.Ε. CH",Calculations[[#This Row],[Value]]*Calculations[[#This Row],[Τιμή]],"-")</f>
        <v>1.3252518489625055E-3</v>
      </c>
      <c r="T16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9" s="19" t="str">
        <f>IF(LEFT(Calculations[[#This Row],[Emission Factor]],3)="GWP",Calculations[[#This Row],[Τιμή]],"-")</f>
        <v>-</v>
      </c>
      <c r="V169" s="19" t="str">
        <f>IF(OR(Calculations[[#This Row],[Emission Factor]]="Σ.Ε. CO₂ eq",Calculations[[#This Row],[Emission Factor]]="CO₂ eq"),Calculations[[#This Row],[Value]]*Calculations[[#This Row],[Τιμή]],"-")</f>
        <v>-</v>
      </c>
      <c r="W169" s="19" t="str">
        <f>IF(Calculations[[#This Row],[Πηγή εκπομπών]]="Electricity consumed in office buildings and projects - market based",Calculations[[#This Row],[t CO2]],"")</f>
        <v/>
      </c>
      <c r="X16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3.7107051770950153E-2</v>
      </c>
    </row>
    <row r="170" spans="1:24" s="14" customFormat="1" ht="15" hidden="1" thickTop="1">
      <c r="A170" s="15" t="s">
        <v>0</v>
      </c>
      <c r="B170" s="15" t="s">
        <v>0</v>
      </c>
      <c r="C170" s="16" t="s">
        <v>624</v>
      </c>
      <c r="D170" s="77" t="s">
        <v>895</v>
      </c>
      <c r="E170" s="16" t="s">
        <v>1141</v>
      </c>
      <c r="F170" s="77" t="s">
        <v>312</v>
      </c>
      <c r="G170" s="15" t="s">
        <v>78</v>
      </c>
      <c r="H170" s="15" t="s">
        <v>79</v>
      </c>
      <c r="I170" s="17" t="s">
        <v>90</v>
      </c>
      <c r="J170" s="79" cm="1">
        <f t="array" ref="J170">_xlfn.XLOOKUP(1,(Calculations[Πληροφορίες]=Calculations[[#This Row],[Πληροφορίες]])*(Calculations[Εταιρεία]=F170),Calculations[Τιμή])</f>
        <v>50835</v>
      </c>
      <c r="K170" s="18" t="s">
        <v>7</v>
      </c>
      <c r="L170" s="16" t="s">
        <v>245</v>
      </c>
      <c r="M170" s="148" t="s">
        <v>211</v>
      </c>
      <c r="N170" s="19" t="str">
        <f>_xlfn.XLOOKUP(Calculations[[#This Row],[For XLOOKUP]],Factors[For XLOOKUP],Factors[Factor],"")</f>
        <v>Σ.Ε. N2O st.</v>
      </c>
      <c r="O170" s="19">
        <f>_xlfn.XLOOKUP(Calculations[[#This Row],[For XLOOKUP]],Factors[For XLOOKUP],Factors[Value],"")</f>
        <v>6.7698900000000009E-9</v>
      </c>
      <c r="P170" s="19" t="str">
        <f>_xlfn.XLOOKUP(Calculations[[#This Row],[For XLOOKUP]],Factors[For XLOOKUP],Factors[Units],"")</f>
        <v>tn N2O/lt</v>
      </c>
      <c r="Q170" s="19" t="str">
        <f>_xlfn.XLOOKUP(Calculations[[#This Row],[For XLOOKUP]],Factors[For XLOOKUP],Factors[Source],"")</f>
        <v>Greece. National Inventory Submissions 2024</v>
      </c>
      <c r="R17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0" s="19" t="str">
        <f>IF(LEFT(Calculations[[#This Row],[Emission Factor]],7)="Σ.Ε. CH",Calculations[[#This Row],[Value]]*Calculations[[#This Row],[Τιμή]],"-")</f>
        <v>-</v>
      </c>
      <c r="T170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3.4414735815000005E-4</v>
      </c>
      <c r="U170" s="19" t="str">
        <f>IF(LEFT(Calculations[[#This Row],[Emission Factor]],3)="GWP",Calculations[[#This Row],[Τιμή]],"-")</f>
        <v>-</v>
      </c>
      <c r="V170" s="19" t="str">
        <f>IF(OR(Calculations[[#This Row],[Emission Factor]]="Σ.Ε. CO₂ eq",Calculations[[#This Row],[Emission Factor]]="CO₂ eq"),Calculations[[#This Row],[Value]]*Calculations[[#This Row],[Τιμή]],"-")</f>
        <v>-</v>
      </c>
      <c r="W170" s="19" t="str">
        <f>IF(Calculations[[#This Row],[Πηγή εκπομπών]]="Electricity consumed in office buildings and projects - market based",Calculations[[#This Row],[t CO2]],"")</f>
        <v/>
      </c>
      <c r="X17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9.1199049909750016E-2</v>
      </c>
    </row>
    <row r="171" spans="1:24" s="14" customFormat="1" ht="15" hidden="1" thickTop="1">
      <c r="A171" s="15" t="s">
        <v>0</v>
      </c>
      <c r="B171" s="15" t="s">
        <v>0</v>
      </c>
      <c r="C171" s="16" t="s">
        <v>624</v>
      </c>
      <c r="D171" s="77" t="s">
        <v>1144</v>
      </c>
      <c r="E171" s="16" t="s">
        <v>1146</v>
      </c>
      <c r="F171" s="77" t="s">
        <v>647</v>
      </c>
      <c r="G171" s="15" t="s">
        <v>78</v>
      </c>
      <c r="H171" s="15" t="s">
        <v>91</v>
      </c>
      <c r="I171" s="17" t="s">
        <v>89</v>
      </c>
      <c r="J171" s="51">
        <v>54131.141959488697</v>
      </c>
      <c r="K171" s="18" t="s">
        <v>51</v>
      </c>
      <c r="L171" s="16" t="s">
        <v>71</v>
      </c>
      <c r="M171" s="148" t="s">
        <v>275</v>
      </c>
      <c r="N171" s="19" t="str">
        <f>_xlfn.XLOOKUP(Calculations[[#This Row],[For XLOOKUP]],Factors[For XLOOKUP],Factors[Factor],"")</f>
        <v>Σ.Ε. CO₂ st.</v>
      </c>
      <c r="O171" s="19">
        <f>_xlfn.XLOOKUP(Calculations[[#This Row],[For XLOOKUP]],Factors[For XLOOKUP],Factors[Value],"")</f>
        <v>2.0043000000000055E-4</v>
      </c>
      <c r="P171" s="19" t="str">
        <f>_xlfn.XLOOKUP(Calculations[[#This Row],[For XLOOKUP]],Factors[For XLOOKUP],Factors[Units],"")</f>
        <v>tn CO2/KWh</v>
      </c>
      <c r="Q171" s="19" t="str">
        <f>_xlfn.XLOOKUP(Calculations[[#This Row],[For XLOOKUP]],Factors[For XLOOKUP],Factors[Source],"")</f>
        <v>Greece. National Inventory Submissions 2024</v>
      </c>
      <c r="R171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10.849504782940349</v>
      </c>
      <c r="S171" s="19" t="str">
        <f>IF(LEFT(Calculations[[#This Row],[Emission Factor]],7)="Σ.Ε. CH",Calculations[[#This Row],[Value]]*Calculations[[#This Row],[Τιμή]],"-")</f>
        <v>-</v>
      </c>
      <c r="T17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1" s="19" t="str">
        <f>IF(LEFT(Calculations[[#This Row],[Emission Factor]],3)="GWP",Calculations[[#This Row],[Τιμή]],"-")</f>
        <v>-</v>
      </c>
      <c r="V171" s="19" t="str">
        <f>IF(OR(Calculations[[#This Row],[Emission Factor]]="Σ.Ε. CO₂ eq",Calculations[[#This Row],[Emission Factor]]="CO₂ eq"),Calculations[[#This Row],[Value]]*Calculations[[#This Row],[Τιμή]],"-")</f>
        <v>-</v>
      </c>
      <c r="W171" s="19" t="str">
        <f>IF(Calculations[[#This Row],[Πηγή εκπομπών]]="Electricity consumed in office buildings and projects - market based",Calculations[[#This Row],[t CO2]],"")</f>
        <v/>
      </c>
      <c r="X17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10.849504782940349</v>
      </c>
    </row>
    <row r="172" spans="1:24" s="14" customFormat="1" ht="15" hidden="1" thickTop="1">
      <c r="A172" s="15" t="s">
        <v>0</v>
      </c>
      <c r="B172" s="15" t="s">
        <v>0</v>
      </c>
      <c r="C172" s="16" t="s">
        <v>624</v>
      </c>
      <c r="D172" s="77" t="s">
        <v>1144</v>
      </c>
      <c r="E172" s="16" t="s">
        <v>1146</v>
      </c>
      <c r="F172" s="77" t="s">
        <v>647</v>
      </c>
      <c r="G172" s="15" t="s">
        <v>78</v>
      </c>
      <c r="H172" s="15" t="s">
        <v>91</v>
      </c>
      <c r="I172" s="17" t="s">
        <v>89</v>
      </c>
      <c r="J172" s="79" cm="1">
        <f t="array" ref="J172">_xlfn.XLOOKUP(1,(Calculations[Πληροφορίες]=Calculations[[#This Row],[Πληροφορίες]])*(Calculations[Εταιρεία]=F172),Calculations[Τιμή])</f>
        <v>54131.141959488697</v>
      </c>
      <c r="K172" s="18" t="s">
        <v>51</v>
      </c>
      <c r="L172" s="16" t="s">
        <v>71</v>
      </c>
      <c r="M172" s="148" t="s">
        <v>276</v>
      </c>
      <c r="N172" s="19" t="str">
        <f>_xlfn.XLOOKUP(Calculations[[#This Row],[For XLOOKUP]],Factors[For XLOOKUP],Factors[Factor],"")</f>
        <v>Σ.Ε. CH₄ st.</v>
      </c>
      <c r="O172" s="19">
        <f>_xlfn.XLOOKUP(Calculations[[#This Row],[For XLOOKUP]],Factors[For XLOOKUP],Factors[Value],"")</f>
        <v>3.6000000000000103E-9</v>
      </c>
      <c r="P172" s="19" t="str">
        <f>_xlfn.XLOOKUP(Calculations[[#This Row],[For XLOOKUP]],Factors[For XLOOKUP],Factors[Units],"")</f>
        <v>tn CH4/KWh</v>
      </c>
      <c r="Q172" s="19" t="str">
        <f>_xlfn.XLOOKUP(Calculations[[#This Row],[For XLOOKUP]],Factors[For XLOOKUP],Factors[Source],"")</f>
        <v>Greece. National Inventory Submissions 2024</v>
      </c>
      <c r="R17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2" s="19">
        <f>IF(LEFT(Calculations[[#This Row],[Emission Factor]],7)="Σ.Ε. CH",Calculations[[#This Row],[Value]]*Calculations[[#This Row],[Τιμή]],"-")</f>
        <v>1.9487211105415986E-4</v>
      </c>
      <c r="T17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2" s="19" t="str">
        <f>IF(LEFT(Calculations[[#This Row],[Emission Factor]],3)="GWP",Calculations[[#This Row],[Τιμή]],"-")</f>
        <v>-</v>
      </c>
      <c r="V172" s="19" t="str">
        <f>IF(OR(Calculations[[#This Row],[Emission Factor]]="Σ.Ε. CO₂ eq",Calculations[[#This Row],[Emission Factor]]="CO₂ eq"),Calculations[[#This Row],[Value]]*Calculations[[#This Row],[Τιμή]],"-")</f>
        <v>-</v>
      </c>
      <c r="W172" s="19" t="str">
        <f>IF(Calculations[[#This Row],[Πηγή εκπομπών]]="Electricity consumed in office buildings and projects - market based",Calculations[[#This Row],[t CO2]],"")</f>
        <v/>
      </c>
      <c r="X17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5.4564191095164763E-3</v>
      </c>
    </row>
    <row r="173" spans="1:24" s="14" customFormat="1" ht="15" hidden="1" thickTop="1">
      <c r="A173" s="15" t="s">
        <v>0</v>
      </c>
      <c r="B173" s="15" t="s">
        <v>0</v>
      </c>
      <c r="C173" s="16" t="s">
        <v>624</v>
      </c>
      <c r="D173" s="16" t="s">
        <v>1144</v>
      </c>
      <c r="E173" s="77" t="s">
        <v>1146</v>
      </c>
      <c r="F173" s="16" t="s">
        <v>647</v>
      </c>
      <c r="G173" s="15" t="s">
        <v>78</v>
      </c>
      <c r="H173" s="15" t="s">
        <v>91</v>
      </c>
      <c r="I173" s="17" t="s">
        <v>89</v>
      </c>
      <c r="J173" s="79" cm="1">
        <f t="array" ref="J173">_xlfn.XLOOKUP(1,(Calculations[Πληροφορίες]=Calculations[[#This Row],[Πληροφορίες]])*(Calculations[Εταιρεία]=F173),Calculations[Τιμή])</f>
        <v>54131.141959488697</v>
      </c>
      <c r="K173" s="18" t="s">
        <v>51</v>
      </c>
      <c r="L173" s="16" t="s">
        <v>71</v>
      </c>
      <c r="M173" s="148" t="s">
        <v>277</v>
      </c>
      <c r="N173" s="19" t="str">
        <f>_xlfn.XLOOKUP(Calculations[[#This Row],[For XLOOKUP]],Factors[For XLOOKUP],Factors[Factor],"")</f>
        <v>Σ.Ε. N2O st.</v>
      </c>
      <c r="O173" s="19">
        <f>_xlfn.XLOOKUP(Calculations[[#This Row],[For XLOOKUP]],Factors[For XLOOKUP],Factors[Value],"")</f>
        <v>3.6000000000000103E-10</v>
      </c>
      <c r="P173" s="19" t="str">
        <f>_xlfn.XLOOKUP(Calculations[[#This Row],[For XLOOKUP]],Factors[For XLOOKUP],Factors[Units],"")</f>
        <v>tn N2O/kWh</v>
      </c>
      <c r="Q173" s="19" t="str">
        <f>_xlfn.XLOOKUP(Calculations[[#This Row],[For XLOOKUP]],Factors[For XLOOKUP],Factors[Source],"")</f>
        <v>Greece. National Inventory Submissions 2024</v>
      </c>
      <c r="R17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3" s="19" t="str">
        <f>IF(LEFT(Calculations[[#This Row],[Emission Factor]],7)="Σ.Ε. CH",Calculations[[#This Row],[Value]]*Calculations[[#This Row],[Τιμή]],"-")</f>
        <v>-</v>
      </c>
      <c r="T17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1.9487211105415987E-5</v>
      </c>
      <c r="U173" s="19" t="str">
        <f>IF(LEFT(Calculations[[#This Row],[Emission Factor]],3)="GWP",Calculations[[#This Row],[Τιμή]],"-")</f>
        <v>-</v>
      </c>
      <c r="V173" s="19" t="str">
        <f>IF(OR(Calculations[[#This Row],[Emission Factor]]="Σ.Ε. CO₂ eq",Calculations[[#This Row],[Emission Factor]]="CO₂ eq"),Calculations[[#This Row],[Value]]*Calculations[[#This Row],[Τιμή]],"-")</f>
        <v>-</v>
      </c>
      <c r="W173" s="19" t="str">
        <f>IF(Calculations[[#This Row],[Πηγή εκπομπών]]="Electricity consumed in office buildings and projects - market based",Calculations[[#This Row],[t CO2]],"")</f>
        <v/>
      </c>
      <c r="X17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5.1641109429352364E-3</v>
      </c>
    </row>
    <row r="174" spans="1:24" s="14" customFormat="1" ht="15" hidden="1" thickTop="1">
      <c r="A174" s="15" t="s">
        <v>0</v>
      </c>
      <c r="B174" s="15" t="s">
        <v>0</v>
      </c>
      <c r="C174" s="16" t="s">
        <v>624</v>
      </c>
      <c r="D174" s="77" t="s">
        <v>894</v>
      </c>
      <c r="E174" s="77"/>
      <c r="F174" s="11" t="s">
        <v>317</v>
      </c>
      <c r="G174" s="15" t="s">
        <v>78</v>
      </c>
      <c r="H174" s="15" t="s">
        <v>91</v>
      </c>
      <c r="I174" s="17" t="s">
        <v>89</v>
      </c>
      <c r="J174" s="51">
        <v>8115388.3399999999</v>
      </c>
      <c r="K174" s="18" t="s">
        <v>51</v>
      </c>
      <c r="L174" s="16" t="s">
        <v>71</v>
      </c>
      <c r="M174" s="148" t="s">
        <v>275</v>
      </c>
      <c r="N174" s="19" t="str">
        <f>_xlfn.XLOOKUP(Calculations[[#This Row],[For XLOOKUP]],Factors[For XLOOKUP],Factors[Factor],"")</f>
        <v>Σ.Ε. CO₂ st.</v>
      </c>
      <c r="O174" s="19">
        <f>_xlfn.XLOOKUP(Calculations[[#This Row],[For XLOOKUP]],Factors[For XLOOKUP],Factors[Value],"")</f>
        <v>2.0043000000000055E-4</v>
      </c>
      <c r="P174" s="19" t="str">
        <f>_xlfn.XLOOKUP(Calculations[[#This Row],[For XLOOKUP]],Factors[For XLOOKUP],Factors[Units],"")</f>
        <v>tn CO2/KWh</v>
      </c>
      <c r="Q174" s="19" t="str">
        <f>_xlfn.XLOOKUP(Calculations[[#This Row],[For XLOOKUP]],Factors[For XLOOKUP],Factors[Source],"")</f>
        <v>Greece. National Inventory Submissions 2024</v>
      </c>
      <c r="R174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1626.5672849862044</v>
      </c>
      <c r="S174" s="19" t="str">
        <f>IF(LEFT(Calculations[[#This Row],[Emission Factor]],7)="Σ.Ε. CH",Calculations[[#This Row],[Value]]*Calculations[[#This Row],[Τιμή]],"-")</f>
        <v>-</v>
      </c>
      <c r="T17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4" s="19" t="str">
        <f>IF(LEFT(Calculations[[#This Row],[Emission Factor]],3)="GWP",Calculations[[#This Row],[Τιμή]],"-")</f>
        <v>-</v>
      </c>
      <c r="V174" s="19" t="str">
        <f>IF(OR(Calculations[[#This Row],[Emission Factor]]="Σ.Ε. CO₂ eq",Calculations[[#This Row],[Emission Factor]]="CO₂ eq"),Calculations[[#This Row],[Value]]*Calculations[[#This Row],[Τιμή]],"-")</f>
        <v>-</v>
      </c>
      <c r="W174" s="19" t="str">
        <f>IF(Calculations[[#This Row],[Πηγή εκπομπών]]="Electricity consumed in office buildings and projects - market based",Calculations[[#This Row],[t CO2]],"")</f>
        <v/>
      </c>
      <c r="X17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1626.5672849862044</v>
      </c>
    </row>
    <row r="175" spans="1:24" s="14" customFormat="1" ht="15" hidden="1" thickTop="1">
      <c r="A175" s="15" t="s">
        <v>0</v>
      </c>
      <c r="B175" s="15" t="s">
        <v>0</v>
      </c>
      <c r="C175" s="16" t="s">
        <v>624</v>
      </c>
      <c r="D175" s="16" t="s">
        <v>894</v>
      </c>
      <c r="E175" s="16"/>
      <c r="F175" s="209" t="s">
        <v>317</v>
      </c>
      <c r="G175" s="15" t="s">
        <v>78</v>
      </c>
      <c r="H175" s="15" t="s">
        <v>91</v>
      </c>
      <c r="I175" s="17" t="s">
        <v>89</v>
      </c>
      <c r="J175" s="79" cm="1">
        <f t="array" ref="J175">_xlfn.XLOOKUP(1,(Calculations[Πληροφορίες]=Calculations[[#This Row],[Πληροφορίες]])*(Calculations[Εταιρεία]=F175),Calculations[Τιμή])</f>
        <v>8115388.3399999999</v>
      </c>
      <c r="K175" s="18" t="s">
        <v>51</v>
      </c>
      <c r="L175" s="16" t="s">
        <v>71</v>
      </c>
      <c r="M175" s="148" t="s">
        <v>276</v>
      </c>
      <c r="N175" s="19" t="str">
        <f>_xlfn.XLOOKUP(Calculations[[#This Row],[For XLOOKUP]],Factors[For XLOOKUP],Factors[Factor],"")</f>
        <v>Σ.Ε. CH₄ st.</v>
      </c>
      <c r="O175" s="19">
        <f>_xlfn.XLOOKUP(Calculations[[#This Row],[For XLOOKUP]],Factors[For XLOOKUP],Factors[Value],"")</f>
        <v>3.6000000000000103E-9</v>
      </c>
      <c r="P175" s="19" t="str">
        <f>_xlfn.XLOOKUP(Calculations[[#This Row],[For XLOOKUP]],Factors[For XLOOKUP],Factors[Units],"")</f>
        <v>tn CH4/KWh</v>
      </c>
      <c r="Q175" s="19" t="str">
        <f>_xlfn.XLOOKUP(Calculations[[#This Row],[For XLOOKUP]],Factors[For XLOOKUP],Factors[Source],"")</f>
        <v>Greece. National Inventory Submissions 2024</v>
      </c>
      <c r="R17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5" s="19">
        <f>IF(LEFT(Calculations[[#This Row],[Emission Factor]],7)="Σ.Ε. CH",Calculations[[#This Row],[Value]]*Calculations[[#This Row],[Τιμή]],"-")</f>
        <v>2.9215398024000083E-2</v>
      </c>
      <c r="T17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5" s="19" t="str">
        <f>IF(LEFT(Calculations[[#This Row],[Emission Factor]],3)="GWP",Calculations[[#This Row],[Τιμή]],"-")</f>
        <v>-</v>
      </c>
      <c r="V175" s="19" t="str">
        <f>IF(OR(Calculations[[#This Row],[Emission Factor]]="Σ.Ε. CO₂ eq",Calculations[[#This Row],[Emission Factor]]="CO₂ eq"),Calculations[[#This Row],[Value]]*Calculations[[#This Row],[Τιμή]],"-")</f>
        <v>-</v>
      </c>
      <c r="W175" s="19" t="str">
        <f>IF(Calculations[[#This Row],[Πηγή εκπομπών]]="Electricity consumed in office buildings and projects - market based",Calculations[[#This Row],[t CO2]],"")</f>
        <v/>
      </c>
      <c r="X17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0.81803114467200233</v>
      </c>
    </row>
    <row r="176" spans="1:24" s="14" customFormat="1" ht="15" hidden="1" thickTop="1">
      <c r="A176" s="15" t="s">
        <v>0</v>
      </c>
      <c r="B176" s="15" t="s">
        <v>0</v>
      </c>
      <c r="C176" s="16" t="s">
        <v>624</v>
      </c>
      <c r="D176" s="16" t="s">
        <v>894</v>
      </c>
      <c r="E176" s="77"/>
      <c r="F176" s="209" t="s">
        <v>317</v>
      </c>
      <c r="G176" s="15" t="s">
        <v>78</v>
      </c>
      <c r="H176" s="15" t="s">
        <v>91</v>
      </c>
      <c r="I176" s="17" t="s">
        <v>89</v>
      </c>
      <c r="J176" s="79" cm="1">
        <f t="array" ref="J176">_xlfn.XLOOKUP(1,(Calculations[Πληροφορίες]=Calculations[[#This Row],[Πληροφορίες]])*(Calculations[Εταιρεία]=F176),Calculations[Τιμή])</f>
        <v>8115388.3399999999</v>
      </c>
      <c r="K176" s="18" t="s">
        <v>51</v>
      </c>
      <c r="L176" s="16" t="s">
        <v>71</v>
      </c>
      <c r="M176" s="148" t="s">
        <v>277</v>
      </c>
      <c r="N176" s="19" t="str">
        <f>_xlfn.XLOOKUP(Calculations[[#This Row],[For XLOOKUP]],Factors[For XLOOKUP],Factors[Factor],"")</f>
        <v>Σ.Ε. N2O st.</v>
      </c>
      <c r="O176" s="19">
        <f>_xlfn.XLOOKUP(Calculations[[#This Row],[For XLOOKUP]],Factors[For XLOOKUP],Factors[Value],"")</f>
        <v>3.6000000000000103E-10</v>
      </c>
      <c r="P176" s="19" t="str">
        <f>_xlfn.XLOOKUP(Calculations[[#This Row],[For XLOOKUP]],Factors[For XLOOKUP],Factors[Units],"")</f>
        <v>tn N2O/kWh</v>
      </c>
      <c r="Q176" s="19" t="str">
        <f>_xlfn.XLOOKUP(Calculations[[#This Row],[For XLOOKUP]],Factors[For XLOOKUP],Factors[Source],"")</f>
        <v>Greece. National Inventory Submissions 2024</v>
      </c>
      <c r="R17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6" s="19" t="str">
        <f>IF(LEFT(Calculations[[#This Row],[Emission Factor]],7)="Σ.Ε. CH",Calculations[[#This Row],[Value]]*Calculations[[#This Row],[Τιμή]],"-")</f>
        <v>-</v>
      </c>
      <c r="T176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2.9215398024000083E-3</v>
      </c>
      <c r="U176" s="19" t="str">
        <f>IF(LEFT(Calculations[[#This Row],[Emission Factor]],3)="GWP",Calculations[[#This Row],[Τιμή]],"-")</f>
        <v>-</v>
      </c>
      <c r="V176" s="19" t="str">
        <f>IF(OR(Calculations[[#This Row],[Emission Factor]]="Σ.Ε. CO₂ eq",Calculations[[#This Row],[Emission Factor]]="CO₂ eq"),Calculations[[#This Row],[Value]]*Calculations[[#This Row],[Τιμή]],"-")</f>
        <v>-</v>
      </c>
      <c r="W176" s="19" t="str">
        <f>IF(Calculations[[#This Row],[Πηγή εκπομπών]]="Electricity consumed in office buildings and projects - market based",Calculations[[#This Row],[t CO2]],"")</f>
        <v/>
      </c>
      <c r="X17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0.77420804763600226</v>
      </c>
    </row>
    <row r="177" spans="1:24" s="14" customFormat="1" ht="15" hidden="1" thickTop="1">
      <c r="A177" s="15" t="s">
        <v>0</v>
      </c>
      <c r="B177" s="15" t="s">
        <v>0</v>
      </c>
      <c r="C177" s="16" t="s">
        <v>624</v>
      </c>
      <c r="D177" s="77" t="s">
        <v>895</v>
      </c>
      <c r="E177" s="77" t="s">
        <v>1142</v>
      </c>
      <c r="F177" s="11" t="s">
        <v>312</v>
      </c>
      <c r="G177" s="15" t="s">
        <v>78</v>
      </c>
      <c r="H177" s="15" t="s">
        <v>91</v>
      </c>
      <c r="I177" s="17" t="s">
        <v>89</v>
      </c>
      <c r="J177" s="51">
        <v>1587.4700712480901</v>
      </c>
      <c r="K177" s="18" t="s">
        <v>51</v>
      </c>
      <c r="L177" s="16" t="s">
        <v>71</v>
      </c>
      <c r="M177" s="148" t="s">
        <v>275</v>
      </c>
      <c r="N177" s="19" t="str">
        <f>_xlfn.XLOOKUP(Calculations[[#This Row],[For XLOOKUP]],Factors[For XLOOKUP],Factors[Factor],"")</f>
        <v>Σ.Ε. CO₂ st.</v>
      </c>
      <c r="O177" s="19">
        <f>_xlfn.XLOOKUP(Calculations[[#This Row],[For XLOOKUP]],Factors[For XLOOKUP],Factors[Value],"")</f>
        <v>2.0043000000000055E-4</v>
      </c>
      <c r="P177" s="19" t="str">
        <f>_xlfn.XLOOKUP(Calculations[[#This Row],[For XLOOKUP]],Factors[For XLOOKUP],Factors[Units],"")</f>
        <v>tn CO2/KWh</v>
      </c>
      <c r="Q177" s="19" t="str">
        <f>_xlfn.XLOOKUP(Calculations[[#This Row],[For XLOOKUP]],Factors[For XLOOKUP],Factors[Source],"")</f>
        <v>Greece. National Inventory Submissions 2024</v>
      </c>
      <c r="R17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0.31817662638025557</v>
      </c>
      <c r="S177" s="19" t="str">
        <f>IF(LEFT(Calculations[[#This Row],[Emission Factor]],7)="Σ.Ε. CH",Calculations[[#This Row],[Value]]*Calculations[[#This Row],[Τιμή]],"-")</f>
        <v>-</v>
      </c>
      <c r="T17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7" s="19" t="str">
        <f>IF(LEFT(Calculations[[#This Row],[Emission Factor]],3)="GWP",Calculations[[#This Row],[Τιμή]],"-")</f>
        <v>-</v>
      </c>
      <c r="V177" s="19" t="str">
        <f>IF(OR(Calculations[[#This Row],[Emission Factor]]="Σ.Ε. CO₂ eq",Calculations[[#This Row],[Emission Factor]]="CO₂ eq"),Calculations[[#This Row],[Value]]*Calculations[[#This Row],[Τιμή]],"-")</f>
        <v>-</v>
      </c>
      <c r="W177" s="19" t="str">
        <f>IF(Calculations[[#This Row],[Πηγή εκπομπών]]="Electricity consumed in office buildings and projects - market based",Calculations[[#This Row],[t CO2]],"")</f>
        <v/>
      </c>
      <c r="X17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0.31817662638025557</v>
      </c>
    </row>
    <row r="178" spans="1:24" s="14" customFormat="1" ht="15" hidden="1" thickTop="1">
      <c r="A178" s="15" t="s">
        <v>0</v>
      </c>
      <c r="B178" s="15" t="s">
        <v>0</v>
      </c>
      <c r="C178" s="16" t="s">
        <v>624</v>
      </c>
      <c r="D178" s="77" t="s">
        <v>895</v>
      </c>
      <c r="E178" s="77" t="s">
        <v>1142</v>
      </c>
      <c r="F178" s="209" t="s">
        <v>312</v>
      </c>
      <c r="G178" s="15" t="s">
        <v>78</v>
      </c>
      <c r="H178" s="15" t="s">
        <v>91</v>
      </c>
      <c r="I178" s="17" t="s">
        <v>89</v>
      </c>
      <c r="J178" s="79" cm="1">
        <f t="array" ref="J178">_xlfn.XLOOKUP(1,(Calculations[Πληροφορίες]=Calculations[[#This Row],[Πληροφορίες]])*(Calculations[Εταιρεία]=F178),Calculations[Τιμή])</f>
        <v>1587.4700712480901</v>
      </c>
      <c r="K178" s="18" t="s">
        <v>51</v>
      </c>
      <c r="L178" s="16" t="s">
        <v>71</v>
      </c>
      <c r="M178" s="148" t="s">
        <v>276</v>
      </c>
      <c r="N178" s="19" t="str">
        <f>_xlfn.XLOOKUP(Calculations[[#This Row],[For XLOOKUP]],Factors[For XLOOKUP],Factors[Factor],"")</f>
        <v>Σ.Ε. CH₄ st.</v>
      </c>
      <c r="O178" s="19">
        <f>_xlfn.XLOOKUP(Calculations[[#This Row],[For XLOOKUP]],Factors[For XLOOKUP],Factors[Value],"")</f>
        <v>3.6000000000000103E-9</v>
      </c>
      <c r="P178" s="19" t="str">
        <f>_xlfn.XLOOKUP(Calculations[[#This Row],[For XLOOKUP]],Factors[For XLOOKUP],Factors[Units],"")</f>
        <v>tn CH4/KWh</v>
      </c>
      <c r="Q178" s="19" t="str">
        <f>_xlfn.XLOOKUP(Calculations[[#This Row],[For XLOOKUP]],Factors[For XLOOKUP],Factors[Source],"")</f>
        <v>Greece. National Inventory Submissions 2024</v>
      </c>
      <c r="R17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8" s="19">
        <f>IF(LEFT(Calculations[[#This Row],[Emission Factor]],7)="Σ.Ε. CH",Calculations[[#This Row],[Value]]*Calculations[[#This Row],[Τιμή]],"-")</f>
        <v>5.7148922564931409E-6</v>
      </c>
      <c r="T17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8" s="19" t="str">
        <f>IF(LEFT(Calculations[[#This Row],[Emission Factor]],3)="GWP",Calculations[[#This Row],[Τιμή]],"-")</f>
        <v>-</v>
      </c>
      <c r="V178" s="19" t="str">
        <f>IF(OR(Calculations[[#This Row],[Emission Factor]]="Σ.Ε. CO₂ eq",Calculations[[#This Row],[Emission Factor]]="CO₂ eq"),Calculations[[#This Row],[Value]]*Calculations[[#This Row],[Τιμή]],"-")</f>
        <v>-</v>
      </c>
      <c r="W178" s="19" t="str">
        <f>IF(Calculations[[#This Row],[Πηγή εκπομπών]]="Electricity consumed in office buildings and projects - market based",Calculations[[#This Row],[t CO2]],"")</f>
        <v/>
      </c>
      <c r="X17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1.6001698318180793E-4</v>
      </c>
    </row>
    <row r="179" spans="1:24" s="14" customFormat="1" ht="15" hidden="1" thickTop="1">
      <c r="A179" s="15" t="s">
        <v>0</v>
      </c>
      <c r="B179" s="15" t="s">
        <v>0</v>
      </c>
      <c r="C179" s="16" t="s">
        <v>624</v>
      </c>
      <c r="D179" s="77" t="s">
        <v>895</v>
      </c>
      <c r="E179" s="77" t="s">
        <v>1142</v>
      </c>
      <c r="F179" s="11" t="s">
        <v>312</v>
      </c>
      <c r="G179" s="15" t="s">
        <v>78</v>
      </c>
      <c r="H179" s="15" t="s">
        <v>91</v>
      </c>
      <c r="I179" s="17" t="s">
        <v>89</v>
      </c>
      <c r="J179" s="79" cm="1">
        <f t="array" ref="J179">_xlfn.XLOOKUP(1,(Calculations[Πληροφορίες]=Calculations[[#This Row],[Πληροφορίες]])*(Calculations[Εταιρεία]=F179),Calculations[Τιμή])</f>
        <v>1587.4700712480901</v>
      </c>
      <c r="K179" s="18" t="s">
        <v>51</v>
      </c>
      <c r="L179" s="16" t="s">
        <v>71</v>
      </c>
      <c r="M179" s="148" t="s">
        <v>277</v>
      </c>
      <c r="N179" s="19" t="str">
        <f>_xlfn.XLOOKUP(Calculations[[#This Row],[For XLOOKUP]],Factors[For XLOOKUP],Factors[Factor],"")</f>
        <v>Σ.Ε. N2O st.</v>
      </c>
      <c r="O179" s="19">
        <f>_xlfn.XLOOKUP(Calculations[[#This Row],[For XLOOKUP]],Factors[For XLOOKUP],Factors[Value],"")</f>
        <v>3.6000000000000103E-10</v>
      </c>
      <c r="P179" s="19" t="str">
        <f>_xlfn.XLOOKUP(Calculations[[#This Row],[For XLOOKUP]],Factors[For XLOOKUP],Factors[Units],"")</f>
        <v>tn N2O/kWh</v>
      </c>
      <c r="Q179" s="19" t="str">
        <f>_xlfn.XLOOKUP(Calculations[[#This Row],[For XLOOKUP]],Factors[For XLOOKUP],Factors[Source],"")</f>
        <v>Greece. National Inventory Submissions 2024</v>
      </c>
      <c r="R17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9" s="19" t="str">
        <f>IF(LEFT(Calculations[[#This Row],[Emission Factor]],7)="Σ.Ε. CH",Calculations[[#This Row],[Value]]*Calculations[[#This Row],[Τιμή]],"-")</f>
        <v>-</v>
      </c>
      <c r="T179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5.7148922564931411E-7</v>
      </c>
      <c r="U179" s="19" t="str">
        <f>IF(LEFT(Calculations[[#This Row],[Emission Factor]],3)="GWP",Calculations[[#This Row],[Τιμή]],"-")</f>
        <v>-</v>
      </c>
      <c r="V179" s="19" t="str">
        <f>IF(OR(Calculations[[#This Row],[Emission Factor]]="Σ.Ε. CO₂ eq",Calculations[[#This Row],[Emission Factor]]="CO₂ eq"),Calculations[[#This Row],[Value]]*Calculations[[#This Row],[Τιμή]],"-")</f>
        <v>-</v>
      </c>
      <c r="W179" s="19" t="str">
        <f>IF(Calculations[[#This Row],[Πηγή εκπομπών]]="Electricity consumed in office buildings and projects - market based",Calculations[[#This Row],[t CO2]],"")</f>
        <v/>
      </c>
      <c r="X17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1.5144464479706823E-4</v>
      </c>
    </row>
    <row r="180" spans="1:24" s="14" customFormat="1" ht="15" hidden="1" thickTop="1">
      <c r="A180" s="15" t="s">
        <v>0</v>
      </c>
      <c r="B180" s="15" t="s">
        <v>0</v>
      </c>
      <c r="C180" s="16" t="s">
        <v>624</v>
      </c>
      <c r="D180" s="77" t="s">
        <v>895</v>
      </c>
      <c r="E180" s="77" t="s">
        <v>1136</v>
      </c>
      <c r="F180" s="77" t="s">
        <v>319</v>
      </c>
      <c r="G180" s="15" t="s">
        <v>78</v>
      </c>
      <c r="H180" s="15" t="s">
        <v>91</v>
      </c>
      <c r="I180" s="17" t="s">
        <v>89</v>
      </c>
      <c r="J180" s="51">
        <v>16562.604410021799</v>
      </c>
      <c r="K180" s="18" t="s">
        <v>51</v>
      </c>
      <c r="L180" s="16" t="s">
        <v>71</v>
      </c>
      <c r="M180" s="148" t="s">
        <v>275</v>
      </c>
      <c r="N180" s="19" t="str">
        <f>_xlfn.XLOOKUP(Calculations[[#This Row],[For XLOOKUP]],Factors[For XLOOKUP],Factors[Factor],"")</f>
        <v>Σ.Ε. CO₂ st.</v>
      </c>
      <c r="O180" s="19">
        <f>_xlfn.XLOOKUP(Calculations[[#This Row],[For XLOOKUP]],Factors[For XLOOKUP],Factors[Value],"")</f>
        <v>2.0043000000000055E-4</v>
      </c>
      <c r="P180" s="19" t="str">
        <f>_xlfn.XLOOKUP(Calculations[[#This Row],[For XLOOKUP]],Factors[For XLOOKUP],Factors[Units],"")</f>
        <v>tn CO2/KWh</v>
      </c>
      <c r="Q180" s="19" t="str">
        <f>_xlfn.XLOOKUP(Calculations[[#This Row],[For XLOOKUP]],Factors[For XLOOKUP],Factors[Source],"")</f>
        <v>Greece. National Inventory Submissions 2024</v>
      </c>
      <c r="R180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3.3196428019006783</v>
      </c>
      <c r="S180" s="19" t="str">
        <f>IF(LEFT(Calculations[[#This Row],[Emission Factor]],7)="Σ.Ε. CH",Calculations[[#This Row],[Value]]*Calculations[[#This Row],[Τιμή]],"-")</f>
        <v>-</v>
      </c>
      <c r="T18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0" s="19" t="str">
        <f>IF(LEFT(Calculations[[#This Row],[Emission Factor]],3)="GWP",Calculations[[#This Row],[Τιμή]],"-")</f>
        <v>-</v>
      </c>
      <c r="V180" s="19" t="str">
        <f>IF(OR(Calculations[[#This Row],[Emission Factor]]="Σ.Ε. CO₂ eq",Calculations[[#This Row],[Emission Factor]]="CO₂ eq"),Calculations[[#This Row],[Value]]*Calculations[[#This Row],[Τιμή]],"-")</f>
        <v>-</v>
      </c>
      <c r="W180" s="19" t="str">
        <f>IF(Calculations[[#This Row],[Πηγή εκπομπών]]="Electricity consumed in office buildings and projects - market based",Calculations[[#This Row],[t CO2]],"")</f>
        <v/>
      </c>
      <c r="X18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3.3196428019006783</v>
      </c>
    </row>
    <row r="181" spans="1:24" s="14" customFormat="1" ht="15" hidden="1" thickTop="1">
      <c r="A181" s="15" t="s">
        <v>0</v>
      </c>
      <c r="B181" s="15" t="s">
        <v>0</v>
      </c>
      <c r="C181" s="16" t="s">
        <v>624</v>
      </c>
      <c r="D181" s="16" t="s">
        <v>895</v>
      </c>
      <c r="E181" s="77" t="s">
        <v>1136</v>
      </c>
      <c r="F181" s="16" t="s">
        <v>319</v>
      </c>
      <c r="G181" s="15" t="s">
        <v>78</v>
      </c>
      <c r="H181" s="15" t="s">
        <v>91</v>
      </c>
      <c r="I181" s="17" t="s">
        <v>89</v>
      </c>
      <c r="J181" s="79" cm="1">
        <f t="array" ref="J181">_xlfn.XLOOKUP(1,(Calculations[Πληροφορίες]=Calculations[[#This Row],[Πληροφορίες]])*(Calculations[Εταιρεία]=F181),Calculations[Τιμή])</f>
        <v>16562.604410021799</v>
      </c>
      <c r="K181" s="18" t="s">
        <v>51</v>
      </c>
      <c r="L181" s="16" t="s">
        <v>71</v>
      </c>
      <c r="M181" s="148" t="s">
        <v>276</v>
      </c>
      <c r="N181" s="19" t="str">
        <f>_xlfn.XLOOKUP(Calculations[[#This Row],[For XLOOKUP]],Factors[For XLOOKUP],Factors[Factor],"")</f>
        <v>Σ.Ε. CH₄ st.</v>
      </c>
      <c r="O181" s="19">
        <f>_xlfn.XLOOKUP(Calculations[[#This Row],[For XLOOKUP]],Factors[For XLOOKUP],Factors[Value],"")</f>
        <v>3.6000000000000103E-9</v>
      </c>
      <c r="P181" s="19" t="str">
        <f>_xlfn.XLOOKUP(Calculations[[#This Row],[For XLOOKUP]],Factors[For XLOOKUP],Factors[Units],"")</f>
        <v>tn CH4/KWh</v>
      </c>
      <c r="Q181" s="19" t="str">
        <f>_xlfn.XLOOKUP(Calculations[[#This Row],[For XLOOKUP]],Factors[For XLOOKUP],Factors[Source],"")</f>
        <v>Greece. National Inventory Submissions 2024</v>
      </c>
      <c r="R18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1" s="19">
        <f>IF(LEFT(Calculations[[#This Row],[Emission Factor]],7)="Σ.Ε. CH",Calculations[[#This Row],[Value]]*Calculations[[#This Row],[Τιμή]],"-")</f>
        <v>5.9625375876078647E-5</v>
      </c>
      <c r="T18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1" s="19" t="str">
        <f>IF(LEFT(Calculations[[#This Row],[Emission Factor]],3)="GWP",Calculations[[#This Row],[Τιμή]],"-")</f>
        <v>-</v>
      </c>
      <c r="V181" s="19" t="str">
        <f>IF(OR(Calculations[[#This Row],[Emission Factor]]="Σ.Ε. CO₂ eq",Calculations[[#This Row],[Emission Factor]]="CO₂ eq"),Calculations[[#This Row],[Value]]*Calculations[[#This Row],[Τιμή]],"-")</f>
        <v>-</v>
      </c>
      <c r="W181" s="19" t="str">
        <f>IF(Calculations[[#This Row],[Πηγή εκπομπών]]="Electricity consumed in office buildings and projects - market based",Calculations[[#This Row],[t CO2]],"")</f>
        <v/>
      </c>
      <c r="X18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1.6695105245302022E-3</v>
      </c>
    </row>
    <row r="182" spans="1:24" s="14" customFormat="1" ht="15" hidden="1" thickTop="1">
      <c r="A182" s="15" t="s">
        <v>0</v>
      </c>
      <c r="B182" s="15" t="s">
        <v>0</v>
      </c>
      <c r="C182" s="16" t="s">
        <v>624</v>
      </c>
      <c r="D182" s="16" t="s">
        <v>895</v>
      </c>
      <c r="E182" s="16" t="s">
        <v>1136</v>
      </c>
      <c r="F182" s="77" t="s">
        <v>319</v>
      </c>
      <c r="G182" s="15" t="s">
        <v>78</v>
      </c>
      <c r="H182" s="15" t="s">
        <v>91</v>
      </c>
      <c r="I182" s="17" t="s">
        <v>89</v>
      </c>
      <c r="J182" s="79" cm="1">
        <f t="array" ref="J182">_xlfn.XLOOKUP(1,(Calculations[Πληροφορίες]=Calculations[[#This Row],[Πληροφορίες]])*(Calculations[Εταιρεία]=F182),Calculations[Τιμή])</f>
        <v>16562.604410021799</v>
      </c>
      <c r="K182" s="18" t="s">
        <v>51</v>
      </c>
      <c r="L182" s="94" t="s">
        <v>71</v>
      </c>
      <c r="M182" s="148" t="s">
        <v>277</v>
      </c>
      <c r="N182" s="19" t="str">
        <f>_xlfn.XLOOKUP(Calculations[[#This Row],[For XLOOKUP]],Factors[For XLOOKUP],Factors[Factor],"")</f>
        <v>Σ.Ε. N2O st.</v>
      </c>
      <c r="O182" s="19">
        <f>_xlfn.XLOOKUP(Calculations[[#This Row],[For XLOOKUP]],Factors[For XLOOKUP],Factors[Value],"")</f>
        <v>3.6000000000000103E-10</v>
      </c>
      <c r="P182" s="19" t="str">
        <f>_xlfn.XLOOKUP(Calculations[[#This Row],[For XLOOKUP]],Factors[For XLOOKUP],Factors[Units],"")</f>
        <v>tn N2O/kWh</v>
      </c>
      <c r="Q182" s="19" t="str">
        <f>_xlfn.XLOOKUP(Calculations[[#This Row],[For XLOOKUP]],Factors[For XLOOKUP],Factors[Source],"")</f>
        <v>Greece. National Inventory Submissions 2024</v>
      </c>
      <c r="R18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2" s="19" t="str">
        <f>IF(LEFT(Calculations[[#This Row],[Emission Factor]],7)="Σ.Ε. CH",Calculations[[#This Row],[Value]]*Calculations[[#This Row],[Τιμή]],"-")</f>
        <v>-</v>
      </c>
      <c r="T182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5.9625375876078649E-6</v>
      </c>
      <c r="U182" s="19" t="str">
        <f>IF(LEFT(Calculations[[#This Row],[Emission Factor]],3)="GWP",Calculations[[#This Row],[Τιμή]],"-")</f>
        <v>-</v>
      </c>
      <c r="V182" s="19" t="str">
        <f>IF(OR(Calculations[[#This Row],[Emission Factor]]="Σ.Ε. CO₂ eq",Calculations[[#This Row],[Emission Factor]]="CO₂ eq"),Calculations[[#This Row],[Value]]*Calculations[[#This Row],[Τιμή]],"-")</f>
        <v>-</v>
      </c>
      <c r="W182" s="19" t="str">
        <f>IF(Calculations[[#This Row],[Πηγή εκπομπών]]="Electricity consumed in office buildings and projects - market based",Calculations[[#This Row],[t CO2]],"")</f>
        <v/>
      </c>
      <c r="X18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1.5800724607160843E-3</v>
      </c>
    </row>
    <row r="183" spans="1:24" s="14" customFormat="1" ht="15" hidden="1" thickTop="1">
      <c r="A183" s="15" t="s">
        <v>0</v>
      </c>
      <c r="B183" s="15" t="s">
        <v>0</v>
      </c>
      <c r="C183" s="16" t="s">
        <v>624</v>
      </c>
      <c r="D183" s="16" t="s">
        <v>897</v>
      </c>
      <c r="E183" s="16" t="s">
        <v>1150</v>
      </c>
      <c r="F183" s="16" t="s">
        <v>320</v>
      </c>
      <c r="G183" s="15" t="s">
        <v>78</v>
      </c>
      <c r="H183" s="15" t="s">
        <v>91</v>
      </c>
      <c r="I183" s="17" t="s">
        <v>89</v>
      </c>
      <c r="J183" s="51">
        <v>6111.7597743051501</v>
      </c>
      <c r="K183" s="18" t="s">
        <v>51</v>
      </c>
      <c r="L183" s="94" t="s">
        <v>71</v>
      </c>
      <c r="M183" s="148" t="s">
        <v>275</v>
      </c>
      <c r="N183" s="19" t="str">
        <f>_xlfn.XLOOKUP(Calculations[[#This Row],[For XLOOKUP]],Factors[For XLOOKUP],Factors[Factor],"")</f>
        <v>Σ.Ε. CO₂ st.</v>
      </c>
      <c r="O183" s="19">
        <f>_xlfn.XLOOKUP(Calculations[[#This Row],[For XLOOKUP]],Factors[For XLOOKUP],Factors[Value],"")</f>
        <v>2.0043000000000055E-4</v>
      </c>
      <c r="P183" s="19" t="str">
        <f>_xlfn.XLOOKUP(Calculations[[#This Row],[For XLOOKUP]],Factors[For XLOOKUP],Factors[Units],"")</f>
        <v>tn CO2/KWh</v>
      </c>
      <c r="Q183" s="19" t="str">
        <f>_xlfn.XLOOKUP(Calculations[[#This Row],[For XLOOKUP]],Factors[For XLOOKUP],Factors[Source],"")</f>
        <v>Greece. National Inventory Submissions 2024</v>
      </c>
      <c r="R183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1.2249800115639846</v>
      </c>
      <c r="S183" s="19" t="str">
        <f>IF(LEFT(Calculations[[#This Row],[Emission Factor]],7)="Σ.Ε. CH",Calculations[[#This Row],[Value]]*Calculations[[#This Row],[Τιμή]],"-")</f>
        <v>-</v>
      </c>
      <c r="T18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3" s="19" t="str">
        <f>IF(LEFT(Calculations[[#This Row],[Emission Factor]],3)="GWP",Calculations[[#This Row],[Τιμή]],"-")</f>
        <v>-</v>
      </c>
      <c r="V183" s="19" t="str">
        <f>IF(OR(Calculations[[#This Row],[Emission Factor]]="Σ.Ε. CO₂ eq",Calculations[[#This Row],[Emission Factor]]="CO₂ eq"),Calculations[[#This Row],[Value]]*Calculations[[#This Row],[Τιμή]],"-")</f>
        <v>-</v>
      </c>
      <c r="W183" s="19" t="str">
        <f>IF(Calculations[[#This Row],[Πηγή εκπομπών]]="Electricity consumed in office buildings and projects - market based",Calculations[[#This Row],[t CO2]],"")</f>
        <v/>
      </c>
      <c r="X18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1.2249800115639846</v>
      </c>
    </row>
    <row r="184" spans="1:24" s="14" customFormat="1" ht="15" hidden="1" thickTop="1">
      <c r="A184" s="15" t="s">
        <v>0</v>
      </c>
      <c r="B184" s="15" t="s">
        <v>0</v>
      </c>
      <c r="C184" s="16" t="s">
        <v>624</v>
      </c>
      <c r="D184" s="77" t="s">
        <v>897</v>
      </c>
      <c r="E184" s="16" t="s">
        <v>1150</v>
      </c>
      <c r="F184" s="77" t="s">
        <v>320</v>
      </c>
      <c r="G184" s="15" t="s">
        <v>78</v>
      </c>
      <c r="H184" s="15" t="s">
        <v>91</v>
      </c>
      <c r="I184" s="17" t="s">
        <v>89</v>
      </c>
      <c r="J184" s="79" cm="1">
        <f t="array" ref="J184">_xlfn.XLOOKUP(1,(Calculations[Πληροφορίες]=Calculations[[#This Row],[Πληροφορίες]])*(Calculations[Εταιρεία]=F184),Calculations[Τιμή])</f>
        <v>6111.7597743051501</v>
      </c>
      <c r="K184" s="18" t="s">
        <v>51</v>
      </c>
      <c r="L184" s="94" t="s">
        <v>71</v>
      </c>
      <c r="M184" s="148" t="s">
        <v>276</v>
      </c>
      <c r="N184" s="19" t="str">
        <f>_xlfn.XLOOKUP(Calculations[[#This Row],[For XLOOKUP]],Factors[For XLOOKUP],Factors[Factor],"")</f>
        <v>Σ.Ε. CH₄ st.</v>
      </c>
      <c r="O184" s="19">
        <f>_xlfn.XLOOKUP(Calculations[[#This Row],[For XLOOKUP]],Factors[For XLOOKUP],Factors[Value],"")</f>
        <v>3.6000000000000103E-9</v>
      </c>
      <c r="P184" s="19" t="str">
        <f>_xlfn.XLOOKUP(Calculations[[#This Row],[For XLOOKUP]],Factors[For XLOOKUP],Factors[Units],"")</f>
        <v>tn CH4/KWh</v>
      </c>
      <c r="Q184" s="19" t="str">
        <f>_xlfn.XLOOKUP(Calculations[[#This Row],[For XLOOKUP]],Factors[For XLOOKUP],Factors[Source],"")</f>
        <v>Greece. National Inventory Submissions 2024</v>
      </c>
      <c r="R18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4" s="19">
        <f>IF(LEFT(Calculations[[#This Row],[Emission Factor]],7)="Σ.Ε. CH",Calculations[[#This Row],[Value]]*Calculations[[#This Row],[Τιμή]],"-")</f>
        <v>2.2002335187498603E-5</v>
      </c>
      <c r="T18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4" s="19" t="str">
        <f>IF(LEFT(Calculations[[#This Row],[Emission Factor]],3)="GWP",Calculations[[#This Row],[Τιμή]],"-")</f>
        <v>-</v>
      </c>
      <c r="V184" s="19" t="str">
        <f>IF(OR(Calculations[[#This Row],[Emission Factor]]="Σ.Ε. CO₂ eq",Calculations[[#This Row],[Emission Factor]]="CO₂ eq"),Calculations[[#This Row],[Value]]*Calculations[[#This Row],[Τιμή]],"-")</f>
        <v>-</v>
      </c>
      <c r="W184" s="19" t="str">
        <f>IF(Calculations[[#This Row],[Πηγή εκπομπών]]="Electricity consumed in office buildings and projects - market based",Calculations[[#This Row],[t CO2]],"")</f>
        <v/>
      </c>
      <c r="X18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6.160653852499609E-4</v>
      </c>
    </row>
    <row r="185" spans="1:24" s="14" customFormat="1" ht="15" hidden="1" thickTop="1">
      <c r="A185" s="15" t="s">
        <v>0</v>
      </c>
      <c r="B185" s="15" t="s">
        <v>0</v>
      </c>
      <c r="C185" s="16" t="s">
        <v>624</v>
      </c>
      <c r="D185" s="77" t="s">
        <v>897</v>
      </c>
      <c r="E185" s="77" t="s">
        <v>1150</v>
      </c>
      <c r="F185" s="77" t="s">
        <v>320</v>
      </c>
      <c r="G185" s="15" t="s">
        <v>78</v>
      </c>
      <c r="H185" s="15" t="s">
        <v>91</v>
      </c>
      <c r="I185" s="17" t="s">
        <v>89</v>
      </c>
      <c r="J185" s="79" cm="1">
        <f t="array" ref="J185">_xlfn.XLOOKUP(1,(Calculations[Πληροφορίες]=Calculations[[#This Row],[Πληροφορίες]])*(Calculations[Εταιρεία]=F185),Calculations[Τιμή])</f>
        <v>6111.7597743051501</v>
      </c>
      <c r="K185" s="18" t="s">
        <v>51</v>
      </c>
      <c r="L185" s="94" t="s">
        <v>71</v>
      </c>
      <c r="M185" s="148" t="s">
        <v>277</v>
      </c>
      <c r="N185" s="19" t="str">
        <f>_xlfn.XLOOKUP(Calculations[[#This Row],[For XLOOKUP]],Factors[For XLOOKUP],Factors[Factor],"")</f>
        <v>Σ.Ε. N2O st.</v>
      </c>
      <c r="O185" s="19">
        <f>_xlfn.XLOOKUP(Calculations[[#This Row],[For XLOOKUP]],Factors[For XLOOKUP],Factors[Value],"")</f>
        <v>3.6000000000000103E-10</v>
      </c>
      <c r="P185" s="19" t="str">
        <f>_xlfn.XLOOKUP(Calculations[[#This Row],[For XLOOKUP]],Factors[For XLOOKUP],Factors[Units],"")</f>
        <v>tn N2O/kWh</v>
      </c>
      <c r="Q185" s="19" t="str">
        <f>_xlfn.XLOOKUP(Calculations[[#This Row],[For XLOOKUP]],Factors[For XLOOKUP],Factors[Source],"")</f>
        <v>Greece. National Inventory Submissions 2024</v>
      </c>
      <c r="R18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5" s="19" t="str">
        <f>IF(LEFT(Calculations[[#This Row],[Emission Factor]],7)="Σ.Ε. CH",Calculations[[#This Row],[Value]]*Calculations[[#This Row],[Τιμή]],"-")</f>
        <v>-</v>
      </c>
      <c r="T185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2.2002335187498604E-6</v>
      </c>
      <c r="U185" s="19" t="str">
        <f>IF(LEFT(Calculations[[#This Row],[Emission Factor]],3)="GWP",Calculations[[#This Row],[Τιμή]],"-")</f>
        <v>-</v>
      </c>
      <c r="V185" s="19" t="str">
        <f>IF(OR(Calculations[[#This Row],[Emission Factor]]="Σ.Ε. CO₂ eq",Calculations[[#This Row],[Emission Factor]]="CO₂ eq"),Calculations[[#This Row],[Value]]*Calculations[[#This Row],[Τιμή]],"-")</f>
        <v>-</v>
      </c>
      <c r="W185" s="19" t="str">
        <f>IF(Calculations[[#This Row],[Πηγή εκπομπών]]="Electricity consumed in office buildings and projects - market based",Calculations[[#This Row],[t CO2]],"")</f>
        <v/>
      </c>
      <c r="X18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5.8306188246871297E-4</v>
      </c>
    </row>
    <row r="186" spans="1:24" s="14" customFormat="1" ht="15" hidden="1" thickTop="1">
      <c r="A186" s="15" t="s">
        <v>0</v>
      </c>
      <c r="B186" s="15" t="s">
        <v>0</v>
      </c>
      <c r="C186" s="16" t="s">
        <v>624</v>
      </c>
      <c r="D186" s="16" t="s">
        <v>894</v>
      </c>
      <c r="E186" s="77"/>
      <c r="F186" s="16" t="s">
        <v>317</v>
      </c>
      <c r="G186" s="15" t="s">
        <v>78</v>
      </c>
      <c r="H186" s="15" t="s">
        <v>91</v>
      </c>
      <c r="I186" s="17" t="s">
        <v>90</v>
      </c>
      <c r="J186" s="51">
        <f>86480.3-966</f>
        <v>85514.3</v>
      </c>
      <c r="K186" s="18" t="s">
        <v>7</v>
      </c>
      <c r="L186" s="94" t="s">
        <v>246</v>
      </c>
      <c r="M186" s="148" t="s">
        <v>267</v>
      </c>
      <c r="N186" s="19" t="str">
        <f>_xlfn.XLOOKUP(Calculations[[#This Row],[For XLOOKUP]],Factors[For XLOOKUP],Factors[Factor],"")</f>
        <v>Σ.Ε. CO₂ st.</v>
      </c>
      <c r="O186" s="19">
        <f>_xlfn.XLOOKUP(Calculations[[#This Row],[For XLOOKUP]],Factors[For XLOOKUP],Factors[Value],"")</f>
        <v>2.6288551800000004E-3</v>
      </c>
      <c r="P186" s="19" t="str">
        <f>_xlfn.XLOOKUP(Calculations[[#This Row],[For XLOOKUP]],Factors[For XLOOKUP],Factors[Units],"")</f>
        <v>tn CO2/lt</v>
      </c>
      <c r="Q186" s="19" t="str">
        <f>_xlfn.XLOOKUP(Calculations[[#This Row],[For XLOOKUP]],Factors[For XLOOKUP],Factors[Source],"")</f>
        <v>Greece. National Inventory Submissions 2024</v>
      </c>
      <c r="R186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224.80471051907404</v>
      </c>
      <c r="S186" s="19" t="str">
        <f>IF(LEFT(Calculations[[#This Row],[Emission Factor]],7)="Σ.Ε. CH",Calculations[[#This Row],[Value]]*Calculations[[#This Row],[Τιμή]],"-")</f>
        <v>-</v>
      </c>
      <c r="T18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6" s="19" t="str">
        <f>IF(LEFT(Calculations[[#This Row],[Emission Factor]],3)="GWP",Calculations[[#This Row],[Τιμή]],"-")</f>
        <v>-</v>
      </c>
      <c r="V186" s="19" t="str">
        <f>IF(OR(Calculations[[#This Row],[Emission Factor]]="Σ.Ε. CO₂ eq",Calculations[[#This Row],[Emission Factor]]="CO₂ eq"),Calculations[[#This Row],[Value]]*Calculations[[#This Row],[Τιμή]],"-")</f>
        <v>-</v>
      </c>
      <c r="W186" s="19" t="str">
        <f>IF(Calculations[[#This Row],[Πηγή εκπομπών]]="Electricity consumed in office buildings and projects - market based",Calculations[[#This Row],[t CO2]],"")</f>
        <v/>
      </c>
      <c r="X18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224.80471051907404</v>
      </c>
    </row>
    <row r="187" spans="1:24" s="14" customFormat="1" ht="15" hidden="1" thickTop="1">
      <c r="A187" s="15" t="s">
        <v>0</v>
      </c>
      <c r="B187" s="15" t="s">
        <v>0</v>
      </c>
      <c r="C187" s="16" t="s">
        <v>624</v>
      </c>
      <c r="D187" s="77" t="s">
        <v>894</v>
      </c>
      <c r="E187" s="77"/>
      <c r="F187" s="77" t="s">
        <v>317</v>
      </c>
      <c r="G187" s="15" t="s">
        <v>78</v>
      </c>
      <c r="H187" s="15" t="s">
        <v>91</v>
      </c>
      <c r="I187" s="17" t="s">
        <v>90</v>
      </c>
      <c r="J187" s="79" cm="1">
        <f t="array" ref="J187">_xlfn.XLOOKUP(1,(Calculations[Πληροφορίες]=Calculations[[#This Row],[Πληροφορίες]])*(Calculations[Εταιρεία]=F187),Calculations[Τιμή])</f>
        <v>85514.3</v>
      </c>
      <c r="K187" s="18" t="s">
        <v>7</v>
      </c>
      <c r="L187" s="94" t="s">
        <v>246</v>
      </c>
      <c r="M187" s="148" t="s">
        <v>269</v>
      </c>
      <c r="N187" s="19" t="str">
        <f>_xlfn.XLOOKUP(Calculations[[#This Row],[For XLOOKUP]],Factors[For XLOOKUP],Factors[Factor],"")</f>
        <v>Σ.Ε. CH₄ st.</v>
      </c>
      <c r="O187" s="19">
        <f>_xlfn.XLOOKUP(Calculations[[#This Row],[For XLOOKUP]],Factors[For XLOOKUP],Factors[Value],"")</f>
        <v>7.3881717554663755E-8</v>
      </c>
      <c r="P187" s="19" t="str">
        <f>_xlfn.XLOOKUP(Calculations[[#This Row],[For XLOOKUP]],Factors[For XLOOKUP],Factors[Units],"")</f>
        <v>tn CH₄/lt</v>
      </c>
      <c r="Q187" s="19" t="str">
        <f>_xlfn.XLOOKUP(Calculations[[#This Row],[For XLOOKUP]],Factors[For XLOOKUP],Factors[Source],"")</f>
        <v>Greece. National Inventory Submissions 2024</v>
      </c>
      <c r="R18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7" s="19">
        <f>IF(LEFT(Calculations[[#This Row],[Emission Factor]],7)="Σ.Ε. CH",Calculations[[#This Row],[Value]]*Calculations[[#This Row],[Τιμή]],"-")</f>
        <v>6.3179433594847826E-3</v>
      </c>
      <c r="T18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7" s="19" t="str">
        <f>IF(LEFT(Calculations[[#This Row],[Emission Factor]],3)="GWP",Calculations[[#This Row],[Τιμή]],"-")</f>
        <v>-</v>
      </c>
      <c r="V187" s="19" t="str">
        <f>IF(OR(Calculations[[#This Row],[Emission Factor]]="Σ.Ε. CO₂ eq",Calculations[[#This Row],[Emission Factor]]="CO₂ eq"),Calculations[[#This Row],[Value]]*Calculations[[#This Row],[Τιμή]],"-")</f>
        <v>-</v>
      </c>
      <c r="W187" s="19" t="str">
        <f>IF(Calculations[[#This Row],[Πηγή εκπομπών]]="Electricity consumed in office buildings and projects - market based",Calculations[[#This Row],[t CO2]],"")</f>
        <v/>
      </c>
      <c r="X18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0.17690241406557392</v>
      </c>
    </row>
    <row r="188" spans="1:24" s="14" customFormat="1" ht="15" hidden="1" thickTop="1">
      <c r="A188" s="15" t="s">
        <v>0</v>
      </c>
      <c r="B188" s="15" t="s">
        <v>0</v>
      </c>
      <c r="C188" s="16" t="s">
        <v>624</v>
      </c>
      <c r="D188" s="77" t="s">
        <v>894</v>
      </c>
      <c r="E188" s="77"/>
      <c r="F188" s="77" t="s">
        <v>317</v>
      </c>
      <c r="G188" s="15" t="s">
        <v>78</v>
      </c>
      <c r="H188" s="15" t="s">
        <v>91</v>
      </c>
      <c r="I188" s="17" t="s">
        <v>90</v>
      </c>
      <c r="J188" s="79" cm="1">
        <f t="array" ref="J188">_xlfn.XLOOKUP(1,(Calculations[Πληροφορίες]=Calculations[[#This Row],[Πληροφορίες]])*(Calculations[Εταιρεία]=F188),Calculations[Τιμή])</f>
        <v>85514.3</v>
      </c>
      <c r="K188" s="18" t="s">
        <v>7</v>
      </c>
      <c r="L188" s="94" t="s">
        <v>246</v>
      </c>
      <c r="M188" s="148" t="s">
        <v>271</v>
      </c>
      <c r="N188" s="19" t="str">
        <f>_xlfn.XLOOKUP(Calculations[[#This Row],[For XLOOKUP]],Factors[For XLOOKUP],Factors[Factor],"")</f>
        <v>Σ.Ε. N2O st.</v>
      </c>
      <c r="O188" s="19">
        <f>_xlfn.XLOOKUP(Calculations[[#This Row],[For XLOOKUP]],Factors[For XLOOKUP],Factors[Value],"")</f>
        <v>9.2898202099102465E-8</v>
      </c>
      <c r="P188" s="19" t="str">
        <f>_xlfn.XLOOKUP(Calculations[[#This Row],[For XLOOKUP]],Factors[For XLOOKUP],Factors[Units],"")</f>
        <v>tn N2O/lt</v>
      </c>
      <c r="Q188" s="19" t="str">
        <f>_xlfn.XLOOKUP(Calculations[[#This Row],[For XLOOKUP]],Factors[For XLOOKUP],Factors[Source],"")</f>
        <v>Greece. National Inventory Submissions 2024</v>
      </c>
      <c r="R18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8" s="19" t="str">
        <f>IF(LEFT(Calculations[[#This Row],[Emission Factor]],7)="Σ.Ε. CH",Calculations[[#This Row],[Value]]*Calculations[[#This Row],[Τιμή]],"-")</f>
        <v>-</v>
      </c>
      <c r="T188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7.9441247237632788E-3</v>
      </c>
      <c r="U188" s="19" t="str">
        <f>IF(LEFT(Calculations[[#This Row],[Emission Factor]],3)="GWP",Calculations[[#This Row],[Τιμή]],"-")</f>
        <v>-</v>
      </c>
      <c r="V188" s="19" t="str">
        <f>IF(OR(Calculations[[#This Row],[Emission Factor]]="Σ.Ε. CO₂ eq",Calculations[[#This Row],[Emission Factor]]="CO₂ eq"),Calculations[[#This Row],[Value]]*Calculations[[#This Row],[Τιμή]],"-")</f>
        <v>-</v>
      </c>
      <c r="W188" s="19" t="str">
        <f>IF(Calculations[[#This Row],[Πηγή εκπομπών]]="Electricity consumed in office buildings and projects - market based",Calculations[[#This Row],[t CO2]],"")</f>
        <v/>
      </c>
      <c r="X18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2.105193051797269</v>
      </c>
    </row>
    <row r="189" spans="1:24" s="14" customFormat="1" ht="15" hidden="1" thickTop="1">
      <c r="A189" s="15" t="s">
        <v>0</v>
      </c>
      <c r="B189" s="15" t="s">
        <v>0</v>
      </c>
      <c r="C189" s="16" t="s">
        <v>327</v>
      </c>
      <c r="D189" s="77" t="s">
        <v>894</v>
      </c>
      <c r="E189" s="77" t="s">
        <v>1187</v>
      </c>
      <c r="F189" s="77" t="s">
        <v>317</v>
      </c>
      <c r="G189" s="15" t="s">
        <v>78</v>
      </c>
      <c r="H189" s="15" t="s">
        <v>91</v>
      </c>
      <c r="I189" s="17" t="s">
        <v>90</v>
      </c>
      <c r="J189" s="78">
        <v>966</v>
      </c>
      <c r="K189" s="18" t="s">
        <v>7</v>
      </c>
      <c r="L189" s="94" t="s">
        <v>246</v>
      </c>
      <c r="M189" s="17" t="s">
        <v>1237</v>
      </c>
      <c r="N189" s="19" t="str">
        <f>_xlfn.XLOOKUP(Calculations[[#This Row],[For XLOOKUP]],Factors[For XLOOKUP],Factors[Factor],"")</f>
        <v>Σ.Ε. CO₂ st.</v>
      </c>
      <c r="O189" s="19">
        <f>_xlfn.XLOOKUP(Calculations[[#This Row],[For XLOOKUP]],Factors[For XLOOKUP],Factors[Value],"")</f>
        <v>2.6924234999999999E-3</v>
      </c>
      <c r="P189" s="19" t="str">
        <f>_xlfn.XLOOKUP(Calculations[[#This Row],[For XLOOKUP]],Factors[For XLOOKUP],Factors[Units],"")</f>
        <v>tn CO2/lt</v>
      </c>
      <c r="Q189" s="19" t="str">
        <f>_xlfn.XLOOKUP(Calculations[[#This Row],[For XLOOKUP]],Factors[For XLOOKUP],Factors[Source],"")</f>
        <v>Cyprus. National Inventory Report (NIR) 2024</v>
      </c>
      <c r="R189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2.6008811010000001</v>
      </c>
      <c r="S189" s="19" t="str">
        <f>IF(LEFT(Calculations[[#This Row],[Emission Factor]],7)="Σ.Ε. CH",Calculations[[#This Row],[Value]]*Calculations[[#This Row],[Τιμή]],"-")</f>
        <v>-</v>
      </c>
      <c r="T18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9" s="19" t="str">
        <f>IF(LEFT(Calculations[[#This Row],[Emission Factor]],3)="GWP",Calculations[[#This Row],[Τιμή]],"-")</f>
        <v>-</v>
      </c>
      <c r="V189" s="19" t="str">
        <f>IF(OR(Calculations[[#This Row],[Emission Factor]]="Σ.Ε. CO₂ eq",Calculations[[#This Row],[Emission Factor]]="CO₂ eq"),Calculations[[#This Row],[Value]]*Calculations[[#This Row],[Τιμή]],"-")</f>
        <v>-</v>
      </c>
      <c r="W189" s="19" t="str">
        <f>IF(Calculations[[#This Row],[Πηγή εκπομπών]]="Electricity consumed in office buildings and projects - market based",Calculations[[#This Row],[t CO2]],"")</f>
        <v/>
      </c>
      <c r="X18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2.6008811010000001</v>
      </c>
    </row>
    <row r="190" spans="1:24" s="14" customFormat="1" ht="15" hidden="1" thickTop="1">
      <c r="A190" s="15" t="s">
        <v>0</v>
      </c>
      <c r="B190" s="15" t="s">
        <v>0</v>
      </c>
      <c r="C190" s="16" t="s">
        <v>327</v>
      </c>
      <c r="D190" s="77" t="s">
        <v>894</v>
      </c>
      <c r="E190" s="77" t="s">
        <v>1187</v>
      </c>
      <c r="F190" s="77" t="s">
        <v>317</v>
      </c>
      <c r="G190" s="15" t="s">
        <v>78</v>
      </c>
      <c r="H190" s="15" t="s">
        <v>91</v>
      </c>
      <c r="I190" s="17" t="s">
        <v>90</v>
      </c>
      <c r="J190" s="79">
        <v>966</v>
      </c>
      <c r="K190" s="18" t="s">
        <v>7</v>
      </c>
      <c r="L190" s="16" t="s">
        <v>246</v>
      </c>
      <c r="M190" s="148" t="s">
        <v>1238</v>
      </c>
      <c r="N190" s="19" t="str">
        <f>_xlfn.XLOOKUP(Calculations[[#This Row],[For XLOOKUP]],Factors[For XLOOKUP],Factors[Factor],"")</f>
        <v>Σ.Ε. CH₄ st.</v>
      </c>
      <c r="O190" s="19">
        <f>_xlfn.XLOOKUP(Calculations[[#This Row],[For XLOOKUP]],Factors[For XLOOKUP],Factors[Value],"")</f>
        <v>3.6335000000000003E-7</v>
      </c>
      <c r="P190" s="19" t="str">
        <f>_xlfn.XLOOKUP(Calculations[[#This Row],[For XLOOKUP]],Factors[For XLOOKUP],Factors[Units],"")</f>
        <v>tn CH₄/lt</v>
      </c>
      <c r="Q190" s="19" t="str">
        <f>_xlfn.XLOOKUP(Calculations[[#This Row],[For XLOOKUP]],Factors[For XLOOKUP],Factors[Source],"")</f>
        <v>Cyprus. National Inventory Report (NIR) 2024</v>
      </c>
      <c r="R19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0" s="19">
        <f>IF(LEFT(Calculations[[#This Row],[Emission Factor]],7)="Σ.Ε. CH",Calculations[[#This Row],[Value]]*Calculations[[#This Row],[Τιμή]],"-")</f>
        <v>3.5099610000000005E-4</v>
      </c>
      <c r="T19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0" s="19" t="str">
        <f>IF(LEFT(Calculations[[#This Row],[Emission Factor]],3)="GWP",Calculations[[#This Row],[Τιμή]],"-")</f>
        <v>-</v>
      </c>
      <c r="V190" s="19" t="str">
        <f>IF(OR(Calculations[[#This Row],[Emission Factor]]="Σ.Ε. CO₂ eq",Calculations[[#This Row],[Emission Factor]]="CO₂ eq"),Calculations[[#This Row],[Value]]*Calculations[[#This Row],[Τιμή]],"-")</f>
        <v>-</v>
      </c>
      <c r="W190" s="19" t="str">
        <f>IF(Calculations[[#This Row],[Πηγή εκπομπών]]="Electricity consumed in office buildings and projects - market based",Calculations[[#This Row],[t CO2]],"")</f>
        <v/>
      </c>
      <c r="X19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9.8278908000000009E-3</v>
      </c>
    </row>
    <row r="191" spans="1:24" s="14" customFormat="1" ht="15" hidden="1" thickTop="1">
      <c r="A191" s="15" t="s">
        <v>0</v>
      </c>
      <c r="B191" s="15" t="s">
        <v>0</v>
      </c>
      <c r="C191" s="16" t="s">
        <v>327</v>
      </c>
      <c r="D191" s="77" t="s">
        <v>894</v>
      </c>
      <c r="E191" s="77" t="s">
        <v>1187</v>
      </c>
      <c r="F191" s="77" t="s">
        <v>317</v>
      </c>
      <c r="G191" s="15" t="s">
        <v>78</v>
      </c>
      <c r="H191" s="15" t="s">
        <v>91</v>
      </c>
      <c r="I191" s="17" t="s">
        <v>90</v>
      </c>
      <c r="J191" s="79">
        <v>966</v>
      </c>
      <c r="K191" s="18" t="s">
        <v>7</v>
      </c>
      <c r="L191" s="16" t="s">
        <v>246</v>
      </c>
      <c r="M191" s="148" t="s">
        <v>1239</v>
      </c>
      <c r="N191" s="19" t="str">
        <f>_xlfn.XLOOKUP(Calculations[[#This Row],[For XLOOKUP]],Factors[For XLOOKUP],Factors[Factor],"")</f>
        <v>Σ.Ε. N2O st.</v>
      </c>
      <c r="O191" s="19">
        <f>_xlfn.XLOOKUP(Calculations[[#This Row],[For XLOOKUP]],Factors[For XLOOKUP],Factors[Value],"")</f>
        <v>2.1800999999999998E-8</v>
      </c>
      <c r="P191" s="19" t="str">
        <f>_xlfn.XLOOKUP(Calculations[[#This Row],[For XLOOKUP]],Factors[For XLOOKUP],Factors[Units],"")</f>
        <v>tn N2O/lt</v>
      </c>
      <c r="Q191" s="19" t="str">
        <f>_xlfn.XLOOKUP(Calculations[[#This Row],[For XLOOKUP]],Factors[For XLOOKUP],Factors[Source],"")</f>
        <v>Cyprus. National Inventory Report (NIR) 2024</v>
      </c>
      <c r="R19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1" s="19" t="str">
        <f>IF(LEFT(Calculations[[#This Row],[Emission Factor]],7)="Σ.Ε. CH",Calculations[[#This Row],[Value]]*Calculations[[#This Row],[Τιμή]],"-")</f>
        <v>-</v>
      </c>
      <c r="T191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2.1059765999999998E-5</v>
      </c>
      <c r="U191" s="19" t="str">
        <f>IF(LEFT(Calculations[[#This Row],[Emission Factor]],3)="GWP",Calculations[[#This Row],[Τιμή]],"-")</f>
        <v>-</v>
      </c>
      <c r="V191" s="19" t="str">
        <f>IF(OR(Calculations[[#This Row],[Emission Factor]]="Σ.Ε. CO₂ eq",Calculations[[#This Row],[Emission Factor]]="CO₂ eq"),Calculations[[#This Row],[Value]]*Calculations[[#This Row],[Τιμή]],"-")</f>
        <v>-</v>
      </c>
      <c r="W191" s="19" t="str">
        <f>IF(Calculations[[#This Row],[Πηγή εκπομπών]]="Electricity consumed in office buildings and projects - market based",Calculations[[#This Row],[t CO2]],"")</f>
        <v/>
      </c>
      <c r="X19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5.5808379899999995E-3</v>
      </c>
    </row>
    <row r="192" spans="1:24" s="14" customFormat="1" ht="15" hidden="1" thickTop="1">
      <c r="A192" s="15" t="s">
        <v>0</v>
      </c>
      <c r="B192" s="15" t="s">
        <v>0</v>
      </c>
      <c r="C192" s="16" t="s">
        <v>624</v>
      </c>
      <c r="D192" s="77" t="s">
        <v>895</v>
      </c>
      <c r="E192" s="77" t="s">
        <v>1179</v>
      </c>
      <c r="F192" s="77" t="s">
        <v>318</v>
      </c>
      <c r="G192" s="15" t="s">
        <v>78</v>
      </c>
      <c r="H192" s="15" t="s">
        <v>91</v>
      </c>
      <c r="I192" s="17" t="s">
        <v>90</v>
      </c>
      <c r="J192" s="291">
        <v>1718</v>
      </c>
      <c r="K192" s="18" t="s">
        <v>7</v>
      </c>
      <c r="L192" s="16" t="s">
        <v>246</v>
      </c>
      <c r="M192" s="148" t="s">
        <v>267</v>
      </c>
      <c r="N192" s="19" t="str">
        <f>_xlfn.XLOOKUP(Calculations[[#This Row],[For XLOOKUP]],Factors[For XLOOKUP],Factors[Factor],"")</f>
        <v>Σ.Ε. CO₂ st.</v>
      </c>
      <c r="O192" s="19">
        <f>_xlfn.XLOOKUP(Calculations[[#This Row],[For XLOOKUP]],Factors[For XLOOKUP],Factors[Value],"")</f>
        <v>2.6288551800000004E-3</v>
      </c>
      <c r="P192" s="19" t="str">
        <f>_xlfn.XLOOKUP(Calculations[[#This Row],[For XLOOKUP]],Factors[For XLOOKUP],Factors[Units],"")</f>
        <v>tn CO2/lt</v>
      </c>
      <c r="Q192" s="19" t="str">
        <f>_xlfn.XLOOKUP(Calculations[[#This Row],[For XLOOKUP]],Factors[For XLOOKUP],Factors[Source],"")</f>
        <v>Greece. National Inventory Submissions 2024</v>
      </c>
      <c r="R192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4.5163731992400002</v>
      </c>
      <c r="S192" s="19" t="str">
        <f>IF(LEFT(Calculations[[#This Row],[Emission Factor]],7)="Σ.Ε. CH",Calculations[[#This Row],[Value]]*Calculations[[#This Row],[Τιμή]],"-")</f>
        <v>-</v>
      </c>
      <c r="T19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2" s="19" t="str">
        <f>IF(LEFT(Calculations[[#This Row],[Emission Factor]],3)="GWP",Calculations[[#This Row],[Τιμή]],"-")</f>
        <v>-</v>
      </c>
      <c r="V192" s="19" t="str">
        <f>IF(OR(Calculations[[#This Row],[Emission Factor]]="Σ.Ε. CO₂ eq",Calculations[[#This Row],[Emission Factor]]="CO₂ eq"),Calculations[[#This Row],[Value]]*Calculations[[#This Row],[Τιμή]],"-")</f>
        <v>-</v>
      </c>
      <c r="W192" s="19" t="str">
        <f>IF(Calculations[[#This Row],[Πηγή εκπομπών]]="Electricity consumed in office buildings and projects - market based",Calculations[[#This Row],[t CO2]],"")</f>
        <v/>
      </c>
      <c r="X19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4.5163731992400002</v>
      </c>
    </row>
    <row r="193" spans="1:24" s="14" customFormat="1" ht="15" hidden="1" thickTop="1">
      <c r="A193" s="15" t="s">
        <v>0</v>
      </c>
      <c r="B193" s="15" t="s">
        <v>0</v>
      </c>
      <c r="C193" s="16" t="s">
        <v>624</v>
      </c>
      <c r="D193" s="77" t="s">
        <v>895</v>
      </c>
      <c r="E193" s="77" t="s">
        <v>1179</v>
      </c>
      <c r="F193" s="77" t="s">
        <v>318</v>
      </c>
      <c r="G193" s="15" t="s">
        <v>78</v>
      </c>
      <c r="H193" s="15" t="s">
        <v>91</v>
      </c>
      <c r="I193" s="17" t="s">
        <v>90</v>
      </c>
      <c r="J193" s="292" cm="1">
        <f t="array" ref="J193">_xlfn.XLOOKUP(1,(Calculations[Πληροφορίες]=Calculations[[#This Row],[Πληροφορίες]])*(Calculations[Εταιρεία]=F193),Calculations[Τιμή])</f>
        <v>1718</v>
      </c>
      <c r="K193" s="18" t="s">
        <v>7</v>
      </c>
      <c r="L193" s="16" t="s">
        <v>246</v>
      </c>
      <c r="M193" s="148" t="s">
        <v>269</v>
      </c>
      <c r="N193" s="19" t="str">
        <f>_xlfn.XLOOKUP(Calculations[[#This Row],[For XLOOKUP]],Factors[For XLOOKUP],Factors[Factor],"")</f>
        <v>Σ.Ε. CH₄ st.</v>
      </c>
      <c r="O193" s="19">
        <f>_xlfn.XLOOKUP(Calculations[[#This Row],[For XLOOKUP]],Factors[For XLOOKUP],Factors[Value],"")</f>
        <v>7.3881717554663755E-8</v>
      </c>
      <c r="P193" s="19" t="str">
        <f>_xlfn.XLOOKUP(Calculations[[#This Row],[For XLOOKUP]],Factors[For XLOOKUP],Factors[Units],"")</f>
        <v>tn CH₄/lt</v>
      </c>
      <c r="Q193" s="19" t="str">
        <f>_xlfn.XLOOKUP(Calculations[[#This Row],[For XLOOKUP]],Factors[For XLOOKUP],Factors[Source],"")</f>
        <v>Greece. National Inventory Submissions 2024</v>
      </c>
      <c r="R19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3" s="19">
        <f>IF(LEFT(Calculations[[#This Row],[Emission Factor]],7)="Σ.Ε. CH",Calculations[[#This Row],[Value]]*Calculations[[#This Row],[Τιμή]],"-")</f>
        <v>1.2692879075891232E-4</v>
      </c>
      <c r="T19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3" s="19" t="str">
        <f>IF(LEFT(Calculations[[#This Row],[Emission Factor]],3)="GWP",Calculations[[#This Row],[Τιμή]],"-")</f>
        <v>-</v>
      </c>
      <c r="V193" s="19" t="str">
        <f>IF(OR(Calculations[[#This Row],[Emission Factor]]="Σ.Ε. CO₂ eq",Calculations[[#This Row],[Emission Factor]]="CO₂ eq"),Calculations[[#This Row],[Value]]*Calculations[[#This Row],[Τιμή]],"-")</f>
        <v>-</v>
      </c>
      <c r="W193" s="19" t="str">
        <f>IF(Calculations[[#This Row],[Πηγή εκπομπών]]="Electricity consumed in office buildings and projects - market based",Calculations[[#This Row],[t CO2]],"")</f>
        <v/>
      </c>
      <c r="X19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3.5540061412495448E-3</v>
      </c>
    </row>
    <row r="194" spans="1:24" s="14" customFormat="1" ht="15" hidden="1" thickTop="1">
      <c r="A194" s="15" t="s">
        <v>0</v>
      </c>
      <c r="B194" s="15" t="s">
        <v>0</v>
      </c>
      <c r="C194" s="16" t="s">
        <v>624</v>
      </c>
      <c r="D194" s="77" t="s">
        <v>895</v>
      </c>
      <c r="E194" s="77" t="s">
        <v>1179</v>
      </c>
      <c r="F194" s="77" t="s">
        <v>318</v>
      </c>
      <c r="G194" s="15" t="s">
        <v>78</v>
      </c>
      <c r="H194" s="15" t="s">
        <v>91</v>
      </c>
      <c r="I194" s="17" t="s">
        <v>90</v>
      </c>
      <c r="J194" s="79" cm="1">
        <f t="array" ref="J194">_xlfn.XLOOKUP(1,(Calculations[Πληροφορίες]=Calculations[[#This Row],[Πληροφορίες]])*(Calculations[Εταιρεία]=F194),Calculations[Τιμή])</f>
        <v>1718</v>
      </c>
      <c r="K194" s="18" t="s">
        <v>7</v>
      </c>
      <c r="L194" s="16" t="s">
        <v>246</v>
      </c>
      <c r="M194" s="148" t="s">
        <v>271</v>
      </c>
      <c r="N194" s="19" t="str">
        <f>_xlfn.XLOOKUP(Calculations[[#This Row],[For XLOOKUP]],Factors[For XLOOKUP],Factors[Factor],"")</f>
        <v>Σ.Ε. N2O st.</v>
      </c>
      <c r="O194" s="19">
        <f>_xlfn.XLOOKUP(Calculations[[#This Row],[For XLOOKUP]],Factors[For XLOOKUP],Factors[Value],"")</f>
        <v>9.2898202099102465E-8</v>
      </c>
      <c r="P194" s="19" t="str">
        <f>_xlfn.XLOOKUP(Calculations[[#This Row],[For XLOOKUP]],Factors[For XLOOKUP],Factors[Units],"")</f>
        <v>tn N2O/lt</v>
      </c>
      <c r="Q194" s="19" t="str">
        <f>_xlfn.XLOOKUP(Calculations[[#This Row],[For XLOOKUP]],Factors[For XLOOKUP],Factors[Source],"")</f>
        <v>Greece. National Inventory Submissions 2024</v>
      </c>
      <c r="R19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4" s="19" t="str">
        <f>IF(LEFT(Calculations[[#This Row],[Emission Factor]],7)="Σ.Ε. CH",Calculations[[#This Row],[Value]]*Calculations[[#This Row],[Τιμή]],"-")</f>
        <v>-</v>
      </c>
      <c r="T194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1.5959911120625803E-4</v>
      </c>
      <c r="U194" s="19" t="str">
        <f>IF(LEFT(Calculations[[#This Row],[Emission Factor]],3)="GWP",Calculations[[#This Row],[Τιμή]],"-")</f>
        <v>-</v>
      </c>
      <c r="V194" s="19" t="str">
        <f>IF(OR(Calculations[[#This Row],[Emission Factor]]="Σ.Ε. CO₂ eq",Calculations[[#This Row],[Emission Factor]]="CO₂ eq"),Calculations[[#This Row],[Value]]*Calculations[[#This Row],[Τιμή]],"-")</f>
        <v>-</v>
      </c>
      <c r="W194" s="19" t="str">
        <f>IF(Calculations[[#This Row],[Πηγή εκπομπών]]="Electricity consumed in office buildings and projects - market based",Calculations[[#This Row],[t CO2]],"")</f>
        <v/>
      </c>
      <c r="X19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4.2293764469658379E-2</v>
      </c>
    </row>
    <row r="195" spans="1:24" s="14" customFormat="1" ht="15" hidden="1" thickTop="1">
      <c r="A195" s="15" t="s">
        <v>0</v>
      </c>
      <c r="B195" s="15" t="s">
        <v>0</v>
      </c>
      <c r="C195" s="16" t="s">
        <v>624</v>
      </c>
      <c r="D195" s="77" t="s">
        <v>894</v>
      </c>
      <c r="E195" s="77"/>
      <c r="F195" s="77" t="s">
        <v>317</v>
      </c>
      <c r="G195" s="15" t="s">
        <v>78</v>
      </c>
      <c r="H195" s="15" t="s">
        <v>91</v>
      </c>
      <c r="I195" s="17" t="s">
        <v>259</v>
      </c>
      <c r="J195" s="51">
        <v>1998.72</v>
      </c>
      <c r="K195" s="18" t="s">
        <v>7</v>
      </c>
      <c r="L195" s="16" t="s">
        <v>251</v>
      </c>
      <c r="M195" s="148" t="s">
        <v>268</v>
      </c>
      <c r="N195" s="19" t="str">
        <f>_xlfn.XLOOKUP(Calculations[[#This Row],[For XLOOKUP]],Factors[For XLOOKUP],Factors[Factor],"")</f>
        <v>Σ.Ε. CO₂ st.</v>
      </c>
      <c r="O195" s="19">
        <f>_xlfn.XLOOKUP(Calculations[[#This Row],[For XLOOKUP]],Factors[For XLOOKUP],Factors[Value],"")</f>
        <v>2.3432595615E-3</v>
      </c>
      <c r="P195" s="19" t="str">
        <f>_xlfn.XLOOKUP(Calculations[[#This Row],[For XLOOKUP]],Factors[For XLOOKUP],Factors[Units],"")</f>
        <v>tn CO2/lt</v>
      </c>
      <c r="Q195" s="19" t="str">
        <f>_xlfn.XLOOKUP(Calculations[[#This Row],[For XLOOKUP]],Factors[For XLOOKUP],Factors[Source],"")</f>
        <v>Greece. National Inventory Submissions 2024</v>
      </c>
      <c r="R19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4.6835197507612802</v>
      </c>
      <c r="S195" s="19" t="str">
        <f>IF(LEFT(Calculations[[#This Row],[Emission Factor]],7)="Σ.Ε. CH",Calculations[[#This Row],[Value]]*Calculations[[#This Row],[Τιμή]],"-")</f>
        <v>-</v>
      </c>
      <c r="T19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5" s="19" t="str">
        <f>IF(LEFT(Calculations[[#This Row],[Emission Factor]],3)="GWP",Calculations[[#This Row],[Τιμή]],"-")</f>
        <v>-</v>
      </c>
      <c r="V195" s="19" t="str">
        <f>IF(OR(Calculations[[#This Row],[Emission Factor]]="Σ.Ε. CO₂ eq",Calculations[[#This Row],[Emission Factor]]="CO₂ eq"),Calculations[[#This Row],[Value]]*Calculations[[#This Row],[Τιμή]],"-")</f>
        <v>-</v>
      </c>
      <c r="W195" s="19" t="str">
        <f>IF(Calculations[[#This Row],[Πηγή εκπομπών]]="Electricity consumed in office buildings and projects - market based",Calculations[[#This Row],[t CO2]],"")</f>
        <v/>
      </c>
      <c r="X19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4.6835197507612802</v>
      </c>
    </row>
    <row r="196" spans="1:24" s="14" customFormat="1" ht="15" hidden="1" thickTop="1">
      <c r="A196" s="15" t="s">
        <v>0</v>
      </c>
      <c r="B196" s="15" t="s">
        <v>0</v>
      </c>
      <c r="C196" s="16" t="s">
        <v>624</v>
      </c>
      <c r="D196" s="77" t="s">
        <v>894</v>
      </c>
      <c r="E196" s="77"/>
      <c r="F196" s="77" t="s">
        <v>317</v>
      </c>
      <c r="G196" s="15" t="s">
        <v>78</v>
      </c>
      <c r="H196" s="15" t="s">
        <v>91</v>
      </c>
      <c r="I196" s="17" t="s">
        <v>259</v>
      </c>
      <c r="J196" s="292" cm="1">
        <f t="array" ref="J196">_xlfn.XLOOKUP(1,(Calculations[Πληροφορίες]=Calculations[[#This Row],[Πληροφορίες]])*(Calculations[Εταιρεία]=F196),Calculations[Τιμή])</f>
        <v>1998.72</v>
      </c>
      <c r="K196" s="18" t="s">
        <v>7</v>
      </c>
      <c r="L196" s="16" t="s">
        <v>251</v>
      </c>
      <c r="M196" s="148" t="s">
        <v>270</v>
      </c>
      <c r="N196" s="19" t="str">
        <f>_xlfn.XLOOKUP(Calculations[[#This Row],[For XLOOKUP]],Factors[For XLOOKUP],Factors[Factor],"")</f>
        <v>Σ.Ε. CH₄ st.</v>
      </c>
      <c r="O196" s="19">
        <f>_xlfn.XLOOKUP(Calculations[[#This Row],[For XLOOKUP]],Factors[For XLOOKUP],Factors[Value],"")</f>
        <v>6.6322739296894177E-8</v>
      </c>
      <c r="P196" s="19" t="str">
        <f>_xlfn.XLOOKUP(Calculations[[#This Row],[For XLOOKUP]],Factors[For XLOOKUP],Factors[Units],"")</f>
        <v>tn CH₄/lt</v>
      </c>
      <c r="Q196" s="19" t="str">
        <f>_xlfn.XLOOKUP(Calculations[[#This Row],[For XLOOKUP]],Factors[For XLOOKUP],Factors[Source],"")</f>
        <v>Greece. National Inventory Submissions 2024</v>
      </c>
      <c r="R19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6" s="19">
        <f>IF(LEFT(Calculations[[#This Row],[Emission Factor]],7)="Σ.Ε. CH",Calculations[[#This Row],[Value]]*Calculations[[#This Row],[Τιμή]],"-")</f>
        <v>1.3256058548748834E-4</v>
      </c>
      <c r="T19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6" s="19" t="str">
        <f>IF(LEFT(Calculations[[#This Row],[Emission Factor]],3)="GWP",Calculations[[#This Row],[Τιμή]],"-")</f>
        <v>-</v>
      </c>
      <c r="V196" s="19" t="str">
        <f>IF(OR(Calculations[[#This Row],[Emission Factor]]="Σ.Ε. CO₂ eq",Calculations[[#This Row],[Emission Factor]]="CO₂ eq"),Calculations[[#This Row],[Value]]*Calculations[[#This Row],[Τιμή]],"-")</f>
        <v>-</v>
      </c>
      <c r="W196" s="19" t="str">
        <f>IF(Calculations[[#This Row],[Πηγή εκπομπών]]="Electricity consumed in office buildings and projects - market based",Calculations[[#This Row],[t CO2]],"")</f>
        <v/>
      </c>
      <c r="X19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3.7116963936496736E-3</v>
      </c>
    </row>
    <row r="197" spans="1:24" s="14" customFormat="1" ht="15" hidden="1" thickTop="1">
      <c r="A197" s="15" t="s">
        <v>0</v>
      </c>
      <c r="B197" s="15" t="s">
        <v>0</v>
      </c>
      <c r="C197" s="16" t="s">
        <v>624</v>
      </c>
      <c r="D197" s="77" t="s">
        <v>894</v>
      </c>
      <c r="E197" s="77"/>
      <c r="F197" s="77" t="s">
        <v>317</v>
      </c>
      <c r="G197" s="15" t="s">
        <v>78</v>
      </c>
      <c r="H197" s="15" t="s">
        <v>91</v>
      </c>
      <c r="I197" s="17" t="s">
        <v>259</v>
      </c>
      <c r="J197" s="79" cm="1">
        <f t="array" ref="J197">_xlfn.XLOOKUP(1,(Calculations[Πληροφορίες]=Calculations[[#This Row],[Πληροφορίες]])*(Calculations[Εταιρεία]=F197),Calculations[Τιμή])</f>
        <v>1998.72</v>
      </c>
      <c r="K197" s="18" t="s">
        <v>7</v>
      </c>
      <c r="L197" s="16" t="s">
        <v>251</v>
      </c>
      <c r="M197" s="148" t="s">
        <v>272</v>
      </c>
      <c r="N197" s="19" t="str">
        <f>_xlfn.XLOOKUP(Calculations[[#This Row],[For XLOOKUP]],Factors[For XLOOKUP],Factors[Factor],"")</f>
        <v>Σ.Ε. N2O st.</v>
      </c>
      <c r="O197" s="19">
        <f>_xlfn.XLOOKUP(Calculations[[#This Row],[For XLOOKUP]],Factors[For XLOOKUP],Factors[Value],"")</f>
        <v>8.3393611341132544E-8</v>
      </c>
      <c r="P197" s="19" t="str">
        <f>_xlfn.XLOOKUP(Calculations[[#This Row],[For XLOOKUP]],Factors[For XLOOKUP],Factors[Units],"")</f>
        <v>tn N2O/lt</v>
      </c>
      <c r="Q197" s="19" t="str">
        <f>_xlfn.XLOOKUP(Calculations[[#This Row],[For XLOOKUP]],Factors[For XLOOKUP],Factors[Source],"")</f>
        <v>Greece. National Inventory Submissions 2024</v>
      </c>
      <c r="R19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7" s="19" t="str">
        <f>IF(LEFT(Calculations[[#This Row],[Emission Factor]],7)="Σ.Ε. CH",Calculations[[#This Row],[Value]]*Calculations[[#This Row],[Τιμή]],"-")</f>
        <v>-</v>
      </c>
      <c r="T197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1.6668047885974845E-4</v>
      </c>
      <c r="U197" s="19" t="str">
        <f>IF(LEFT(Calculations[[#This Row],[Emission Factor]],3)="GWP",Calculations[[#This Row],[Τιμή]],"-")</f>
        <v>-</v>
      </c>
      <c r="V197" s="19" t="str">
        <f>IF(OR(Calculations[[#This Row],[Emission Factor]]="Σ.Ε. CO₂ eq",Calculations[[#This Row],[Emission Factor]]="CO₂ eq"),Calculations[[#This Row],[Value]]*Calculations[[#This Row],[Τιμή]],"-")</f>
        <v>-</v>
      </c>
      <c r="W197" s="19" t="str">
        <f>IF(Calculations[[#This Row],[Πηγή εκπομπών]]="Electricity consumed in office buildings and projects - market based",Calculations[[#This Row],[t CO2]],"")</f>
        <v/>
      </c>
      <c r="X19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4.4170326897833338E-2</v>
      </c>
    </row>
    <row r="198" spans="1:24" s="14" customFormat="1" ht="15" hidden="1" thickTop="1">
      <c r="A198" s="15" t="s">
        <v>0</v>
      </c>
      <c r="B198" s="15" t="s">
        <v>0</v>
      </c>
      <c r="C198" s="16" t="s">
        <v>327</v>
      </c>
      <c r="D198" s="77" t="s">
        <v>894</v>
      </c>
      <c r="E198" s="77" t="s">
        <v>1187</v>
      </c>
      <c r="F198" s="11" t="s">
        <v>317</v>
      </c>
      <c r="G198" s="15" t="s">
        <v>98</v>
      </c>
      <c r="H198" s="15" t="s">
        <v>94</v>
      </c>
      <c r="I198" s="17" t="s">
        <v>94</v>
      </c>
      <c r="J198" s="243">
        <f>325000*10^-3</f>
        <v>325</v>
      </c>
      <c r="K198" s="18" t="s">
        <v>280</v>
      </c>
      <c r="L198" s="16" t="s">
        <v>285</v>
      </c>
      <c r="M198" s="148" t="s">
        <v>713</v>
      </c>
      <c r="N198" s="19" t="str">
        <f>_xlfn.XLOOKUP(Calculations[[#This Row],[For XLOOKUP]],Factors[For XLOOKUP],Factors[Factor],"")</f>
        <v>Σ.Ε. CO₂ eq</v>
      </c>
      <c r="O198" s="19">
        <f>_xlfn.XLOOKUP(Calculations[[#This Row],[For XLOOKUP]],Factors[For XLOOKUP],Factors[Value],"")</f>
        <v>0.1543235835294143</v>
      </c>
      <c r="P198" s="19" t="str">
        <f>_xlfn.XLOOKUP(Calculations[[#This Row],[For XLOOKUP]],Factors[For XLOOKUP],Factors[Units],"")</f>
        <v>tn CO2 eq/ tn</v>
      </c>
      <c r="Q198" s="19" t="str">
        <f>_xlfn.XLOOKUP(Calculations[[#This Row],[For XLOOKUP]],Factors[For XLOOKUP],Factors[Source],"")</f>
        <v>EPA 2024</v>
      </c>
      <c r="R19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8" s="19" t="str">
        <f>IF(LEFT(Calculations[[#This Row],[Emission Factor]],7)="Σ.Ε. CH",Calculations[[#This Row],[Value]]*Calculations[[#This Row],[Τιμή]],"-")</f>
        <v>-</v>
      </c>
      <c r="T19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8" s="19" t="str">
        <f>IF(LEFT(Calculations[[#This Row],[Emission Factor]],3)="GWP",Calculations[[#This Row],[Τιμή]],"-")</f>
        <v>-</v>
      </c>
      <c r="V198" s="19">
        <f>IF(OR(Calculations[[#This Row],[Emission Factor]]="Σ.Ε. CO₂ eq",Calculations[[#This Row],[Emission Factor]]="CO₂ eq"),Calculations[[#This Row],[Value]]*Calculations[[#This Row],[Τιμή]],"-")</f>
        <v>50.155164647059649</v>
      </c>
      <c r="W198" s="19" t="str">
        <f>IF(Calculations[[#This Row],[Πηγή εκπομπών]]="Electricity consumed in office buildings and projects - market based",Calculations[[#This Row],[t CO2]],"")</f>
        <v/>
      </c>
      <c r="X19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50.155164647059649</v>
      </c>
    </row>
    <row r="199" spans="1:24" s="14" customFormat="1" ht="15" hidden="1" thickTop="1">
      <c r="A199" s="15" t="s">
        <v>0</v>
      </c>
      <c r="B199" s="15" t="s">
        <v>0</v>
      </c>
      <c r="C199" s="16" t="s">
        <v>624</v>
      </c>
      <c r="D199" s="16" t="s">
        <v>894</v>
      </c>
      <c r="E199" s="16"/>
      <c r="F199" s="209" t="s">
        <v>317</v>
      </c>
      <c r="G199" s="15" t="s">
        <v>98</v>
      </c>
      <c r="H199" s="15" t="s">
        <v>94</v>
      </c>
      <c r="I199" s="17" t="s">
        <v>94</v>
      </c>
      <c r="J199" s="289">
        <v>82.1952</v>
      </c>
      <c r="K199" s="18" t="s">
        <v>280</v>
      </c>
      <c r="L199" s="16" t="s">
        <v>694</v>
      </c>
      <c r="M199" s="148" t="s">
        <v>701</v>
      </c>
      <c r="N199" s="19" t="str">
        <f>_xlfn.XLOOKUP(Calculations[[#This Row],[For XLOOKUP]],Factors[For XLOOKUP],Factors[Factor],"")</f>
        <v>Σ.Ε. CO₂ eq</v>
      </c>
      <c r="O199" s="19">
        <f>_xlfn.XLOOKUP(Calculations[[#This Row],[For XLOOKUP]],Factors[For XLOOKUP],Factors[Value],"")</f>
        <v>9.8485E-4</v>
      </c>
      <c r="P199" s="19" t="str">
        <f>_xlfn.XLOOKUP(Calculations[[#This Row],[For XLOOKUP]],Factors[For XLOOKUP],Factors[Units],"")</f>
        <v>tn CO2 eq/ tn</v>
      </c>
      <c r="Q199" s="19" t="str">
        <f>_xlfn.XLOOKUP(Calculations[[#This Row],[For XLOOKUP]],Factors[For XLOOKUP],Factors[Source],"")</f>
        <v>DEFRA 2024</v>
      </c>
      <c r="R19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9" s="19" t="str">
        <f>IF(LEFT(Calculations[[#This Row],[Emission Factor]],7)="Σ.Ε. CH",Calculations[[#This Row],[Value]]*Calculations[[#This Row],[Τιμή]],"-")</f>
        <v>-</v>
      </c>
      <c r="T19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9" s="19" t="str">
        <f>IF(LEFT(Calculations[[#This Row],[Emission Factor]],3)="GWP",Calculations[[#This Row],[Τιμή]],"-")</f>
        <v>-</v>
      </c>
      <c r="V199" s="19">
        <f>IF(OR(Calculations[[#This Row],[Emission Factor]]="Σ.Ε. CO₂ eq",Calculations[[#This Row],[Emission Factor]]="CO₂ eq"),Calculations[[#This Row],[Value]]*Calculations[[#This Row],[Τιμή]],"-")</f>
        <v>8.0949942720000001E-2</v>
      </c>
      <c r="W199" s="19" t="str">
        <f>IF(Calculations[[#This Row],[Πηγή εκπομπών]]="Electricity consumed in office buildings and projects - market based",Calculations[[#This Row],[t CO2]],"")</f>
        <v/>
      </c>
      <c r="X19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8.0949942720000001E-2</v>
      </c>
    </row>
    <row r="200" spans="1:24" s="14" customFormat="1" ht="15" hidden="1" thickTop="1">
      <c r="A200" s="15" t="s">
        <v>49</v>
      </c>
      <c r="B200" s="15" t="s">
        <v>49</v>
      </c>
      <c r="C200" s="16" t="s">
        <v>624</v>
      </c>
      <c r="D200" s="77" t="s">
        <v>895</v>
      </c>
      <c r="E200" s="16" t="s">
        <v>1134</v>
      </c>
      <c r="F200" s="77" t="s">
        <v>319</v>
      </c>
      <c r="G200" s="15" t="s">
        <v>584</v>
      </c>
      <c r="H200" s="15" t="s">
        <v>85</v>
      </c>
      <c r="I200" s="17" t="s">
        <v>85</v>
      </c>
      <c r="J200" s="238">
        <v>287309</v>
      </c>
      <c r="K200" s="18" t="s">
        <v>51</v>
      </c>
      <c r="L200" s="16" t="s">
        <v>1135</v>
      </c>
      <c r="M200" s="148" t="s">
        <v>123</v>
      </c>
      <c r="N200" s="19" t="str">
        <f>_xlfn.XLOOKUP(Calculations[[#This Row],[For XLOOKUP]],Factors[For XLOOKUP],Factors[Factor],"")</f>
        <v>Σ.Ε. CO2 - Χώρας</v>
      </c>
      <c r="O200" s="19">
        <f>_xlfn.XLOOKUP(Calculations[[#This Row],[For XLOOKUP]],Factors[For XLOOKUP],Factors[Value],"")</f>
        <v>2.5244139999999998E-4</v>
      </c>
      <c r="P200" s="19" t="str">
        <f>_xlfn.XLOOKUP(Calculations[[#This Row],[For XLOOKUP]],Factors[For XLOOKUP],Factors[Units],"")</f>
        <v>tn CO2/kwh</v>
      </c>
      <c r="Q200" s="19" t="str">
        <f>_xlfn.XLOOKUP(Calculations[[#This Row],[For XLOOKUP]],Factors[For XLOOKUP],Factors[Source],"")</f>
        <v>ΔΑΠΕΕΠ 2024</v>
      </c>
      <c r="R200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72.528686192599992</v>
      </c>
      <c r="S200" s="19" t="str">
        <f>IF(LEFT(Calculations[[#This Row],[Emission Factor]],7)="Σ.Ε. CH",Calculations[[#This Row],[Value]]*Calculations[[#This Row],[Τιμή]],"-")</f>
        <v>-</v>
      </c>
      <c r="T20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0" s="19" t="str">
        <f>IF(LEFT(Calculations[[#This Row],[Emission Factor]],3)="GWP",Calculations[[#This Row],[Τιμή]],"-")</f>
        <v>-</v>
      </c>
      <c r="V200" s="19" t="str">
        <f>IF(OR(Calculations[[#This Row],[Emission Factor]]="Σ.Ε. CO₂ eq",Calculations[[#This Row],[Emission Factor]]="CO₂ eq"),Calculations[[#This Row],[Value]]*Calculations[[#This Row],[Τιμή]],"-")</f>
        <v>-</v>
      </c>
      <c r="W200" s="19" t="str">
        <f>IF(Calculations[[#This Row],[Πηγή εκπομπών]]="Electricity consumed in office buildings and projects - market based",Calculations[[#This Row],[t CO2]],"")</f>
        <v/>
      </c>
      <c r="X20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72.528686192599992</v>
      </c>
    </row>
    <row r="201" spans="1:24" s="14" customFormat="1" ht="15" hidden="1" thickTop="1">
      <c r="A201" s="15" t="s">
        <v>49</v>
      </c>
      <c r="B201" s="15" t="s">
        <v>49</v>
      </c>
      <c r="C201" s="16" t="s">
        <v>624</v>
      </c>
      <c r="D201" s="77" t="s">
        <v>895</v>
      </c>
      <c r="E201" s="16" t="s">
        <v>1134</v>
      </c>
      <c r="F201" s="77" t="s">
        <v>319</v>
      </c>
      <c r="G201" s="15" t="s">
        <v>584</v>
      </c>
      <c r="H201" s="15" t="s">
        <v>85</v>
      </c>
      <c r="I201" s="17" t="s">
        <v>85</v>
      </c>
      <c r="J201" s="245" cm="1">
        <f t="array" ref="J201">_xlfn.XLOOKUP(1,(Calculations[Πληροφορίες]=Calculations[[#This Row],[Πληροφορίες]])*(Calculations[Έργο]=Calculations[[#This Row],[Έργο]]),Calculations[Τιμή])</f>
        <v>287309</v>
      </c>
      <c r="K201" s="18" t="s">
        <v>51</v>
      </c>
      <c r="L201" s="16" t="s">
        <v>1135</v>
      </c>
      <c r="M201" s="148" t="s">
        <v>122</v>
      </c>
      <c r="N201" s="19" t="str">
        <f>_xlfn.XLOOKUP(Calculations[[#This Row],[For XLOOKUP]],Factors[For XLOOKUP],Factors[Factor],"")</f>
        <v>Σ.Ε. CH4 - Χώρας</v>
      </c>
      <c r="O201" s="19">
        <f>_xlfn.XLOOKUP(Calculations[[#This Row],[For XLOOKUP]],Factors[For XLOOKUP],Factors[Value],"")</f>
        <v>6.3220000000000003E-9</v>
      </c>
      <c r="P201" s="19" t="str">
        <f>_xlfn.XLOOKUP(Calculations[[#This Row],[For XLOOKUP]],Factors[For XLOOKUP],Factors[Units],"")</f>
        <v>tn CH4/kWh</v>
      </c>
      <c r="Q201" s="19" t="str">
        <f>_xlfn.XLOOKUP(Calculations[[#This Row],[For XLOOKUP]],Factors[For XLOOKUP],Factors[Source],"")</f>
        <v>Έκθεση ΔΑΠΕΕΠ 2022 και NIR 2022</v>
      </c>
      <c r="R20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1" s="19">
        <f>IF(LEFT(Calculations[[#This Row],[Emission Factor]],7)="Σ.Ε. CH",Calculations[[#This Row],[Value]]*Calculations[[#This Row],[Τιμή]],"-")</f>
        <v>1.8163674980000001E-3</v>
      </c>
      <c r="T20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1" s="19" t="str">
        <f>IF(LEFT(Calculations[[#This Row],[Emission Factor]],3)="GWP",Calculations[[#This Row],[Τιμή]],"-")</f>
        <v>-</v>
      </c>
      <c r="V201" s="19" t="str">
        <f>IF(OR(Calculations[[#This Row],[Emission Factor]]="Σ.Ε. CO₂ eq",Calculations[[#This Row],[Emission Factor]]="CO₂ eq"),Calculations[[#This Row],[Value]]*Calculations[[#This Row],[Τιμή]],"-")</f>
        <v>-</v>
      </c>
      <c r="W201" s="19" t="str">
        <f>IF(Calculations[[#This Row],[Πηγή εκπομπών]]="Electricity consumed in office buildings and projects - market based",Calculations[[#This Row],[t CO2]],"")</f>
        <v/>
      </c>
      <c r="X20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5.0858289944000004E-2</v>
      </c>
    </row>
    <row r="202" spans="1:24" s="14" customFormat="1" ht="15" hidden="1" thickTop="1">
      <c r="A202" s="15" t="s">
        <v>49</v>
      </c>
      <c r="B202" s="15" t="s">
        <v>49</v>
      </c>
      <c r="C202" s="16" t="s">
        <v>624</v>
      </c>
      <c r="D202" s="16" t="s">
        <v>895</v>
      </c>
      <c r="E202" s="16" t="s">
        <v>1134</v>
      </c>
      <c r="F202" s="16" t="s">
        <v>319</v>
      </c>
      <c r="G202" s="15" t="s">
        <v>584</v>
      </c>
      <c r="H202" s="15" t="s">
        <v>85</v>
      </c>
      <c r="I202" s="17" t="s">
        <v>85</v>
      </c>
      <c r="J202" s="245" cm="1">
        <f t="array" ref="J202">_xlfn.XLOOKUP(1,(Calculations[Πληροφορίες]=Calculations[[#This Row],[Πληροφορίες]])*(Calculations[Έργο]=Calculations[[#This Row],[Έργο]]),Calculations[Τιμή])</f>
        <v>287309</v>
      </c>
      <c r="K202" s="18" t="s">
        <v>51</v>
      </c>
      <c r="L202" s="16" t="s">
        <v>1135</v>
      </c>
      <c r="M202" s="148" t="s">
        <v>126</v>
      </c>
      <c r="N202" s="19" t="str">
        <f>_xlfn.XLOOKUP(Calculations[[#This Row],[For XLOOKUP]],Factors[For XLOOKUP],Factors[Factor],"")</f>
        <v>Σ.Ε. N2O - Χώρας</v>
      </c>
      <c r="O202" s="19">
        <f>_xlfn.XLOOKUP(Calculations[[#This Row],[For XLOOKUP]],Factors[For XLOOKUP],Factors[Value],"")</f>
        <v>2.6031000000000002E-9</v>
      </c>
      <c r="P202" s="19" t="str">
        <f>_xlfn.XLOOKUP(Calculations[[#This Row],[For XLOOKUP]],Factors[For XLOOKUP],Factors[Units],"")</f>
        <v>tn N2O/kWh</v>
      </c>
      <c r="Q202" s="19" t="str">
        <f>_xlfn.XLOOKUP(Calculations[[#This Row],[For XLOOKUP]],Factors[For XLOOKUP],Factors[Source],"")</f>
        <v>Έκθεση ΔΑΠΕΕΠ 2022 και NIR 2022</v>
      </c>
      <c r="R20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2" s="19" t="str">
        <f>IF(LEFT(Calculations[[#This Row],[Emission Factor]],7)="Σ.Ε. CH",Calculations[[#This Row],[Value]]*Calculations[[#This Row],[Τιμή]],"-")</f>
        <v>-</v>
      </c>
      <c r="T202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7.4789405790000004E-4</v>
      </c>
      <c r="U202" s="19" t="str">
        <f>IF(LEFT(Calculations[[#This Row],[Emission Factor]],3)="GWP",Calculations[[#This Row],[Τιμή]],"-")</f>
        <v>-</v>
      </c>
      <c r="V202" s="19" t="str">
        <f>IF(OR(Calculations[[#This Row],[Emission Factor]]="Σ.Ε. CO₂ eq",Calculations[[#This Row],[Emission Factor]]="CO₂ eq"),Calculations[[#This Row],[Value]]*Calculations[[#This Row],[Τιμή]],"-")</f>
        <v>-</v>
      </c>
      <c r="W202" s="19" t="str">
        <f>IF(Calculations[[#This Row],[Πηγή εκπομπών]]="Electricity consumed in office buildings and projects - market based",Calculations[[#This Row],[t CO2]],"")</f>
        <v/>
      </c>
      <c r="X20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0.1981919253435</v>
      </c>
    </row>
    <row r="203" spans="1:24" s="14" customFormat="1" ht="15" hidden="1" thickTop="1">
      <c r="A203" s="15" t="s">
        <v>49</v>
      </c>
      <c r="B203" s="15" t="s">
        <v>49</v>
      </c>
      <c r="C203" s="16" t="s">
        <v>624</v>
      </c>
      <c r="D203" s="16" t="s">
        <v>895</v>
      </c>
      <c r="E203" s="16" t="s">
        <v>1136</v>
      </c>
      <c r="F203" s="16" t="s">
        <v>319</v>
      </c>
      <c r="G203" s="15" t="s">
        <v>584</v>
      </c>
      <c r="H203" s="15" t="s">
        <v>85</v>
      </c>
      <c r="I203" s="17" t="s">
        <v>85</v>
      </c>
      <c r="J203" s="238">
        <v>82089.878035182206</v>
      </c>
      <c r="K203" s="18" t="s">
        <v>51</v>
      </c>
      <c r="L203" s="16" t="s">
        <v>323</v>
      </c>
      <c r="M203" s="148" t="s">
        <v>123</v>
      </c>
      <c r="N203" s="19" t="str">
        <f>_xlfn.XLOOKUP(Calculations[[#This Row],[For XLOOKUP]],Factors[For XLOOKUP],Factors[Factor],"")</f>
        <v>Σ.Ε. CO2 - Χώρας</v>
      </c>
      <c r="O203" s="19">
        <f>_xlfn.XLOOKUP(Calculations[[#This Row],[For XLOOKUP]],Factors[For XLOOKUP],Factors[Value],"")</f>
        <v>2.5244139999999998E-4</v>
      </c>
      <c r="P203" s="19" t="str">
        <f>_xlfn.XLOOKUP(Calculations[[#This Row],[For XLOOKUP]],Factors[For XLOOKUP],Factors[Units],"")</f>
        <v>tn CO2/kwh</v>
      </c>
      <c r="Q203" s="19" t="str">
        <f>_xlfn.XLOOKUP(Calculations[[#This Row],[For XLOOKUP]],Factors[For XLOOKUP],Factors[Source],"")</f>
        <v>ΔΑΠΕΕΠ 2024</v>
      </c>
      <c r="R203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20.722883737030642</v>
      </c>
      <c r="S203" s="19" t="str">
        <f>IF(LEFT(Calculations[[#This Row],[Emission Factor]],7)="Σ.Ε. CH",Calculations[[#This Row],[Value]]*Calculations[[#This Row],[Τιμή]],"-")</f>
        <v>-</v>
      </c>
      <c r="T20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3" s="19" t="str">
        <f>IF(LEFT(Calculations[[#This Row],[Emission Factor]],3)="GWP",Calculations[[#This Row],[Τιμή]],"-")</f>
        <v>-</v>
      </c>
      <c r="V203" s="19" t="str">
        <f>IF(OR(Calculations[[#This Row],[Emission Factor]]="Σ.Ε. CO₂ eq",Calculations[[#This Row],[Emission Factor]]="CO₂ eq"),Calculations[[#This Row],[Value]]*Calculations[[#This Row],[Τιμή]],"-")</f>
        <v>-</v>
      </c>
      <c r="W203" s="19" t="str">
        <f>IF(Calculations[[#This Row],[Πηγή εκπομπών]]="Electricity consumed in office buildings and projects - market based",Calculations[[#This Row],[t CO2]],"")</f>
        <v/>
      </c>
      <c r="X20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20.722883737030642</v>
      </c>
    </row>
    <row r="204" spans="1:24" s="14" customFormat="1" ht="15" hidden="1" thickTop="1">
      <c r="A204" s="15" t="s">
        <v>49</v>
      </c>
      <c r="B204" s="15" t="s">
        <v>49</v>
      </c>
      <c r="C204" s="16" t="s">
        <v>624</v>
      </c>
      <c r="D204" s="16" t="s">
        <v>895</v>
      </c>
      <c r="E204" s="16" t="s">
        <v>1136</v>
      </c>
      <c r="F204" s="16" t="s">
        <v>319</v>
      </c>
      <c r="G204" s="15" t="s">
        <v>584</v>
      </c>
      <c r="H204" s="15" t="s">
        <v>85</v>
      </c>
      <c r="I204" s="17" t="s">
        <v>85</v>
      </c>
      <c r="J204" s="245" cm="1">
        <f t="array" ref="J204">_xlfn.XLOOKUP(1,(Calculations[Πληροφορίες]=Calculations[[#This Row],[Πληροφορίες]])*(Calculations[Έργο]=Calculations[[#This Row],[Έργο]]),Calculations[Τιμή])</f>
        <v>82089.878035182206</v>
      </c>
      <c r="K204" s="18" t="s">
        <v>51</v>
      </c>
      <c r="L204" s="16" t="s">
        <v>323</v>
      </c>
      <c r="M204" s="148" t="s">
        <v>122</v>
      </c>
      <c r="N204" s="19" t="str">
        <f>_xlfn.XLOOKUP(Calculations[[#This Row],[For XLOOKUP]],Factors[For XLOOKUP],Factors[Factor],"")</f>
        <v>Σ.Ε. CH4 - Χώρας</v>
      </c>
      <c r="O204" s="19">
        <f>_xlfn.XLOOKUP(Calculations[[#This Row],[For XLOOKUP]],Factors[For XLOOKUP],Factors[Value],"")</f>
        <v>6.3220000000000003E-9</v>
      </c>
      <c r="P204" s="19" t="str">
        <f>_xlfn.XLOOKUP(Calculations[[#This Row],[For XLOOKUP]],Factors[For XLOOKUP],Factors[Units],"")</f>
        <v>tn CH4/kWh</v>
      </c>
      <c r="Q204" s="19" t="str">
        <f>_xlfn.XLOOKUP(Calculations[[#This Row],[For XLOOKUP]],Factors[For XLOOKUP],Factors[Source],"")</f>
        <v>Έκθεση ΔΑΠΕΕΠ 2022 και NIR 2022</v>
      </c>
      <c r="R20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4" s="19">
        <f>IF(LEFT(Calculations[[#This Row],[Emission Factor]],7)="Σ.Ε. CH",Calculations[[#This Row],[Value]]*Calculations[[#This Row],[Τιμή]],"-")</f>
        <v>5.1897220893842193E-4</v>
      </c>
      <c r="T20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4" s="19" t="str">
        <f>IF(LEFT(Calculations[[#This Row],[Emission Factor]],3)="GWP",Calculations[[#This Row],[Τιμή]],"-")</f>
        <v>-</v>
      </c>
      <c r="V204" s="19" t="str">
        <f>IF(OR(Calculations[[#This Row],[Emission Factor]]="Σ.Ε. CO₂ eq",Calculations[[#This Row],[Emission Factor]]="CO₂ eq"),Calculations[[#This Row],[Value]]*Calculations[[#This Row],[Τιμή]],"-")</f>
        <v>-</v>
      </c>
      <c r="W204" s="19" t="str">
        <f>IF(Calculations[[#This Row],[Πηγή εκπομπών]]="Electricity consumed in office buildings and projects - market based",Calculations[[#This Row],[t CO2]],"")</f>
        <v/>
      </c>
      <c r="X20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1.4531221850275814E-2</v>
      </c>
    </row>
    <row r="205" spans="1:24" s="14" customFormat="1" ht="15" hidden="1" thickTop="1">
      <c r="A205" s="15" t="s">
        <v>49</v>
      </c>
      <c r="B205" s="15" t="s">
        <v>49</v>
      </c>
      <c r="C205" s="16" t="s">
        <v>624</v>
      </c>
      <c r="D205" s="16" t="s">
        <v>895</v>
      </c>
      <c r="E205" s="16" t="s">
        <v>1136</v>
      </c>
      <c r="F205" s="16" t="s">
        <v>319</v>
      </c>
      <c r="G205" s="15" t="s">
        <v>584</v>
      </c>
      <c r="H205" s="15" t="s">
        <v>85</v>
      </c>
      <c r="I205" s="17" t="s">
        <v>85</v>
      </c>
      <c r="J205" s="245" cm="1">
        <f t="array" ref="J205">_xlfn.XLOOKUP(1,(Calculations[Πληροφορίες]=Calculations[[#This Row],[Πληροφορίες]])*(Calculations[Έργο]=Calculations[[#This Row],[Έργο]]),Calculations[Τιμή])</f>
        <v>82089.878035182206</v>
      </c>
      <c r="K205" s="18" t="s">
        <v>51</v>
      </c>
      <c r="L205" s="16" t="s">
        <v>323</v>
      </c>
      <c r="M205" s="148" t="s">
        <v>126</v>
      </c>
      <c r="N205" s="19" t="str">
        <f>_xlfn.XLOOKUP(Calculations[[#This Row],[For XLOOKUP]],Factors[For XLOOKUP],Factors[Factor],"")</f>
        <v>Σ.Ε. N2O - Χώρας</v>
      </c>
      <c r="O205" s="19">
        <f>_xlfn.XLOOKUP(Calculations[[#This Row],[For XLOOKUP]],Factors[For XLOOKUP],Factors[Value],"")</f>
        <v>2.6031000000000002E-9</v>
      </c>
      <c r="P205" s="19" t="str">
        <f>_xlfn.XLOOKUP(Calculations[[#This Row],[For XLOOKUP]],Factors[For XLOOKUP],Factors[Units],"")</f>
        <v>tn N2O/kWh</v>
      </c>
      <c r="Q205" s="19" t="str">
        <f>_xlfn.XLOOKUP(Calculations[[#This Row],[For XLOOKUP]],Factors[For XLOOKUP],Factors[Source],"")</f>
        <v>Έκθεση ΔΑΠΕΕΠ 2022 και NIR 2022</v>
      </c>
      <c r="R20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5" s="19" t="str">
        <f>IF(LEFT(Calculations[[#This Row],[Emission Factor]],7)="Σ.Ε. CH",Calculations[[#This Row],[Value]]*Calculations[[#This Row],[Τιμή]],"-")</f>
        <v>-</v>
      </c>
      <c r="T205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2.1368816151338282E-4</v>
      </c>
      <c r="U205" s="19" t="str">
        <f>IF(LEFT(Calculations[[#This Row],[Emission Factor]],3)="GWP",Calculations[[#This Row],[Τιμή]],"-")</f>
        <v>-</v>
      </c>
      <c r="V205" s="19" t="str">
        <f>IF(OR(Calculations[[#This Row],[Emission Factor]]="Σ.Ε. CO₂ eq",Calculations[[#This Row],[Emission Factor]]="CO₂ eq"),Calculations[[#This Row],[Value]]*Calculations[[#This Row],[Τιμή]],"-")</f>
        <v>-</v>
      </c>
      <c r="W205" s="19" t="str">
        <f>IF(Calculations[[#This Row],[Πηγή εκπομπών]]="Electricity consumed in office buildings and projects - market based",Calculations[[#This Row],[t CO2]],"")</f>
        <v/>
      </c>
      <c r="X20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5.6627362801046445E-2</v>
      </c>
    </row>
    <row r="206" spans="1:24" s="14" customFormat="1" ht="15" hidden="1" thickTop="1">
      <c r="A206" s="15" t="s">
        <v>49</v>
      </c>
      <c r="B206" s="15" t="s">
        <v>49</v>
      </c>
      <c r="C206" s="16" t="s">
        <v>624</v>
      </c>
      <c r="D206" s="16" t="s">
        <v>895</v>
      </c>
      <c r="E206" s="16" t="s">
        <v>1137</v>
      </c>
      <c r="F206" s="16" t="s">
        <v>319</v>
      </c>
      <c r="G206" s="15" t="s">
        <v>584</v>
      </c>
      <c r="H206" s="15" t="s">
        <v>85</v>
      </c>
      <c r="I206" s="17" t="s">
        <v>85</v>
      </c>
      <c r="J206" s="238">
        <v>37261.56</v>
      </c>
      <c r="K206" s="18" t="s">
        <v>51</v>
      </c>
      <c r="L206" s="16" t="s">
        <v>323</v>
      </c>
      <c r="M206" s="148" t="s">
        <v>123</v>
      </c>
      <c r="N206" s="19" t="str">
        <f>_xlfn.XLOOKUP(Calculations[[#This Row],[For XLOOKUP]],Factors[For XLOOKUP],Factors[Factor],"")</f>
        <v>Σ.Ε. CO2 - Χώρας</v>
      </c>
      <c r="O206" s="19">
        <f>_xlfn.XLOOKUP(Calculations[[#This Row],[For XLOOKUP]],Factors[For XLOOKUP],Factors[Value],"")</f>
        <v>2.5244139999999998E-4</v>
      </c>
      <c r="P206" s="19" t="str">
        <f>_xlfn.XLOOKUP(Calculations[[#This Row],[For XLOOKUP]],Factors[For XLOOKUP],Factors[Units],"")</f>
        <v>tn CO2/kwh</v>
      </c>
      <c r="Q206" s="19" t="str">
        <f>_xlfn.XLOOKUP(Calculations[[#This Row],[For XLOOKUP]],Factors[For XLOOKUP],Factors[Source],"")</f>
        <v>ΔΑΠΕΕΠ 2024</v>
      </c>
      <c r="R206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9.4063603725839986</v>
      </c>
      <c r="S206" s="19" t="str">
        <f>IF(LEFT(Calculations[[#This Row],[Emission Factor]],7)="Σ.Ε. CH",Calculations[[#This Row],[Value]]*Calculations[[#This Row],[Τιμή]],"-")</f>
        <v>-</v>
      </c>
      <c r="T20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6" s="19" t="str">
        <f>IF(LEFT(Calculations[[#This Row],[Emission Factor]],3)="GWP",Calculations[[#This Row],[Τιμή]],"-")</f>
        <v>-</v>
      </c>
      <c r="V206" s="19" t="str">
        <f>IF(OR(Calculations[[#This Row],[Emission Factor]]="Σ.Ε. CO₂ eq",Calculations[[#This Row],[Emission Factor]]="CO₂ eq"),Calculations[[#This Row],[Value]]*Calculations[[#This Row],[Τιμή]],"-")</f>
        <v>-</v>
      </c>
      <c r="W206" s="19" t="str">
        <f>IF(Calculations[[#This Row],[Πηγή εκπομπών]]="Electricity consumed in office buildings and projects - market based",Calculations[[#This Row],[t CO2]],"")</f>
        <v/>
      </c>
      <c r="X20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9.4063603725839986</v>
      </c>
    </row>
    <row r="207" spans="1:24" s="14" customFormat="1" ht="15" hidden="1" thickTop="1">
      <c r="A207" s="15" t="s">
        <v>49</v>
      </c>
      <c r="B207" s="15" t="s">
        <v>49</v>
      </c>
      <c r="C207" s="16" t="s">
        <v>624</v>
      </c>
      <c r="D207" s="16" t="s">
        <v>895</v>
      </c>
      <c r="E207" s="16" t="s">
        <v>1137</v>
      </c>
      <c r="F207" s="16" t="s">
        <v>319</v>
      </c>
      <c r="G207" s="15" t="s">
        <v>584</v>
      </c>
      <c r="H207" s="15" t="s">
        <v>85</v>
      </c>
      <c r="I207" s="17" t="s">
        <v>85</v>
      </c>
      <c r="J207" s="245" cm="1">
        <f t="array" ref="J207">_xlfn.XLOOKUP(1,(Calculations[Πληροφορίες]=Calculations[[#This Row],[Πληροφορίες]])*(Calculations[Έργο]=Calculations[[#This Row],[Έργο]]),Calculations[Τιμή])</f>
        <v>37261.56</v>
      </c>
      <c r="K207" s="18" t="s">
        <v>51</v>
      </c>
      <c r="L207" s="16" t="s">
        <v>323</v>
      </c>
      <c r="M207" s="148" t="s">
        <v>122</v>
      </c>
      <c r="N207" s="19" t="str">
        <f>_xlfn.XLOOKUP(Calculations[[#This Row],[For XLOOKUP]],Factors[For XLOOKUP],Factors[Factor],"")</f>
        <v>Σ.Ε. CH4 - Χώρας</v>
      </c>
      <c r="O207" s="19">
        <f>_xlfn.XLOOKUP(Calculations[[#This Row],[For XLOOKUP]],Factors[For XLOOKUP],Factors[Value],"")</f>
        <v>6.3220000000000003E-9</v>
      </c>
      <c r="P207" s="19" t="str">
        <f>_xlfn.XLOOKUP(Calculations[[#This Row],[For XLOOKUP]],Factors[For XLOOKUP],Factors[Units],"")</f>
        <v>tn CH4/kWh</v>
      </c>
      <c r="Q207" s="19" t="str">
        <f>_xlfn.XLOOKUP(Calculations[[#This Row],[For XLOOKUP]],Factors[For XLOOKUP],Factors[Source],"")</f>
        <v>Έκθεση ΔΑΠΕΕΠ 2022 και NIR 2022</v>
      </c>
      <c r="R20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7" s="19">
        <f>IF(LEFT(Calculations[[#This Row],[Emission Factor]],7)="Σ.Ε. CH",Calculations[[#This Row],[Value]]*Calculations[[#This Row],[Τιμή]],"-")</f>
        <v>2.3556758232E-4</v>
      </c>
      <c r="T20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7" s="19" t="str">
        <f>IF(LEFT(Calculations[[#This Row],[Emission Factor]],3)="GWP",Calculations[[#This Row],[Τιμή]],"-")</f>
        <v>-</v>
      </c>
      <c r="V207" s="19" t="str">
        <f>IF(OR(Calculations[[#This Row],[Emission Factor]]="Σ.Ε. CO₂ eq",Calculations[[#This Row],[Emission Factor]]="CO₂ eq"),Calculations[[#This Row],[Value]]*Calculations[[#This Row],[Τιμή]],"-")</f>
        <v>-</v>
      </c>
      <c r="W207" s="19" t="str">
        <f>IF(Calculations[[#This Row],[Πηγή εκπομπών]]="Electricity consumed in office buildings and projects - market based",Calculations[[#This Row],[t CO2]],"")</f>
        <v/>
      </c>
      <c r="X20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6.5958923049599999E-3</v>
      </c>
    </row>
    <row r="208" spans="1:24" s="14" customFormat="1" ht="15" hidden="1" thickTop="1">
      <c r="A208" s="15" t="s">
        <v>49</v>
      </c>
      <c r="B208" s="15" t="s">
        <v>49</v>
      </c>
      <c r="C208" s="16" t="s">
        <v>624</v>
      </c>
      <c r="D208" s="16" t="s">
        <v>895</v>
      </c>
      <c r="E208" s="16" t="s">
        <v>1137</v>
      </c>
      <c r="F208" s="16" t="s">
        <v>319</v>
      </c>
      <c r="G208" s="15" t="s">
        <v>584</v>
      </c>
      <c r="H208" s="15" t="s">
        <v>85</v>
      </c>
      <c r="I208" s="17" t="s">
        <v>85</v>
      </c>
      <c r="J208" s="245" cm="1">
        <f t="array" ref="J208">_xlfn.XLOOKUP(1,(Calculations[Πληροφορίες]=Calculations[[#This Row],[Πληροφορίες]])*(Calculations[Έργο]=Calculations[[#This Row],[Έργο]]),Calculations[Τιμή])</f>
        <v>37261.56</v>
      </c>
      <c r="K208" s="18" t="s">
        <v>51</v>
      </c>
      <c r="L208" s="16" t="s">
        <v>323</v>
      </c>
      <c r="M208" s="148" t="s">
        <v>126</v>
      </c>
      <c r="N208" s="19" t="str">
        <f>_xlfn.XLOOKUP(Calculations[[#This Row],[For XLOOKUP]],Factors[For XLOOKUP],Factors[Factor],"")</f>
        <v>Σ.Ε. N2O - Χώρας</v>
      </c>
      <c r="O208" s="19">
        <f>_xlfn.XLOOKUP(Calculations[[#This Row],[For XLOOKUP]],Factors[For XLOOKUP],Factors[Value],"")</f>
        <v>2.6031000000000002E-9</v>
      </c>
      <c r="P208" s="19" t="str">
        <f>_xlfn.XLOOKUP(Calculations[[#This Row],[For XLOOKUP]],Factors[For XLOOKUP],Factors[Units],"")</f>
        <v>tn N2O/kWh</v>
      </c>
      <c r="Q208" s="19" t="str">
        <f>_xlfn.XLOOKUP(Calculations[[#This Row],[For XLOOKUP]],Factors[For XLOOKUP],Factors[Source],"")</f>
        <v>Έκθεση ΔΑΠΕΕΠ 2022 και NIR 2022</v>
      </c>
      <c r="R20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8" s="19" t="str">
        <f>IF(LEFT(Calculations[[#This Row],[Emission Factor]],7)="Σ.Ε. CH",Calculations[[#This Row],[Value]]*Calculations[[#This Row],[Τιμή]],"-")</f>
        <v>-</v>
      </c>
      <c r="T208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9.6995566836000001E-5</v>
      </c>
      <c r="U208" s="19" t="str">
        <f>IF(LEFT(Calculations[[#This Row],[Emission Factor]],3)="GWP",Calculations[[#This Row],[Τιμή]],"-")</f>
        <v>-</v>
      </c>
      <c r="V208" s="19" t="str">
        <f>IF(OR(Calculations[[#This Row],[Emission Factor]]="Σ.Ε. CO₂ eq",Calculations[[#This Row],[Emission Factor]]="CO₂ eq"),Calculations[[#This Row],[Value]]*Calculations[[#This Row],[Τιμή]],"-")</f>
        <v>-</v>
      </c>
      <c r="W208" s="19" t="str">
        <f>IF(Calculations[[#This Row],[Πηγή εκπομπών]]="Electricity consumed in office buildings and projects - market based",Calculations[[#This Row],[t CO2]],"")</f>
        <v/>
      </c>
      <c r="X20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2.570382521154E-2</v>
      </c>
    </row>
    <row r="209" spans="1:24" s="14" customFormat="1" ht="15" hidden="1" thickTop="1">
      <c r="A209" s="15" t="s">
        <v>49</v>
      </c>
      <c r="B209" s="15" t="s">
        <v>49</v>
      </c>
      <c r="C209" s="16" t="s">
        <v>624</v>
      </c>
      <c r="D209" s="16" t="s">
        <v>895</v>
      </c>
      <c r="E209" s="16" t="s">
        <v>1137</v>
      </c>
      <c r="F209" s="16" t="s">
        <v>319</v>
      </c>
      <c r="G209" s="15" t="s">
        <v>584</v>
      </c>
      <c r="H209" s="15" t="s">
        <v>85</v>
      </c>
      <c r="I209" s="17" t="s">
        <v>85</v>
      </c>
      <c r="J209" s="238">
        <v>80048.09</v>
      </c>
      <c r="K209" s="18" t="s">
        <v>51</v>
      </c>
      <c r="L209" s="16" t="s">
        <v>326</v>
      </c>
      <c r="M209" s="148" t="s">
        <v>123</v>
      </c>
      <c r="N209" s="19" t="str">
        <f>_xlfn.XLOOKUP(Calculations[[#This Row],[For XLOOKUP]],Factors[For XLOOKUP],Factors[Factor],"")</f>
        <v>Σ.Ε. CO2 - Χώρας</v>
      </c>
      <c r="O209" s="19">
        <f>_xlfn.XLOOKUP(Calculations[[#This Row],[For XLOOKUP]],Factors[For XLOOKUP],Factors[Value],"")</f>
        <v>2.5244139999999998E-4</v>
      </c>
      <c r="P209" s="19" t="str">
        <f>_xlfn.XLOOKUP(Calculations[[#This Row],[For XLOOKUP]],Factors[For XLOOKUP],Factors[Units],"")</f>
        <v>tn CO2/kwh</v>
      </c>
      <c r="Q209" s="19" t="str">
        <f>_xlfn.XLOOKUP(Calculations[[#This Row],[For XLOOKUP]],Factors[For XLOOKUP],Factors[Source],"")</f>
        <v>ΔΑΠΕΕΠ 2024</v>
      </c>
      <c r="R209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20.207451906925996</v>
      </c>
      <c r="S209" s="19" t="str">
        <f>IF(LEFT(Calculations[[#This Row],[Emission Factor]],7)="Σ.Ε. CH",Calculations[[#This Row],[Value]]*Calculations[[#This Row],[Τιμή]],"-")</f>
        <v>-</v>
      </c>
      <c r="T20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9" s="19" t="str">
        <f>IF(LEFT(Calculations[[#This Row],[Emission Factor]],3)="GWP",Calculations[[#This Row],[Τιμή]],"-")</f>
        <v>-</v>
      </c>
      <c r="V209" s="19" t="str">
        <f>IF(OR(Calculations[[#This Row],[Emission Factor]]="Σ.Ε. CO₂ eq",Calculations[[#This Row],[Emission Factor]]="CO₂ eq"),Calculations[[#This Row],[Value]]*Calculations[[#This Row],[Τιμή]],"-")</f>
        <v>-</v>
      </c>
      <c r="W209" s="19" t="str">
        <f>IF(Calculations[[#This Row],[Πηγή εκπομπών]]="Electricity consumed in office buildings and projects - market based",Calculations[[#This Row],[t CO2]],"")</f>
        <v/>
      </c>
      <c r="X20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20.207451906925996</v>
      </c>
    </row>
    <row r="210" spans="1:24" s="14" customFormat="1" ht="15" hidden="1" thickTop="1">
      <c r="A210" s="15" t="s">
        <v>49</v>
      </c>
      <c r="B210" s="15" t="s">
        <v>49</v>
      </c>
      <c r="C210" s="16" t="s">
        <v>624</v>
      </c>
      <c r="D210" s="16" t="s">
        <v>895</v>
      </c>
      <c r="E210" s="16" t="s">
        <v>1137</v>
      </c>
      <c r="F210" s="16" t="s">
        <v>319</v>
      </c>
      <c r="G210" s="15" t="s">
        <v>584</v>
      </c>
      <c r="H210" s="15" t="s">
        <v>85</v>
      </c>
      <c r="I210" s="17" t="s">
        <v>85</v>
      </c>
      <c r="J210" s="245" cm="1">
        <f t="array" ref="J210">_xlfn.XLOOKUP(1,(Calculations[Πληροφορίες]=Calculations[[#This Row],[Πληροφορίες]])*(Calculations[Έργο]=Calculations[[#This Row],[Έργο]]),Calculations[Τιμή])</f>
        <v>80048.09</v>
      </c>
      <c r="K210" s="18" t="s">
        <v>51</v>
      </c>
      <c r="L210" s="16" t="s">
        <v>326</v>
      </c>
      <c r="M210" s="148" t="s">
        <v>122</v>
      </c>
      <c r="N210" s="19" t="str">
        <f>_xlfn.XLOOKUP(Calculations[[#This Row],[For XLOOKUP]],Factors[For XLOOKUP],Factors[Factor],"")</f>
        <v>Σ.Ε. CH4 - Χώρας</v>
      </c>
      <c r="O210" s="19">
        <f>_xlfn.XLOOKUP(Calculations[[#This Row],[For XLOOKUP]],Factors[For XLOOKUP],Factors[Value],"")</f>
        <v>6.3220000000000003E-9</v>
      </c>
      <c r="P210" s="19" t="str">
        <f>_xlfn.XLOOKUP(Calculations[[#This Row],[For XLOOKUP]],Factors[For XLOOKUP],Factors[Units],"")</f>
        <v>tn CH4/kWh</v>
      </c>
      <c r="Q210" s="19" t="str">
        <f>_xlfn.XLOOKUP(Calculations[[#This Row],[For XLOOKUP]],Factors[For XLOOKUP],Factors[Source],"")</f>
        <v>Έκθεση ΔΑΠΕΕΠ 2022 και NIR 2022</v>
      </c>
      <c r="R21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0" s="19">
        <f>IF(LEFT(Calculations[[#This Row],[Emission Factor]],7)="Σ.Ε. CH",Calculations[[#This Row],[Value]]*Calculations[[#This Row],[Τιμή]],"-")</f>
        <v>5.0606402498000003E-4</v>
      </c>
      <c r="T21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0" s="19" t="str">
        <f>IF(LEFT(Calculations[[#This Row],[Emission Factor]],3)="GWP",Calculations[[#This Row],[Τιμή]],"-")</f>
        <v>-</v>
      </c>
      <c r="V210" s="19" t="str">
        <f>IF(OR(Calculations[[#This Row],[Emission Factor]]="Σ.Ε. CO₂ eq",Calculations[[#This Row],[Emission Factor]]="CO₂ eq"),Calculations[[#This Row],[Value]]*Calculations[[#This Row],[Τιμή]],"-")</f>
        <v>-</v>
      </c>
      <c r="W210" s="19" t="str">
        <f>IF(Calculations[[#This Row],[Πηγή εκπομπών]]="Electricity consumed in office buildings and projects - market based",Calculations[[#This Row],[t CO2]],"")</f>
        <v/>
      </c>
      <c r="X21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1.4169792699440001E-2</v>
      </c>
    </row>
    <row r="211" spans="1:24" s="14" customFormat="1" ht="15" hidden="1" thickTop="1">
      <c r="A211" s="15" t="s">
        <v>49</v>
      </c>
      <c r="B211" s="15" t="s">
        <v>49</v>
      </c>
      <c r="C211" s="16" t="s">
        <v>624</v>
      </c>
      <c r="D211" s="16" t="s">
        <v>895</v>
      </c>
      <c r="E211" s="16" t="s">
        <v>1137</v>
      </c>
      <c r="F211" s="16" t="s">
        <v>319</v>
      </c>
      <c r="G211" s="15" t="s">
        <v>584</v>
      </c>
      <c r="H211" s="15" t="s">
        <v>85</v>
      </c>
      <c r="I211" s="17" t="s">
        <v>85</v>
      </c>
      <c r="J211" s="245" cm="1">
        <f t="array" ref="J211">_xlfn.XLOOKUP(1,(Calculations[Πληροφορίες]=Calculations[[#This Row],[Πληροφορίες]])*(Calculations[Έργο]=Calculations[[#This Row],[Έργο]]),Calculations[Τιμή])</f>
        <v>80048.09</v>
      </c>
      <c r="K211" s="18" t="s">
        <v>51</v>
      </c>
      <c r="L211" s="16" t="s">
        <v>326</v>
      </c>
      <c r="M211" s="148" t="s">
        <v>126</v>
      </c>
      <c r="N211" s="19" t="str">
        <f>_xlfn.XLOOKUP(Calculations[[#This Row],[For XLOOKUP]],Factors[For XLOOKUP],Factors[Factor],"")</f>
        <v>Σ.Ε. N2O - Χώρας</v>
      </c>
      <c r="O211" s="19">
        <f>_xlfn.XLOOKUP(Calculations[[#This Row],[For XLOOKUP]],Factors[For XLOOKUP],Factors[Value],"")</f>
        <v>2.6031000000000002E-9</v>
      </c>
      <c r="P211" s="19" t="str">
        <f>_xlfn.XLOOKUP(Calculations[[#This Row],[For XLOOKUP]],Factors[For XLOOKUP],Factors[Units],"")</f>
        <v>tn N2O/kWh</v>
      </c>
      <c r="Q211" s="19" t="str">
        <f>_xlfn.XLOOKUP(Calculations[[#This Row],[For XLOOKUP]],Factors[For XLOOKUP],Factors[Source],"")</f>
        <v>Έκθεση ΔΑΠΕΕΠ 2022 και NIR 2022</v>
      </c>
      <c r="R21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1" s="19" t="str">
        <f>IF(LEFT(Calculations[[#This Row],[Emission Factor]],7)="Σ.Ε. CH",Calculations[[#This Row],[Value]]*Calculations[[#This Row],[Τιμή]],"-")</f>
        <v>-</v>
      </c>
      <c r="T211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2.0837318307900002E-4</v>
      </c>
      <c r="U211" s="19" t="str">
        <f>IF(LEFT(Calculations[[#This Row],[Emission Factor]],3)="GWP",Calculations[[#This Row],[Τιμή]],"-")</f>
        <v>-</v>
      </c>
      <c r="V211" s="19" t="str">
        <f>IF(OR(Calculations[[#This Row],[Emission Factor]]="Σ.Ε. CO₂ eq",Calculations[[#This Row],[Emission Factor]]="CO₂ eq"),Calculations[[#This Row],[Value]]*Calculations[[#This Row],[Τιμή]],"-")</f>
        <v>-</v>
      </c>
      <c r="W211" s="19" t="str">
        <f>IF(Calculations[[#This Row],[Πηγή εκπομπών]]="Electricity consumed in office buildings and projects - market based",Calculations[[#This Row],[t CO2]],"")</f>
        <v/>
      </c>
      <c r="X21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5.5218893515935008E-2</v>
      </c>
    </row>
    <row r="212" spans="1:24" s="14" customFormat="1" ht="15" hidden="1" thickTop="1">
      <c r="A212" s="15" t="s">
        <v>49</v>
      </c>
      <c r="B212" s="15" t="s">
        <v>49</v>
      </c>
      <c r="C212" s="16" t="s">
        <v>624</v>
      </c>
      <c r="D212" s="16" t="s">
        <v>895</v>
      </c>
      <c r="E212" s="16" t="s">
        <v>1138</v>
      </c>
      <c r="F212" s="16" t="s">
        <v>319</v>
      </c>
      <c r="G212" s="15" t="s">
        <v>584</v>
      </c>
      <c r="H212" s="15" t="s">
        <v>85</v>
      </c>
      <c r="I212" s="17" t="s">
        <v>85</v>
      </c>
      <c r="J212" s="238">
        <v>213387</v>
      </c>
      <c r="K212" s="18" t="s">
        <v>51</v>
      </c>
      <c r="L212" s="16" t="s">
        <v>323</v>
      </c>
      <c r="M212" s="148" t="s">
        <v>123</v>
      </c>
      <c r="N212" s="19" t="str">
        <f>_xlfn.XLOOKUP(Calculations[[#This Row],[For XLOOKUP]],Factors[For XLOOKUP],Factors[Factor],"")</f>
        <v>Σ.Ε. CO2 - Χώρας</v>
      </c>
      <c r="O212" s="19">
        <f>_xlfn.XLOOKUP(Calculations[[#This Row],[For XLOOKUP]],Factors[For XLOOKUP],Factors[Value],"")</f>
        <v>2.5244139999999998E-4</v>
      </c>
      <c r="P212" s="19" t="str">
        <f>_xlfn.XLOOKUP(Calculations[[#This Row],[For XLOOKUP]],Factors[For XLOOKUP],Factors[Units],"")</f>
        <v>tn CO2/kwh</v>
      </c>
      <c r="Q212" s="19" t="str">
        <f>_xlfn.XLOOKUP(Calculations[[#This Row],[For XLOOKUP]],Factors[For XLOOKUP],Factors[Source],"")</f>
        <v>ΔΑΠΕΕΠ 2024</v>
      </c>
      <c r="R212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53.867713021799993</v>
      </c>
      <c r="S212" s="19" t="str">
        <f>IF(LEFT(Calculations[[#This Row],[Emission Factor]],7)="Σ.Ε. CH",Calculations[[#This Row],[Value]]*Calculations[[#This Row],[Τιμή]],"-")</f>
        <v>-</v>
      </c>
      <c r="T21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2" s="19" t="str">
        <f>IF(LEFT(Calculations[[#This Row],[Emission Factor]],3)="GWP",Calculations[[#This Row],[Τιμή]],"-")</f>
        <v>-</v>
      </c>
      <c r="V212" s="19" t="str">
        <f>IF(OR(Calculations[[#This Row],[Emission Factor]]="Σ.Ε. CO₂ eq",Calculations[[#This Row],[Emission Factor]]="CO₂ eq"),Calculations[[#This Row],[Value]]*Calculations[[#This Row],[Τιμή]],"-")</f>
        <v>-</v>
      </c>
      <c r="W212" s="19" t="str">
        <f>IF(Calculations[[#This Row],[Πηγή εκπομπών]]="Electricity consumed in office buildings and projects - market based",Calculations[[#This Row],[t CO2]],"")</f>
        <v/>
      </c>
      <c r="X21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53.867713021799993</v>
      </c>
    </row>
    <row r="213" spans="1:24" s="14" customFormat="1" ht="15" hidden="1" thickTop="1">
      <c r="A213" s="15" t="s">
        <v>49</v>
      </c>
      <c r="B213" s="15" t="s">
        <v>49</v>
      </c>
      <c r="C213" s="16" t="s">
        <v>624</v>
      </c>
      <c r="D213" s="16" t="s">
        <v>895</v>
      </c>
      <c r="E213" s="16" t="s">
        <v>1138</v>
      </c>
      <c r="F213" s="16" t="s">
        <v>319</v>
      </c>
      <c r="G213" s="15" t="s">
        <v>584</v>
      </c>
      <c r="H213" s="15" t="s">
        <v>85</v>
      </c>
      <c r="I213" s="17" t="s">
        <v>85</v>
      </c>
      <c r="J213" s="245" cm="1">
        <f t="array" ref="J213">_xlfn.XLOOKUP(1,(Calculations[Πληροφορίες]=Calculations[[#This Row],[Πληροφορίες]])*(Calculations[Έργο]=Calculations[[#This Row],[Έργο]]),Calculations[Τιμή])</f>
        <v>213387</v>
      </c>
      <c r="K213" s="18" t="s">
        <v>51</v>
      </c>
      <c r="L213" s="16" t="s">
        <v>323</v>
      </c>
      <c r="M213" s="148" t="s">
        <v>122</v>
      </c>
      <c r="N213" s="19" t="str">
        <f>_xlfn.XLOOKUP(Calculations[[#This Row],[For XLOOKUP]],Factors[For XLOOKUP],Factors[Factor],"")</f>
        <v>Σ.Ε. CH4 - Χώρας</v>
      </c>
      <c r="O213" s="19">
        <f>_xlfn.XLOOKUP(Calculations[[#This Row],[For XLOOKUP]],Factors[For XLOOKUP],Factors[Value],"")</f>
        <v>6.3220000000000003E-9</v>
      </c>
      <c r="P213" s="19" t="str">
        <f>_xlfn.XLOOKUP(Calculations[[#This Row],[For XLOOKUP]],Factors[For XLOOKUP],Factors[Units],"")</f>
        <v>tn CH4/kWh</v>
      </c>
      <c r="Q213" s="19" t="str">
        <f>_xlfn.XLOOKUP(Calculations[[#This Row],[For XLOOKUP]],Factors[For XLOOKUP],Factors[Source],"")</f>
        <v>Έκθεση ΔΑΠΕΕΠ 2022 και NIR 2022</v>
      </c>
      <c r="R21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3" s="19">
        <f>IF(LEFT(Calculations[[#This Row],[Emission Factor]],7)="Σ.Ε. CH",Calculations[[#This Row],[Value]]*Calculations[[#This Row],[Τιμή]],"-")</f>
        <v>1.3490326140000002E-3</v>
      </c>
      <c r="T21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3" s="19" t="str">
        <f>IF(LEFT(Calculations[[#This Row],[Emission Factor]],3)="GWP",Calculations[[#This Row],[Τιμή]],"-")</f>
        <v>-</v>
      </c>
      <c r="V213" s="19" t="str">
        <f>IF(OR(Calculations[[#This Row],[Emission Factor]]="Σ.Ε. CO₂ eq",Calculations[[#This Row],[Emission Factor]]="CO₂ eq"),Calculations[[#This Row],[Value]]*Calculations[[#This Row],[Τιμή]],"-")</f>
        <v>-</v>
      </c>
      <c r="W213" s="19" t="str">
        <f>IF(Calculations[[#This Row],[Πηγή εκπομπών]]="Electricity consumed in office buildings and projects - market based",Calculations[[#This Row],[t CO2]],"")</f>
        <v/>
      </c>
      <c r="X21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3.7772913192000004E-2</v>
      </c>
    </row>
    <row r="214" spans="1:24" s="14" customFormat="1" ht="15" hidden="1" thickTop="1">
      <c r="A214" s="15" t="s">
        <v>49</v>
      </c>
      <c r="B214" s="15" t="s">
        <v>49</v>
      </c>
      <c r="C214" s="16" t="s">
        <v>624</v>
      </c>
      <c r="D214" s="16" t="s">
        <v>895</v>
      </c>
      <c r="E214" s="16" t="s">
        <v>1138</v>
      </c>
      <c r="F214" s="16" t="s">
        <v>319</v>
      </c>
      <c r="G214" s="15" t="s">
        <v>584</v>
      </c>
      <c r="H214" s="15" t="s">
        <v>85</v>
      </c>
      <c r="I214" s="17" t="s">
        <v>85</v>
      </c>
      <c r="J214" s="245" cm="1">
        <f t="array" ref="J214">_xlfn.XLOOKUP(1,(Calculations[Πληροφορίες]=Calculations[[#This Row],[Πληροφορίες]])*(Calculations[Έργο]=Calculations[[#This Row],[Έργο]]),Calculations[Τιμή])</f>
        <v>213387</v>
      </c>
      <c r="K214" s="18" t="s">
        <v>51</v>
      </c>
      <c r="L214" s="16" t="s">
        <v>323</v>
      </c>
      <c r="M214" s="148" t="s">
        <v>126</v>
      </c>
      <c r="N214" s="19" t="str">
        <f>_xlfn.XLOOKUP(Calculations[[#This Row],[For XLOOKUP]],Factors[For XLOOKUP],Factors[Factor],"")</f>
        <v>Σ.Ε. N2O - Χώρας</v>
      </c>
      <c r="O214" s="19">
        <f>_xlfn.XLOOKUP(Calculations[[#This Row],[For XLOOKUP]],Factors[For XLOOKUP],Factors[Value],"")</f>
        <v>2.6031000000000002E-9</v>
      </c>
      <c r="P214" s="19" t="str">
        <f>_xlfn.XLOOKUP(Calculations[[#This Row],[For XLOOKUP]],Factors[For XLOOKUP],Factors[Units],"")</f>
        <v>tn N2O/kWh</v>
      </c>
      <c r="Q214" s="19" t="str">
        <f>_xlfn.XLOOKUP(Calculations[[#This Row],[For XLOOKUP]],Factors[For XLOOKUP],Factors[Source],"")</f>
        <v>Έκθεση ΔΑΠΕΕΠ 2022 και NIR 2022</v>
      </c>
      <c r="R21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4" s="19" t="str">
        <f>IF(LEFT(Calculations[[#This Row],[Emission Factor]],7)="Σ.Ε. CH",Calculations[[#This Row],[Value]]*Calculations[[#This Row],[Τιμή]],"-")</f>
        <v>-</v>
      </c>
      <c r="T214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5.5546769970000001E-4</v>
      </c>
      <c r="U214" s="19" t="str">
        <f>IF(LEFT(Calculations[[#This Row],[Emission Factor]],3)="GWP",Calculations[[#This Row],[Τιμή]],"-")</f>
        <v>-</v>
      </c>
      <c r="V214" s="19" t="str">
        <f>IF(OR(Calculations[[#This Row],[Emission Factor]]="Σ.Ε. CO₂ eq",Calculations[[#This Row],[Emission Factor]]="CO₂ eq"),Calculations[[#This Row],[Value]]*Calculations[[#This Row],[Τιμή]],"-")</f>
        <v>-</v>
      </c>
      <c r="W214" s="19" t="str">
        <f>IF(Calculations[[#This Row],[Πηγή εκπομπών]]="Electricity consumed in office buildings and projects - market based",Calculations[[#This Row],[t CO2]],"")</f>
        <v/>
      </c>
      <c r="X21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0.1471989404205</v>
      </c>
    </row>
    <row r="215" spans="1:24" s="14" customFormat="1" ht="15" hidden="1" thickTop="1">
      <c r="A215" s="15" t="s">
        <v>49</v>
      </c>
      <c r="B215" s="15" t="s">
        <v>49</v>
      </c>
      <c r="C215" s="16" t="s">
        <v>624</v>
      </c>
      <c r="D215" s="16" t="s">
        <v>895</v>
      </c>
      <c r="E215" s="16" t="s">
        <v>1139</v>
      </c>
      <c r="F215" s="16" t="s">
        <v>319</v>
      </c>
      <c r="G215" s="15" t="s">
        <v>584</v>
      </c>
      <c r="H215" s="15" t="s">
        <v>85</v>
      </c>
      <c r="I215" s="17" t="s">
        <v>85</v>
      </c>
      <c r="J215" s="238">
        <v>50842</v>
      </c>
      <c r="K215" s="18" t="s">
        <v>51</v>
      </c>
      <c r="L215" s="16" t="s">
        <v>326</v>
      </c>
      <c r="M215" s="148" t="s">
        <v>123</v>
      </c>
      <c r="N215" s="19" t="str">
        <f>_xlfn.XLOOKUP(Calculations[[#This Row],[For XLOOKUP]],Factors[For XLOOKUP],Factors[Factor],"")</f>
        <v>Σ.Ε. CO2 - Χώρας</v>
      </c>
      <c r="O215" s="19">
        <f>_xlfn.XLOOKUP(Calculations[[#This Row],[For XLOOKUP]],Factors[For XLOOKUP],Factors[Value],"")</f>
        <v>2.5244139999999998E-4</v>
      </c>
      <c r="P215" s="19" t="str">
        <f>_xlfn.XLOOKUP(Calculations[[#This Row],[For XLOOKUP]],Factors[For XLOOKUP],Factors[Units],"")</f>
        <v>tn CO2/kwh</v>
      </c>
      <c r="Q215" s="19" t="str">
        <f>_xlfn.XLOOKUP(Calculations[[#This Row],[For XLOOKUP]],Factors[For XLOOKUP],Factors[Source],"")</f>
        <v>ΔΑΠΕΕΠ 2024</v>
      </c>
      <c r="R21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12.834625658799999</v>
      </c>
      <c r="S215" s="19" t="str">
        <f>IF(LEFT(Calculations[[#This Row],[Emission Factor]],7)="Σ.Ε. CH",Calculations[[#This Row],[Value]]*Calculations[[#This Row],[Τιμή]],"-")</f>
        <v>-</v>
      </c>
      <c r="T21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5" s="19" t="str">
        <f>IF(LEFT(Calculations[[#This Row],[Emission Factor]],3)="GWP",Calculations[[#This Row],[Τιμή]],"-")</f>
        <v>-</v>
      </c>
      <c r="V215" s="19" t="str">
        <f>IF(OR(Calculations[[#This Row],[Emission Factor]]="Σ.Ε. CO₂ eq",Calculations[[#This Row],[Emission Factor]]="CO₂ eq"),Calculations[[#This Row],[Value]]*Calculations[[#This Row],[Τιμή]],"-")</f>
        <v>-</v>
      </c>
      <c r="W215" s="19" t="str">
        <f>IF(Calculations[[#This Row],[Πηγή εκπομπών]]="Electricity consumed in office buildings and projects - market based",Calculations[[#This Row],[t CO2]],"")</f>
        <v/>
      </c>
      <c r="X21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12.834625658799999</v>
      </c>
    </row>
    <row r="216" spans="1:24" s="14" customFormat="1" ht="15" hidden="1" thickTop="1">
      <c r="A216" s="15" t="s">
        <v>49</v>
      </c>
      <c r="B216" s="15" t="s">
        <v>49</v>
      </c>
      <c r="C216" s="16" t="s">
        <v>624</v>
      </c>
      <c r="D216" s="16" t="s">
        <v>895</v>
      </c>
      <c r="E216" s="16" t="s">
        <v>1139</v>
      </c>
      <c r="F216" s="16" t="s">
        <v>319</v>
      </c>
      <c r="G216" s="15" t="s">
        <v>584</v>
      </c>
      <c r="H216" s="15" t="s">
        <v>85</v>
      </c>
      <c r="I216" s="17" t="s">
        <v>85</v>
      </c>
      <c r="J216" s="245" cm="1">
        <f t="array" ref="J216">_xlfn.XLOOKUP(1,(Calculations[Πληροφορίες]=Calculations[[#This Row],[Πληροφορίες]])*(Calculations[Έργο]=Calculations[[#This Row],[Έργο]]),Calculations[Τιμή])</f>
        <v>50842</v>
      </c>
      <c r="K216" s="18" t="s">
        <v>51</v>
      </c>
      <c r="L216" s="16" t="s">
        <v>326</v>
      </c>
      <c r="M216" s="148" t="s">
        <v>122</v>
      </c>
      <c r="N216" s="19" t="str">
        <f>_xlfn.XLOOKUP(Calculations[[#This Row],[For XLOOKUP]],Factors[For XLOOKUP],Factors[Factor],"")</f>
        <v>Σ.Ε. CH4 - Χώρας</v>
      </c>
      <c r="O216" s="19">
        <f>_xlfn.XLOOKUP(Calculations[[#This Row],[For XLOOKUP]],Factors[For XLOOKUP],Factors[Value],"")</f>
        <v>6.3220000000000003E-9</v>
      </c>
      <c r="P216" s="19" t="str">
        <f>_xlfn.XLOOKUP(Calculations[[#This Row],[For XLOOKUP]],Factors[For XLOOKUP],Factors[Units],"")</f>
        <v>tn CH4/kWh</v>
      </c>
      <c r="Q216" s="19" t="str">
        <f>_xlfn.XLOOKUP(Calculations[[#This Row],[For XLOOKUP]],Factors[For XLOOKUP],Factors[Source],"")</f>
        <v>Έκθεση ΔΑΠΕΕΠ 2022 και NIR 2022</v>
      </c>
      <c r="R21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6" s="19">
        <f>IF(LEFT(Calculations[[#This Row],[Emission Factor]],7)="Σ.Ε. CH",Calculations[[#This Row],[Value]]*Calculations[[#This Row],[Τιμή]],"-")</f>
        <v>3.2142312400000004E-4</v>
      </c>
      <c r="T21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6" s="19" t="str">
        <f>IF(LEFT(Calculations[[#This Row],[Emission Factor]],3)="GWP",Calculations[[#This Row],[Τιμή]],"-")</f>
        <v>-</v>
      </c>
      <c r="V216" s="19" t="str">
        <f>IF(OR(Calculations[[#This Row],[Emission Factor]]="Σ.Ε. CO₂ eq",Calculations[[#This Row],[Emission Factor]]="CO₂ eq"),Calculations[[#This Row],[Value]]*Calculations[[#This Row],[Τιμή]],"-")</f>
        <v>-</v>
      </c>
      <c r="W216" s="19" t="str">
        <f>IF(Calculations[[#This Row],[Πηγή εκπομπών]]="Electricity consumed in office buildings and projects - market based",Calculations[[#This Row],[t CO2]],"")</f>
        <v/>
      </c>
      <c r="X21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8.9998474720000016E-3</v>
      </c>
    </row>
    <row r="217" spans="1:24" s="14" customFormat="1" ht="15" hidden="1" thickTop="1">
      <c r="A217" s="15" t="s">
        <v>49</v>
      </c>
      <c r="B217" s="15" t="s">
        <v>49</v>
      </c>
      <c r="C217" s="16" t="s">
        <v>624</v>
      </c>
      <c r="D217" s="16" t="s">
        <v>895</v>
      </c>
      <c r="E217" s="16" t="s">
        <v>1139</v>
      </c>
      <c r="F217" s="16" t="s">
        <v>319</v>
      </c>
      <c r="G217" s="15" t="s">
        <v>584</v>
      </c>
      <c r="H217" s="15" t="s">
        <v>85</v>
      </c>
      <c r="I217" s="17" t="s">
        <v>85</v>
      </c>
      <c r="J217" s="245" cm="1">
        <f t="array" ref="J217">_xlfn.XLOOKUP(1,(Calculations[Πληροφορίες]=Calculations[[#This Row],[Πληροφορίες]])*(Calculations[Έργο]=Calculations[[#This Row],[Έργο]]),Calculations[Τιμή])</f>
        <v>50842</v>
      </c>
      <c r="K217" s="18" t="s">
        <v>51</v>
      </c>
      <c r="L217" s="94" t="s">
        <v>326</v>
      </c>
      <c r="M217" s="148" t="s">
        <v>126</v>
      </c>
      <c r="N217" s="19" t="str">
        <f>_xlfn.XLOOKUP(Calculations[[#This Row],[For XLOOKUP]],Factors[For XLOOKUP],Factors[Factor],"")</f>
        <v>Σ.Ε. N2O - Χώρας</v>
      </c>
      <c r="O217" s="19">
        <f>_xlfn.XLOOKUP(Calculations[[#This Row],[For XLOOKUP]],Factors[For XLOOKUP],Factors[Value],"")</f>
        <v>2.6031000000000002E-9</v>
      </c>
      <c r="P217" s="19" t="str">
        <f>_xlfn.XLOOKUP(Calculations[[#This Row],[For XLOOKUP]],Factors[For XLOOKUP],Factors[Units],"")</f>
        <v>tn N2O/kWh</v>
      </c>
      <c r="Q217" s="19" t="str">
        <f>_xlfn.XLOOKUP(Calculations[[#This Row],[For XLOOKUP]],Factors[For XLOOKUP],Factors[Source],"")</f>
        <v>Έκθεση ΔΑΠΕΕΠ 2022 και NIR 2022</v>
      </c>
      <c r="R21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7" s="19" t="str">
        <f>IF(LEFT(Calculations[[#This Row],[Emission Factor]],7)="Σ.Ε. CH",Calculations[[#This Row],[Value]]*Calculations[[#This Row],[Τιμή]],"-")</f>
        <v>-</v>
      </c>
      <c r="T217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1.3234681020000001E-4</v>
      </c>
      <c r="U217" s="19" t="str">
        <f>IF(LEFT(Calculations[[#This Row],[Emission Factor]],3)="GWP",Calculations[[#This Row],[Τιμή]],"-")</f>
        <v>-</v>
      </c>
      <c r="V217" s="19" t="str">
        <f>IF(OR(Calculations[[#This Row],[Emission Factor]]="Σ.Ε. CO₂ eq",Calculations[[#This Row],[Emission Factor]]="CO₂ eq"),Calculations[[#This Row],[Value]]*Calculations[[#This Row],[Τιμή]],"-")</f>
        <v>-</v>
      </c>
      <c r="W217" s="19" t="str">
        <f>IF(Calculations[[#This Row],[Πηγή εκπομπών]]="Electricity consumed in office buildings and projects - market based",Calculations[[#This Row],[t CO2]],"")</f>
        <v/>
      </c>
      <c r="X21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3.5071904702999999E-2</v>
      </c>
    </row>
    <row r="218" spans="1:24" s="14" customFormat="1" ht="15" hidden="1" thickTop="1">
      <c r="A218" s="15" t="s">
        <v>49</v>
      </c>
      <c r="B218" s="15" t="s">
        <v>49</v>
      </c>
      <c r="C218" s="16" t="s">
        <v>624</v>
      </c>
      <c r="D218" s="16" t="s">
        <v>895</v>
      </c>
      <c r="E218" s="16" t="s">
        <v>1140</v>
      </c>
      <c r="F218" s="16" t="s">
        <v>322</v>
      </c>
      <c r="G218" s="15" t="s">
        <v>584</v>
      </c>
      <c r="H218" s="15" t="s">
        <v>85</v>
      </c>
      <c r="I218" s="17" t="s">
        <v>85</v>
      </c>
      <c r="J218" s="238">
        <v>24964867</v>
      </c>
      <c r="K218" s="18" t="s">
        <v>51</v>
      </c>
      <c r="L218" s="94" t="s">
        <v>178</v>
      </c>
      <c r="M218" s="148" t="s">
        <v>123</v>
      </c>
      <c r="N218" s="19" t="str">
        <f>_xlfn.XLOOKUP(Calculations[[#This Row],[For XLOOKUP]],Factors[For XLOOKUP],Factors[Factor],"")</f>
        <v>Σ.Ε. CO2 - Χώρας</v>
      </c>
      <c r="O218" s="19">
        <f>_xlfn.XLOOKUP(Calculations[[#This Row],[For XLOOKUP]],Factors[For XLOOKUP],Factors[Value],"")</f>
        <v>2.5244139999999998E-4</v>
      </c>
      <c r="P218" s="19" t="str">
        <f>_xlfn.XLOOKUP(Calculations[[#This Row],[For XLOOKUP]],Factors[For XLOOKUP],Factors[Units],"")</f>
        <v>tn CO2/kwh</v>
      </c>
      <c r="Q218" s="19" t="str">
        <f>_xlfn.XLOOKUP(Calculations[[#This Row],[For XLOOKUP]],Factors[For XLOOKUP],Factors[Source],"")</f>
        <v>ΔΑΠΕΕΠ 2024</v>
      </c>
      <c r="R218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6302.1659762937998</v>
      </c>
      <c r="S218" s="19" t="str">
        <f>IF(LEFT(Calculations[[#This Row],[Emission Factor]],7)="Σ.Ε. CH",Calculations[[#This Row],[Value]]*Calculations[[#This Row],[Τιμή]],"-")</f>
        <v>-</v>
      </c>
      <c r="T21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8" s="19" t="str">
        <f>IF(LEFT(Calculations[[#This Row],[Emission Factor]],3)="GWP",Calculations[[#This Row],[Τιμή]],"-")</f>
        <v>-</v>
      </c>
      <c r="V218" s="19" t="str">
        <f>IF(OR(Calculations[[#This Row],[Emission Factor]]="Σ.Ε. CO₂ eq",Calculations[[#This Row],[Emission Factor]]="CO₂ eq"),Calculations[[#This Row],[Value]]*Calculations[[#This Row],[Τιμή]],"-")</f>
        <v>-</v>
      </c>
      <c r="W218" s="19" t="str">
        <f>IF(Calculations[[#This Row],[Πηγή εκπομπών]]="Electricity consumed in office buildings and projects - market based",Calculations[[#This Row],[t CO2]],"")</f>
        <v/>
      </c>
      <c r="X21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6302.1659762937998</v>
      </c>
    </row>
    <row r="219" spans="1:24" s="14" customFormat="1" ht="15" hidden="1" thickTop="1">
      <c r="A219" s="15" t="s">
        <v>49</v>
      </c>
      <c r="B219" s="15" t="s">
        <v>49</v>
      </c>
      <c r="C219" s="16" t="s">
        <v>624</v>
      </c>
      <c r="D219" s="16" t="s">
        <v>895</v>
      </c>
      <c r="E219" s="16" t="s">
        <v>1140</v>
      </c>
      <c r="F219" s="16" t="s">
        <v>322</v>
      </c>
      <c r="G219" s="15" t="s">
        <v>584</v>
      </c>
      <c r="H219" s="15" t="s">
        <v>85</v>
      </c>
      <c r="I219" s="17" t="s">
        <v>85</v>
      </c>
      <c r="J219" s="245" cm="1">
        <f t="array" ref="J219">_xlfn.XLOOKUP(1,(Calculations[Πληροφορίες]=Calculations[[#This Row],[Πληροφορίες]])*(Calculations[Έργο]=Calculations[[#This Row],[Έργο]]),Calculations[Τιμή])</f>
        <v>24964867</v>
      </c>
      <c r="K219" s="18" t="s">
        <v>51</v>
      </c>
      <c r="L219" s="94" t="s">
        <v>178</v>
      </c>
      <c r="M219" s="148" t="s">
        <v>122</v>
      </c>
      <c r="N219" s="19" t="str">
        <f>_xlfn.XLOOKUP(Calculations[[#This Row],[For XLOOKUP]],Factors[For XLOOKUP],Factors[Factor],"")</f>
        <v>Σ.Ε. CH4 - Χώρας</v>
      </c>
      <c r="O219" s="19">
        <f>_xlfn.XLOOKUP(Calculations[[#This Row],[For XLOOKUP]],Factors[For XLOOKUP],Factors[Value],"")</f>
        <v>6.3220000000000003E-9</v>
      </c>
      <c r="P219" s="19" t="str">
        <f>_xlfn.XLOOKUP(Calculations[[#This Row],[For XLOOKUP]],Factors[For XLOOKUP],Factors[Units],"")</f>
        <v>tn CH4/kWh</v>
      </c>
      <c r="Q219" s="19" t="str">
        <f>_xlfn.XLOOKUP(Calculations[[#This Row],[For XLOOKUP]],Factors[For XLOOKUP],Factors[Source],"")</f>
        <v>Έκθεση ΔΑΠΕΕΠ 2022 και NIR 2022</v>
      </c>
      <c r="R21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9" s="19">
        <f>IF(LEFT(Calculations[[#This Row],[Emission Factor]],7)="Σ.Ε. CH",Calculations[[#This Row],[Value]]*Calculations[[#This Row],[Τιμή]],"-")</f>
        <v>0.15782788917400001</v>
      </c>
      <c r="T21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9" s="19" t="str">
        <f>IF(LEFT(Calculations[[#This Row],[Emission Factor]],3)="GWP",Calculations[[#This Row],[Τιμή]],"-")</f>
        <v>-</v>
      </c>
      <c r="V219" s="19" t="str">
        <f>IF(OR(Calculations[[#This Row],[Emission Factor]]="Σ.Ε. CO₂ eq",Calculations[[#This Row],[Emission Factor]]="CO₂ eq"),Calculations[[#This Row],[Value]]*Calculations[[#This Row],[Τιμή]],"-")</f>
        <v>-</v>
      </c>
      <c r="W219" s="19" t="str">
        <f>IF(Calculations[[#This Row],[Πηγή εκπομπών]]="Electricity consumed in office buildings and projects - market based",Calculations[[#This Row],[t CO2]],"")</f>
        <v/>
      </c>
      <c r="X21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4.4191808968720006</v>
      </c>
    </row>
    <row r="220" spans="1:24" s="14" customFormat="1" ht="15" hidden="1" thickTop="1">
      <c r="A220" s="15" t="s">
        <v>49</v>
      </c>
      <c r="B220" s="15" t="s">
        <v>49</v>
      </c>
      <c r="C220" s="16" t="s">
        <v>624</v>
      </c>
      <c r="D220" s="16" t="s">
        <v>895</v>
      </c>
      <c r="E220" s="16" t="s">
        <v>1140</v>
      </c>
      <c r="F220" s="16" t="s">
        <v>322</v>
      </c>
      <c r="G220" s="15" t="s">
        <v>584</v>
      </c>
      <c r="H220" s="15" t="s">
        <v>85</v>
      </c>
      <c r="I220" s="17" t="s">
        <v>85</v>
      </c>
      <c r="J220" s="245" cm="1">
        <f t="array" ref="J220">_xlfn.XLOOKUP(1,(Calculations[Πληροφορίες]=Calculations[[#This Row],[Πληροφορίες]])*(Calculations[Έργο]=Calculations[[#This Row],[Έργο]]),Calculations[Τιμή])</f>
        <v>24964867</v>
      </c>
      <c r="K220" s="18" t="s">
        <v>51</v>
      </c>
      <c r="L220" s="16" t="s">
        <v>178</v>
      </c>
      <c r="M220" s="148" t="s">
        <v>126</v>
      </c>
      <c r="N220" s="19" t="str">
        <f>_xlfn.XLOOKUP(Calculations[[#This Row],[For XLOOKUP]],Factors[For XLOOKUP],Factors[Factor],"")</f>
        <v>Σ.Ε. N2O - Χώρας</v>
      </c>
      <c r="O220" s="19">
        <f>_xlfn.XLOOKUP(Calculations[[#This Row],[For XLOOKUP]],Factors[For XLOOKUP],Factors[Value],"")</f>
        <v>2.6031000000000002E-9</v>
      </c>
      <c r="P220" s="19" t="str">
        <f>_xlfn.XLOOKUP(Calculations[[#This Row],[For XLOOKUP]],Factors[For XLOOKUP],Factors[Units],"")</f>
        <v>tn N2O/kWh</v>
      </c>
      <c r="Q220" s="19" t="str">
        <f>_xlfn.XLOOKUP(Calculations[[#This Row],[For XLOOKUP]],Factors[For XLOOKUP],Factors[Source],"")</f>
        <v>Έκθεση ΔΑΠΕΕΠ 2022 και NIR 2022</v>
      </c>
      <c r="R22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0" s="19" t="str">
        <f>IF(LEFT(Calculations[[#This Row],[Emission Factor]],7)="Σ.Ε. CH",Calculations[[#This Row],[Value]]*Calculations[[#This Row],[Τιμή]],"-")</f>
        <v>-</v>
      </c>
      <c r="T220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6.4986045287700009E-2</v>
      </c>
      <c r="U220" s="19" t="str">
        <f>IF(LEFT(Calculations[[#This Row],[Emission Factor]],3)="GWP",Calculations[[#This Row],[Τιμή]],"-")</f>
        <v>-</v>
      </c>
      <c r="V220" s="19" t="str">
        <f>IF(OR(Calculations[[#This Row],[Emission Factor]]="Σ.Ε. CO₂ eq",Calculations[[#This Row],[Emission Factor]]="CO₂ eq"),Calculations[[#This Row],[Value]]*Calculations[[#This Row],[Τιμή]],"-")</f>
        <v>-</v>
      </c>
      <c r="W220" s="19" t="str">
        <f>IF(Calculations[[#This Row],[Πηγή εκπομπών]]="Electricity consumed in office buildings and projects - market based",Calculations[[#This Row],[t CO2]],"")</f>
        <v/>
      </c>
      <c r="X22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17.221302001240502</v>
      </c>
    </row>
    <row r="221" spans="1:24" s="14" customFormat="1" ht="15" hidden="1" thickTop="1">
      <c r="A221" s="15" t="s">
        <v>49</v>
      </c>
      <c r="B221" s="15" t="s">
        <v>49</v>
      </c>
      <c r="C221" s="16" t="s">
        <v>624</v>
      </c>
      <c r="D221" s="16" t="s">
        <v>895</v>
      </c>
      <c r="E221" s="16" t="s">
        <v>1141</v>
      </c>
      <c r="F221" s="16" t="s">
        <v>312</v>
      </c>
      <c r="G221" s="15" t="s">
        <v>584</v>
      </c>
      <c r="H221" s="15" t="s">
        <v>85</v>
      </c>
      <c r="I221" s="17" t="s">
        <v>85</v>
      </c>
      <c r="J221" s="238">
        <v>10032391.66</v>
      </c>
      <c r="K221" s="18" t="s">
        <v>51</v>
      </c>
      <c r="L221" s="16" t="s">
        <v>323</v>
      </c>
      <c r="M221" s="148" t="s">
        <v>123</v>
      </c>
      <c r="N221" s="19" t="str">
        <f>_xlfn.XLOOKUP(Calculations[[#This Row],[For XLOOKUP]],Factors[For XLOOKUP],Factors[Factor],"")</f>
        <v>Σ.Ε. CO2 - Χώρας</v>
      </c>
      <c r="O221" s="19">
        <f>_xlfn.XLOOKUP(Calculations[[#This Row],[For XLOOKUP]],Factors[For XLOOKUP],Factors[Value],"")</f>
        <v>2.5244139999999998E-4</v>
      </c>
      <c r="P221" s="19" t="str">
        <f>_xlfn.XLOOKUP(Calculations[[#This Row],[For XLOOKUP]],Factors[For XLOOKUP],Factors[Units],"")</f>
        <v>tn CO2/kwh</v>
      </c>
      <c r="Q221" s="19" t="str">
        <f>_xlfn.XLOOKUP(Calculations[[#This Row],[For XLOOKUP]],Factors[For XLOOKUP],Factors[Source],"")</f>
        <v>ΔΑΠΕΕΠ 2024</v>
      </c>
      <c r="R221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2532.5909959987239</v>
      </c>
      <c r="S221" s="19" t="str">
        <f>IF(LEFT(Calculations[[#This Row],[Emission Factor]],7)="Σ.Ε. CH",Calculations[[#This Row],[Value]]*Calculations[[#This Row],[Τιμή]],"-")</f>
        <v>-</v>
      </c>
      <c r="T22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1" s="19" t="str">
        <f>IF(LEFT(Calculations[[#This Row],[Emission Factor]],3)="GWP",Calculations[[#This Row],[Τιμή]],"-")</f>
        <v>-</v>
      </c>
      <c r="V221" s="19" t="str">
        <f>IF(OR(Calculations[[#This Row],[Emission Factor]]="Σ.Ε. CO₂ eq",Calculations[[#This Row],[Emission Factor]]="CO₂ eq"),Calculations[[#This Row],[Value]]*Calculations[[#This Row],[Τιμή]],"-")</f>
        <v>-</v>
      </c>
      <c r="W221" s="19" t="str">
        <f>IF(Calculations[[#This Row],[Πηγή εκπομπών]]="Electricity consumed in office buildings and projects - market based",Calculations[[#This Row],[t CO2]],"")</f>
        <v/>
      </c>
      <c r="X22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2532.5909959987239</v>
      </c>
    </row>
    <row r="222" spans="1:24" s="14" customFormat="1" ht="15" hidden="1" thickTop="1">
      <c r="A222" s="15" t="s">
        <v>49</v>
      </c>
      <c r="B222" s="15" t="s">
        <v>49</v>
      </c>
      <c r="C222" s="16" t="s">
        <v>624</v>
      </c>
      <c r="D222" s="16" t="s">
        <v>895</v>
      </c>
      <c r="E222" s="16" t="s">
        <v>1141</v>
      </c>
      <c r="F222" s="16" t="s">
        <v>312</v>
      </c>
      <c r="G222" s="15" t="s">
        <v>584</v>
      </c>
      <c r="H222" s="15" t="s">
        <v>85</v>
      </c>
      <c r="I222" s="17" t="s">
        <v>85</v>
      </c>
      <c r="J222" s="245" cm="1">
        <f t="array" ref="J222">_xlfn.XLOOKUP(1,(Calculations[Πληροφορίες]=Calculations[[#This Row],[Πληροφορίες]])*(Calculations[Έργο]=Calculations[[#This Row],[Έργο]]),Calculations[Τιμή])</f>
        <v>10032391.66</v>
      </c>
      <c r="K222" s="18" t="s">
        <v>51</v>
      </c>
      <c r="L222" s="16" t="s">
        <v>323</v>
      </c>
      <c r="M222" s="148" t="s">
        <v>122</v>
      </c>
      <c r="N222" s="19" t="str">
        <f>_xlfn.XLOOKUP(Calculations[[#This Row],[For XLOOKUP]],Factors[For XLOOKUP],Factors[Factor],"")</f>
        <v>Σ.Ε. CH4 - Χώρας</v>
      </c>
      <c r="O222" s="19">
        <f>_xlfn.XLOOKUP(Calculations[[#This Row],[For XLOOKUP]],Factors[For XLOOKUP],Factors[Value],"")</f>
        <v>6.3220000000000003E-9</v>
      </c>
      <c r="P222" s="19" t="str">
        <f>_xlfn.XLOOKUP(Calculations[[#This Row],[For XLOOKUP]],Factors[For XLOOKUP],Factors[Units],"")</f>
        <v>tn CH4/kWh</v>
      </c>
      <c r="Q222" s="19" t="str">
        <f>_xlfn.XLOOKUP(Calculations[[#This Row],[For XLOOKUP]],Factors[For XLOOKUP],Factors[Source],"")</f>
        <v>Έκθεση ΔΑΠΕΕΠ 2022 και NIR 2022</v>
      </c>
      <c r="R22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2" s="19">
        <f>IF(LEFT(Calculations[[#This Row],[Emission Factor]],7)="Σ.Ε. CH",Calculations[[#This Row],[Value]]*Calculations[[#This Row],[Τιμή]],"-")</f>
        <v>6.3424780074520001E-2</v>
      </c>
      <c r="T22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2" s="19" t="str">
        <f>IF(LEFT(Calculations[[#This Row],[Emission Factor]],3)="GWP",Calculations[[#This Row],[Τιμή]],"-")</f>
        <v>-</v>
      </c>
      <c r="V222" s="19" t="str">
        <f>IF(OR(Calculations[[#This Row],[Emission Factor]]="Σ.Ε. CO₂ eq",Calculations[[#This Row],[Emission Factor]]="CO₂ eq"),Calculations[[#This Row],[Value]]*Calculations[[#This Row],[Τιμή]],"-")</f>
        <v>-</v>
      </c>
      <c r="W222" s="19" t="str">
        <f>IF(Calculations[[#This Row],[Πηγή εκπομπών]]="Electricity consumed in office buildings and projects - market based",Calculations[[#This Row],[t CO2]],"")</f>
        <v/>
      </c>
      <c r="X22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1.77589384208656</v>
      </c>
    </row>
    <row r="223" spans="1:24" s="14" customFormat="1" ht="15" hidden="1" thickTop="1">
      <c r="A223" s="15" t="s">
        <v>49</v>
      </c>
      <c r="B223" s="15" t="s">
        <v>49</v>
      </c>
      <c r="C223" s="16" t="s">
        <v>624</v>
      </c>
      <c r="D223" s="16" t="s">
        <v>895</v>
      </c>
      <c r="E223" s="16" t="s">
        <v>1141</v>
      </c>
      <c r="F223" s="16" t="s">
        <v>312</v>
      </c>
      <c r="G223" s="15" t="s">
        <v>584</v>
      </c>
      <c r="H223" s="15" t="s">
        <v>85</v>
      </c>
      <c r="I223" s="17" t="s">
        <v>85</v>
      </c>
      <c r="J223" s="245" cm="1">
        <f t="array" ref="J223">_xlfn.XLOOKUP(1,(Calculations[Πληροφορίες]=Calculations[[#This Row],[Πληροφορίες]])*(Calculations[Έργο]=Calculations[[#This Row],[Έργο]]),Calculations[Τιμή])</f>
        <v>10032391.66</v>
      </c>
      <c r="K223" s="18" t="s">
        <v>51</v>
      </c>
      <c r="L223" s="16" t="s">
        <v>323</v>
      </c>
      <c r="M223" s="148" t="s">
        <v>126</v>
      </c>
      <c r="N223" s="19" t="str">
        <f>_xlfn.XLOOKUP(Calculations[[#This Row],[For XLOOKUP]],Factors[For XLOOKUP],Factors[Factor],"")</f>
        <v>Σ.Ε. N2O - Χώρας</v>
      </c>
      <c r="O223" s="19">
        <f>_xlfn.XLOOKUP(Calculations[[#This Row],[For XLOOKUP]],Factors[For XLOOKUP],Factors[Value],"")</f>
        <v>2.6031000000000002E-9</v>
      </c>
      <c r="P223" s="19" t="str">
        <f>_xlfn.XLOOKUP(Calculations[[#This Row],[For XLOOKUP]],Factors[For XLOOKUP],Factors[Units],"")</f>
        <v>tn N2O/kWh</v>
      </c>
      <c r="Q223" s="19" t="str">
        <f>_xlfn.XLOOKUP(Calculations[[#This Row],[For XLOOKUP]],Factors[For XLOOKUP],Factors[Source],"")</f>
        <v>Έκθεση ΔΑΠΕΕΠ 2022 και NIR 2022</v>
      </c>
      <c r="R22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3" s="19" t="str">
        <f>IF(LEFT(Calculations[[#This Row],[Emission Factor]],7)="Σ.Ε. CH",Calculations[[#This Row],[Value]]*Calculations[[#This Row],[Τιμή]],"-")</f>
        <v>-</v>
      </c>
      <c r="T22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2.6115318730146001E-2</v>
      </c>
      <c r="U223" s="19" t="str">
        <f>IF(LEFT(Calculations[[#This Row],[Emission Factor]],3)="GWP",Calculations[[#This Row],[Τιμή]],"-")</f>
        <v>-</v>
      </c>
      <c r="V223" s="19" t="str">
        <f>IF(OR(Calculations[[#This Row],[Emission Factor]]="Σ.Ε. CO₂ eq",Calculations[[#This Row],[Emission Factor]]="CO₂ eq"),Calculations[[#This Row],[Value]]*Calculations[[#This Row],[Τιμή]],"-")</f>
        <v>-</v>
      </c>
      <c r="W223" s="19" t="str">
        <f>IF(Calculations[[#This Row],[Πηγή εκπομπών]]="Electricity consumed in office buildings and projects - market based",Calculations[[#This Row],[t CO2]],"")</f>
        <v/>
      </c>
      <c r="X22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6.92055946348869</v>
      </c>
    </row>
    <row r="224" spans="1:24" s="14" customFormat="1" ht="15" hidden="1" thickTop="1">
      <c r="A224" s="15" t="s">
        <v>49</v>
      </c>
      <c r="B224" s="15" t="s">
        <v>49</v>
      </c>
      <c r="C224" s="16" t="s">
        <v>624</v>
      </c>
      <c r="D224" s="16" t="s">
        <v>895</v>
      </c>
      <c r="E224" s="16" t="s">
        <v>1141</v>
      </c>
      <c r="F224" s="16" t="s">
        <v>312</v>
      </c>
      <c r="G224" s="15" t="s">
        <v>584</v>
      </c>
      <c r="H224" s="15" t="s">
        <v>85</v>
      </c>
      <c r="I224" s="17" t="s">
        <v>85</v>
      </c>
      <c r="J224" s="238">
        <v>2925278.43</v>
      </c>
      <c r="K224" s="18" t="s">
        <v>51</v>
      </c>
      <c r="L224" s="16" t="s">
        <v>178</v>
      </c>
      <c r="M224" s="148" t="s">
        <v>123</v>
      </c>
      <c r="N224" s="19" t="str">
        <f>_xlfn.XLOOKUP(Calculations[[#This Row],[For XLOOKUP]],Factors[For XLOOKUP],Factors[Factor],"")</f>
        <v>Σ.Ε. CO2 - Χώρας</v>
      </c>
      <c r="O224" s="19">
        <f>_xlfn.XLOOKUP(Calculations[[#This Row],[For XLOOKUP]],Factors[For XLOOKUP],Factors[Value],"")</f>
        <v>2.5244139999999998E-4</v>
      </c>
      <c r="P224" s="19" t="str">
        <f>_xlfn.XLOOKUP(Calculations[[#This Row],[For XLOOKUP]],Factors[For XLOOKUP],Factors[Units],"")</f>
        <v>tn CO2/kwh</v>
      </c>
      <c r="Q224" s="19" t="str">
        <f>_xlfn.XLOOKUP(Calculations[[#This Row],[For XLOOKUP]],Factors[For XLOOKUP],Factors[Source],"")</f>
        <v>ΔΑΠΕΕΠ 2024</v>
      </c>
      <c r="R224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738.46138225900199</v>
      </c>
      <c r="S224" s="19" t="str">
        <f>IF(LEFT(Calculations[[#This Row],[Emission Factor]],7)="Σ.Ε. CH",Calculations[[#This Row],[Value]]*Calculations[[#This Row],[Τιμή]],"-")</f>
        <v>-</v>
      </c>
      <c r="T22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4" s="19" t="str">
        <f>IF(LEFT(Calculations[[#This Row],[Emission Factor]],3)="GWP",Calculations[[#This Row],[Τιμή]],"-")</f>
        <v>-</v>
      </c>
      <c r="V224" s="19" t="str">
        <f>IF(OR(Calculations[[#This Row],[Emission Factor]]="Σ.Ε. CO₂ eq",Calculations[[#This Row],[Emission Factor]]="CO₂ eq"),Calculations[[#This Row],[Value]]*Calculations[[#This Row],[Τιμή]],"-")</f>
        <v>-</v>
      </c>
      <c r="W224" s="19" t="str">
        <f>IF(Calculations[[#This Row],[Πηγή εκπομπών]]="Electricity consumed in office buildings and projects - market based",Calculations[[#This Row],[t CO2]],"")</f>
        <v/>
      </c>
      <c r="X22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738.46138225900199</v>
      </c>
    </row>
    <row r="225" spans="1:24" s="14" customFormat="1" ht="15" hidden="1" thickTop="1">
      <c r="A225" s="15" t="s">
        <v>49</v>
      </c>
      <c r="B225" s="15" t="s">
        <v>49</v>
      </c>
      <c r="C225" s="16" t="s">
        <v>624</v>
      </c>
      <c r="D225" s="16" t="s">
        <v>895</v>
      </c>
      <c r="E225" s="16" t="s">
        <v>1141</v>
      </c>
      <c r="F225" s="16" t="s">
        <v>312</v>
      </c>
      <c r="G225" s="15" t="s">
        <v>584</v>
      </c>
      <c r="H225" s="15" t="s">
        <v>85</v>
      </c>
      <c r="I225" s="17" t="s">
        <v>85</v>
      </c>
      <c r="J225" s="245" cm="1">
        <f t="array" ref="J225">_xlfn.XLOOKUP(1,(Calculations[Πληροφορίες]=Calculations[[#This Row],[Πληροφορίες]])*(Calculations[Έργο]=Calculations[[#This Row],[Έργο]]),Calculations[Τιμή])</f>
        <v>2925278.43</v>
      </c>
      <c r="K225" s="18" t="s">
        <v>51</v>
      </c>
      <c r="L225" s="16" t="s">
        <v>178</v>
      </c>
      <c r="M225" s="148" t="s">
        <v>122</v>
      </c>
      <c r="N225" s="19" t="str">
        <f>_xlfn.XLOOKUP(Calculations[[#This Row],[For XLOOKUP]],Factors[For XLOOKUP],Factors[Factor],"")</f>
        <v>Σ.Ε. CH4 - Χώρας</v>
      </c>
      <c r="O225" s="19">
        <f>_xlfn.XLOOKUP(Calculations[[#This Row],[For XLOOKUP]],Factors[For XLOOKUP],Factors[Value],"")</f>
        <v>6.3220000000000003E-9</v>
      </c>
      <c r="P225" s="19" t="str">
        <f>_xlfn.XLOOKUP(Calculations[[#This Row],[For XLOOKUP]],Factors[For XLOOKUP],Factors[Units],"")</f>
        <v>tn CH4/kWh</v>
      </c>
      <c r="Q225" s="19" t="str">
        <f>_xlfn.XLOOKUP(Calculations[[#This Row],[For XLOOKUP]],Factors[For XLOOKUP],Factors[Source],"")</f>
        <v>Έκθεση ΔΑΠΕΕΠ 2022 και NIR 2022</v>
      </c>
      <c r="R22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5" s="19">
        <f>IF(LEFT(Calculations[[#This Row],[Emission Factor]],7)="Σ.Ε. CH",Calculations[[#This Row],[Value]]*Calculations[[#This Row],[Τιμή]],"-")</f>
        <v>1.8493610234460001E-2</v>
      </c>
      <c r="T22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5" s="19" t="str">
        <f>IF(LEFT(Calculations[[#This Row],[Emission Factor]],3)="GWP",Calculations[[#This Row],[Τιμή]],"-")</f>
        <v>-</v>
      </c>
      <c r="V225" s="19" t="str">
        <f>IF(OR(Calculations[[#This Row],[Emission Factor]]="Σ.Ε. CO₂ eq",Calculations[[#This Row],[Emission Factor]]="CO₂ eq"),Calculations[[#This Row],[Value]]*Calculations[[#This Row],[Τιμή]],"-")</f>
        <v>-</v>
      </c>
      <c r="W225" s="19" t="str">
        <f>IF(Calculations[[#This Row],[Πηγή εκπομπών]]="Electricity consumed in office buildings and projects - market based",Calculations[[#This Row],[t CO2]],"")</f>
        <v/>
      </c>
      <c r="X22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0.51782108656488002</v>
      </c>
    </row>
    <row r="226" spans="1:24" s="14" customFormat="1" ht="15" hidden="1" thickTop="1">
      <c r="A226" s="15" t="s">
        <v>49</v>
      </c>
      <c r="B226" s="15" t="s">
        <v>49</v>
      </c>
      <c r="C226" s="16" t="s">
        <v>624</v>
      </c>
      <c r="D226" s="16" t="s">
        <v>895</v>
      </c>
      <c r="E226" s="16" t="s">
        <v>1141</v>
      </c>
      <c r="F226" s="16" t="s">
        <v>312</v>
      </c>
      <c r="G226" s="15" t="s">
        <v>584</v>
      </c>
      <c r="H226" s="15" t="s">
        <v>85</v>
      </c>
      <c r="I226" s="17" t="s">
        <v>85</v>
      </c>
      <c r="J226" s="245" cm="1">
        <f t="array" ref="J226">_xlfn.XLOOKUP(1,(Calculations[Πληροφορίες]=Calculations[[#This Row],[Πληροφορίες]])*(Calculations[Έργο]=Calculations[[#This Row],[Έργο]]),Calculations[Τιμή])</f>
        <v>2925278.43</v>
      </c>
      <c r="K226" s="18" t="s">
        <v>51</v>
      </c>
      <c r="L226" s="16" t="s">
        <v>178</v>
      </c>
      <c r="M226" s="148" t="s">
        <v>126</v>
      </c>
      <c r="N226" s="19" t="str">
        <f>_xlfn.XLOOKUP(Calculations[[#This Row],[For XLOOKUP]],Factors[For XLOOKUP],Factors[Factor],"")</f>
        <v>Σ.Ε. N2O - Χώρας</v>
      </c>
      <c r="O226" s="19">
        <f>_xlfn.XLOOKUP(Calculations[[#This Row],[For XLOOKUP]],Factors[For XLOOKUP],Factors[Value],"")</f>
        <v>2.6031000000000002E-9</v>
      </c>
      <c r="P226" s="19" t="str">
        <f>_xlfn.XLOOKUP(Calculations[[#This Row],[For XLOOKUP]],Factors[For XLOOKUP],Factors[Units],"")</f>
        <v>tn N2O/kWh</v>
      </c>
      <c r="Q226" s="19" t="str">
        <f>_xlfn.XLOOKUP(Calculations[[#This Row],[For XLOOKUP]],Factors[For XLOOKUP],Factors[Source],"")</f>
        <v>Έκθεση ΔΑΠΕΕΠ 2022 και NIR 2022</v>
      </c>
      <c r="R22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6" s="19" t="str">
        <f>IF(LEFT(Calculations[[#This Row],[Emission Factor]],7)="Σ.Ε. CH",Calculations[[#This Row],[Value]]*Calculations[[#This Row],[Τιμή]],"-")</f>
        <v>-</v>
      </c>
      <c r="T226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7.614792281133001E-3</v>
      </c>
      <c r="U226" s="19" t="str">
        <f>IF(LEFT(Calculations[[#This Row],[Emission Factor]],3)="GWP",Calculations[[#This Row],[Τιμή]],"-")</f>
        <v>-</v>
      </c>
      <c r="V226" s="19" t="str">
        <f>IF(OR(Calculations[[#This Row],[Emission Factor]]="Σ.Ε. CO₂ eq",Calculations[[#This Row],[Emission Factor]]="CO₂ eq"),Calculations[[#This Row],[Value]]*Calculations[[#This Row],[Τιμή]],"-")</f>
        <v>-</v>
      </c>
      <c r="W226" s="19" t="str">
        <f>IF(Calculations[[#This Row],[Πηγή εκπομπών]]="Electricity consumed in office buildings and projects - market based",Calculations[[#This Row],[t CO2]],"")</f>
        <v/>
      </c>
      <c r="X22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2.0179199545002451</v>
      </c>
    </row>
    <row r="227" spans="1:24" s="14" customFormat="1" ht="15" hidden="1" thickTop="1">
      <c r="A227" s="15" t="s">
        <v>49</v>
      </c>
      <c r="B227" s="15" t="s">
        <v>49</v>
      </c>
      <c r="C227" s="16" t="s">
        <v>624</v>
      </c>
      <c r="D227" s="16" t="s">
        <v>895</v>
      </c>
      <c r="E227" s="16" t="s">
        <v>1142</v>
      </c>
      <c r="F227" s="16" t="s">
        <v>312</v>
      </c>
      <c r="G227" s="15" t="s">
        <v>584</v>
      </c>
      <c r="H227" s="15" t="s">
        <v>85</v>
      </c>
      <c r="I227" s="17" t="s">
        <v>85</v>
      </c>
      <c r="J227" s="238">
        <v>7868.0394282922298</v>
      </c>
      <c r="K227" s="18" t="s">
        <v>51</v>
      </c>
      <c r="L227" s="16" t="s">
        <v>323</v>
      </c>
      <c r="M227" s="148" t="s">
        <v>123</v>
      </c>
      <c r="N227" s="19" t="str">
        <f>_xlfn.XLOOKUP(Calculations[[#This Row],[For XLOOKUP]],Factors[For XLOOKUP],Factors[Factor],"")</f>
        <v>Σ.Ε. CO2 - Χώρας</v>
      </c>
      <c r="O227" s="19">
        <f>_xlfn.XLOOKUP(Calculations[[#This Row],[For XLOOKUP]],Factors[For XLOOKUP],Factors[Value],"")</f>
        <v>2.5244139999999998E-4</v>
      </c>
      <c r="P227" s="19" t="str">
        <f>_xlfn.XLOOKUP(Calculations[[#This Row],[For XLOOKUP]],Factors[For XLOOKUP],Factors[Units],"")</f>
        <v>tn CO2/kwh</v>
      </c>
      <c r="Q227" s="19" t="str">
        <f>_xlfn.XLOOKUP(Calculations[[#This Row],[For XLOOKUP]],Factors[For XLOOKUP],Factors[Source],"")</f>
        <v>ΔΑΠΕΕΠ 2024</v>
      </c>
      <c r="R22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1.9862188885332899</v>
      </c>
      <c r="S227" s="19" t="str">
        <f>IF(LEFT(Calculations[[#This Row],[Emission Factor]],7)="Σ.Ε. CH",Calculations[[#This Row],[Value]]*Calculations[[#This Row],[Τιμή]],"-")</f>
        <v>-</v>
      </c>
      <c r="T22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7" s="19" t="str">
        <f>IF(LEFT(Calculations[[#This Row],[Emission Factor]],3)="GWP",Calculations[[#This Row],[Τιμή]],"-")</f>
        <v>-</v>
      </c>
      <c r="V227" s="19" t="str">
        <f>IF(OR(Calculations[[#This Row],[Emission Factor]]="Σ.Ε. CO₂ eq",Calculations[[#This Row],[Emission Factor]]="CO₂ eq"),Calculations[[#This Row],[Value]]*Calculations[[#This Row],[Τιμή]],"-")</f>
        <v>-</v>
      </c>
      <c r="W227" s="19" t="str">
        <f>IF(Calculations[[#This Row],[Πηγή εκπομπών]]="Electricity consumed in office buildings and projects - market based",Calculations[[#This Row],[t CO2]],"")</f>
        <v/>
      </c>
      <c r="X22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1.9862188885332899</v>
      </c>
    </row>
    <row r="228" spans="1:24" s="14" customFormat="1" ht="15" hidden="1" thickTop="1">
      <c r="A228" s="15" t="s">
        <v>49</v>
      </c>
      <c r="B228" s="15" t="s">
        <v>49</v>
      </c>
      <c r="C228" s="16" t="s">
        <v>624</v>
      </c>
      <c r="D228" s="16" t="s">
        <v>895</v>
      </c>
      <c r="E228" s="16" t="s">
        <v>1142</v>
      </c>
      <c r="F228" s="16" t="s">
        <v>312</v>
      </c>
      <c r="G228" s="15" t="s">
        <v>584</v>
      </c>
      <c r="H228" s="15" t="s">
        <v>85</v>
      </c>
      <c r="I228" s="17" t="s">
        <v>85</v>
      </c>
      <c r="J228" s="245" cm="1">
        <f t="array" ref="J228">_xlfn.XLOOKUP(1,(Calculations[Πληροφορίες]=Calculations[[#This Row],[Πληροφορίες]])*(Calculations[Έργο]=Calculations[[#This Row],[Έργο]]),Calculations[Τιμή])</f>
        <v>7868.0394282922298</v>
      </c>
      <c r="K228" s="18" t="s">
        <v>51</v>
      </c>
      <c r="L228" s="16" t="s">
        <v>323</v>
      </c>
      <c r="M228" s="148" t="s">
        <v>122</v>
      </c>
      <c r="N228" s="19" t="str">
        <f>_xlfn.XLOOKUP(Calculations[[#This Row],[For XLOOKUP]],Factors[For XLOOKUP],Factors[Factor],"")</f>
        <v>Σ.Ε. CH4 - Χώρας</v>
      </c>
      <c r="O228" s="19">
        <f>_xlfn.XLOOKUP(Calculations[[#This Row],[For XLOOKUP]],Factors[For XLOOKUP],Factors[Value],"")</f>
        <v>6.3220000000000003E-9</v>
      </c>
      <c r="P228" s="19" t="str">
        <f>_xlfn.XLOOKUP(Calculations[[#This Row],[For XLOOKUP]],Factors[For XLOOKUP],Factors[Units],"")</f>
        <v>tn CH4/kWh</v>
      </c>
      <c r="Q228" s="19" t="str">
        <f>_xlfn.XLOOKUP(Calculations[[#This Row],[For XLOOKUP]],Factors[For XLOOKUP],Factors[Source],"")</f>
        <v>Έκθεση ΔΑΠΕΕΠ 2022 και NIR 2022</v>
      </c>
      <c r="R22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8" s="19">
        <f>IF(LEFT(Calculations[[#This Row],[Emission Factor]],7)="Σ.Ε. CH",Calculations[[#This Row],[Value]]*Calculations[[#This Row],[Τιμή]],"-")</f>
        <v>4.9741745265663476E-5</v>
      </c>
      <c r="T22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8" s="19" t="str">
        <f>IF(LEFT(Calculations[[#This Row],[Emission Factor]],3)="GWP",Calculations[[#This Row],[Τιμή]],"-")</f>
        <v>-</v>
      </c>
      <c r="V228" s="19" t="str">
        <f>IF(OR(Calculations[[#This Row],[Emission Factor]]="Σ.Ε. CO₂ eq",Calculations[[#This Row],[Emission Factor]]="CO₂ eq"),Calculations[[#This Row],[Value]]*Calculations[[#This Row],[Τιμή]],"-")</f>
        <v>-</v>
      </c>
      <c r="W228" s="19" t="str">
        <f>IF(Calculations[[#This Row],[Πηγή εκπομπών]]="Electricity consumed in office buildings and projects - market based",Calculations[[#This Row],[t CO2]],"")</f>
        <v/>
      </c>
      <c r="X22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1.3927688674385773E-3</v>
      </c>
    </row>
    <row r="229" spans="1:24" s="14" customFormat="1" ht="15" hidden="1" thickTop="1">
      <c r="A229" s="15" t="s">
        <v>49</v>
      </c>
      <c r="B229" s="15" t="s">
        <v>49</v>
      </c>
      <c r="C229" s="16" t="s">
        <v>624</v>
      </c>
      <c r="D229" s="16" t="s">
        <v>895</v>
      </c>
      <c r="E229" s="16" t="s">
        <v>1142</v>
      </c>
      <c r="F229" s="77" t="s">
        <v>312</v>
      </c>
      <c r="G229" s="15" t="s">
        <v>584</v>
      </c>
      <c r="H229" s="15" t="s">
        <v>85</v>
      </c>
      <c r="I229" s="17" t="s">
        <v>85</v>
      </c>
      <c r="J229" s="245" cm="1">
        <f t="array" ref="J22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7868.0394282922298</v>
      </c>
      <c r="K229" s="18" t="s">
        <v>51</v>
      </c>
      <c r="L229" s="16" t="s">
        <v>323</v>
      </c>
      <c r="M229" s="148" t="s">
        <v>126</v>
      </c>
      <c r="N229" s="19" t="str">
        <f>_xlfn.XLOOKUP(Calculations[[#This Row],[For XLOOKUP]],Factors[For XLOOKUP],Factors[Factor],"")</f>
        <v>Σ.Ε. N2O - Χώρας</v>
      </c>
      <c r="O229" s="19">
        <f>_xlfn.XLOOKUP(Calculations[[#This Row],[For XLOOKUP]],Factors[For XLOOKUP],Factors[Value],"")</f>
        <v>2.6031000000000002E-9</v>
      </c>
      <c r="P229" s="19" t="str">
        <f>_xlfn.XLOOKUP(Calculations[[#This Row],[For XLOOKUP]],Factors[For XLOOKUP],Factors[Units],"")</f>
        <v>tn N2O/kWh</v>
      </c>
      <c r="Q229" s="19" t="str">
        <f>_xlfn.XLOOKUP(Calculations[[#This Row],[For XLOOKUP]],Factors[For XLOOKUP],Factors[Source],"")</f>
        <v>Έκθεση ΔΑΠΕΕΠ 2022 και NIR 2022</v>
      </c>
      <c r="R22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9" s="19" t="str">
        <f>IF(LEFT(Calculations[[#This Row],[Emission Factor]],7)="Σ.Ε. CH",Calculations[[#This Row],[Value]]*Calculations[[#This Row],[Τιμή]],"-")</f>
        <v>-</v>
      </c>
      <c r="T229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2.0481293435787505E-5</v>
      </c>
      <c r="U229" s="19" t="str">
        <f>IF(LEFT(Calculations[[#This Row],[Emission Factor]],3)="GWP",Calculations[[#This Row],[Τιμή]],"-")</f>
        <v>-</v>
      </c>
      <c r="V229" s="19" t="str">
        <f>IF(OR(Calculations[[#This Row],[Emission Factor]]="Σ.Ε. CO₂ eq",Calculations[[#This Row],[Emission Factor]]="CO₂ eq"),Calculations[[#This Row],[Value]]*Calculations[[#This Row],[Τιμή]],"-")</f>
        <v>-</v>
      </c>
      <c r="W229" s="19" t="str">
        <f>IF(Calculations[[#This Row],[Πηγή εκπομπών]]="Electricity consumed in office buildings and projects - market based",Calculations[[#This Row],[t CO2]],"")</f>
        <v/>
      </c>
      <c r="X22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5.4275427604836887E-3</v>
      </c>
    </row>
    <row r="230" spans="1:24" s="14" customFormat="1" ht="15" hidden="1" thickTop="1">
      <c r="A230" s="15" t="s">
        <v>49</v>
      </c>
      <c r="B230" s="15" t="s">
        <v>49</v>
      </c>
      <c r="C230" s="16" t="s">
        <v>1152</v>
      </c>
      <c r="D230" s="16" t="s">
        <v>1144</v>
      </c>
      <c r="E230" s="16" t="s">
        <v>1143</v>
      </c>
      <c r="F230" s="11" t="s">
        <v>647</v>
      </c>
      <c r="G230" s="15" t="s">
        <v>584</v>
      </c>
      <c r="H230" s="15" t="s">
        <v>85</v>
      </c>
      <c r="I230" s="17" t="s">
        <v>85</v>
      </c>
      <c r="J230" s="238">
        <v>30749</v>
      </c>
      <c r="K230" s="18" t="s">
        <v>51</v>
      </c>
      <c r="L230" s="16" t="s">
        <v>1145</v>
      </c>
      <c r="M230" s="148" t="s">
        <v>1099</v>
      </c>
      <c r="N230" s="19" t="str">
        <f>_xlfn.XLOOKUP(Calculations[[#This Row],[For XLOOKUP]],Factors[For XLOOKUP],Factors[Factor],"")</f>
        <v>Σ.Ε. CO2 - Χώρας</v>
      </c>
      <c r="O230" s="19">
        <f>_xlfn.XLOOKUP(Calculations[[#This Row],[For XLOOKUP]],Factors[For XLOOKUP],Factors[Value],"")</f>
        <v>2.7316046011634199E-4</v>
      </c>
      <c r="P230" s="19" t="str">
        <f>_xlfn.XLOOKUP(Calculations[[#This Row],[For XLOOKUP]],Factors[For XLOOKUP],Factors[Units],"")</f>
        <v>tn CO2/kwh</v>
      </c>
      <c r="Q230" s="19" t="str">
        <f>_xlfn.XLOOKUP(Calculations[[#This Row],[For XLOOKUP]],Factors[For XLOOKUP],Factors[Source],"")</f>
        <v>ΙΕΑ 2022</v>
      </c>
      <c r="R230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8.3994109881174008</v>
      </c>
      <c r="S230" s="19" t="str">
        <f>IF(LEFT(Calculations[[#This Row],[Emission Factor]],7)="Σ.Ε. CH",Calculations[[#This Row],[Value]]*Calculations[[#This Row],[Τιμή]],"-")</f>
        <v>-</v>
      </c>
      <c r="T23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0" s="19" t="str">
        <f>IF(LEFT(Calculations[[#This Row],[Emission Factor]],3)="GWP",Calculations[[#This Row],[Τιμή]],"-")</f>
        <v>-</v>
      </c>
      <c r="V230" s="19" t="str">
        <f>IF(OR(Calculations[[#This Row],[Emission Factor]]="Σ.Ε. CO₂ eq",Calculations[[#This Row],[Emission Factor]]="CO₂ eq"),Calculations[[#This Row],[Value]]*Calculations[[#This Row],[Τιμή]],"-")</f>
        <v>-</v>
      </c>
      <c r="W230" s="19" t="str">
        <f>IF(Calculations[[#This Row],[Πηγή εκπομπών]]="Electricity consumed in office buildings and projects - market based",Calculations[[#This Row],[t CO2]],"")</f>
        <v/>
      </c>
      <c r="X23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8.3994109881174008</v>
      </c>
    </row>
    <row r="231" spans="1:24" s="14" customFormat="1" ht="15" hidden="1" thickTop="1">
      <c r="A231" s="15" t="s">
        <v>49</v>
      </c>
      <c r="B231" s="15" t="s">
        <v>49</v>
      </c>
      <c r="C231" s="16" t="s">
        <v>624</v>
      </c>
      <c r="D231" s="16" t="s">
        <v>1144</v>
      </c>
      <c r="E231" s="16" t="s">
        <v>1146</v>
      </c>
      <c r="F231" s="11" t="s">
        <v>647</v>
      </c>
      <c r="G231" s="15" t="s">
        <v>584</v>
      </c>
      <c r="H231" s="15" t="s">
        <v>85</v>
      </c>
      <c r="I231" s="17" t="s">
        <v>85</v>
      </c>
      <c r="J231" s="238">
        <v>268292.27646533703</v>
      </c>
      <c r="K231" s="18" t="s">
        <v>51</v>
      </c>
      <c r="L231" s="16" t="s">
        <v>323</v>
      </c>
      <c r="M231" s="148" t="s">
        <v>123</v>
      </c>
      <c r="N231" s="19" t="str">
        <f>_xlfn.XLOOKUP(Calculations[[#This Row],[For XLOOKUP]],Factors[For XLOOKUP],Factors[Factor],"")</f>
        <v>Σ.Ε. CO2 - Χώρας</v>
      </c>
      <c r="O231" s="19">
        <f>_xlfn.XLOOKUP(Calculations[[#This Row],[For XLOOKUP]],Factors[For XLOOKUP],Factors[Value],"")</f>
        <v>2.5244139999999998E-4</v>
      </c>
      <c r="P231" s="19" t="str">
        <f>_xlfn.XLOOKUP(Calculations[[#This Row],[For XLOOKUP]],Factors[For XLOOKUP],Factors[Units],"")</f>
        <v>tn CO2/kwh</v>
      </c>
      <c r="Q231" s="19" t="str">
        <f>_xlfn.XLOOKUP(Calculations[[#This Row],[For XLOOKUP]],Factors[For XLOOKUP],Factors[Source],"")</f>
        <v>ΔΑΠΕΕΠ 2024</v>
      </c>
      <c r="R231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67.72807788009672</v>
      </c>
      <c r="S231" s="19" t="str">
        <f>IF(LEFT(Calculations[[#This Row],[Emission Factor]],7)="Σ.Ε. CH",Calculations[[#This Row],[Value]]*Calculations[[#This Row],[Τιμή]],"-")</f>
        <v>-</v>
      </c>
      <c r="T23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1" s="19" t="str">
        <f>IF(LEFT(Calculations[[#This Row],[Emission Factor]],3)="GWP",Calculations[[#This Row],[Τιμή]],"-")</f>
        <v>-</v>
      </c>
      <c r="V231" s="19" t="str">
        <f>IF(OR(Calculations[[#This Row],[Emission Factor]]="Σ.Ε. CO₂ eq",Calculations[[#This Row],[Emission Factor]]="CO₂ eq"),Calculations[[#This Row],[Value]]*Calculations[[#This Row],[Τιμή]],"-")</f>
        <v>-</v>
      </c>
      <c r="W231" s="19" t="str">
        <f>IF(Calculations[[#This Row],[Πηγή εκπομπών]]="Electricity consumed in office buildings and projects - market based",Calculations[[#This Row],[t CO2]],"")</f>
        <v/>
      </c>
      <c r="X23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67.72807788009672</v>
      </c>
    </row>
    <row r="232" spans="1:24" s="14" customFormat="1" ht="15" hidden="1" thickTop="1">
      <c r="A232" s="15" t="s">
        <v>49</v>
      </c>
      <c r="B232" s="15" t="s">
        <v>49</v>
      </c>
      <c r="C232" s="16" t="s">
        <v>624</v>
      </c>
      <c r="D232" s="16" t="s">
        <v>1144</v>
      </c>
      <c r="E232" s="16" t="s">
        <v>1146</v>
      </c>
      <c r="F232" s="11" t="s">
        <v>647</v>
      </c>
      <c r="G232" s="15" t="s">
        <v>584</v>
      </c>
      <c r="H232" s="15" t="s">
        <v>85</v>
      </c>
      <c r="I232" s="17" t="s">
        <v>85</v>
      </c>
      <c r="J232" s="245" cm="1">
        <f t="array" ref="J232">_xlfn.XLOOKUP(1,(Calculations[Πληροφορίες]=Calculations[[#This Row],[Πληροφορίες]])*(Calculations[Έργο]=Calculations[[#This Row],[Έργο]]),Calculations[Τιμή])</f>
        <v>268292.27646533703</v>
      </c>
      <c r="K232" s="18" t="s">
        <v>51</v>
      </c>
      <c r="L232" s="16" t="s">
        <v>323</v>
      </c>
      <c r="M232" s="148" t="s">
        <v>122</v>
      </c>
      <c r="N232" s="19" t="str">
        <f>_xlfn.XLOOKUP(Calculations[[#This Row],[For XLOOKUP]],Factors[For XLOOKUP],Factors[Factor],"")</f>
        <v>Σ.Ε. CH4 - Χώρας</v>
      </c>
      <c r="O232" s="19">
        <f>_xlfn.XLOOKUP(Calculations[[#This Row],[For XLOOKUP]],Factors[For XLOOKUP],Factors[Value],"")</f>
        <v>6.3220000000000003E-9</v>
      </c>
      <c r="P232" s="19" t="str">
        <f>_xlfn.XLOOKUP(Calculations[[#This Row],[For XLOOKUP]],Factors[For XLOOKUP],Factors[Units],"")</f>
        <v>tn CH4/kWh</v>
      </c>
      <c r="Q232" s="19" t="str">
        <f>_xlfn.XLOOKUP(Calculations[[#This Row],[For XLOOKUP]],Factors[For XLOOKUP],Factors[Source],"")</f>
        <v>Έκθεση ΔΑΠΕΕΠ 2022 και NIR 2022</v>
      </c>
      <c r="R23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2" s="19">
        <f>IF(LEFT(Calculations[[#This Row],[Emission Factor]],7)="Σ.Ε. CH",Calculations[[#This Row],[Value]]*Calculations[[#This Row],[Τιμή]],"-")</f>
        <v>1.6961437718138607E-3</v>
      </c>
      <c r="T23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2" s="19" t="str">
        <f>IF(LEFT(Calculations[[#This Row],[Emission Factor]],3)="GWP",Calculations[[#This Row],[Τιμή]],"-")</f>
        <v>-</v>
      </c>
      <c r="V232" s="19" t="str">
        <f>IF(OR(Calculations[[#This Row],[Emission Factor]]="Σ.Ε. CO₂ eq",Calculations[[#This Row],[Emission Factor]]="CO₂ eq"),Calculations[[#This Row],[Value]]*Calculations[[#This Row],[Τιμή]],"-")</f>
        <v>-</v>
      </c>
      <c r="W232" s="19" t="str">
        <f>IF(Calculations[[#This Row],[Πηγή εκπομπών]]="Electricity consumed in office buildings and projects - market based",Calculations[[#This Row],[t CO2]],"")</f>
        <v/>
      </c>
      <c r="X23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4.7492025610788101E-2</v>
      </c>
    </row>
    <row r="233" spans="1:24" s="14" customFormat="1" ht="15" hidden="1" thickTop="1">
      <c r="A233" s="15" t="s">
        <v>49</v>
      </c>
      <c r="B233" s="15" t="s">
        <v>49</v>
      </c>
      <c r="C233" s="16" t="s">
        <v>624</v>
      </c>
      <c r="D233" s="16" t="s">
        <v>1144</v>
      </c>
      <c r="E233" s="16" t="s">
        <v>1146</v>
      </c>
      <c r="F233" s="209" t="s">
        <v>647</v>
      </c>
      <c r="G233" s="15" t="s">
        <v>584</v>
      </c>
      <c r="H233" s="15" t="s">
        <v>85</v>
      </c>
      <c r="I233" s="17" t="s">
        <v>85</v>
      </c>
      <c r="J233" s="245" cm="1">
        <f t="array" ref="J23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268292.27646533703</v>
      </c>
      <c r="K233" s="18" t="s">
        <v>51</v>
      </c>
      <c r="L233" s="16" t="s">
        <v>323</v>
      </c>
      <c r="M233" s="148" t="s">
        <v>126</v>
      </c>
      <c r="N233" s="19" t="str">
        <f>_xlfn.XLOOKUP(Calculations[[#This Row],[For XLOOKUP]],Factors[For XLOOKUP],Factors[Factor],"")</f>
        <v>Σ.Ε. N2O - Χώρας</v>
      </c>
      <c r="O233" s="19">
        <f>_xlfn.XLOOKUP(Calculations[[#This Row],[For XLOOKUP]],Factors[For XLOOKUP],Factors[Value],"")</f>
        <v>2.6031000000000002E-9</v>
      </c>
      <c r="P233" s="19" t="str">
        <f>_xlfn.XLOOKUP(Calculations[[#This Row],[For XLOOKUP]],Factors[For XLOOKUP],Factors[Units],"")</f>
        <v>tn N2O/kWh</v>
      </c>
      <c r="Q233" s="19" t="str">
        <f>_xlfn.XLOOKUP(Calculations[[#This Row],[For XLOOKUP]],Factors[For XLOOKUP],Factors[Source],"")</f>
        <v>Έκθεση ΔΑΠΕΕΠ 2022 και NIR 2022</v>
      </c>
      <c r="R23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3" s="19" t="str">
        <f>IF(LEFT(Calculations[[#This Row],[Emission Factor]],7)="Σ.Ε. CH",Calculations[[#This Row],[Value]]*Calculations[[#This Row],[Τιμή]],"-")</f>
        <v>-</v>
      </c>
      <c r="T23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6.9839162486691887E-4</v>
      </c>
      <c r="U233" s="19" t="str">
        <f>IF(LEFT(Calculations[[#This Row],[Emission Factor]],3)="GWP",Calculations[[#This Row],[Τιμή]],"-")</f>
        <v>-</v>
      </c>
      <c r="V233" s="19" t="str">
        <f>IF(OR(Calculations[[#This Row],[Emission Factor]]="Σ.Ε. CO₂ eq",Calculations[[#This Row],[Emission Factor]]="CO₂ eq"),Calculations[[#This Row],[Value]]*Calculations[[#This Row],[Τιμή]],"-")</f>
        <v>-</v>
      </c>
      <c r="W233" s="19" t="str">
        <f>IF(Calculations[[#This Row],[Πηγή εκπομπών]]="Electricity consumed in office buildings and projects - market based",Calculations[[#This Row],[t CO2]],"")</f>
        <v/>
      </c>
      <c r="X23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0.18507378058973351</v>
      </c>
    </row>
    <row r="234" spans="1:24" s="14" customFormat="1" ht="15" hidden="1" thickTop="1">
      <c r="A234" s="15" t="s">
        <v>49</v>
      </c>
      <c r="B234" s="15" t="s">
        <v>49</v>
      </c>
      <c r="C234" s="16" t="s">
        <v>624</v>
      </c>
      <c r="D234" s="16" t="s">
        <v>894</v>
      </c>
      <c r="E234" s="16"/>
      <c r="F234" s="16" t="s">
        <v>317</v>
      </c>
      <c r="G234" s="15" t="s">
        <v>584</v>
      </c>
      <c r="H234" s="15" t="s">
        <v>85</v>
      </c>
      <c r="I234" s="17" t="s">
        <v>85</v>
      </c>
      <c r="J234" s="238">
        <v>4057935.6300000004</v>
      </c>
      <c r="K234" s="18" t="s">
        <v>51</v>
      </c>
      <c r="L234" s="16" t="s">
        <v>323</v>
      </c>
      <c r="M234" s="148" t="s">
        <v>123</v>
      </c>
      <c r="N234" s="19" t="str">
        <f>_xlfn.XLOOKUP(Calculations[[#This Row],[For XLOOKUP]],Factors[For XLOOKUP],Factors[Factor],"")</f>
        <v>Σ.Ε. CO2 - Χώρας</v>
      </c>
      <c r="O234" s="19">
        <f>_xlfn.XLOOKUP(Calculations[[#This Row],[For XLOOKUP]],Factors[For XLOOKUP],Factors[Value],"")</f>
        <v>2.5244139999999998E-4</v>
      </c>
      <c r="P234" s="19" t="str">
        <f>_xlfn.XLOOKUP(Calculations[[#This Row],[For XLOOKUP]],Factors[For XLOOKUP],Factors[Units],"")</f>
        <v>tn CO2/kwh</v>
      </c>
      <c r="Q234" s="19" t="str">
        <f>_xlfn.XLOOKUP(Calculations[[#This Row],[For XLOOKUP]],Factors[For XLOOKUP],Factors[Source],"")</f>
        <v>ΔΑΠΕΕΠ 2024</v>
      </c>
      <c r="R234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1024.3909515470821</v>
      </c>
      <c r="S234" s="19" t="str">
        <f>IF(LEFT(Calculations[[#This Row],[Emission Factor]],7)="Σ.Ε. CH",Calculations[[#This Row],[Value]]*Calculations[[#This Row],[Τιμή]],"-")</f>
        <v>-</v>
      </c>
      <c r="T23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4" s="19" t="str">
        <f>IF(LEFT(Calculations[[#This Row],[Emission Factor]],3)="GWP",Calculations[[#This Row],[Τιμή]],"-")</f>
        <v>-</v>
      </c>
      <c r="V234" s="19" t="str">
        <f>IF(OR(Calculations[[#This Row],[Emission Factor]]="Σ.Ε. CO₂ eq",Calculations[[#This Row],[Emission Factor]]="CO₂ eq"),Calculations[[#This Row],[Value]]*Calculations[[#This Row],[Τιμή]],"-")</f>
        <v>-</v>
      </c>
      <c r="W234" s="19" t="str">
        <f>IF(Calculations[[#This Row],[Πηγή εκπομπών]]="Electricity consumed in office buildings and projects - market based",Calculations[[#This Row],[t CO2]],"")</f>
        <v/>
      </c>
      <c r="X23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1024.3909515470821</v>
      </c>
    </row>
    <row r="235" spans="1:24" s="14" customFormat="1" ht="15" hidden="1" thickTop="1">
      <c r="A235" s="15" t="s">
        <v>49</v>
      </c>
      <c r="B235" s="15" t="s">
        <v>49</v>
      </c>
      <c r="C235" s="16" t="s">
        <v>624</v>
      </c>
      <c r="D235" s="16" t="s">
        <v>894</v>
      </c>
      <c r="E235" s="16"/>
      <c r="F235" s="16" t="s">
        <v>317</v>
      </c>
      <c r="G235" s="15" t="s">
        <v>584</v>
      </c>
      <c r="H235" s="15" t="s">
        <v>85</v>
      </c>
      <c r="I235" s="17" t="s">
        <v>85</v>
      </c>
      <c r="J235" s="245" cm="1">
        <f t="array" ref="J235">_xlfn.XLOOKUP(1,(Calculations[Πληροφορίες]=Calculations[[#This Row],[Πληροφορίες]])*(Calculations[Έργο]=Calculations[[#This Row],[Έργο]]),Calculations[Τιμή])</f>
        <v>4057935.6300000004</v>
      </c>
      <c r="K235" s="18" t="s">
        <v>51</v>
      </c>
      <c r="L235" s="16" t="s">
        <v>323</v>
      </c>
      <c r="M235" s="148" t="s">
        <v>122</v>
      </c>
      <c r="N235" s="19" t="str">
        <f>_xlfn.XLOOKUP(Calculations[[#This Row],[For XLOOKUP]],Factors[For XLOOKUP],Factors[Factor],"")</f>
        <v>Σ.Ε. CH4 - Χώρας</v>
      </c>
      <c r="O235" s="19">
        <f>_xlfn.XLOOKUP(Calculations[[#This Row],[For XLOOKUP]],Factors[For XLOOKUP],Factors[Value],"")</f>
        <v>6.3220000000000003E-9</v>
      </c>
      <c r="P235" s="19" t="str">
        <f>_xlfn.XLOOKUP(Calculations[[#This Row],[For XLOOKUP]],Factors[For XLOOKUP],Factors[Units],"")</f>
        <v>tn CH4/kWh</v>
      </c>
      <c r="Q235" s="19" t="str">
        <f>_xlfn.XLOOKUP(Calculations[[#This Row],[For XLOOKUP]],Factors[For XLOOKUP],Factors[Source],"")</f>
        <v>Έκθεση ΔΑΠΕΕΠ 2022 και NIR 2022</v>
      </c>
      <c r="R23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5" s="19">
        <f>IF(LEFT(Calculations[[#This Row],[Emission Factor]],7)="Σ.Ε. CH",Calculations[[#This Row],[Value]]*Calculations[[#This Row],[Τιμή]],"-")</f>
        <v>2.5654269052860005E-2</v>
      </c>
      <c r="T23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5" s="19" t="str">
        <f>IF(LEFT(Calculations[[#This Row],[Emission Factor]],3)="GWP",Calculations[[#This Row],[Τιμή]],"-")</f>
        <v>-</v>
      </c>
      <c r="V235" s="19" t="str">
        <f>IF(OR(Calculations[[#This Row],[Emission Factor]]="Σ.Ε. CO₂ eq",Calculations[[#This Row],[Emission Factor]]="CO₂ eq"),Calculations[[#This Row],[Value]]*Calculations[[#This Row],[Τιμή]],"-")</f>
        <v>-</v>
      </c>
      <c r="W235" s="19" t="str">
        <f>IF(Calculations[[#This Row],[Πηγή εκπομπών]]="Electricity consumed in office buildings and projects - market based",Calculations[[#This Row],[t CO2]],"")</f>
        <v/>
      </c>
      <c r="X23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0.71831953348008015</v>
      </c>
    </row>
    <row r="236" spans="1:24" s="14" customFormat="1" ht="15" hidden="1" thickTop="1">
      <c r="A236" s="15" t="s">
        <v>49</v>
      </c>
      <c r="B236" s="15" t="s">
        <v>49</v>
      </c>
      <c r="C236" s="16" t="s">
        <v>624</v>
      </c>
      <c r="D236" s="16" t="s">
        <v>894</v>
      </c>
      <c r="E236" s="16"/>
      <c r="F236" s="16" t="s">
        <v>317</v>
      </c>
      <c r="G236" s="15" t="s">
        <v>584</v>
      </c>
      <c r="H236" s="15" t="s">
        <v>85</v>
      </c>
      <c r="I236" s="17" t="s">
        <v>85</v>
      </c>
      <c r="J236" s="245" cm="1">
        <f t="array" ref="J23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4057935.6300000004</v>
      </c>
      <c r="K236" s="18" t="s">
        <v>51</v>
      </c>
      <c r="L236" s="16" t="s">
        <v>323</v>
      </c>
      <c r="M236" s="148" t="s">
        <v>126</v>
      </c>
      <c r="N236" s="19" t="str">
        <f>_xlfn.XLOOKUP(Calculations[[#This Row],[For XLOOKUP]],Factors[For XLOOKUP],Factors[Factor],"")</f>
        <v>Σ.Ε. N2O - Χώρας</v>
      </c>
      <c r="O236" s="19">
        <f>_xlfn.XLOOKUP(Calculations[[#This Row],[For XLOOKUP]],Factors[For XLOOKUP],Factors[Value],"")</f>
        <v>2.6031000000000002E-9</v>
      </c>
      <c r="P236" s="19" t="str">
        <f>_xlfn.XLOOKUP(Calculations[[#This Row],[For XLOOKUP]],Factors[For XLOOKUP],Factors[Units],"")</f>
        <v>tn N2O/kWh</v>
      </c>
      <c r="Q236" s="19" t="str">
        <f>_xlfn.XLOOKUP(Calculations[[#This Row],[For XLOOKUP]],Factors[For XLOOKUP],Factors[Source],"")</f>
        <v>Έκθεση ΔΑΠΕΕΠ 2022 και NIR 2022</v>
      </c>
      <c r="R23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6" s="19" t="str">
        <f>IF(LEFT(Calculations[[#This Row],[Emission Factor]],7)="Σ.Ε. CH",Calculations[[#This Row],[Value]]*Calculations[[#This Row],[Τιμή]],"-")</f>
        <v>-</v>
      </c>
      <c r="T236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1.0563212238453003E-2</v>
      </c>
      <c r="U236" s="19" t="str">
        <f>IF(LEFT(Calculations[[#This Row],[Emission Factor]],3)="GWP",Calculations[[#This Row],[Τιμή]],"-")</f>
        <v>-</v>
      </c>
      <c r="V236" s="19" t="str">
        <f>IF(OR(Calculations[[#This Row],[Emission Factor]]="Σ.Ε. CO₂ eq",Calculations[[#This Row],[Emission Factor]]="CO₂ eq"),Calculations[[#This Row],[Value]]*Calculations[[#This Row],[Τιμή]],"-")</f>
        <v>-</v>
      </c>
      <c r="W236" s="19" t="str">
        <f>IF(Calculations[[#This Row],[Πηγή εκπομπών]]="Electricity consumed in office buildings and projects - market based",Calculations[[#This Row],[t CO2]],"")</f>
        <v/>
      </c>
      <c r="X23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2.7992512431900458</v>
      </c>
    </row>
    <row r="237" spans="1:24" s="14" customFormat="1" ht="15" hidden="1" thickTop="1">
      <c r="A237" s="15" t="s">
        <v>49</v>
      </c>
      <c r="B237" s="15" t="s">
        <v>49</v>
      </c>
      <c r="C237" s="16" t="s">
        <v>624</v>
      </c>
      <c r="D237" s="16" t="s">
        <v>894</v>
      </c>
      <c r="E237" s="16"/>
      <c r="F237" s="16" t="s">
        <v>317</v>
      </c>
      <c r="G237" s="15" t="s">
        <v>584</v>
      </c>
      <c r="H237" s="15" t="s">
        <v>85</v>
      </c>
      <c r="I237" s="17" t="s">
        <v>85</v>
      </c>
      <c r="J237" s="238">
        <v>16999901.854000002</v>
      </c>
      <c r="K237" s="18" t="s">
        <v>51</v>
      </c>
      <c r="L237" s="16" t="s">
        <v>326</v>
      </c>
      <c r="M237" s="148" t="s">
        <v>123</v>
      </c>
      <c r="N237" s="19" t="str">
        <f>_xlfn.XLOOKUP(Calculations[[#This Row],[For XLOOKUP]],Factors[For XLOOKUP],Factors[Factor],"")</f>
        <v>Σ.Ε. CO2 - Χώρας</v>
      </c>
      <c r="O237" s="19">
        <f>_xlfn.XLOOKUP(Calculations[[#This Row],[For XLOOKUP]],Factors[For XLOOKUP],Factors[Value],"")</f>
        <v>2.5244139999999998E-4</v>
      </c>
      <c r="P237" s="19" t="str">
        <f>_xlfn.XLOOKUP(Calculations[[#This Row],[For XLOOKUP]],Factors[For XLOOKUP],Factors[Units],"")</f>
        <v>tn CO2/kwh</v>
      </c>
      <c r="Q237" s="19" t="str">
        <f>_xlfn.XLOOKUP(Calculations[[#This Row],[For XLOOKUP]],Factors[For XLOOKUP],Factors[Source],"")</f>
        <v>ΔΑΠΕΕΠ 2024</v>
      </c>
      <c r="R23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4291.4790238863561</v>
      </c>
      <c r="S237" s="19" t="str">
        <f>IF(LEFT(Calculations[[#This Row],[Emission Factor]],7)="Σ.Ε. CH",Calculations[[#This Row],[Value]]*Calculations[[#This Row],[Τιμή]],"-")</f>
        <v>-</v>
      </c>
      <c r="T23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7" s="19" t="str">
        <f>IF(LEFT(Calculations[[#This Row],[Emission Factor]],3)="GWP",Calculations[[#This Row],[Τιμή]],"-")</f>
        <v>-</v>
      </c>
      <c r="V237" s="19" t="str">
        <f>IF(OR(Calculations[[#This Row],[Emission Factor]]="Σ.Ε. CO₂ eq",Calculations[[#This Row],[Emission Factor]]="CO₂ eq"),Calculations[[#This Row],[Value]]*Calculations[[#This Row],[Τιμή]],"-")</f>
        <v>-</v>
      </c>
      <c r="W237" s="19" t="str">
        <f>IF(Calculations[[#This Row],[Πηγή εκπομπών]]="Electricity consumed in office buildings and projects - market based",Calculations[[#This Row],[t CO2]],"")</f>
        <v/>
      </c>
      <c r="X23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4291.4790238863561</v>
      </c>
    </row>
    <row r="238" spans="1:24" s="14" customFormat="1" ht="15" hidden="1" thickTop="1">
      <c r="A238" s="15" t="s">
        <v>49</v>
      </c>
      <c r="B238" s="15" t="s">
        <v>49</v>
      </c>
      <c r="C238" s="16" t="s">
        <v>624</v>
      </c>
      <c r="D238" s="16" t="s">
        <v>894</v>
      </c>
      <c r="E238" s="16"/>
      <c r="F238" s="16" t="s">
        <v>317</v>
      </c>
      <c r="G238" s="15" t="s">
        <v>584</v>
      </c>
      <c r="H238" s="15" t="s">
        <v>85</v>
      </c>
      <c r="I238" s="17" t="s">
        <v>85</v>
      </c>
      <c r="J238" s="245" cm="1">
        <f t="array" ref="J238">_xlfn.XLOOKUP(1,(Calculations[Πληροφορίες]=Calculations[[#This Row],[Πληροφορίες]])*(Calculations[Έργο]=Calculations[[#This Row],[Έργο]]),Calculations[Τιμή])</f>
        <v>16999901.854000002</v>
      </c>
      <c r="K238" s="18" t="s">
        <v>51</v>
      </c>
      <c r="L238" s="16" t="s">
        <v>326</v>
      </c>
      <c r="M238" s="148" t="s">
        <v>122</v>
      </c>
      <c r="N238" s="19" t="str">
        <f>_xlfn.XLOOKUP(Calculations[[#This Row],[For XLOOKUP]],Factors[For XLOOKUP],Factors[Factor],"")</f>
        <v>Σ.Ε. CH4 - Χώρας</v>
      </c>
      <c r="O238" s="19">
        <f>_xlfn.XLOOKUP(Calculations[[#This Row],[For XLOOKUP]],Factors[For XLOOKUP],Factors[Value],"")</f>
        <v>6.3220000000000003E-9</v>
      </c>
      <c r="P238" s="19" t="str">
        <f>_xlfn.XLOOKUP(Calculations[[#This Row],[For XLOOKUP]],Factors[For XLOOKUP],Factors[Units],"")</f>
        <v>tn CH4/kWh</v>
      </c>
      <c r="Q238" s="19" t="str">
        <f>_xlfn.XLOOKUP(Calculations[[#This Row],[For XLOOKUP]],Factors[For XLOOKUP],Factors[Source],"")</f>
        <v>Έκθεση ΔΑΠΕΕΠ 2022 και NIR 2022</v>
      </c>
      <c r="R23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8" s="19">
        <f>IF(LEFT(Calculations[[#This Row],[Emission Factor]],7)="Σ.Ε. CH",Calculations[[#This Row],[Value]]*Calculations[[#This Row],[Τιμή]],"-")</f>
        <v>0.10747337952098802</v>
      </c>
      <c r="T23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8" s="19" t="str">
        <f>IF(LEFT(Calculations[[#This Row],[Emission Factor]],3)="GWP",Calculations[[#This Row],[Τιμή]],"-")</f>
        <v>-</v>
      </c>
      <c r="V238" s="19" t="str">
        <f>IF(OR(Calculations[[#This Row],[Emission Factor]]="Σ.Ε. CO₂ eq",Calculations[[#This Row],[Emission Factor]]="CO₂ eq"),Calculations[[#This Row],[Value]]*Calculations[[#This Row],[Τιμή]],"-")</f>
        <v>-</v>
      </c>
      <c r="W238" s="19" t="str">
        <f>IF(Calculations[[#This Row],[Πηγή εκπομπών]]="Electricity consumed in office buildings and projects - market based",Calculations[[#This Row],[t CO2]],"")</f>
        <v/>
      </c>
      <c r="X23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3.0092546265876647</v>
      </c>
    </row>
    <row r="239" spans="1:24" s="14" customFormat="1" ht="15" hidden="1" thickTop="1">
      <c r="A239" s="15" t="s">
        <v>49</v>
      </c>
      <c r="B239" s="15" t="s">
        <v>49</v>
      </c>
      <c r="C239" s="16" t="s">
        <v>624</v>
      </c>
      <c r="D239" s="16" t="s">
        <v>894</v>
      </c>
      <c r="E239" s="16"/>
      <c r="F239" s="16" t="s">
        <v>317</v>
      </c>
      <c r="G239" s="15" t="s">
        <v>584</v>
      </c>
      <c r="H239" s="15" t="s">
        <v>85</v>
      </c>
      <c r="I239" s="17" t="s">
        <v>85</v>
      </c>
      <c r="J239" s="245" cm="1">
        <f t="array" ref="J23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16999901.854000002</v>
      </c>
      <c r="K239" s="18" t="s">
        <v>51</v>
      </c>
      <c r="L239" s="16" t="s">
        <v>326</v>
      </c>
      <c r="M239" s="148" t="s">
        <v>126</v>
      </c>
      <c r="N239" s="19" t="str">
        <f>_xlfn.XLOOKUP(Calculations[[#This Row],[For XLOOKUP]],Factors[For XLOOKUP],Factors[Factor],"")</f>
        <v>Σ.Ε. N2O - Χώρας</v>
      </c>
      <c r="O239" s="19">
        <f>_xlfn.XLOOKUP(Calculations[[#This Row],[For XLOOKUP]],Factors[For XLOOKUP],Factors[Value],"")</f>
        <v>2.6031000000000002E-9</v>
      </c>
      <c r="P239" s="19" t="str">
        <f>_xlfn.XLOOKUP(Calculations[[#This Row],[For XLOOKUP]],Factors[For XLOOKUP],Factors[Units],"")</f>
        <v>tn N2O/kWh</v>
      </c>
      <c r="Q239" s="19" t="str">
        <f>_xlfn.XLOOKUP(Calculations[[#This Row],[For XLOOKUP]],Factors[For XLOOKUP],Factors[Source],"")</f>
        <v>Έκθεση ΔΑΠΕΕΠ 2022 και NIR 2022</v>
      </c>
      <c r="R23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9" s="19" t="str">
        <f>IF(LEFT(Calculations[[#This Row],[Emission Factor]],7)="Σ.Ε. CH",Calculations[[#This Row],[Value]]*Calculations[[#This Row],[Τιμή]],"-")</f>
        <v>-</v>
      </c>
      <c r="T239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4.4252444516147411E-2</v>
      </c>
      <c r="U239" s="19" t="str">
        <f>IF(LEFT(Calculations[[#This Row],[Emission Factor]],3)="GWP",Calculations[[#This Row],[Τιμή]],"-")</f>
        <v>-</v>
      </c>
      <c r="V239" s="19" t="str">
        <f>IF(OR(Calculations[[#This Row],[Emission Factor]]="Σ.Ε. CO₂ eq",Calculations[[#This Row],[Emission Factor]]="CO₂ eq"),Calculations[[#This Row],[Value]]*Calculations[[#This Row],[Τιμή]],"-")</f>
        <v>-</v>
      </c>
      <c r="W239" s="19" t="str">
        <f>IF(Calculations[[#This Row],[Πηγή εκπομπών]]="Electricity consumed in office buildings and projects - market based",Calculations[[#This Row],[t CO2]],"")</f>
        <v/>
      </c>
      <c r="X23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11.726897796779063</v>
      </c>
    </row>
    <row r="240" spans="1:24" s="14" customFormat="1" ht="15" hidden="1" thickTop="1">
      <c r="A240" s="15" t="s">
        <v>49</v>
      </c>
      <c r="B240" s="15" t="s">
        <v>49</v>
      </c>
      <c r="C240" s="16" t="s">
        <v>624</v>
      </c>
      <c r="D240" s="16" t="s">
        <v>894</v>
      </c>
      <c r="E240" s="16"/>
      <c r="F240" s="16" t="s">
        <v>317</v>
      </c>
      <c r="G240" s="15" t="s">
        <v>584</v>
      </c>
      <c r="H240" s="15" t="s">
        <v>85</v>
      </c>
      <c r="I240" s="17" t="s">
        <v>85</v>
      </c>
      <c r="J240" s="238">
        <v>262193</v>
      </c>
      <c r="K240" s="18" t="s">
        <v>51</v>
      </c>
      <c r="L240" s="16" t="s">
        <v>324</v>
      </c>
      <c r="M240" s="148" t="s">
        <v>123</v>
      </c>
      <c r="N240" s="19" t="str">
        <f>_xlfn.XLOOKUP(Calculations[[#This Row],[For XLOOKUP]],Factors[For XLOOKUP],Factors[Factor],"")</f>
        <v>Σ.Ε. CO2 - Χώρας</v>
      </c>
      <c r="O240" s="19">
        <f>_xlfn.XLOOKUP(Calculations[[#This Row],[For XLOOKUP]],Factors[For XLOOKUP],Factors[Value],"")</f>
        <v>2.5244139999999998E-4</v>
      </c>
      <c r="P240" s="19" t="str">
        <f>_xlfn.XLOOKUP(Calculations[[#This Row],[For XLOOKUP]],Factors[For XLOOKUP],Factors[Units],"")</f>
        <v>tn CO2/kwh</v>
      </c>
      <c r="Q240" s="19" t="str">
        <f>_xlfn.XLOOKUP(Calculations[[#This Row],[For XLOOKUP]],Factors[For XLOOKUP],Factors[Source],"")</f>
        <v>ΔΑΠΕΕΠ 2024</v>
      </c>
      <c r="R240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66.188367990199993</v>
      </c>
      <c r="S240" s="19" t="str">
        <f>IF(LEFT(Calculations[[#This Row],[Emission Factor]],7)="Σ.Ε. CH",Calculations[[#This Row],[Value]]*Calculations[[#This Row],[Τιμή]],"-")</f>
        <v>-</v>
      </c>
      <c r="T24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0" s="19" t="str">
        <f>IF(LEFT(Calculations[[#This Row],[Emission Factor]],3)="GWP",Calculations[[#This Row],[Τιμή]],"-")</f>
        <v>-</v>
      </c>
      <c r="V240" s="19" t="str">
        <f>IF(OR(Calculations[[#This Row],[Emission Factor]]="Σ.Ε. CO₂ eq",Calculations[[#This Row],[Emission Factor]]="CO₂ eq"),Calculations[[#This Row],[Value]]*Calculations[[#This Row],[Τιμή]],"-")</f>
        <v>-</v>
      </c>
      <c r="W240" s="19" t="str">
        <f>IF(Calculations[[#This Row],[Πηγή εκπομπών]]="Electricity consumed in office buildings and projects - market based",Calculations[[#This Row],[t CO2]],"")</f>
        <v/>
      </c>
      <c r="X24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66.188367990199993</v>
      </c>
    </row>
    <row r="241" spans="1:24" s="14" customFormat="1" ht="15" hidden="1" thickTop="1">
      <c r="A241" s="15" t="s">
        <v>49</v>
      </c>
      <c r="B241" s="15" t="s">
        <v>49</v>
      </c>
      <c r="C241" s="16" t="s">
        <v>624</v>
      </c>
      <c r="D241" s="16" t="s">
        <v>894</v>
      </c>
      <c r="E241" s="16"/>
      <c r="F241" s="16" t="s">
        <v>317</v>
      </c>
      <c r="G241" s="15" t="s">
        <v>584</v>
      </c>
      <c r="H241" s="15" t="s">
        <v>85</v>
      </c>
      <c r="I241" s="17" t="s">
        <v>85</v>
      </c>
      <c r="J241" s="245" cm="1">
        <f t="array" ref="J241">_xlfn.XLOOKUP(1,(Calculations[Πληροφορίες]=Calculations[[#This Row],[Πληροφορίες]])*(Calculations[Έργο]=Calculations[[#This Row],[Έργο]]),Calculations[Τιμή])</f>
        <v>262193</v>
      </c>
      <c r="K241" s="18" t="s">
        <v>51</v>
      </c>
      <c r="L241" s="16" t="s">
        <v>324</v>
      </c>
      <c r="M241" s="148" t="s">
        <v>122</v>
      </c>
      <c r="N241" s="19" t="str">
        <f>_xlfn.XLOOKUP(Calculations[[#This Row],[For XLOOKUP]],Factors[For XLOOKUP],Factors[Factor],"")</f>
        <v>Σ.Ε. CH4 - Χώρας</v>
      </c>
      <c r="O241" s="19">
        <f>_xlfn.XLOOKUP(Calculations[[#This Row],[For XLOOKUP]],Factors[For XLOOKUP],Factors[Value],"")</f>
        <v>6.3220000000000003E-9</v>
      </c>
      <c r="P241" s="19" t="str">
        <f>_xlfn.XLOOKUP(Calculations[[#This Row],[For XLOOKUP]],Factors[For XLOOKUP],Factors[Units],"")</f>
        <v>tn CH4/kWh</v>
      </c>
      <c r="Q241" s="19" t="str">
        <f>_xlfn.XLOOKUP(Calculations[[#This Row],[For XLOOKUP]],Factors[For XLOOKUP],Factors[Source],"")</f>
        <v>Έκθεση ΔΑΠΕΕΠ 2022 και NIR 2022</v>
      </c>
      <c r="R24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1" s="19">
        <f>IF(LEFT(Calculations[[#This Row],[Emission Factor]],7)="Σ.Ε. CH",Calculations[[#This Row],[Value]]*Calculations[[#This Row],[Τιμή]],"-")</f>
        <v>1.657584146E-3</v>
      </c>
      <c r="T24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1" s="19" t="str">
        <f>IF(LEFT(Calculations[[#This Row],[Emission Factor]],3)="GWP",Calculations[[#This Row],[Τιμή]],"-")</f>
        <v>-</v>
      </c>
      <c r="V241" s="19" t="str">
        <f>IF(OR(Calculations[[#This Row],[Emission Factor]]="Σ.Ε. CO₂ eq",Calculations[[#This Row],[Emission Factor]]="CO₂ eq"),Calculations[[#This Row],[Value]]*Calculations[[#This Row],[Τιμή]],"-")</f>
        <v>-</v>
      </c>
      <c r="W241" s="19" t="str">
        <f>IF(Calculations[[#This Row],[Πηγή εκπομπών]]="Electricity consumed in office buildings and projects - market based",Calculations[[#This Row],[t CO2]],"")</f>
        <v/>
      </c>
      <c r="X24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4.6412356087999998E-2</v>
      </c>
    </row>
    <row r="242" spans="1:24" s="14" customFormat="1" ht="15" hidden="1" thickTop="1">
      <c r="A242" s="15" t="s">
        <v>49</v>
      </c>
      <c r="B242" s="15" t="s">
        <v>49</v>
      </c>
      <c r="C242" s="16" t="s">
        <v>624</v>
      </c>
      <c r="D242" s="16" t="s">
        <v>894</v>
      </c>
      <c r="E242" s="16"/>
      <c r="F242" s="16" t="s">
        <v>317</v>
      </c>
      <c r="G242" s="15" t="s">
        <v>584</v>
      </c>
      <c r="H242" s="15" t="s">
        <v>85</v>
      </c>
      <c r="I242" s="17" t="s">
        <v>85</v>
      </c>
      <c r="J242" s="245" cm="1">
        <f t="array" ref="J24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262193</v>
      </c>
      <c r="K242" s="18" t="s">
        <v>51</v>
      </c>
      <c r="L242" s="16" t="s">
        <v>324</v>
      </c>
      <c r="M242" s="148" t="s">
        <v>126</v>
      </c>
      <c r="N242" s="19" t="str">
        <f>_xlfn.XLOOKUP(Calculations[[#This Row],[For XLOOKUP]],Factors[For XLOOKUP],Factors[Factor],"")</f>
        <v>Σ.Ε. N2O - Χώρας</v>
      </c>
      <c r="O242" s="19">
        <f>_xlfn.XLOOKUP(Calculations[[#This Row],[For XLOOKUP]],Factors[For XLOOKUP],Factors[Value],"")</f>
        <v>2.6031000000000002E-9</v>
      </c>
      <c r="P242" s="19" t="str">
        <f>_xlfn.XLOOKUP(Calculations[[#This Row],[For XLOOKUP]],Factors[For XLOOKUP],Factors[Units],"")</f>
        <v>tn N2O/kWh</v>
      </c>
      <c r="Q242" s="19" t="str">
        <f>_xlfn.XLOOKUP(Calculations[[#This Row],[For XLOOKUP]],Factors[For XLOOKUP],Factors[Source],"")</f>
        <v>Έκθεση ΔΑΠΕΕΠ 2022 και NIR 2022</v>
      </c>
      <c r="R24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2" s="19" t="str">
        <f>IF(LEFT(Calculations[[#This Row],[Emission Factor]],7)="Σ.Ε. CH",Calculations[[#This Row],[Value]]*Calculations[[#This Row],[Τιμή]],"-")</f>
        <v>-</v>
      </c>
      <c r="T242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6.825145983000001E-4</v>
      </c>
      <c r="U242" s="19" t="str">
        <f>IF(LEFT(Calculations[[#This Row],[Emission Factor]],3)="GWP",Calculations[[#This Row],[Τιμή]],"-")</f>
        <v>-</v>
      </c>
      <c r="V242" s="19" t="str">
        <f>IF(OR(Calculations[[#This Row],[Emission Factor]]="Σ.Ε. CO₂ eq",Calculations[[#This Row],[Emission Factor]]="CO₂ eq"),Calculations[[#This Row],[Value]]*Calculations[[#This Row],[Τιμή]],"-")</f>
        <v>-</v>
      </c>
      <c r="W242" s="19" t="str">
        <f>IF(Calculations[[#This Row],[Πηγή εκπομπών]]="Electricity consumed in office buildings and projects - market based",Calculations[[#This Row],[t CO2]],"")</f>
        <v/>
      </c>
      <c r="X24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0.18086636854950003</v>
      </c>
    </row>
    <row r="243" spans="1:24" s="14" customFormat="1" ht="15" hidden="1" thickTop="1">
      <c r="A243" s="15" t="s">
        <v>49</v>
      </c>
      <c r="B243" s="15" t="s">
        <v>49</v>
      </c>
      <c r="C243" s="16" t="s">
        <v>624</v>
      </c>
      <c r="D243" s="16" t="s">
        <v>894</v>
      </c>
      <c r="E243" s="16"/>
      <c r="F243" s="16" t="s">
        <v>317</v>
      </c>
      <c r="G243" s="15" t="s">
        <v>584</v>
      </c>
      <c r="H243" s="15" t="s">
        <v>85</v>
      </c>
      <c r="I243" s="17" t="s">
        <v>85</v>
      </c>
      <c r="J243" s="238">
        <v>2124697.7999999998</v>
      </c>
      <c r="K243" s="18" t="s">
        <v>51</v>
      </c>
      <c r="L243" s="16" t="s">
        <v>325</v>
      </c>
      <c r="M243" s="148" t="s">
        <v>123</v>
      </c>
      <c r="N243" s="19" t="str">
        <f>_xlfn.XLOOKUP(Calculations[[#This Row],[For XLOOKUP]],Factors[For XLOOKUP],Factors[Factor],"")</f>
        <v>Σ.Ε. CO2 - Χώρας</v>
      </c>
      <c r="O243" s="19">
        <f>_xlfn.XLOOKUP(Calculations[[#This Row],[For XLOOKUP]],Factors[For XLOOKUP],Factors[Value],"")</f>
        <v>2.5244139999999998E-4</v>
      </c>
      <c r="P243" s="19" t="str">
        <f>_xlfn.XLOOKUP(Calculations[[#This Row],[For XLOOKUP]],Factors[For XLOOKUP],Factors[Units],"")</f>
        <v>tn CO2/kwh</v>
      </c>
      <c r="Q243" s="19" t="str">
        <f>_xlfn.XLOOKUP(Calculations[[#This Row],[For XLOOKUP]],Factors[For XLOOKUP],Factors[Source],"")</f>
        <v>ΔΑΠΕΕΠ 2024</v>
      </c>
      <c r="R243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536.36168720891988</v>
      </c>
      <c r="S243" s="19" t="str">
        <f>IF(LEFT(Calculations[[#This Row],[Emission Factor]],7)="Σ.Ε. CH",Calculations[[#This Row],[Value]]*Calculations[[#This Row],[Τιμή]],"-")</f>
        <v>-</v>
      </c>
      <c r="T24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3" s="19" t="str">
        <f>IF(LEFT(Calculations[[#This Row],[Emission Factor]],3)="GWP",Calculations[[#This Row],[Τιμή]],"-")</f>
        <v>-</v>
      </c>
      <c r="V243" s="19" t="str">
        <f>IF(OR(Calculations[[#This Row],[Emission Factor]]="Σ.Ε. CO₂ eq",Calculations[[#This Row],[Emission Factor]]="CO₂ eq"),Calculations[[#This Row],[Value]]*Calculations[[#This Row],[Τιμή]],"-")</f>
        <v>-</v>
      </c>
      <c r="W243" s="19" t="str">
        <f>IF(Calculations[[#This Row],[Πηγή εκπομπών]]="Electricity consumed in office buildings and projects - market based",Calculations[[#This Row],[t CO2]],"")</f>
        <v/>
      </c>
      <c r="X24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536.36168720891988</v>
      </c>
    </row>
    <row r="244" spans="1:24" s="14" customFormat="1" ht="15" hidden="1" thickTop="1">
      <c r="A244" s="15" t="s">
        <v>49</v>
      </c>
      <c r="B244" s="15" t="s">
        <v>49</v>
      </c>
      <c r="C244" s="16" t="s">
        <v>624</v>
      </c>
      <c r="D244" s="16" t="s">
        <v>894</v>
      </c>
      <c r="E244" s="16"/>
      <c r="F244" s="16" t="s">
        <v>317</v>
      </c>
      <c r="G244" s="15" t="s">
        <v>584</v>
      </c>
      <c r="H244" s="15" t="s">
        <v>85</v>
      </c>
      <c r="I244" s="17" t="s">
        <v>85</v>
      </c>
      <c r="J244" s="245" cm="1">
        <f t="array" ref="J244">_xlfn.XLOOKUP(1,(Calculations[Πληροφορίες]=Calculations[[#This Row],[Πληροφορίες]])*(Calculations[Έργο]=Calculations[[#This Row],[Έργο]]),Calculations[Τιμή])</f>
        <v>2124697.7999999998</v>
      </c>
      <c r="K244" s="18" t="s">
        <v>51</v>
      </c>
      <c r="L244" s="16" t="s">
        <v>325</v>
      </c>
      <c r="M244" s="148" t="s">
        <v>122</v>
      </c>
      <c r="N244" s="19" t="str">
        <f>_xlfn.XLOOKUP(Calculations[[#This Row],[For XLOOKUP]],Factors[For XLOOKUP],Factors[Factor],"")</f>
        <v>Σ.Ε. CH4 - Χώρας</v>
      </c>
      <c r="O244" s="19">
        <f>_xlfn.XLOOKUP(Calculations[[#This Row],[For XLOOKUP]],Factors[For XLOOKUP],Factors[Value],"")</f>
        <v>6.3220000000000003E-9</v>
      </c>
      <c r="P244" s="19" t="str">
        <f>_xlfn.XLOOKUP(Calculations[[#This Row],[For XLOOKUP]],Factors[For XLOOKUP],Factors[Units],"")</f>
        <v>tn CH4/kWh</v>
      </c>
      <c r="Q244" s="19" t="str">
        <f>_xlfn.XLOOKUP(Calculations[[#This Row],[For XLOOKUP]],Factors[For XLOOKUP],Factors[Source],"")</f>
        <v>Έκθεση ΔΑΠΕΕΠ 2022 και NIR 2022</v>
      </c>
      <c r="R24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4" s="19">
        <f>IF(LEFT(Calculations[[#This Row],[Emission Factor]],7)="Σ.Ε. CH",Calculations[[#This Row],[Value]]*Calculations[[#This Row],[Τιμή]],"-")</f>
        <v>1.34323394916E-2</v>
      </c>
      <c r="T24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4" s="19" t="str">
        <f>IF(LEFT(Calculations[[#This Row],[Emission Factor]],3)="GWP",Calculations[[#This Row],[Τιμή]],"-")</f>
        <v>-</v>
      </c>
      <c r="V244" s="19" t="str">
        <f>IF(OR(Calculations[[#This Row],[Emission Factor]]="Σ.Ε. CO₂ eq",Calculations[[#This Row],[Emission Factor]]="CO₂ eq"),Calculations[[#This Row],[Value]]*Calculations[[#This Row],[Τιμή]],"-")</f>
        <v>-</v>
      </c>
      <c r="W244" s="19" t="str">
        <f>IF(Calculations[[#This Row],[Πηγή εκπομπών]]="Electricity consumed in office buildings and projects - market based",Calculations[[#This Row],[t CO2]],"")</f>
        <v/>
      </c>
      <c r="X24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0.37610550576480001</v>
      </c>
    </row>
    <row r="245" spans="1:24" s="14" customFormat="1" ht="15" hidden="1" thickTop="1">
      <c r="A245" s="15" t="s">
        <v>49</v>
      </c>
      <c r="B245" s="15" t="s">
        <v>49</v>
      </c>
      <c r="C245" s="16" t="s">
        <v>624</v>
      </c>
      <c r="D245" s="16" t="s">
        <v>894</v>
      </c>
      <c r="E245" s="16"/>
      <c r="F245" s="16" t="s">
        <v>317</v>
      </c>
      <c r="G245" s="15" t="s">
        <v>584</v>
      </c>
      <c r="H245" s="15" t="s">
        <v>85</v>
      </c>
      <c r="I245" s="17" t="s">
        <v>85</v>
      </c>
      <c r="J245" s="245" cm="1">
        <f t="array" ref="J24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2124697.7999999998</v>
      </c>
      <c r="K245" s="18" t="s">
        <v>51</v>
      </c>
      <c r="L245" s="16" t="s">
        <v>325</v>
      </c>
      <c r="M245" s="148" t="s">
        <v>126</v>
      </c>
      <c r="N245" s="19" t="str">
        <f>_xlfn.XLOOKUP(Calculations[[#This Row],[For XLOOKUP]],Factors[For XLOOKUP],Factors[Factor],"")</f>
        <v>Σ.Ε. N2O - Χώρας</v>
      </c>
      <c r="O245" s="19">
        <f>_xlfn.XLOOKUP(Calculations[[#This Row],[For XLOOKUP]],Factors[For XLOOKUP],Factors[Value],"")</f>
        <v>2.6031000000000002E-9</v>
      </c>
      <c r="P245" s="19" t="str">
        <f>_xlfn.XLOOKUP(Calculations[[#This Row],[For XLOOKUP]],Factors[For XLOOKUP],Factors[Units],"")</f>
        <v>tn N2O/kWh</v>
      </c>
      <c r="Q245" s="19" t="str">
        <f>_xlfn.XLOOKUP(Calculations[[#This Row],[For XLOOKUP]],Factors[For XLOOKUP],Factors[Source],"")</f>
        <v>Έκθεση ΔΑΠΕΕΠ 2022 και NIR 2022</v>
      </c>
      <c r="R24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5" s="19" t="str">
        <f>IF(LEFT(Calculations[[#This Row],[Emission Factor]],7)="Σ.Ε. CH",Calculations[[#This Row],[Value]]*Calculations[[#This Row],[Τιμή]],"-")</f>
        <v>-</v>
      </c>
      <c r="T245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5.5308008431800004E-3</v>
      </c>
      <c r="U245" s="19" t="str">
        <f>IF(LEFT(Calculations[[#This Row],[Emission Factor]],3)="GWP",Calculations[[#This Row],[Τιμή]],"-")</f>
        <v>-</v>
      </c>
      <c r="V245" s="19" t="str">
        <f>IF(OR(Calculations[[#This Row],[Emission Factor]]="Σ.Ε. CO₂ eq",Calculations[[#This Row],[Emission Factor]]="CO₂ eq"),Calculations[[#This Row],[Value]]*Calculations[[#This Row],[Τιμή]],"-")</f>
        <v>-</v>
      </c>
      <c r="W245" s="19" t="str">
        <f>IF(Calculations[[#This Row],[Πηγή εκπομπών]]="Electricity consumed in office buildings and projects - market based",Calculations[[#This Row],[t CO2]],"")</f>
        <v/>
      </c>
      <c r="X24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1.4656622234427001</v>
      </c>
    </row>
    <row r="246" spans="1:24" s="14" customFormat="1" ht="15" hidden="1" thickTop="1">
      <c r="A246" s="15" t="s">
        <v>49</v>
      </c>
      <c r="B246" s="15" t="s">
        <v>49</v>
      </c>
      <c r="C246" s="16" t="s">
        <v>327</v>
      </c>
      <c r="D246" s="16" t="s">
        <v>894</v>
      </c>
      <c r="E246" s="16" t="s">
        <v>1187</v>
      </c>
      <c r="F246" s="16" t="s">
        <v>317</v>
      </c>
      <c r="G246" s="15" t="s">
        <v>584</v>
      </c>
      <c r="H246" s="15" t="s">
        <v>85</v>
      </c>
      <c r="I246" s="17" t="s">
        <v>85</v>
      </c>
      <c r="J246" s="238">
        <v>10571303</v>
      </c>
      <c r="K246" s="18" t="s">
        <v>51</v>
      </c>
      <c r="L246" s="16" t="s">
        <v>1147</v>
      </c>
      <c r="M246" s="148" t="s">
        <v>125</v>
      </c>
      <c r="N246" s="19" t="str">
        <f>_xlfn.XLOOKUP(Calculations[[#This Row],[For XLOOKUP]],Factors[For XLOOKUP],Factors[Factor],"")</f>
        <v>Σ.Ε. CO2 - Χώρας</v>
      </c>
      <c r="O246" s="19">
        <f>_xlfn.XLOOKUP(Calculations[[#This Row],[For XLOOKUP]],Factors[For XLOOKUP],Factors[Value],"")</f>
        <v>5.8641676308957902E-4</v>
      </c>
      <c r="P246" s="19" t="str">
        <f>_xlfn.XLOOKUP(Calculations[[#This Row],[For XLOOKUP]],Factors[For XLOOKUP],Factors[Units],"")</f>
        <v>tn CO2/kwh</v>
      </c>
      <c r="Q246" s="19" t="str">
        <f>_xlfn.XLOOKUP(Calculations[[#This Row],[For XLOOKUP]],Factors[For XLOOKUP],Factors[Source],"")</f>
        <v>ΙΕΑ 2022</v>
      </c>
      <c r="R246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6199.1892868991563</v>
      </c>
      <c r="S246" s="19" t="str">
        <f>IF(LEFT(Calculations[[#This Row],[Emission Factor]],7)="Σ.Ε. CH",Calculations[[#This Row],[Value]]*Calculations[[#This Row],[Τιμή]],"-")</f>
        <v>-</v>
      </c>
      <c r="T24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6" s="19" t="str">
        <f>IF(LEFT(Calculations[[#This Row],[Emission Factor]],3)="GWP",Calculations[[#This Row],[Τιμή]],"-")</f>
        <v>-</v>
      </c>
      <c r="V246" s="19" t="str">
        <f>IF(OR(Calculations[[#This Row],[Emission Factor]]="Σ.Ε. CO₂ eq",Calculations[[#This Row],[Emission Factor]]="CO₂ eq"),Calculations[[#This Row],[Value]]*Calculations[[#This Row],[Τιμή]],"-")</f>
        <v>-</v>
      </c>
      <c r="W246" s="19" t="str">
        <f>IF(Calculations[[#This Row],[Πηγή εκπομπών]]="Electricity consumed in office buildings and projects - market based",Calculations[[#This Row],[t CO2]],"")</f>
        <v/>
      </c>
      <c r="X24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6199.1892868991563</v>
      </c>
    </row>
    <row r="247" spans="1:24" ht="15" hidden="1" thickTop="1">
      <c r="A247" s="15" t="s">
        <v>49</v>
      </c>
      <c r="B247" s="15" t="s">
        <v>49</v>
      </c>
      <c r="C247" s="16" t="s">
        <v>328</v>
      </c>
      <c r="D247" s="16" t="s">
        <v>894</v>
      </c>
      <c r="E247" s="16" t="s">
        <v>1188</v>
      </c>
      <c r="F247" s="16" t="s">
        <v>317</v>
      </c>
      <c r="G247" s="15" t="s">
        <v>584</v>
      </c>
      <c r="H247" s="15" t="s">
        <v>85</v>
      </c>
      <c r="I247" s="17" t="s">
        <v>85</v>
      </c>
      <c r="J247" s="238">
        <v>32192</v>
      </c>
      <c r="K247" s="18" t="s">
        <v>51</v>
      </c>
      <c r="L247" s="16" t="s">
        <v>1148</v>
      </c>
      <c r="M247" s="148" t="s">
        <v>124</v>
      </c>
      <c r="N247" s="19" t="str">
        <f>_xlfn.XLOOKUP(Calculations[[#This Row],[For XLOOKUP]],Factors[For XLOOKUP],Factors[Factor],"")</f>
        <v>Σ.Ε. CO2 - Χώρας</v>
      </c>
      <c r="O247" s="19">
        <f>_xlfn.XLOOKUP(Calculations[[#This Row],[For XLOOKUP]],Factors[For XLOOKUP],Factors[Value],"")</f>
        <v>3.2273012741700405E-4</v>
      </c>
      <c r="P247" s="19" t="str">
        <f>_xlfn.XLOOKUP(Calculations[[#This Row],[For XLOOKUP]],Factors[For XLOOKUP],Factors[Units],"")</f>
        <v>tn CO2/kwh</v>
      </c>
      <c r="Q247" s="19" t="str">
        <f>_xlfn.XLOOKUP(Calculations[[#This Row],[For XLOOKUP]],Factors[For XLOOKUP],Factors[Source],"")</f>
        <v>ΙΕΑ 2022</v>
      </c>
      <c r="R24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10.389328261808194</v>
      </c>
      <c r="S247" s="19" t="str">
        <f>IF(LEFT(Calculations[[#This Row],[Emission Factor]],7)="Σ.Ε. CH",Calculations[[#This Row],[Value]]*Calculations[[#This Row],[Τιμή]],"-")</f>
        <v>-</v>
      </c>
      <c r="T24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7" s="19" t="str">
        <f>IF(LEFT(Calculations[[#This Row],[Emission Factor]],3)="GWP",Calculations[[#This Row],[Τιμή]],"-")</f>
        <v>-</v>
      </c>
      <c r="V247" s="19" t="str">
        <f>IF(OR(Calculations[[#This Row],[Emission Factor]]="Σ.Ε. CO₂ eq",Calculations[[#This Row],[Emission Factor]]="CO₂ eq"),Calculations[[#This Row],[Value]]*Calculations[[#This Row],[Τιμή]],"-")</f>
        <v>-</v>
      </c>
      <c r="W247" s="19" t="str">
        <f>IF(Calculations[[#This Row],[Πηγή εκπομπών]]="Electricity consumed in office buildings and projects - market based",Calculations[[#This Row],[t CO2]],"")</f>
        <v/>
      </c>
      <c r="X24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10.389328261808194</v>
      </c>
    </row>
    <row r="248" spans="1:24" ht="15" hidden="1" thickTop="1">
      <c r="A248" s="15" t="s">
        <v>49</v>
      </c>
      <c r="B248" s="15" t="s">
        <v>49</v>
      </c>
      <c r="C248" s="16" t="s">
        <v>624</v>
      </c>
      <c r="D248" s="16" t="s">
        <v>897</v>
      </c>
      <c r="E248" s="16" t="s">
        <v>1149</v>
      </c>
      <c r="F248" s="16" t="s">
        <v>320</v>
      </c>
      <c r="G248" s="15" t="s">
        <v>584</v>
      </c>
      <c r="H248" s="15" t="s">
        <v>85</v>
      </c>
      <c r="I248" s="17" t="s">
        <v>85</v>
      </c>
      <c r="J248" s="238">
        <v>102</v>
      </c>
      <c r="K248" s="18" t="s">
        <v>51</v>
      </c>
      <c r="L248" s="16" t="s">
        <v>326</v>
      </c>
      <c r="M248" s="148" t="s">
        <v>123</v>
      </c>
      <c r="N248" s="81" t="str">
        <f>_xlfn.XLOOKUP(Calculations[[#This Row],[For XLOOKUP]],Factors[For XLOOKUP],Factors[Factor],"")</f>
        <v>Σ.Ε. CO2 - Χώρας</v>
      </c>
      <c r="O248" s="81">
        <f>_xlfn.XLOOKUP(Calculations[[#This Row],[For XLOOKUP]],Factors[For XLOOKUP],Factors[Value],"")</f>
        <v>2.5244139999999998E-4</v>
      </c>
      <c r="P248" s="81" t="str">
        <f>_xlfn.XLOOKUP(Calculations[[#This Row],[For XLOOKUP]],Factors[For XLOOKUP],Factors[Units],"")</f>
        <v>tn CO2/kwh</v>
      </c>
      <c r="Q248" s="81" t="str">
        <f>_xlfn.XLOOKUP(Calculations[[#This Row],[For XLOOKUP]],Factors[For XLOOKUP],Factors[Source],"")</f>
        <v>ΔΑΠΕΕΠ 2024</v>
      </c>
      <c r="R248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2.5749022799999997E-2</v>
      </c>
      <c r="S248" s="81" t="str">
        <f>IF(LEFT(Calculations[[#This Row],[Emission Factor]],7)="Σ.Ε. CH",Calculations[[#This Row],[Value]]*Calculations[[#This Row],[Τιμή]],"-")</f>
        <v>-</v>
      </c>
      <c r="T24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8" s="81" t="str">
        <f>IF(LEFT(Calculations[[#This Row],[Emission Factor]],3)="GWP",Calculations[[#This Row],[Τιμή]],"-")</f>
        <v>-</v>
      </c>
      <c r="V248" s="81" t="str">
        <f>IF(OR(Calculations[[#This Row],[Emission Factor]]="Σ.Ε. CO₂ eq",Calculations[[#This Row],[Emission Factor]]="CO₂ eq"),Calculations[[#This Row],[Value]]*Calculations[[#This Row],[Τιμή]],"-")</f>
        <v>-</v>
      </c>
      <c r="W248" s="81" t="str">
        <f>IF(Calculations[[#This Row],[Πηγή εκπομπών]]="Electricity consumed in office buildings and projects - market based",Calculations[[#This Row],[t CO2]],"")</f>
        <v/>
      </c>
      <c r="X24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2.5749022799999997E-2</v>
      </c>
    </row>
    <row r="249" spans="1:24" ht="15" hidden="1" thickTop="1">
      <c r="A249" s="15" t="s">
        <v>49</v>
      </c>
      <c r="B249" s="15" t="s">
        <v>49</v>
      </c>
      <c r="C249" s="16" t="s">
        <v>624</v>
      </c>
      <c r="D249" s="16" t="s">
        <v>897</v>
      </c>
      <c r="E249" s="16" t="s">
        <v>1149</v>
      </c>
      <c r="F249" s="16" t="s">
        <v>320</v>
      </c>
      <c r="G249" s="15" t="s">
        <v>584</v>
      </c>
      <c r="H249" s="15" t="s">
        <v>85</v>
      </c>
      <c r="I249" s="17" t="s">
        <v>85</v>
      </c>
      <c r="J249" s="245" cm="1">
        <f t="array" ref="J249">_xlfn.XLOOKUP(1,(Calculations[Πληροφορίες]=Calculations[[#This Row],[Πληροφορίες]])*(Calculations[Έργο]=Calculations[[#This Row],[Έργο]]),Calculations[Τιμή])</f>
        <v>102</v>
      </c>
      <c r="K249" s="18" t="s">
        <v>51</v>
      </c>
      <c r="L249" s="16" t="s">
        <v>326</v>
      </c>
      <c r="M249" s="148" t="s">
        <v>122</v>
      </c>
      <c r="N249" s="81" t="str">
        <f>_xlfn.XLOOKUP(Calculations[[#This Row],[For XLOOKUP]],Factors[For XLOOKUP],Factors[Factor],"")</f>
        <v>Σ.Ε. CH4 - Χώρας</v>
      </c>
      <c r="O249" s="81">
        <f>_xlfn.XLOOKUP(Calculations[[#This Row],[For XLOOKUP]],Factors[For XLOOKUP],Factors[Value],"")</f>
        <v>6.3220000000000003E-9</v>
      </c>
      <c r="P249" s="81" t="str">
        <f>_xlfn.XLOOKUP(Calculations[[#This Row],[For XLOOKUP]],Factors[For XLOOKUP],Factors[Units],"")</f>
        <v>tn CH4/kWh</v>
      </c>
      <c r="Q249" s="81" t="str">
        <f>_xlfn.XLOOKUP(Calculations[[#This Row],[For XLOOKUP]],Factors[For XLOOKUP],Factors[Source],"")</f>
        <v>Έκθεση ΔΑΠΕΕΠ 2022 και NIR 2022</v>
      </c>
      <c r="R24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9" s="81">
        <f>IF(LEFT(Calculations[[#This Row],[Emission Factor]],7)="Σ.Ε. CH",Calculations[[#This Row],[Value]]*Calculations[[#This Row],[Τιμή]],"-")</f>
        <v>6.44844E-7</v>
      </c>
      <c r="T24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9" s="81" t="str">
        <f>IF(LEFT(Calculations[[#This Row],[Emission Factor]],3)="GWP",Calculations[[#This Row],[Τιμή]],"-")</f>
        <v>-</v>
      </c>
      <c r="V249" s="81" t="str">
        <f>IF(OR(Calculations[[#This Row],[Emission Factor]]="Σ.Ε. CO₂ eq",Calculations[[#This Row],[Emission Factor]]="CO₂ eq"),Calculations[[#This Row],[Value]]*Calculations[[#This Row],[Τιμή]],"-")</f>
        <v>-</v>
      </c>
      <c r="W249" s="81" t="str">
        <f>IF(Calculations[[#This Row],[Πηγή εκπομπών]]="Electricity consumed in office buildings and projects - market based",Calculations[[#This Row],[t CO2]],"")</f>
        <v/>
      </c>
      <c r="X24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1.8055632000000001E-5</v>
      </c>
    </row>
    <row r="250" spans="1:24" ht="15" hidden="1" thickTop="1">
      <c r="A250" s="15" t="s">
        <v>49</v>
      </c>
      <c r="B250" s="15" t="s">
        <v>49</v>
      </c>
      <c r="C250" s="16" t="s">
        <v>624</v>
      </c>
      <c r="D250" s="16" t="s">
        <v>897</v>
      </c>
      <c r="E250" s="16" t="s">
        <v>1149</v>
      </c>
      <c r="F250" s="16" t="s">
        <v>320</v>
      </c>
      <c r="G250" s="15" t="s">
        <v>584</v>
      </c>
      <c r="H250" s="15" t="s">
        <v>85</v>
      </c>
      <c r="I250" s="17" t="s">
        <v>85</v>
      </c>
      <c r="J250" s="245" cm="1">
        <f t="array" ref="J25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102</v>
      </c>
      <c r="K250" s="18" t="s">
        <v>51</v>
      </c>
      <c r="L250" s="16" t="s">
        <v>326</v>
      </c>
      <c r="M250" s="148" t="s">
        <v>126</v>
      </c>
      <c r="N250" s="81" t="str">
        <f>_xlfn.XLOOKUP(Calculations[[#This Row],[For XLOOKUP]],Factors[For XLOOKUP],Factors[Factor],"")</f>
        <v>Σ.Ε. N2O - Χώρας</v>
      </c>
      <c r="O250" s="81">
        <f>_xlfn.XLOOKUP(Calculations[[#This Row],[For XLOOKUP]],Factors[For XLOOKUP],Factors[Value],"")</f>
        <v>2.6031000000000002E-9</v>
      </c>
      <c r="P250" s="81" t="str">
        <f>_xlfn.XLOOKUP(Calculations[[#This Row],[For XLOOKUP]],Factors[For XLOOKUP],Factors[Units],"")</f>
        <v>tn N2O/kWh</v>
      </c>
      <c r="Q250" s="81" t="str">
        <f>_xlfn.XLOOKUP(Calculations[[#This Row],[For XLOOKUP]],Factors[For XLOOKUP],Factors[Source],"")</f>
        <v>Έκθεση ΔΑΠΕΕΠ 2022 και NIR 2022</v>
      </c>
      <c r="R25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0" s="81" t="str">
        <f>IF(LEFT(Calculations[[#This Row],[Emission Factor]],7)="Σ.Ε. CH",Calculations[[#This Row],[Value]]*Calculations[[#This Row],[Τιμή]],"-")</f>
        <v>-</v>
      </c>
      <c r="T250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2.6551620000000004E-7</v>
      </c>
      <c r="U250" s="81" t="str">
        <f>IF(LEFT(Calculations[[#This Row],[Emission Factor]],3)="GWP",Calculations[[#This Row],[Τιμή]],"-")</f>
        <v>-</v>
      </c>
      <c r="V250" s="81" t="str">
        <f>IF(OR(Calculations[[#This Row],[Emission Factor]]="Σ.Ε. CO₂ eq",Calculations[[#This Row],[Emission Factor]]="CO₂ eq"),Calculations[[#This Row],[Value]]*Calculations[[#This Row],[Τιμή]],"-")</f>
        <v>-</v>
      </c>
      <c r="W250" s="81" t="str">
        <f>IF(Calculations[[#This Row],[Πηγή εκπομπών]]="Electricity consumed in office buildings and projects - market based",Calculations[[#This Row],[t CO2]],"")</f>
        <v/>
      </c>
      <c r="X25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7.0361793000000016E-5</v>
      </c>
    </row>
    <row r="251" spans="1:24" ht="15" hidden="1" thickTop="1">
      <c r="A251" s="15" t="s">
        <v>49</v>
      </c>
      <c r="B251" s="15" t="s">
        <v>49</v>
      </c>
      <c r="C251" s="16" t="s">
        <v>624</v>
      </c>
      <c r="D251" s="16" t="s">
        <v>897</v>
      </c>
      <c r="E251" s="16" t="s">
        <v>1150</v>
      </c>
      <c r="F251" s="16" t="s">
        <v>320</v>
      </c>
      <c r="G251" s="15" t="s">
        <v>584</v>
      </c>
      <c r="H251" s="15" t="s">
        <v>85</v>
      </c>
      <c r="I251" s="17" t="s">
        <v>85</v>
      </c>
      <c r="J251" s="238">
        <v>30291.9517989251</v>
      </c>
      <c r="K251" s="18" t="s">
        <v>51</v>
      </c>
      <c r="L251" s="16" t="s">
        <v>323</v>
      </c>
      <c r="M251" s="148" t="s">
        <v>123</v>
      </c>
      <c r="N251" s="81" t="str">
        <f>_xlfn.XLOOKUP(Calculations[[#This Row],[For XLOOKUP]],Factors[For XLOOKUP],Factors[Factor],"")</f>
        <v>Σ.Ε. CO2 - Χώρας</v>
      </c>
      <c r="O251" s="81">
        <f>_xlfn.XLOOKUP(Calculations[[#This Row],[For XLOOKUP]],Factors[For XLOOKUP],Factors[Value],"")</f>
        <v>2.5244139999999998E-4</v>
      </c>
      <c r="P251" s="81" t="str">
        <f>_xlfn.XLOOKUP(Calculations[[#This Row],[For XLOOKUP]],Factors[For XLOOKUP],Factors[Units],"")</f>
        <v>tn CO2/kwh</v>
      </c>
      <c r="Q251" s="81" t="str">
        <f>_xlfn.XLOOKUP(Calculations[[#This Row],[For XLOOKUP]],Factors[For XLOOKUP],Factors[Source],"")</f>
        <v>ΔΑΠΕΕΠ 2024</v>
      </c>
      <c r="R251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7.6469427208531702</v>
      </c>
      <c r="S251" s="81" t="str">
        <f>IF(LEFT(Calculations[[#This Row],[Emission Factor]],7)="Σ.Ε. CH",Calculations[[#This Row],[Value]]*Calculations[[#This Row],[Τιμή]],"-")</f>
        <v>-</v>
      </c>
      <c r="T25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1" s="81" t="str">
        <f>IF(LEFT(Calculations[[#This Row],[Emission Factor]],3)="GWP",Calculations[[#This Row],[Τιμή]],"-")</f>
        <v>-</v>
      </c>
      <c r="V251" s="81" t="str">
        <f>IF(OR(Calculations[[#This Row],[Emission Factor]]="Σ.Ε. CO₂ eq",Calculations[[#This Row],[Emission Factor]]="CO₂ eq"),Calculations[[#This Row],[Value]]*Calculations[[#This Row],[Τιμή]],"-")</f>
        <v>-</v>
      </c>
      <c r="W251" s="81" t="str">
        <f>IF(Calculations[[#This Row],[Πηγή εκπομπών]]="Electricity consumed in office buildings and projects - market based",Calculations[[#This Row],[t CO2]],"")</f>
        <v/>
      </c>
      <c r="X25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7.6469427208531702</v>
      </c>
    </row>
    <row r="252" spans="1:24" ht="15" hidden="1" thickTop="1">
      <c r="A252" s="15" t="s">
        <v>49</v>
      </c>
      <c r="B252" s="15" t="s">
        <v>49</v>
      </c>
      <c r="C252" s="16" t="s">
        <v>624</v>
      </c>
      <c r="D252" s="16" t="s">
        <v>897</v>
      </c>
      <c r="E252" s="16" t="s">
        <v>1150</v>
      </c>
      <c r="F252" s="16" t="s">
        <v>320</v>
      </c>
      <c r="G252" s="15" t="s">
        <v>584</v>
      </c>
      <c r="H252" s="15" t="s">
        <v>85</v>
      </c>
      <c r="I252" s="17" t="s">
        <v>85</v>
      </c>
      <c r="J252" s="245" cm="1">
        <f t="array" ref="J252">_xlfn.XLOOKUP(1,(Calculations[Πληροφορίες]=Calculations[[#This Row],[Πληροφορίες]])*(Calculations[Έργο]=Calculations[[#This Row],[Έργο]]),Calculations[Τιμή])</f>
        <v>30291.9517989251</v>
      </c>
      <c r="K252" s="18" t="s">
        <v>51</v>
      </c>
      <c r="L252" s="16" t="s">
        <v>323</v>
      </c>
      <c r="M252" s="148" t="s">
        <v>122</v>
      </c>
      <c r="N252" s="81" t="str">
        <f>_xlfn.XLOOKUP(Calculations[[#This Row],[For XLOOKUP]],Factors[For XLOOKUP],Factors[Factor],"")</f>
        <v>Σ.Ε. CH4 - Χώρας</v>
      </c>
      <c r="O252" s="81">
        <f>_xlfn.XLOOKUP(Calculations[[#This Row],[For XLOOKUP]],Factors[For XLOOKUP],Factors[Value],"")</f>
        <v>6.3220000000000003E-9</v>
      </c>
      <c r="P252" s="81" t="str">
        <f>_xlfn.XLOOKUP(Calculations[[#This Row],[For XLOOKUP]],Factors[For XLOOKUP],Factors[Units],"")</f>
        <v>tn CH4/kWh</v>
      </c>
      <c r="Q252" s="81" t="str">
        <f>_xlfn.XLOOKUP(Calculations[[#This Row],[For XLOOKUP]],Factors[For XLOOKUP],Factors[Source],"")</f>
        <v>Έκθεση ΔΑΠΕΕΠ 2022 και NIR 2022</v>
      </c>
      <c r="R25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2" s="81">
        <f>IF(LEFT(Calculations[[#This Row],[Emission Factor]],7)="Σ.Ε. CH",Calculations[[#This Row],[Value]]*Calculations[[#This Row],[Τιμή]],"-")</f>
        <v>1.915057192728045E-4</v>
      </c>
      <c r="T25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2" s="81" t="str">
        <f>IF(LEFT(Calculations[[#This Row],[Emission Factor]],3)="GWP",Calculations[[#This Row],[Τιμή]],"-")</f>
        <v>-</v>
      </c>
      <c r="V252" s="81" t="str">
        <f>IF(OR(Calculations[[#This Row],[Emission Factor]]="Σ.Ε. CO₂ eq",Calculations[[#This Row],[Emission Factor]]="CO₂ eq"),Calculations[[#This Row],[Value]]*Calculations[[#This Row],[Τιμή]],"-")</f>
        <v>-</v>
      </c>
      <c r="W252" s="81" t="str">
        <f>IF(Calculations[[#This Row],[Πηγή εκπομπών]]="Electricity consumed in office buildings and projects - market based",Calculations[[#This Row],[t CO2]],"")</f>
        <v/>
      </c>
      <c r="X25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5.3621601396385259E-3</v>
      </c>
    </row>
    <row r="253" spans="1:24" ht="15" hidden="1" thickTop="1">
      <c r="A253" s="15" t="s">
        <v>49</v>
      </c>
      <c r="B253" s="15" t="s">
        <v>49</v>
      </c>
      <c r="C253" s="16" t="s">
        <v>624</v>
      </c>
      <c r="D253" s="16" t="s">
        <v>897</v>
      </c>
      <c r="E253" s="16" t="s">
        <v>1150</v>
      </c>
      <c r="F253" s="16" t="s">
        <v>320</v>
      </c>
      <c r="G253" s="15" t="s">
        <v>584</v>
      </c>
      <c r="H253" s="15" t="s">
        <v>85</v>
      </c>
      <c r="I253" s="17" t="s">
        <v>85</v>
      </c>
      <c r="J253" s="245" cm="1">
        <f t="array" ref="J25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30291.9517989251</v>
      </c>
      <c r="K253" s="18" t="s">
        <v>51</v>
      </c>
      <c r="L253" s="16" t="s">
        <v>323</v>
      </c>
      <c r="M253" s="148" t="s">
        <v>126</v>
      </c>
      <c r="N253" s="81" t="str">
        <f>_xlfn.XLOOKUP(Calculations[[#This Row],[For XLOOKUP]],Factors[For XLOOKUP],Factors[Factor],"")</f>
        <v>Σ.Ε. N2O - Χώρας</v>
      </c>
      <c r="O253" s="81">
        <f>_xlfn.XLOOKUP(Calculations[[#This Row],[For XLOOKUP]],Factors[For XLOOKUP],Factors[Value],"")</f>
        <v>2.6031000000000002E-9</v>
      </c>
      <c r="P253" s="81" t="str">
        <f>_xlfn.XLOOKUP(Calculations[[#This Row],[For XLOOKUP]],Factors[For XLOOKUP],Factors[Units],"")</f>
        <v>tn N2O/kWh</v>
      </c>
      <c r="Q253" s="81" t="str">
        <f>_xlfn.XLOOKUP(Calculations[[#This Row],[For XLOOKUP]],Factors[For XLOOKUP],Factors[Source],"")</f>
        <v>Έκθεση ΔΑΠΕΕΠ 2022 και NIR 2022</v>
      </c>
      <c r="R25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3" s="81" t="str">
        <f>IF(LEFT(Calculations[[#This Row],[Emission Factor]],7)="Σ.Ε. CH",Calculations[[#This Row],[Value]]*Calculations[[#This Row],[Τιμή]],"-")</f>
        <v>-</v>
      </c>
      <c r="T253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7.8852979727781931E-5</v>
      </c>
      <c r="U253" s="81" t="str">
        <f>IF(LEFT(Calculations[[#This Row],[Emission Factor]],3)="GWP",Calculations[[#This Row],[Τιμή]],"-")</f>
        <v>-</v>
      </c>
      <c r="V253" s="81" t="str">
        <f>IF(OR(Calculations[[#This Row],[Emission Factor]]="Σ.Ε. CO₂ eq",Calculations[[#This Row],[Emission Factor]]="CO₂ eq"),Calculations[[#This Row],[Value]]*Calculations[[#This Row],[Τιμή]],"-")</f>
        <v>-</v>
      </c>
      <c r="W253" s="81" t="str">
        <f>IF(Calculations[[#This Row],[Πηγή εκπομπών]]="Electricity consumed in office buildings and projects - market based",Calculations[[#This Row],[t CO2]],"")</f>
        <v/>
      </c>
      <c r="X25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2.0896039627862212E-2</v>
      </c>
    </row>
    <row r="254" spans="1:24" ht="15" hidden="1" thickTop="1">
      <c r="A254" s="15" t="s">
        <v>49</v>
      </c>
      <c r="B254" s="15" t="s">
        <v>49</v>
      </c>
      <c r="C254" s="16" t="s">
        <v>624</v>
      </c>
      <c r="D254" s="16" t="s">
        <v>897</v>
      </c>
      <c r="E254" s="16" t="s">
        <v>1151</v>
      </c>
      <c r="F254" s="16" t="s">
        <v>320</v>
      </c>
      <c r="G254" s="15" t="s">
        <v>584</v>
      </c>
      <c r="H254" s="15" t="s">
        <v>85</v>
      </c>
      <c r="I254" s="17" t="s">
        <v>85</v>
      </c>
      <c r="J254" s="238">
        <v>97634.4</v>
      </c>
      <c r="K254" s="18" t="s">
        <v>51</v>
      </c>
      <c r="L254" s="16" t="s">
        <v>323</v>
      </c>
      <c r="M254" s="148" t="s">
        <v>123</v>
      </c>
      <c r="N254" s="81" t="str">
        <f>_xlfn.XLOOKUP(Calculations[[#This Row],[For XLOOKUP]],Factors[For XLOOKUP],Factors[Factor],"")</f>
        <v>Σ.Ε. CO2 - Χώρας</v>
      </c>
      <c r="O254" s="81">
        <f>_xlfn.XLOOKUP(Calculations[[#This Row],[For XLOOKUP]],Factors[For XLOOKUP],Factors[Value],"")</f>
        <v>2.5244139999999998E-4</v>
      </c>
      <c r="P254" s="81" t="str">
        <f>_xlfn.XLOOKUP(Calculations[[#This Row],[For XLOOKUP]],Factors[For XLOOKUP],Factors[Units],"")</f>
        <v>tn CO2/kwh</v>
      </c>
      <c r="Q254" s="81" t="str">
        <f>_xlfn.XLOOKUP(Calculations[[#This Row],[For XLOOKUP]],Factors[For XLOOKUP],Factors[Source],"")</f>
        <v>ΔΑΠΕΕΠ 2024</v>
      </c>
      <c r="R254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24.646964624159995</v>
      </c>
      <c r="S254" s="81" t="str">
        <f>IF(LEFT(Calculations[[#This Row],[Emission Factor]],7)="Σ.Ε. CH",Calculations[[#This Row],[Value]]*Calculations[[#This Row],[Τιμή]],"-")</f>
        <v>-</v>
      </c>
      <c r="T25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4" s="81" t="str">
        <f>IF(LEFT(Calculations[[#This Row],[Emission Factor]],3)="GWP",Calculations[[#This Row],[Τιμή]],"-")</f>
        <v>-</v>
      </c>
      <c r="V254" s="81" t="str">
        <f>IF(OR(Calculations[[#This Row],[Emission Factor]]="Σ.Ε. CO₂ eq",Calculations[[#This Row],[Emission Factor]]="CO₂ eq"),Calculations[[#This Row],[Value]]*Calculations[[#This Row],[Τιμή]],"-")</f>
        <v>-</v>
      </c>
      <c r="W254" s="81" t="str">
        <f>IF(Calculations[[#This Row],[Πηγή εκπομπών]]="Electricity consumed in office buildings and projects - market based",Calculations[[#This Row],[t CO2]],"")</f>
        <v/>
      </c>
      <c r="X25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24.646964624159995</v>
      </c>
    </row>
    <row r="255" spans="1:24" ht="15" hidden="1" thickTop="1">
      <c r="A255" s="15" t="s">
        <v>49</v>
      </c>
      <c r="B255" s="15" t="s">
        <v>49</v>
      </c>
      <c r="C255" s="16" t="s">
        <v>624</v>
      </c>
      <c r="D255" s="16" t="s">
        <v>897</v>
      </c>
      <c r="E255" s="16" t="s">
        <v>1151</v>
      </c>
      <c r="F255" s="16" t="s">
        <v>320</v>
      </c>
      <c r="G255" s="15" t="s">
        <v>584</v>
      </c>
      <c r="H255" s="15" t="s">
        <v>85</v>
      </c>
      <c r="I255" s="17" t="s">
        <v>85</v>
      </c>
      <c r="J255" s="245" cm="1">
        <f t="array" ref="J255">_xlfn.XLOOKUP(1,(Calculations[Πληροφορίες]=Calculations[[#This Row],[Πληροφορίες]])*(Calculations[Έργο]=Calculations[[#This Row],[Έργο]]),Calculations[Τιμή])</f>
        <v>97634.4</v>
      </c>
      <c r="K255" s="18" t="s">
        <v>51</v>
      </c>
      <c r="L255" s="16" t="s">
        <v>323</v>
      </c>
      <c r="M255" s="148" t="s">
        <v>122</v>
      </c>
      <c r="N255" s="81" t="str">
        <f>_xlfn.XLOOKUP(Calculations[[#This Row],[For XLOOKUP]],Factors[For XLOOKUP],Factors[Factor],"")</f>
        <v>Σ.Ε. CH4 - Χώρας</v>
      </c>
      <c r="O255" s="81">
        <f>_xlfn.XLOOKUP(Calculations[[#This Row],[For XLOOKUP]],Factors[For XLOOKUP],Factors[Value],"")</f>
        <v>6.3220000000000003E-9</v>
      </c>
      <c r="P255" s="81" t="str">
        <f>_xlfn.XLOOKUP(Calculations[[#This Row],[For XLOOKUP]],Factors[For XLOOKUP],Factors[Units],"")</f>
        <v>tn CH4/kWh</v>
      </c>
      <c r="Q255" s="81" t="str">
        <f>_xlfn.XLOOKUP(Calculations[[#This Row],[For XLOOKUP]],Factors[For XLOOKUP],Factors[Source],"")</f>
        <v>Έκθεση ΔΑΠΕΕΠ 2022 και NIR 2022</v>
      </c>
      <c r="R25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5" s="81">
        <f>IF(LEFT(Calculations[[#This Row],[Emission Factor]],7)="Σ.Ε. CH",Calculations[[#This Row],[Value]]*Calculations[[#This Row],[Τιμή]],"-")</f>
        <v>6.1724467680000002E-4</v>
      </c>
      <c r="T25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5" s="81" t="str">
        <f>IF(LEFT(Calculations[[#This Row],[Emission Factor]],3)="GWP",Calculations[[#This Row],[Τιμή]],"-")</f>
        <v>-</v>
      </c>
      <c r="V255" s="81" t="str">
        <f>IF(OR(Calculations[[#This Row],[Emission Factor]]="Σ.Ε. CO₂ eq",Calculations[[#This Row],[Emission Factor]]="CO₂ eq"),Calculations[[#This Row],[Value]]*Calculations[[#This Row],[Τιμή]],"-")</f>
        <v>-</v>
      </c>
      <c r="W255" s="81" t="str">
        <f>IF(Calculations[[#This Row],[Πηγή εκπομπών]]="Electricity consumed in office buildings and projects - market based",Calculations[[#This Row],[t CO2]],"")</f>
        <v/>
      </c>
      <c r="X25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1.7282850950400001E-2</v>
      </c>
    </row>
    <row r="256" spans="1:24" ht="15" hidden="1" thickTop="1">
      <c r="A256" s="15" t="s">
        <v>49</v>
      </c>
      <c r="B256" s="15" t="s">
        <v>49</v>
      </c>
      <c r="C256" s="16" t="s">
        <v>624</v>
      </c>
      <c r="D256" s="16" t="s">
        <v>897</v>
      </c>
      <c r="E256" s="16" t="s">
        <v>1151</v>
      </c>
      <c r="F256" s="16" t="s">
        <v>320</v>
      </c>
      <c r="G256" s="15" t="s">
        <v>584</v>
      </c>
      <c r="H256" s="15" t="s">
        <v>85</v>
      </c>
      <c r="I256" s="17" t="s">
        <v>85</v>
      </c>
      <c r="J256" s="245" cm="1">
        <f t="array" ref="J256">_xlfn.XLOOKUP(1,(Calculations[Πληροφορίες]=Calculations[[#This Row],[Πληροφορίες]])*(Calculations[Έργο]=Calculations[[#This Row],[Έργο]]),Calculations[Τιμή])</f>
        <v>97634.4</v>
      </c>
      <c r="K256" s="18" t="s">
        <v>51</v>
      </c>
      <c r="L256" s="16" t="s">
        <v>323</v>
      </c>
      <c r="M256" s="148" t="s">
        <v>126</v>
      </c>
      <c r="N256" s="81" t="str">
        <f>_xlfn.XLOOKUP(Calculations[[#This Row],[For XLOOKUP]],Factors[For XLOOKUP],Factors[Factor],"")</f>
        <v>Σ.Ε. N2O - Χώρας</v>
      </c>
      <c r="O256" s="81">
        <f>_xlfn.XLOOKUP(Calculations[[#This Row],[For XLOOKUP]],Factors[For XLOOKUP],Factors[Value],"")</f>
        <v>2.6031000000000002E-9</v>
      </c>
      <c r="P256" s="81" t="str">
        <f>_xlfn.XLOOKUP(Calculations[[#This Row],[For XLOOKUP]],Factors[For XLOOKUP],Factors[Units],"")</f>
        <v>tn N2O/kWh</v>
      </c>
      <c r="Q256" s="81" t="str">
        <f>_xlfn.XLOOKUP(Calculations[[#This Row],[For XLOOKUP]],Factors[For XLOOKUP],Factors[Source],"")</f>
        <v>Έκθεση ΔΑΠΕΕΠ 2022 και NIR 2022</v>
      </c>
      <c r="R25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6" s="81" t="str">
        <f>IF(LEFT(Calculations[[#This Row],[Emission Factor]],7)="Σ.Ε. CH",Calculations[[#This Row],[Value]]*Calculations[[#This Row],[Τιμή]],"-")</f>
        <v>-</v>
      </c>
      <c r="T256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2.5415210664E-4</v>
      </c>
      <c r="U256" s="81" t="str">
        <f>IF(LEFT(Calculations[[#This Row],[Emission Factor]],3)="GWP",Calculations[[#This Row],[Τιμή]],"-")</f>
        <v>-</v>
      </c>
      <c r="V256" s="81" t="str">
        <f>IF(OR(Calculations[[#This Row],[Emission Factor]]="Σ.Ε. CO₂ eq",Calculations[[#This Row],[Emission Factor]]="CO₂ eq"),Calculations[[#This Row],[Value]]*Calculations[[#This Row],[Τιμή]],"-")</f>
        <v>-</v>
      </c>
      <c r="W256" s="81" t="str">
        <f>IF(Calculations[[#This Row],[Πηγή εκπομπών]]="Electricity consumed in office buildings and projects - market based",Calculations[[#This Row],[t CO2]],"")</f>
        <v/>
      </c>
      <c r="X25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6.7350308259600006E-2</v>
      </c>
    </row>
    <row r="257" spans="1:24" ht="15" hidden="1" thickTop="1">
      <c r="A257" s="15" t="s">
        <v>49</v>
      </c>
      <c r="B257" s="15" t="s">
        <v>49</v>
      </c>
      <c r="C257" s="16" t="s">
        <v>624</v>
      </c>
      <c r="D257" s="16" t="s">
        <v>895</v>
      </c>
      <c r="E257" s="16" t="s">
        <v>1140</v>
      </c>
      <c r="F257" s="16" t="s">
        <v>322</v>
      </c>
      <c r="G257" s="15" t="s">
        <v>584</v>
      </c>
      <c r="H257" s="15" t="s">
        <v>85</v>
      </c>
      <c r="I257" s="17" t="s">
        <v>330</v>
      </c>
      <c r="J257" s="245" cm="1">
        <f t="array" ref="J25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24964867</v>
      </c>
      <c r="K257" s="18" t="s">
        <v>51</v>
      </c>
      <c r="L257" s="16" t="s">
        <v>178</v>
      </c>
      <c r="M257" s="148" t="s">
        <v>178</v>
      </c>
      <c r="N257" s="81" t="str">
        <f>_xlfn.XLOOKUP(Calculations[[#This Row],[For XLOOKUP]],Factors[For XLOOKUP],Factors[Factor],"")</f>
        <v>Σ.Ε. CO2 - Χώρας</v>
      </c>
      <c r="O257" s="81">
        <f>_xlfn.XLOOKUP(Calculations[[#This Row],[For XLOOKUP]],Factors[For XLOOKUP],Factors[Value],"")</f>
        <v>3.6363999999999998E-4</v>
      </c>
      <c r="P257" s="81" t="str">
        <f>_xlfn.XLOOKUP(Calculations[[#This Row],[For XLOOKUP]],Factors[For XLOOKUP],Factors[Units],"")</f>
        <v>tn CO2/kwh</v>
      </c>
      <c r="Q257" s="81" t="str">
        <f>_xlfn.XLOOKUP(Calculations[[#This Row],[For XLOOKUP]],Factors[For XLOOKUP],Factors[Source],"")</f>
        <v>ΔΑΠΕΕΠ 2024</v>
      </c>
      <c r="R257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9078.2242358799995</v>
      </c>
      <c r="S257" s="81" t="str">
        <f>IF(LEFT(Calculations[[#This Row],[Emission Factor]],7)="Σ.Ε. CH",Calculations[[#This Row],[Value]]*Calculations[[#This Row],[Τιμή]],"-")</f>
        <v>-</v>
      </c>
      <c r="T25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7" s="81" t="str">
        <f>IF(LEFT(Calculations[[#This Row],[Emission Factor]],3)="GWP",Calculations[[#This Row],[Τιμή]],"-")</f>
        <v>-</v>
      </c>
      <c r="V257" s="81" t="str">
        <f>IF(OR(Calculations[[#This Row],[Emission Factor]]="Σ.Ε. CO₂ eq",Calculations[[#This Row],[Emission Factor]]="CO₂ eq"),Calculations[[#This Row],[Value]]*Calculations[[#This Row],[Τιμή]],"-")</f>
        <v>-</v>
      </c>
      <c r="W257" s="81">
        <f>IF(Calculations[[#This Row],[Πηγή εκπομπών]]="Electricity consumed in office buildings and projects - market based",Calculations[[#This Row],[t CO2]],"")</f>
        <v>9078.2242358799995</v>
      </c>
      <c r="X25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58" spans="1:24" ht="15" hidden="1" thickTop="1">
      <c r="A258" s="15" t="s">
        <v>49</v>
      </c>
      <c r="B258" s="15" t="s">
        <v>49</v>
      </c>
      <c r="C258" s="16" t="s">
        <v>624</v>
      </c>
      <c r="D258" s="16" t="s">
        <v>895</v>
      </c>
      <c r="E258" s="16" t="s">
        <v>1136</v>
      </c>
      <c r="F258" s="16" t="s">
        <v>319</v>
      </c>
      <c r="G258" s="15" t="s">
        <v>584</v>
      </c>
      <c r="H258" s="15" t="s">
        <v>85</v>
      </c>
      <c r="I258" s="17" t="s">
        <v>330</v>
      </c>
      <c r="J258" s="245" cm="1">
        <f t="array" ref="J258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82089.878035182206</v>
      </c>
      <c r="K258" s="18" t="s">
        <v>51</v>
      </c>
      <c r="L258" s="16" t="s">
        <v>323</v>
      </c>
      <c r="M258" s="148" t="s">
        <v>177</v>
      </c>
      <c r="N258" s="81" t="str">
        <f>_xlfn.XLOOKUP(Calculations[[#This Row],[For XLOOKUP]],Factors[For XLOOKUP],Factors[Factor],"")</f>
        <v>Σ.Ε. CO2 - Χώρας</v>
      </c>
      <c r="O258" s="81">
        <f>_xlfn.XLOOKUP(Calculations[[#This Row],[For XLOOKUP]],Factors[For XLOOKUP],Factors[Value],"")</f>
        <v>3.6357999999999996E-4</v>
      </c>
      <c r="P258" s="81" t="str">
        <f>_xlfn.XLOOKUP(Calculations[[#This Row],[For XLOOKUP]],Factors[For XLOOKUP],Factors[Units],"")</f>
        <v>tn CO2/kwh</v>
      </c>
      <c r="Q258" s="81" t="str">
        <f>_xlfn.XLOOKUP(Calculations[[#This Row],[For XLOOKUP]],Factors[For XLOOKUP],Factors[Source],"")</f>
        <v>ΔΑΠΕΕΠ 2024</v>
      </c>
      <c r="R258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29.846237856031543</v>
      </c>
      <c r="S258" s="81" t="str">
        <f>IF(LEFT(Calculations[[#This Row],[Emission Factor]],7)="Σ.Ε. CH",Calculations[[#This Row],[Value]]*Calculations[[#This Row],[Τιμή]],"-")</f>
        <v>-</v>
      </c>
      <c r="T25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8" s="81" t="str">
        <f>IF(LEFT(Calculations[[#This Row],[Emission Factor]],3)="GWP",Calculations[[#This Row],[Τιμή]],"-")</f>
        <v>-</v>
      </c>
      <c r="V258" s="81" t="str">
        <f>IF(OR(Calculations[[#This Row],[Emission Factor]]="Σ.Ε. CO₂ eq",Calculations[[#This Row],[Emission Factor]]="CO₂ eq"),Calculations[[#This Row],[Value]]*Calculations[[#This Row],[Τιμή]],"-")</f>
        <v>-</v>
      </c>
      <c r="W258" s="81">
        <f>IF(Calculations[[#This Row],[Πηγή εκπομπών]]="Electricity consumed in office buildings and projects - market based",Calculations[[#This Row],[t CO2]],"")</f>
        <v>29.846237856031543</v>
      </c>
      <c r="X25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59" spans="1:24" ht="15" hidden="1" thickTop="1">
      <c r="A259" s="15" t="s">
        <v>49</v>
      </c>
      <c r="B259" s="15" t="s">
        <v>49</v>
      </c>
      <c r="C259" s="16" t="s">
        <v>624</v>
      </c>
      <c r="D259" s="16" t="s">
        <v>895</v>
      </c>
      <c r="E259" s="16" t="s">
        <v>1141</v>
      </c>
      <c r="F259" s="16" t="s">
        <v>312</v>
      </c>
      <c r="G259" s="15" t="s">
        <v>584</v>
      </c>
      <c r="H259" s="15" t="s">
        <v>85</v>
      </c>
      <c r="I259" s="17" t="s">
        <v>330</v>
      </c>
      <c r="J259" s="245" cm="1">
        <f t="array" ref="J25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10032391.66</v>
      </c>
      <c r="K259" s="18" t="s">
        <v>51</v>
      </c>
      <c r="L259" s="16" t="s">
        <v>323</v>
      </c>
      <c r="M259" s="148" t="s">
        <v>177</v>
      </c>
      <c r="N259" s="19" t="str">
        <f>_xlfn.XLOOKUP(Calculations[[#This Row],[For XLOOKUP]],Factors[For XLOOKUP],Factors[Factor],"")</f>
        <v>Σ.Ε. CO2 - Χώρας</v>
      </c>
      <c r="O259" s="19">
        <f>_xlfn.XLOOKUP(Calculations[[#This Row],[For XLOOKUP]],Factors[For XLOOKUP],Factors[Value],"")</f>
        <v>3.6357999999999996E-4</v>
      </c>
      <c r="P259" s="19" t="str">
        <f>_xlfn.XLOOKUP(Calculations[[#This Row],[For XLOOKUP]],Factors[For XLOOKUP],Factors[Units],"")</f>
        <v>tn CO2/kwh</v>
      </c>
      <c r="Q259" s="19" t="str">
        <f>_xlfn.XLOOKUP(Calculations[[#This Row],[For XLOOKUP]],Factors[For XLOOKUP],Factors[Source],"")</f>
        <v>ΔΑΠΕΕΠ 2024</v>
      </c>
      <c r="R259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3647.5769597427998</v>
      </c>
      <c r="S259" s="19" t="str">
        <f>IF(LEFT(Calculations[[#This Row],[Emission Factor]],7)="Σ.Ε. CH",Calculations[[#This Row],[Value]]*Calculations[[#This Row],[Τιμή]],"-")</f>
        <v>-</v>
      </c>
      <c r="T25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9" s="19" t="str">
        <f>IF(LEFT(Calculations[[#This Row],[Emission Factor]],3)="GWP",Calculations[[#This Row],[Τιμή]],"-")</f>
        <v>-</v>
      </c>
      <c r="V259" s="19" t="str">
        <f>IF(OR(Calculations[[#This Row],[Emission Factor]]="Σ.Ε. CO₂ eq",Calculations[[#This Row],[Emission Factor]]="CO₂ eq"),Calculations[[#This Row],[Value]]*Calculations[[#This Row],[Τιμή]],"-")</f>
        <v>-</v>
      </c>
      <c r="W259" s="19">
        <f>IF(Calculations[[#This Row],[Πηγή εκπομπών]]="Electricity consumed in office buildings and projects - market based",Calculations[[#This Row],[t CO2]],"")</f>
        <v>3647.5769597427998</v>
      </c>
      <c r="X25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60" spans="1:24" ht="15" hidden="1" thickTop="1">
      <c r="A260" s="15" t="s">
        <v>49</v>
      </c>
      <c r="B260" s="15" t="s">
        <v>49</v>
      </c>
      <c r="C260" s="16" t="s">
        <v>624</v>
      </c>
      <c r="D260" s="16" t="s">
        <v>895</v>
      </c>
      <c r="E260" s="16" t="s">
        <v>1141</v>
      </c>
      <c r="F260" s="16" t="s">
        <v>312</v>
      </c>
      <c r="G260" s="15" t="s">
        <v>584</v>
      </c>
      <c r="H260" s="15" t="s">
        <v>85</v>
      </c>
      <c r="I260" s="17" t="s">
        <v>330</v>
      </c>
      <c r="J260" s="245" cm="1">
        <f t="array" ref="J26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2925278.43</v>
      </c>
      <c r="K260" s="18" t="s">
        <v>51</v>
      </c>
      <c r="L260" s="16" t="s">
        <v>178</v>
      </c>
      <c r="M260" s="148" t="s">
        <v>178</v>
      </c>
      <c r="N260" s="81" t="str">
        <f>_xlfn.XLOOKUP(Calculations[[#This Row],[For XLOOKUP]],Factors[For XLOOKUP],Factors[Factor],"")</f>
        <v>Σ.Ε. CO2 - Χώρας</v>
      </c>
      <c r="O260" s="81">
        <f>_xlfn.XLOOKUP(Calculations[[#This Row],[For XLOOKUP]],Factors[For XLOOKUP],Factors[Value],"")</f>
        <v>3.6363999999999998E-4</v>
      </c>
      <c r="P260" s="81" t="str">
        <f>_xlfn.XLOOKUP(Calculations[[#This Row],[For XLOOKUP]],Factors[For XLOOKUP],Factors[Units],"")</f>
        <v>tn CO2/kwh</v>
      </c>
      <c r="Q260" s="81" t="str">
        <f>_xlfn.XLOOKUP(Calculations[[#This Row],[For XLOOKUP]],Factors[For XLOOKUP],Factors[Source],"")</f>
        <v>ΔΑΠΕΕΠ 2024</v>
      </c>
      <c r="R260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1063.7482482851999</v>
      </c>
      <c r="S260" s="81" t="str">
        <f>IF(LEFT(Calculations[[#This Row],[Emission Factor]],7)="Σ.Ε. CH",Calculations[[#This Row],[Value]]*Calculations[[#This Row],[Τιμή]],"-")</f>
        <v>-</v>
      </c>
      <c r="T26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0" s="81" t="str">
        <f>IF(LEFT(Calculations[[#This Row],[Emission Factor]],3)="GWP",Calculations[[#This Row],[Τιμή]],"-")</f>
        <v>-</v>
      </c>
      <c r="V260" s="81" t="str">
        <f>IF(OR(Calculations[[#This Row],[Emission Factor]]="Σ.Ε. CO₂ eq",Calculations[[#This Row],[Emission Factor]]="CO₂ eq"),Calculations[[#This Row],[Value]]*Calculations[[#This Row],[Τιμή]],"-")</f>
        <v>-</v>
      </c>
      <c r="W260" s="81">
        <f>IF(Calculations[[#This Row],[Πηγή εκπομπών]]="Electricity consumed in office buildings and projects - market based",Calculations[[#This Row],[t CO2]],"")</f>
        <v>1063.7482482851999</v>
      </c>
      <c r="X26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61" spans="1:24" ht="15" hidden="1" thickTop="1">
      <c r="A261" s="15" t="s">
        <v>49</v>
      </c>
      <c r="B261" s="15" t="s">
        <v>49</v>
      </c>
      <c r="C261" s="16" t="s">
        <v>624</v>
      </c>
      <c r="D261" s="16" t="s">
        <v>895</v>
      </c>
      <c r="E261" s="77" t="s">
        <v>1142</v>
      </c>
      <c r="F261" s="16" t="s">
        <v>312</v>
      </c>
      <c r="G261" s="15" t="s">
        <v>584</v>
      </c>
      <c r="H261" s="15" t="s">
        <v>85</v>
      </c>
      <c r="I261" s="17" t="s">
        <v>330</v>
      </c>
      <c r="J261" s="245" cm="1">
        <f t="array" ref="J261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7868.0394282922298</v>
      </c>
      <c r="K261" s="18" t="s">
        <v>51</v>
      </c>
      <c r="L261" s="16" t="s">
        <v>323</v>
      </c>
      <c r="M261" s="148" t="s">
        <v>177</v>
      </c>
      <c r="N261" s="19" t="str">
        <f>_xlfn.XLOOKUP(Calculations[[#This Row],[For XLOOKUP]],Factors[For XLOOKUP],Factors[Factor],"")</f>
        <v>Σ.Ε. CO2 - Χώρας</v>
      </c>
      <c r="O261" s="19">
        <f>_xlfn.XLOOKUP(Calculations[[#This Row],[For XLOOKUP]],Factors[For XLOOKUP],Factors[Value],"")</f>
        <v>3.6357999999999996E-4</v>
      </c>
      <c r="P261" s="19" t="str">
        <f>_xlfn.XLOOKUP(Calculations[[#This Row],[For XLOOKUP]],Factors[For XLOOKUP],Factors[Units],"")</f>
        <v>tn CO2/kwh</v>
      </c>
      <c r="Q261" s="19" t="str">
        <f>_xlfn.XLOOKUP(Calculations[[#This Row],[For XLOOKUP]],Factors[For XLOOKUP],Factors[Source],"")</f>
        <v>ΔΑΠΕΕΠ 2024</v>
      </c>
      <c r="R261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2.8606617753384884</v>
      </c>
      <c r="S261" s="19" t="str">
        <f>IF(LEFT(Calculations[[#This Row],[Emission Factor]],7)="Σ.Ε. CH",Calculations[[#This Row],[Value]]*Calculations[[#This Row],[Τιμή]],"-")</f>
        <v>-</v>
      </c>
      <c r="T26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1" s="19" t="str">
        <f>IF(LEFT(Calculations[[#This Row],[Emission Factor]],3)="GWP",Calculations[[#This Row],[Τιμή]],"-")</f>
        <v>-</v>
      </c>
      <c r="V261" s="19" t="str">
        <f>IF(OR(Calculations[[#This Row],[Emission Factor]]="Σ.Ε. CO₂ eq",Calculations[[#This Row],[Emission Factor]]="CO₂ eq"),Calculations[[#This Row],[Value]]*Calculations[[#This Row],[Τιμή]],"-")</f>
        <v>-</v>
      </c>
      <c r="W261" s="19">
        <f>IF(Calculations[[#This Row],[Πηγή εκπομπών]]="Electricity consumed in office buildings and projects - market based",Calculations[[#This Row],[t CO2]],"")</f>
        <v>2.8606617753384884</v>
      </c>
      <c r="X26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62" spans="1:24" ht="15" hidden="1" thickTop="1">
      <c r="A262" s="15" t="s">
        <v>49</v>
      </c>
      <c r="B262" s="15" t="s">
        <v>49</v>
      </c>
      <c r="C262" s="16" t="s">
        <v>624</v>
      </c>
      <c r="D262" s="16" t="s">
        <v>895</v>
      </c>
      <c r="E262" s="77" t="s">
        <v>1137</v>
      </c>
      <c r="F262" s="16" t="s">
        <v>319</v>
      </c>
      <c r="G262" s="15" t="s">
        <v>584</v>
      </c>
      <c r="H262" s="15" t="s">
        <v>85</v>
      </c>
      <c r="I262" s="17" t="s">
        <v>330</v>
      </c>
      <c r="J262" s="245" cm="1">
        <f t="array" ref="J26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37261.56</v>
      </c>
      <c r="K262" s="18" t="s">
        <v>51</v>
      </c>
      <c r="L262" s="94" t="s">
        <v>323</v>
      </c>
      <c r="M262" s="148" t="s">
        <v>177</v>
      </c>
      <c r="N262" s="19" t="str">
        <f>_xlfn.XLOOKUP(Calculations[[#This Row],[For XLOOKUP]],Factors[For XLOOKUP],Factors[Factor],"")</f>
        <v>Σ.Ε. CO2 - Χώρας</v>
      </c>
      <c r="O262" s="19">
        <f>_xlfn.XLOOKUP(Calculations[[#This Row],[For XLOOKUP]],Factors[For XLOOKUP],Factors[Value],"")</f>
        <v>3.6357999999999996E-4</v>
      </c>
      <c r="P262" s="19" t="str">
        <f>_xlfn.XLOOKUP(Calculations[[#This Row],[For XLOOKUP]],Factors[For XLOOKUP],Factors[Units],"")</f>
        <v>tn CO2/kwh</v>
      </c>
      <c r="Q262" s="19" t="str">
        <f>_xlfn.XLOOKUP(Calculations[[#This Row],[For XLOOKUP]],Factors[For XLOOKUP],Factors[Source],"")</f>
        <v>ΔΑΠΕΕΠ 2024</v>
      </c>
      <c r="R262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13.547557984799997</v>
      </c>
      <c r="S262" s="19" t="str">
        <f>IF(LEFT(Calculations[[#This Row],[Emission Factor]],7)="Σ.Ε. CH",Calculations[[#This Row],[Value]]*Calculations[[#This Row],[Τιμή]],"-")</f>
        <v>-</v>
      </c>
      <c r="T26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2" s="19" t="str">
        <f>IF(LEFT(Calculations[[#This Row],[Emission Factor]],3)="GWP",Calculations[[#This Row],[Τιμή]],"-")</f>
        <v>-</v>
      </c>
      <c r="V262" s="19" t="str">
        <f>IF(OR(Calculations[[#This Row],[Emission Factor]]="Σ.Ε. CO₂ eq",Calculations[[#This Row],[Emission Factor]]="CO₂ eq"),Calculations[[#This Row],[Value]]*Calculations[[#This Row],[Τιμή]],"-")</f>
        <v>-</v>
      </c>
      <c r="W262" s="19">
        <f>IF(Calculations[[#This Row],[Πηγή εκπομπών]]="Electricity consumed in office buildings and projects - market based",Calculations[[#This Row],[t CO2]],"")</f>
        <v>13.547557984799997</v>
      </c>
      <c r="X26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63" spans="1:24" ht="15" hidden="1" thickTop="1">
      <c r="A263" s="15" t="s">
        <v>49</v>
      </c>
      <c r="B263" s="15" t="s">
        <v>49</v>
      </c>
      <c r="C263" s="16" t="s">
        <v>624</v>
      </c>
      <c r="D263" s="16" t="s">
        <v>895</v>
      </c>
      <c r="E263" s="16" t="s">
        <v>1137</v>
      </c>
      <c r="F263" s="16" t="s">
        <v>319</v>
      </c>
      <c r="G263" s="15" t="s">
        <v>584</v>
      </c>
      <c r="H263" s="15" t="s">
        <v>85</v>
      </c>
      <c r="I263" s="17" t="s">
        <v>330</v>
      </c>
      <c r="J263" s="245" cm="1">
        <f t="array" ref="J26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80048.09</v>
      </c>
      <c r="K263" s="18" t="s">
        <v>51</v>
      </c>
      <c r="L263" s="16" t="s">
        <v>326</v>
      </c>
      <c r="M263" s="148" t="s">
        <v>182</v>
      </c>
      <c r="N263" s="81" t="str">
        <f>_xlfn.XLOOKUP(Calculations[[#This Row],[For XLOOKUP]],Factors[For XLOOKUP],Factors[Factor],"")</f>
        <v>Σ.Ε. CO2 - Χώρας</v>
      </c>
      <c r="O263" s="81">
        <f>_xlfn.XLOOKUP(Calculations[[#This Row],[For XLOOKUP]],Factors[For XLOOKUP],Factors[Value],"")</f>
        <v>3.6319E-4</v>
      </c>
      <c r="P263" s="81" t="str">
        <f>_xlfn.XLOOKUP(Calculations[[#This Row],[For XLOOKUP]],Factors[For XLOOKUP],Factors[Units],"")</f>
        <v>tn CO2/kwh</v>
      </c>
      <c r="Q263" s="81" t="str">
        <f>_xlfn.XLOOKUP(Calculations[[#This Row],[For XLOOKUP]],Factors[For XLOOKUP],Factors[Source],"")</f>
        <v>ΔΑΠΕΕΠ 2024</v>
      </c>
      <c r="R263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29.072665807099998</v>
      </c>
      <c r="S263" s="81" t="str">
        <f>IF(LEFT(Calculations[[#This Row],[Emission Factor]],7)="Σ.Ε. CH",Calculations[[#This Row],[Value]]*Calculations[[#This Row],[Τιμή]],"-")</f>
        <v>-</v>
      </c>
      <c r="T26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3" s="81" t="str">
        <f>IF(LEFT(Calculations[[#This Row],[Emission Factor]],3)="GWP",Calculations[[#This Row],[Τιμή]],"-")</f>
        <v>-</v>
      </c>
      <c r="V263" s="81" t="str">
        <f>IF(OR(Calculations[[#This Row],[Emission Factor]]="Σ.Ε. CO₂ eq",Calculations[[#This Row],[Emission Factor]]="CO₂ eq"),Calculations[[#This Row],[Value]]*Calculations[[#This Row],[Τιμή]],"-")</f>
        <v>-</v>
      </c>
      <c r="W263" s="81">
        <f>IF(Calculations[[#This Row],[Πηγή εκπομπών]]="Electricity consumed in office buildings and projects - market based",Calculations[[#This Row],[t CO2]],"")</f>
        <v>29.072665807099998</v>
      </c>
      <c r="X26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64" spans="1:24" ht="15" hidden="1" thickTop="1">
      <c r="A264" s="15" t="s">
        <v>49</v>
      </c>
      <c r="B264" s="15" t="s">
        <v>49</v>
      </c>
      <c r="C264" s="16" t="s">
        <v>624</v>
      </c>
      <c r="D264" s="16" t="s">
        <v>895</v>
      </c>
      <c r="E264" s="16" t="s">
        <v>1139</v>
      </c>
      <c r="F264" s="16" t="s">
        <v>319</v>
      </c>
      <c r="G264" s="15" t="s">
        <v>584</v>
      </c>
      <c r="H264" s="15" t="s">
        <v>85</v>
      </c>
      <c r="I264" s="17" t="s">
        <v>330</v>
      </c>
      <c r="J264" s="245" cm="1">
        <f t="array" ref="J264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50842</v>
      </c>
      <c r="K264" s="18" t="s">
        <v>51</v>
      </c>
      <c r="L264" s="16" t="s">
        <v>326</v>
      </c>
      <c r="M264" s="148" t="s">
        <v>182</v>
      </c>
      <c r="N264" s="81" t="str">
        <f>_xlfn.XLOOKUP(Calculations[[#This Row],[For XLOOKUP]],Factors[For XLOOKUP],Factors[Factor],"")</f>
        <v>Σ.Ε. CO2 - Χώρας</v>
      </c>
      <c r="O264" s="81">
        <f>_xlfn.XLOOKUP(Calculations[[#This Row],[For XLOOKUP]],Factors[For XLOOKUP],Factors[Value],"")</f>
        <v>3.6319E-4</v>
      </c>
      <c r="P264" s="81" t="str">
        <f>_xlfn.XLOOKUP(Calculations[[#This Row],[For XLOOKUP]],Factors[For XLOOKUP],Factors[Units],"")</f>
        <v>tn CO2/kwh</v>
      </c>
      <c r="Q264" s="81" t="str">
        <f>_xlfn.XLOOKUP(Calculations[[#This Row],[For XLOOKUP]],Factors[For XLOOKUP],Factors[Source],"")</f>
        <v>ΔΑΠΕΕΠ 2024</v>
      </c>
      <c r="R264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18.46530598</v>
      </c>
      <c r="S264" s="81" t="str">
        <f>IF(LEFT(Calculations[[#This Row],[Emission Factor]],7)="Σ.Ε. CH",Calculations[[#This Row],[Value]]*Calculations[[#This Row],[Τιμή]],"-")</f>
        <v>-</v>
      </c>
      <c r="T26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4" s="81" t="str">
        <f>IF(LEFT(Calculations[[#This Row],[Emission Factor]],3)="GWP",Calculations[[#This Row],[Τιμή]],"-")</f>
        <v>-</v>
      </c>
      <c r="V264" s="81" t="str">
        <f>IF(OR(Calculations[[#This Row],[Emission Factor]]="Σ.Ε. CO₂ eq",Calculations[[#This Row],[Emission Factor]]="CO₂ eq"),Calculations[[#This Row],[Value]]*Calculations[[#This Row],[Τιμή]],"-")</f>
        <v>-</v>
      </c>
      <c r="W264" s="81">
        <f>IF(Calculations[[#This Row],[Πηγή εκπομπών]]="Electricity consumed in office buildings and projects - market based",Calculations[[#This Row],[t CO2]],"")</f>
        <v>18.46530598</v>
      </c>
      <c r="X26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65" spans="1:24" ht="15" hidden="1" thickTop="1">
      <c r="A265" s="15" t="s">
        <v>49</v>
      </c>
      <c r="B265" s="15" t="s">
        <v>49</v>
      </c>
      <c r="C265" s="16" t="s">
        <v>624</v>
      </c>
      <c r="D265" s="16" t="s">
        <v>895</v>
      </c>
      <c r="E265" s="16" t="s">
        <v>1134</v>
      </c>
      <c r="F265" s="16" t="s">
        <v>319</v>
      </c>
      <c r="G265" s="15" t="s">
        <v>584</v>
      </c>
      <c r="H265" s="15" t="s">
        <v>85</v>
      </c>
      <c r="I265" s="17" t="s">
        <v>330</v>
      </c>
      <c r="J265" s="245" cm="1">
        <f t="array" ref="J26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287309</v>
      </c>
      <c r="K265" s="18" t="s">
        <v>51</v>
      </c>
      <c r="L265" s="16" t="s">
        <v>1135</v>
      </c>
      <c r="M265" s="148" t="s">
        <v>1135</v>
      </c>
      <c r="N265" s="19" t="str">
        <f>_xlfn.XLOOKUP(Calculations[[#This Row],[For XLOOKUP]],Factors[For XLOOKUP],Factors[Factor],"")</f>
        <v>Σ.Ε. CO2 - Χώρας</v>
      </c>
      <c r="O265" s="19">
        <f>_xlfn.XLOOKUP(Calculations[[#This Row],[For XLOOKUP]],Factors[For XLOOKUP],Factors[Value],"")</f>
        <v>3.6443000000000001E-4</v>
      </c>
      <c r="P265" s="19" t="str">
        <f>_xlfn.XLOOKUP(Calculations[[#This Row],[For XLOOKUP]],Factors[For XLOOKUP],Factors[Units],"")</f>
        <v>tn CO2/kwh</v>
      </c>
      <c r="Q265" s="19" t="str">
        <f>_xlfn.XLOOKUP(Calculations[[#This Row],[For XLOOKUP]],Factors[For XLOOKUP],Factors[Source],"")</f>
        <v>ΔΑΠΕΕΠ 2025</v>
      </c>
      <c r="R26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104.70401887</v>
      </c>
      <c r="S265" s="19" t="str">
        <f>IF(LEFT(Calculations[[#This Row],[Emission Factor]],7)="Σ.Ε. CH",Calculations[[#This Row],[Value]]*Calculations[[#This Row],[Τιμή]],"-")</f>
        <v>-</v>
      </c>
      <c r="T26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5" s="19" t="str">
        <f>IF(LEFT(Calculations[[#This Row],[Emission Factor]],3)="GWP",Calculations[[#This Row],[Τιμή]],"-")</f>
        <v>-</v>
      </c>
      <c r="V265" s="19" t="str">
        <f>IF(OR(Calculations[[#This Row],[Emission Factor]]="Σ.Ε. CO₂ eq",Calculations[[#This Row],[Emission Factor]]="CO₂ eq"),Calculations[[#This Row],[Value]]*Calculations[[#This Row],[Τιμή]],"-")</f>
        <v>-</v>
      </c>
      <c r="W265" s="19">
        <f>IF(Calculations[[#This Row],[Πηγή εκπομπών]]="Electricity consumed in office buildings and projects - market based",Calculations[[#This Row],[t CO2]],"")</f>
        <v>104.70401887</v>
      </c>
      <c r="X26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66" spans="1:24" ht="15" hidden="1" thickTop="1">
      <c r="A266" s="15" t="s">
        <v>49</v>
      </c>
      <c r="B266" s="15" t="s">
        <v>49</v>
      </c>
      <c r="C266" s="16" t="s">
        <v>624</v>
      </c>
      <c r="D266" s="16" t="s">
        <v>895</v>
      </c>
      <c r="E266" s="16" t="s">
        <v>1138</v>
      </c>
      <c r="F266" s="77" t="s">
        <v>319</v>
      </c>
      <c r="G266" s="15" t="s">
        <v>584</v>
      </c>
      <c r="H266" s="15" t="s">
        <v>85</v>
      </c>
      <c r="I266" s="17" t="s">
        <v>330</v>
      </c>
      <c r="J266" s="245" cm="1">
        <f t="array" ref="J26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213387</v>
      </c>
      <c r="K266" s="18" t="s">
        <v>51</v>
      </c>
      <c r="L266" s="16" t="s">
        <v>323</v>
      </c>
      <c r="M266" s="148" t="s">
        <v>177</v>
      </c>
      <c r="N266" s="81" t="str">
        <f>_xlfn.XLOOKUP(Calculations[[#This Row],[For XLOOKUP]],Factors[For XLOOKUP],Factors[Factor],"")</f>
        <v>Σ.Ε. CO2 - Χώρας</v>
      </c>
      <c r="O266" s="81">
        <f>_xlfn.XLOOKUP(Calculations[[#This Row],[For XLOOKUP]],Factors[For XLOOKUP],Factors[Value],"")</f>
        <v>3.6357999999999996E-4</v>
      </c>
      <c r="P266" s="81" t="str">
        <f>_xlfn.XLOOKUP(Calculations[[#This Row],[For XLOOKUP]],Factors[For XLOOKUP],Factors[Units],"")</f>
        <v>tn CO2/kwh</v>
      </c>
      <c r="Q266" s="81" t="str">
        <f>_xlfn.XLOOKUP(Calculations[[#This Row],[For XLOOKUP]],Factors[For XLOOKUP],Factors[Source],"")</f>
        <v>ΔΑΠΕΕΠ 2024</v>
      </c>
      <c r="R266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77.583245459999986</v>
      </c>
      <c r="S266" s="81" t="str">
        <f>IF(LEFT(Calculations[[#This Row],[Emission Factor]],7)="Σ.Ε. CH",Calculations[[#This Row],[Value]]*Calculations[[#This Row],[Τιμή]],"-")</f>
        <v>-</v>
      </c>
      <c r="T26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6" s="81" t="str">
        <f>IF(LEFT(Calculations[[#This Row],[Emission Factor]],3)="GWP",Calculations[[#This Row],[Τιμή]],"-")</f>
        <v>-</v>
      </c>
      <c r="V266" s="81" t="str">
        <f>IF(OR(Calculations[[#This Row],[Emission Factor]]="Σ.Ε. CO₂ eq",Calculations[[#This Row],[Emission Factor]]="CO₂ eq"),Calculations[[#This Row],[Value]]*Calculations[[#This Row],[Τιμή]],"-")</f>
        <v>-</v>
      </c>
      <c r="W266" s="81">
        <f>IF(Calculations[[#This Row],[Πηγή εκπομπών]]="Electricity consumed in office buildings and projects - market based",Calculations[[#This Row],[t CO2]],"")</f>
        <v>77.583245459999986</v>
      </c>
      <c r="X26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67" spans="1:24" ht="15" hidden="1" thickTop="1">
      <c r="A267" s="15" t="s">
        <v>49</v>
      </c>
      <c r="B267" s="15" t="s">
        <v>49</v>
      </c>
      <c r="C267" s="16" t="s">
        <v>1152</v>
      </c>
      <c r="D267" s="16" t="s">
        <v>1144</v>
      </c>
      <c r="E267" s="16" t="s">
        <v>1143</v>
      </c>
      <c r="F267" s="11" t="s">
        <v>647</v>
      </c>
      <c r="G267" s="15" t="s">
        <v>584</v>
      </c>
      <c r="H267" s="15" t="s">
        <v>85</v>
      </c>
      <c r="I267" s="17" t="s">
        <v>330</v>
      </c>
      <c r="J267" s="245" cm="1">
        <f t="array" ref="J26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30749</v>
      </c>
      <c r="K267" s="18" t="s">
        <v>51</v>
      </c>
      <c r="L267" s="16" t="s">
        <v>1145</v>
      </c>
      <c r="M267" s="148" t="s">
        <v>1103</v>
      </c>
      <c r="N267" s="81" t="str">
        <f>_xlfn.XLOOKUP(Calculations[[#This Row],[For XLOOKUP]],Factors[For XLOOKUP],Factors[Factor],"")</f>
        <v>Σ.Ε. CO2 - Χώρας</v>
      </c>
      <c r="O267" s="81">
        <f>_xlfn.XLOOKUP(Calculations[[#This Row],[For XLOOKUP]],Factors[For XLOOKUP],Factors[Value],"")</f>
        <v>2.1253999999999999E-4</v>
      </c>
      <c r="P267" s="81" t="str">
        <f>_xlfn.XLOOKUP(Calculations[[#This Row],[For XLOOKUP]],Factors[For XLOOKUP],Factors[Units],"")</f>
        <v>tn CO2/kwh</v>
      </c>
      <c r="Q267" s="81" t="str">
        <f>_xlfn.XLOOKUP(Calculations[[#This Row],[For XLOOKUP]],Factors[For XLOOKUP],Factors[Source],"")</f>
        <v>AIB 2023</v>
      </c>
      <c r="R267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6.5353924599999997</v>
      </c>
      <c r="S267" s="81" t="str">
        <f>IF(LEFT(Calculations[[#This Row],[Emission Factor]],7)="Σ.Ε. CH",Calculations[[#This Row],[Value]]*Calculations[[#This Row],[Τιμή]],"-")</f>
        <v>-</v>
      </c>
      <c r="T26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7" s="81" t="str">
        <f>IF(LEFT(Calculations[[#This Row],[Emission Factor]],3)="GWP",Calculations[[#This Row],[Τιμή]],"-")</f>
        <v>-</v>
      </c>
      <c r="V267" s="81" t="str">
        <f>IF(OR(Calculations[[#This Row],[Emission Factor]]="Σ.Ε. CO₂ eq",Calculations[[#This Row],[Emission Factor]]="CO₂ eq"),Calculations[[#This Row],[Value]]*Calculations[[#This Row],[Τιμή]],"-")</f>
        <v>-</v>
      </c>
      <c r="W267" s="81">
        <f>IF(Calculations[[#This Row],[Πηγή εκπομπών]]="Electricity consumed in office buildings and projects - market based",Calculations[[#This Row],[t CO2]],"")</f>
        <v>6.5353924599999997</v>
      </c>
      <c r="X26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68" spans="1:24" ht="15" hidden="1" thickTop="1">
      <c r="A268" s="15" t="s">
        <v>49</v>
      </c>
      <c r="B268" s="15" t="s">
        <v>49</v>
      </c>
      <c r="C268" s="16" t="s">
        <v>624</v>
      </c>
      <c r="D268" s="16" t="s">
        <v>1144</v>
      </c>
      <c r="E268" s="16" t="s">
        <v>1146</v>
      </c>
      <c r="F268" s="209" t="s">
        <v>647</v>
      </c>
      <c r="G268" s="15" t="s">
        <v>584</v>
      </c>
      <c r="H268" s="15" t="s">
        <v>85</v>
      </c>
      <c r="I268" s="17" t="s">
        <v>330</v>
      </c>
      <c r="J268" s="245" cm="1">
        <f t="array" ref="J268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268292.27646533703</v>
      </c>
      <c r="K268" s="18" t="s">
        <v>51</v>
      </c>
      <c r="L268" s="16" t="s">
        <v>323</v>
      </c>
      <c r="M268" s="148" t="s">
        <v>177</v>
      </c>
      <c r="N268" s="81" t="str">
        <f>_xlfn.XLOOKUP(Calculations[[#This Row],[For XLOOKUP]],Factors[For XLOOKUP],Factors[Factor],"")</f>
        <v>Σ.Ε. CO2 - Χώρας</v>
      </c>
      <c r="O268" s="81">
        <f>_xlfn.XLOOKUP(Calculations[[#This Row],[For XLOOKUP]],Factors[For XLOOKUP],Factors[Value],"")</f>
        <v>3.6357999999999996E-4</v>
      </c>
      <c r="P268" s="81" t="str">
        <f>_xlfn.XLOOKUP(Calculations[[#This Row],[For XLOOKUP]],Factors[For XLOOKUP],Factors[Units],"")</f>
        <v>tn CO2/kwh</v>
      </c>
      <c r="Q268" s="81" t="str">
        <f>_xlfn.XLOOKUP(Calculations[[#This Row],[For XLOOKUP]],Factors[For XLOOKUP],Factors[Source],"")</f>
        <v>ΔΑΠΕΕΠ 2024</v>
      </c>
      <c r="R268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97.545705877267224</v>
      </c>
      <c r="S268" s="81" t="str">
        <f>IF(LEFT(Calculations[[#This Row],[Emission Factor]],7)="Σ.Ε. CH",Calculations[[#This Row],[Value]]*Calculations[[#This Row],[Τιμή]],"-")</f>
        <v>-</v>
      </c>
      <c r="T26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8" s="81" t="str">
        <f>IF(LEFT(Calculations[[#This Row],[Emission Factor]],3)="GWP",Calculations[[#This Row],[Τιμή]],"-")</f>
        <v>-</v>
      </c>
      <c r="V268" s="81" t="str">
        <f>IF(OR(Calculations[[#This Row],[Emission Factor]]="Σ.Ε. CO₂ eq",Calculations[[#This Row],[Emission Factor]]="CO₂ eq"),Calculations[[#This Row],[Value]]*Calculations[[#This Row],[Τιμή]],"-")</f>
        <v>-</v>
      </c>
      <c r="W268" s="81">
        <f>IF(Calculations[[#This Row],[Πηγή εκπομπών]]="Electricity consumed in office buildings and projects - market based",Calculations[[#This Row],[t CO2]],"")</f>
        <v>97.545705877267224</v>
      </c>
      <c r="X26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69" spans="1:24" ht="15" hidden="1" thickTop="1">
      <c r="A269" s="15" t="s">
        <v>49</v>
      </c>
      <c r="B269" s="15" t="s">
        <v>49</v>
      </c>
      <c r="C269" s="16" t="s">
        <v>624</v>
      </c>
      <c r="D269" s="16" t="s">
        <v>894</v>
      </c>
      <c r="E269" s="16"/>
      <c r="F269" s="16" t="s">
        <v>317</v>
      </c>
      <c r="G269" s="15" t="s">
        <v>584</v>
      </c>
      <c r="H269" s="15" t="s">
        <v>85</v>
      </c>
      <c r="I269" s="17" t="s">
        <v>330</v>
      </c>
      <c r="J269" s="245" cm="1">
        <f t="array" ref="J26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4057935.6300000004</v>
      </c>
      <c r="K269" s="18" t="s">
        <v>51</v>
      </c>
      <c r="L269" s="16" t="s">
        <v>323</v>
      </c>
      <c r="M269" s="148" t="s">
        <v>177</v>
      </c>
      <c r="N269" s="81" t="str">
        <f>_xlfn.XLOOKUP(Calculations[[#This Row],[For XLOOKUP]],Factors[For XLOOKUP],Factors[Factor],"")</f>
        <v>Σ.Ε. CO2 - Χώρας</v>
      </c>
      <c r="O269" s="81">
        <f>_xlfn.XLOOKUP(Calculations[[#This Row],[For XLOOKUP]],Factors[For XLOOKUP],Factors[Value],"")</f>
        <v>3.6357999999999996E-4</v>
      </c>
      <c r="P269" s="81" t="str">
        <f>_xlfn.XLOOKUP(Calculations[[#This Row],[For XLOOKUP]],Factors[For XLOOKUP],Factors[Units],"")</f>
        <v>tn CO2/kwh</v>
      </c>
      <c r="Q269" s="81" t="str">
        <f>_xlfn.XLOOKUP(Calculations[[#This Row],[For XLOOKUP]],Factors[For XLOOKUP],Factors[Source],"")</f>
        <v>ΔΑΠΕΕΠ 2024</v>
      </c>
      <c r="R269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1475.3842363553999</v>
      </c>
      <c r="S269" s="81" t="str">
        <f>IF(LEFT(Calculations[[#This Row],[Emission Factor]],7)="Σ.Ε. CH",Calculations[[#This Row],[Value]]*Calculations[[#This Row],[Τιμή]],"-")</f>
        <v>-</v>
      </c>
      <c r="T26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9" s="81" t="str">
        <f>IF(LEFT(Calculations[[#This Row],[Emission Factor]],3)="GWP",Calculations[[#This Row],[Τιμή]],"-")</f>
        <v>-</v>
      </c>
      <c r="V269" s="81" t="str">
        <f>IF(OR(Calculations[[#This Row],[Emission Factor]]="Σ.Ε. CO₂ eq",Calculations[[#This Row],[Emission Factor]]="CO₂ eq"),Calculations[[#This Row],[Value]]*Calculations[[#This Row],[Τιμή]],"-")</f>
        <v>-</v>
      </c>
      <c r="W269" s="81">
        <f>IF(Calculations[[#This Row],[Πηγή εκπομπών]]="Electricity consumed in office buildings and projects - market based",Calculations[[#This Row],[t CO2]],"")</f>
        <v>1475.3842363553999</v>
      </c>
      <c r="X26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70" spans="1:24" ht="15" hidden="1" thickTop="1">
      <c r="A270" s="15" t="s">
        <v>49</v>
      </c>
      <c r="B270" s="15" t="s">
        <v>49</v>
      </c>
      <c r="C270" s="16" t="s">
        <v>624</v>
      </c>
      <c r="D270" s="16" t="s">
        <v>894</v>
      </c>
      <c r="E270" s="16"/>
      <c r="F270" s="16" t="s">
        <v>317</v>
      </c>
      <c r="G270" s="15" t="s">
        <v>584</v>
      </c>
      <c r="H270" s="15" t="s">
        <v>85</v>
      </c>
      <c r="I270" s="17" t="s">
        <v>330</v>
      </c>
      <c r="J270" s="245" cm="1">
        <f t="array" ref="J27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16999901.854000002</v>
      </c>
      <c r="K270" s="18" t="s">
        <v>51</v>
      </c>
      <c r="L270" s="16" t="s">
        <v>326</v>
      </c>
      <c r="M270" s="148" t="s">
        <v>182</v>
      </c>
      <c r="N270" s="81" t="str">
        <f>_xlfn.XLOOKUP(Calculations[[#This Row],[For XLOOKUP]],Factors[For XLOOKUP],Factors[Factor],"")</f>
        <v>Σ.Ε. CO2 - Χώρας</v>
      </c>
      <c r="O270" s="81">
        <f>_xlfn.XLOOKUP(Calculations[[#This Row],[For XLOOKUP]],Factors[For XLOOKUP],Factors[Value],"")</f>
        <v>3.6319E-4</v>
      </c>
      <c r="P270" s="81" t="str">
        <f>_xlfn.XLOOKUP(Calculations[[#This Row],[For XLOOKUP]],Factors[For XLOOKUP],Factors[Units],"")</f>
        <v>tn CO2/kwh</v>
      </c>
      <c r="Q270" s="81" t="str">
        <f>_xlfn.XLOOKUP(Calculations[[#This Row],[For XLOOKUP]],Factors[For XLOOKUP],Factors[Source],"")</f>
        <v>ΔΑΠΕΕΠ 2024</v>
      </c>
      <c r="R270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6174.1943543542611</v>
      </c>
      <c r="S270" s="81" t="str">
        <f>IF(LEFT(Calculations[[#This Row],[Emission Factor]],7)="Σ.Ε. CH",Calculations[[#This Row],[Value]]*Calculations[[#This Row],[Τιμή]],"-")</f>
        <v>-</v>
      </c>
      <c r="T27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0" s="81" t="str">
        <f>IF(LEFT(Calculations[[#This Row],[Emission Factor]],3)="GWP",Calculations[[#This Row],[Τιμή]],"-")</f>
        <v>-</v>
      </c>
      <c r="V270" s="81" t="str">
        <f>IF(OR(Calculations[[#This Row],[Emission Factor]]="Σ.Ε. CO₂ eq",Calculations[[#This Row],[Emission Factor]]="CO₂ eq"),Calculations[[#This Row],[Value]]*Calculations[[#This Row],[Τιμή]],"-")</f>
        <v>-</v>
      </c>
      <c r="W270" s="81">
        <f>IF(Calculations[[#This Row],[Πηγή εκπομπών]]="Electricity consumed in office buildings and projects - market based",Calculations[[#This Row],[t CO2]],"")</f>
        <v>6174.1943543542611</v>
      </c>
      <c r="X27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71" spans="1:24" ht="15" hidden="1" thickTop="1">
      <c r="A271" s="15" t="s">
        <v>49</v>
      </c>
      <c r="B271" s="15" t="s">
        <v>49</v>
      </c>
      <c r="C271" s="16" t="s">
        <v>624</v>
      </c>
      <c r="D271" s="16" t="s">
        <v>894</v>
      </c>
      <c r="E271" s="16"/>
      <c r="F271" s="16" t="s">
        <v>317</v>
      </c>
      <c r="G271" s="15" t="s">
        <v>584</v>
      </c>
      <c r="H271" s="15" t="s">
        <v>85</v>
      </c>
      <c r="I271" s="17" t="s">
        <v>330</v>
      </c>
      <c r="J271" s="245" cm="1">
        <f t="array" ref="J271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262193</v>
      </c>
      <c r="K271" s="18" t="s">
        <v>51</v>
      </c>
      <c r="L271" s="16" t="s">
        <v>324</v>
      </c>
      <c r="M271" s="148" t="s">
        <v>181</v>
      </c>
      <c r="N271" s="81" t="str">
        <f>_xlfn.XLOOKUP(Calculations[[#This Row],[For XLOOKUP]],Factors[For XLOOKUP],Factors[Factor],"")</f>
        <v>Σ.Ε. CO2 - Χώρας</v>
      </c>
      <c r="O271" s="81">
        <f>_xlfn.XLOOKUP(Calculations[[#This Row],[For XLOOKUP]],Factors[For XLOOKUP],Factors[Value],"")</f>
        <v>3.9882999999999997E-4</v>
      </c>
      <c r="P271" s="81" t="str">
        <f>_xlfn.XLOOKUP(Calculations[[#This Row],[For XLOOKUP]],Factors[For XLOOKUP],Factors[Units],"")</f>
        <v>tn CO2/kwh</v>
      </c>
      <c r="Q271" s="81" t="str">
        <f>_xlfn.XLOOKUP(Calculations[[#This Row],[For XLOOKUP]],Factors[For XLOOKUP],Factors[Source],"")</f>
        <v>ΔΑΠΕΕΠ 2024</v>
      </c>
      <c r="R271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104.57043419</v>
      </c>
      <c r="S271" s="81" t="str">
        <f>IF(LEFT(Calculations[[#This Row],[Emission Factor]],7)="Σ.Ε. CH",Calculations[[#This Row],[Value]]*Calculations[[#This Row],[Τιμή]],"-")</f>
        <v>-</v>
      </c>
      <c r="T27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1" s="81" t="str">
        <f>IF(LEFT(Calculations[[#This Row],[Emission Factor]],3)="GWP",Calculations[[#This Row],[Τιμή]],"-")</f>
        <v>-</v>
      </c>
      <c r="V271" s="81" t="str">
        <f>IF(OR(Calculations[[#This Row],[Emission Factor]]="Σ.Ε. CO₂ eq",Calculations[[#This Row],[Emission Factor]]="CO₂ eq"),Calculations[[#This Row],[Value]]*Calculations[[#This Row],[Τιμή]],"-")</f>
        <v>-</v>
      </c>
      <c r="W271" s="81">
        <f>IF(Calculations[[#This Row],[Πηγή εκπομπών]]="Electricity consumed in office buildings and projects - market based",Calculations[[#This Row],[t CO2]],"")</f>
        <v>104.57043419</v>
      </c>
      <c r="X27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72" spans="1:24" ht="15" hidden="1" thickTop="1">
      <c r="A272" s="15" t="s">
        <v>49</v>
      </c>
      <c r="B272" s="15" t="s">
        <v>49</v>
      </c>
      <c r="C272" s="16" t="s">
        <v>624</v>
      </c>
      <c r="D272" s="16" t="s">
        <v>894</v>
      </c>
      <c r="E272" s="16"/>
      <c r="F272" s="16" t="s">
        <v>317</v>
      </c>
      <c r="G272" s="15" t="s">
        <v>584</v>
      </c>
      <c r="H272" s="15" t="s">
        <v>85</v>
      </c>
      <c r="I272" s="17" t="s">
        <v>330</v>
      </c>
      <c r="J272" s="245" cm="1">
        <f t="array" ref="J27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2124697.7999999998</v>
      </c>
      <c r="K272" s="18" t="s">
        <v>51</v>
      </c>
      <c r="L272" s="16" t="s">
        <v>325</v>
      </c>
      <c r="M272" s="148" t="s">
        <v>180</v>
      </c>
      <c r="N272" s="81" t="str">
        <f>_xlfn.XLOOKUP(Calculations[[#This Row],[For XLOOKUP]],Factors[For XLOOKUP],Factors[Factor],"")</f>
        <v>Σ.Ε. CO2 - Χώρας</v>
      </c>
      <c r="O272" s="81">
        <f>_xlfn.XLOOKUP(Calculations[[#This Row],[For XLOOKUP]],Factors[For XLOOKUP],Factors[Value],"")</f>
        <v>3.6382E-4</v>
      </c>
      <c r="P272" s="81" t="str">
        <f>_xlfn.XLOOKUP(Calculations[[#This Row],[For XLOOKUP]],Factors[For XLOOKUP],Factors[Units],"")</f>
        <v>tn CO2/kwh</v>
      </c>
      <c r="Q272" s="81" t="str">
        <f>_xlfn.XLOOKUP(Calculations[[#This Row],[For XLOOKUP]],Factors[For XLOOKUP],Factors[Source],"")</f>
        <v>ΔΑΠΕΕΠ 2024</v>
      </c>
      <c r="R272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773.00755359599998</v>
      </c>
      <c r="S272" s="81" t="str">
        <f>IF(LEFT(Calculations[[#This Row],[Emission Factor]],7)="Σ.Ε. CH",Calculations[[#This Row],[Value]]*Calculations[[#This Row],[Τιμή]],"-")</f>
        <v>-</v>
      </c>
      <c r="T27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2" s="81" t="str">
        <f>IF(LEFT(Calculations[[#This Row],[Emission Factor]],3)="GWP",Calculations[[#This Row],[Τιμή]],"-")</f>
        <v>-</v>
      </c>
      <c r="V272" s="81" t="str">
        <f>IF(OR(Calculations[[#This Row],[Emission Factor]]="Σ.Ε. CO₂ eq",Calculations[[#This Row],[Emission Factor]]="CO₂ eq"),Calculations[[#This Row],[Value]]*Calculations[[#This Row],[Τιμή]],"-")</f>
        <v>-</v>
      </c>
      <c r="W272" s="81">
        <f>IF(Calculations[[#This Row],[Πηγή εκπομπών]]="Electricity consumed in office buildings and projects - market based",Calculations[[#This Row],[t CO2]],"")</f>
        <v>773.00755359599998</v>
      </c>
      <c r="X27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73" spans="1:24" ht="15" hidden="1" thickTop="1">
      <c r="A273" s="15" t="s">
        <v>49</v>
      </c>
      <c r="B273" s="15" t="s">
        <v>49</v>
      </c>
      <c r="C273" s="16" t="s">
        <v>327</v>
      </c>
      <c r="D273" s="16" t="s">
        <v>894</v>
      </c>
      <c r="E273" s="16" t="s">
        <v>1187</v>
      </c>
      <c r="F273" s="16" t="s">
        <v>317</v>
      </c>
      <c r="G273" s="15" t="s">
        <v>584</v>
      </c>
      <c r="H273" s="15" t="s">
        <v>85</v>
      </c>
      <c r="I273" s="17" t="s">
        <v>330</v>
      </c>
      <c r="J273" s="245" cm="1">
        <f t="array" ref="J27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10571303</v>
      </c>
      <c r="K273" s="18" t="s">
        <v>51</v>
      </c>
      <c r="L273" s="16" t="s">
        <v>1147</v>
      </c>
      <c r="M273" s="148" t="s">
        <v>314</v>
      </c>
      <c r="N273" s="81" t="str">
        <f>_xlfn.XLOOKUP(Calculations[[#This Row],[For XLOOKUP]],Factors[For XLOOKUP],Factors[Factor],"")</f>
        <v>Σ.Ε. CO2 - Χώρας</v>
      </c>
      <c r="O273" s="81">
        <f>_xlfn.XLOOKUP(Calculations[[#This Row],[For XLOOKUP]],Factors[For XLOOKUP],Factors[Value],"")</f>
        <v>5.9503403308806086E-4</v>
      </c>
      <c r="P273" s="81" t="str">
        <f>_xlfn.XLOOKUP(Calculations[[#This Row],[For XLOOKUP]],Factors[For XLOOKUP],Factors[Units],"")</f>
        <v>tn CO2/kwh</v>
      </c>
      <c r="Q273" s="81" t="str">
        <f>_xlfn.XLOOKUP(Calculations[[#This Row],[For XLOOKUP]],Factors[For XLOOKUP],Factors[Source],"")</f>
        <v>AIB 2023</v>
      </c>
      <c r="R273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6290.2850590859171</v>
      </c>
      <c r="S273" s="81" t="str">
        <f>IF(LEFT(Calculations[[#This Row],[Emission Factor]],7)="Σ.Ε. CH",Calculations[[#This Row],[Value]]*Calculations[[#This Row],[Τιμή]],"-")</f>
        <v>-</v>
      </c>
      <c r="T27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3" s="81" t="str">
        <f>IF(LEFT(Calculations[[#This Row],[Emission Factor]],3)="GWP",Calculations[[#This Row],[Τιμή]],"-")</f>
        <v>-</v>
      </c>
      <c r="V273" s="81" t="str">
        <f>IF(OR(Calculations[[#This Row],[Emission Factor]]="Σ.Ε. CO₂ eq",Calculations[[#This Row],[Emission Factor]]="CO₂ eq"),Calculations[[#This Row],[Value]]*Calculations[[#This Row],[Τιμή]],"-")</f>
        <v>-</v>
      </c>
      <c r="W273" s="81">
        <f>IF(Calculations[[#This Row],[Πηγή εκπομπών]]="Electricity consumed in office buildings and projects - market based",Calculations[[#This Row],[t CO2]],"")</f>
        <v>6290.2850590859171</v>
      </c>
      <c r="X27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74" spans="1:24" ht="15" hidden="1" thickTop="1">
      <c r="A274" s="15" t="s">
        <v>49</v>
      </c>
      <c r="B274" s="15" t="s">
        <v>49</v>
      </c>
      <c r="C274" s="16" t="s">
        <v>328</v>
      </c>
      <c r="D274" s="16" t="s">
        <v>894</v>
      </c>
      <c r="E274" s="16" t="s">
        <v>1188</v>
      </c>
      <c r="F274" s="16" t="s">
        <v>317</v>
      </c>
      <c r="G274" s="15" t="s">
        <v>584</v>
      </c>
      <c r="H274" s="15" t="s">
        <v>85</v>
      </c>
      <c r="I274" s="17" t="s">
        <v>330</v>
      </c>
      <c r="J274" s="245" cm="1">
        <f t="array" ref="J274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32192</v>
      </c>
      <c r="K274" s="18" t="s">
        <v>51</v>
      </c>
      <c r="L274" s="16" t="s">
        <v>1148</v>
      </c>
      <c r="M274" s="148" t="s">
        <v>313</v>
      </c>
      <c r="N274" s="81" t="str">
        <f>_xlfn.XLOOKUP(Calculations[[#This Row],[For XLOOKUP]],Factors[For XLOOKUP],Factors[Factor],"")</f>
        <v>Σ.Ε. CO2 - Χώρας</v>
      </c>
      <c r="O274" s="81">
        <f>_xlfn.XLOOKUP(Calculations[[#This Row],[For XLOOKUP]],Factors[For XLOOKUP],Factors[Value],"")</f>
        <v>7.199030875218636E-4</v>
      </c>
      <c r="P274" s="81" t="str">
        <f>_xlfn.XLOOKUP(Calculations[[#This Row],[For XLOOKUP]],Factors[For XLOOKUP],Factors[Units],"")</f>
        <v>tn CO2/kwh</v>
      </c>
      <c r="Q274" s="81" t="str">
        <f>_xlfn.XLOOKUP(Calculations[[#This Row],[For XLOOKUP]],Factors[For XLOOKUP],Factors[Source],"")</f>
        <v>AIB 2023</v>
      </c>
      <c r="R274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23.175120193503833</v>
      </c>
      <c r="S274" s="81" t="str">
        <f>IF(LEFT(Calculations[[#This Row],[Emission Factor]],7)="Σ.Ε. CH",Calculations[[#This Row],[Value]]*Calculations[[#This Row],[Τιμή]],"-")</f>
        <v>-</v>
      </c>
      <c r="T27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4" s="81" t="str">
        <f>IF(LEFT(Calculations[[#This Row],[Emission Factor]],3)="GWP",Calculations[[#This Row],[Τιμή]],"-")</f>
        <v>-</v>
      </c>
      <c r="V274" s="81" t="str">
        <f>IF(OR(Calculations[[#This Row],[Emission Factor]]="Σ.Ε. CO₂ eq",Calculations[[#This Row],[Emission Factor]]="CO₂ eq"),Calculations[[#This Row],[Value]]*Calculations[[#This Row],[Τιμή]],"-")</f>
        <v>-</v>
      </c>
      <c r="W274" s="81">
        <f>IF(Calculations[[#This Row],[Πηγή εκπομπών]]="Electricity consumed in office buildings and projects - market based",Calculations[[#This Row],[t CO2]],"")</f>
        <v>23.175120193503833</v>
      </c>
      <c r="X27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75" spans="1:24" ht="15" hidden="1" thickTop="1">
      <c r="A275" s="15" t="s">
        <v>49</v>
      </c>
      <c r="B275" s="15" t="s">
        <v>49</v>
      </c>
      <c r="C275" s="16" t="s">
        <v>624</v>
      </c>
      <c r="D275" s="16" t="s">
        <v>897</v>
      </c>
      <c r="E275" s="16" t="s">
        <v>1149</v>
      </c>
      <c r="F275" s="16" t="s">
        <v>320</v>
      </c>
      <c r="G275" s="15" t="s">
        <v>584</v>
      </c>
      <c r="H275" s="15" t="s">
        <v>85</v>
      </c>
      <c r="I275" s="17" t="s">
        <v>330</v>
      </c>
      <c r="J275" s="245" cm="1">
        <f t="array" ref="J27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102</v>
      </c>
      <c r="K275" s="18" t="s">
        <v>51</v>
      </c>
      <c r="L275" s="16" t="s">
        <v>326</v>
      </c>
      <c r="M275" s="148" t="s">
        <v>182</v>
      </c>
      <c r="N275" s="19" t="str">
        <f>_xlfn.XLOOKUP(Calculations[[#This Row],[For XLOOKUP]],Factors[For XLOOKUP],Factors[Factor],"")</f>
        <v>Σ.Ε. CO2 - Χώρας</v>
      </c>
      <c r="O275" s="19">
        <f>_xlfn.XLOOKUP(Calculations[[#This Row],[For XLOOKUP]],Factors[For XLOOKUP],Factors[Value],"")</f>
        <v>3.6319E-4</v>
      </c>
      <c r="P275" s="19" t="str">
        <f>_xlfn.XLOOKUP(Calculations[[#This Row],[For XLOOKUP]],Factors[For XLOOKUP],Factors[Units],"")</f>
        <v>tn CO2/kwh</v>
      </c>
      <c r="Q275" s="19" t="str">
        <f>_xlfn.XLOOKUP(Calculations[[#This Row],[For XLOOKUP]],Factors[For XLOOKUP],Factors[Source],"")</f>
        <v>ΔΑΠΕΕΠ 2024</v>
      </c>
      <c r="R27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3.7045380000000003E-2</v>
      </c>
      <c r="S275" s="19" t="str">
        <f>IF(LEFT(Calculations[[#This Row],[Emission Factor]],7)="Σ.Ε. CH",Calculations[[#This Row],[Value]]*Calculations[[#This Row],[Τιμή]],"-")</f>
        <v>-</v>
      </c>
      <c r="T27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5" s="19" t="str">
        <f>IF(LEFT(Calculations[[#This Row],[Emission Factor]],3)="GWP",Calculations[[#This Row],[Τιμή]],"-")</f>
        <v>-</v>
      </c>
      <c r="V275" s="19" t="str">
        <f>IF(OR(Calculations[[#This Row],[Emission Factor]]="Σ.Ε. CO₂ eq",Calculations[[#This Row],[Emission Factor]]="CO₂ eq"),Calculations[[#This Row],[Value]]*Calculations[[#This Row],[Τιμή]],"-")</f>
        <v>-</v>
      </c>
      <c r="W275" s="19">
        <f>IF(Calculations[[#This Row],[Πηγή εκπομπών]]="Electricity consumed in office buildings and projects - market based",Calculations[[#This Row],[t CO2]],"")</f>
        <v>3.7045380000000003E-2</v>
      </c>
      <c r="X27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76" spans="1:24" ht="15" hidden="1" thickTop="1">
      <c r="A276" s="15" t="s">
        <v>49</v>
      </c>
      <c r="B276" s="15" t="s">
        <v>49</v>
      </c>
      <c r="C276" s="16" t="s">
        <v>624</v>
      </c>
      <c r="D276" s="16" t="s">
        <v>897</v>
      </c>
      <c r="E276" s="16" t="s">
        <v>1150</v>
      </c>
      <c r="F276" s="16" t="s">
        <v>320</v>
      </c>
      <c r="G276" s="15" t="s">
        <v>584</v>
      </c>
      <c r="H276" s="15" t="s">
        <v>85</v>
      </c>
      <c r="I276" s="17" t="s">
        <v>330</v>
      </c>
      <c r="J276" s="245" cm="1">
        <f t="array" ref="J27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30291.9517989251</v>
      </c>
      <c r="K276" s="18" t="s">
        <v>51</v>
      </c>
      <c r="L276" s="16" t="s">
        <v>323</v>
      </c>
      <c r="M276" s="148" t="s">
        <v>177</v>
      </c>
      <c r="N276" s="81" t="str">
        <f>_xlfn.XLOOKUP(Calculations[[#This Row],[For XLOOKUP]],Factors[For XLOOKUP],Factors[Factor],"")</f>
        <v>Σ.Ε. CO2 - Χώρας</v>
      </c>
      <c r="O276" s="81">
        <f>_xlfn.XLOOKUP(Calculations[[#This Row],[For XLOOKUP]],Factors[For XLOOKUP],Factors[Value],"")</f>
        <v>3.6357999999999996E-4</v>
      </c>
      <c r="P276" s="81" t="str">
        <f>_xlfn.XLOOKUP(Calculations[[#This Row],[For XLOOKUP]],Factors[For XLOOKUP],Factors[Units],"")</f>
        <v>tn CO2/kwh</v>
      </c>
      <c r="Q276" s="81" t="str">
        <f>_xlfn.XLOOKUP(Calculations[[#This Row],[For XLOOKUP]],Factors[For XLOOKUP],Factors[Source],"")</f>
        <v>ΔΑΠΕΕΠ 2024</v>
      </c>
      <c r="R276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11.013547835053187</v>
      </c>
      <c r="S276" s="81" t="str">
        <f>IF(LEFT(Calculations[[#This Row],[Emission Factor]],7)="Σ.Ε. CH",Calculations[[#This Row],[Value]]*Calculations[[#This Row],[Τιμή]],"-")</f>
        <v>-</v>
      </c>
      <c r="T27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6" s="81" t="str">
        <f>IF(LEFT(Calculations[[#This Row],[Emission Factor]],3)="GWP",Calculations[[#This Row],[Τιμή]],"-")</f>
        <v>-</v>
      </c>
      <c r="V276" s="81" t="str">
        <f>IF(OR(Calculations[[#This Row],[Emission Factor]]="Σ.Ε. CO₂ eq",Calculations[[#This Row],[Emission Factor]]="CO₂ eq"),Calculations[[#This Row],[Value]]*Calculations[[#This Row],[Τιμή]],"-")</f>
        <v>-</v>
      </c>
      <c r="W276" s="81">
        <f>IF(Calculations[[#This Row],[Πηγή εκπομπών]]="Electricity consumed in office buildings and projects - market based",Calculations[[#This Row],[t CO2]],"")</f>
        <v>11.013547835053187</v>
      </c>
      <c r="X27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77" spans="1:24" ht="15" hidden="1" thickTop="1">
      <c r="A277" s="15" t="s">
        <v>49</v>
      </c>
      <c r="B277" s="15" t="s">
        <v>49</v>
      </c>
      <c r="C277" s="16" t="s">
        <v>624</v>
      </c>
      <c r="D277" s="16" t="s">
        <v>897</v>
      </c>
      <c r="E277" s="16" t="s">
        <v>1151</v>
      </c>
      <c r="F277" s="16" t="s">
        <v>320</v>
      </c>
      <c r="G277" s="15" t="s">
        <v>584</v>
      </c>
      <c r="H277" s="15" t="s">
        <v>85</v>
      </c>
      <c r="I277" s="17" t="s">
        <v>330</v>
      </c>
      <c r="J277" s="245" cm="1">
        <f t="array" ref="J27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97634.4</v>
      </c>
      <c r="K277" s="18" t="s">
        <v>51</v>
      </c>
      <c r="L277" s="94" t="s">
        <v>323</v>
      </c>
      <c r="M277" s="148" t="s">
        <v>177</v>
      </c>
      <c r="N277" s="19" t="str">
        <f>_xlfn.XLOOKUP(Calculations[[#This Row],[For XLOOKUP]],Factors[For XLOOKUP],Factors[Factor],"")</f>
        <v>Σ.Ε. CO2 - Χώρας</v>
      </c>
      <c r="O277" s="19">
        <f>_xlfn.XLOOKUP(Calculations[[#This Row],[For XLOOKUP]],Factors[For XLOOKUP],Factors[Value],"")</f>
        <v>3.6357999999999996E-4</v>
      </c>
      <c r="P277" s="19" t="str">
        <f>_xlfn.XLOOKUP(Calculations[[#This Row],[For XLOOKUP]],Factors[For XLOOKUP],Factors[Units],"")</f>
        <v>tn CO2/kwh</v>
      </c>
      <c r="Q277" s="19" t="str">
        <f>_xlfn.XLOOKUP(Calculations[[#This Row],[For XLOOKUP]],Factors[For XLOOKUP],Factors[Source],"")</f>
        <v>ΔΑΠΕΕΠ 2024</v>
      </c>
      <c r="R27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35.49791515199999</v>
      </c>
      <c r="S277" s="19" t="str">
        <f>IF(LEFT(Calculations[[#This Row],[Emission Factor]],7)="Σ.Ε. CH",Calculations[[#This Row],[Value]]*Calculations[[#This Row],[Τιμή]],"-")</f>
        <v>-</v>
      </c>
      <c r="T27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7" s="19" t="str">
        <f>IF(LEFT(Calculations[[#This Row],[Emission Factor]],3)="GWP",Calculations[[#This Row],[Τιμή]],"-")</f>
        <v>-</v>
      </c>
      <c r="V277" s="19" t="str">
        <f>IF(OR(Calculations[[#This Row],[Emission Factor]]="Σ.Ε. CO₂ eq",Calculations[[#This Row],[Emission Factor]]="CO₂ eq"),Calculations[[#This Row],[Value]]*Calculations[[#This Row],[Τιμή]],"-")</f>
        <v>-</v>
      </c>
      <c r="W277" s="19">
        <f>IF(Calculations[[#This Row],[Πηγή εκπομπών]]="Electricity consumed in office buildings and projects - market based",Calculations[[#This Row],[t CO2]],"")</f>
        <v>35.49791515199999</v>
      </c>
      <c r="X27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278" spans="1:24" ht="29.4" hidden="1" thickTop="1">
      <c r="A278" s="15" t="s">
        <v>350</v>
      </c>
      <c r="B278" s="15" t="s">
        <v>351</v>
      </c>
      <c r="C278" s="16" t="s">
        <v>624</v>
      </c>
      <c r="D278" s="16" t="s">
        <v>1144</v>
      </c>
      <c r="E278" s="16" t="s">
        <v>1158</v>
      </c>
      <c r="F278" s="209" t="s">
        <v>647</v>
      </c>
      <c r="G278" s="16" t="s">
        <v>585</v>
      </c>
      <c r="H278" s="15" t="s">
        <v>347</v>
      </c>
      <c r="I278" s="89" t="s">
        <v>347</v>
      </c>
      <c r="J278" s="79">
        <v>3700</v>
      </c>
      <c r="K278" s="18" t="s">
        <v>1157</v>
      </c>
      <c r="L278" s="94" t="s">
        <v>363</v>
      </c>
      <c r="M278" s="148" t="s">
        <v>474</v>
      </c>
      <c r="N278" s="81" t="str">
        <f>_xlfn.XLOOKUP(Calculations[[#This Row],[For XLOOKUP]],Factors[For XLOOKUP],Factors[Factor],"")</f>
        <v>Σ.Ε. CO₂ eq</v>
      </c>
      <c r="O278" s="81">
        <f>_xlfn.XLOOKUP(Calculations[[#This Row],[For XLOOKUP]],Factors[For XLOOKUP],Factors[Value],"")</f>
        <v>1.1819500000000002E-4</v>
      </c>
      <c r="P278" s="81" t="str">
        <f>_xlfn.XLOOKUP(Calculations[[#This Row],[For XLOOKUP]],Factors[For XLOOKUP],Factors[Units],"")</f>
        <v>tn CO2 eq/ €</v>
      </c>
      <c r="Q278" s="19" t="str">
        <f>_xlfn.XLOOKUP(Calculations[[#This Row],[For XLOOKUP]],Factors[For XLOOKUP],Factors[Source],"")</f>
        <v>BEIS 2021</v>
      </c>
      <c r="R27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78" s="81" t="str">
        <f>IF(LEFT(Calculations[[#This Row],[Emission Factor]],7)="Σ.Ε. CH",Calculations[[#This Row],[Value]]*Calculations[[#This Row],[Τιμή]],"-")</f>
        <v>-</v>
      </c>
      <c r="T27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8" s="81" t="str">
        <f>IF(LEFT(Calculations[[#This Row],[Emission Factor]],3)="GWP",Calculations[[#This Row],[Τιμή]],"-")</f>
        <v>-</v>
      </c>
      <c r="V278" s="81">
        <f>IF(OR(Calculations[[#This Row],[Emission Factor]]="Σ.Ε. CO₂ eq",Calculations[[#This Row],[Emission Factor]]="CO₂ eq"),Calculations[[#This Row],[Value]]*Calculations[[#This Row],[Τιμή]],"-")</f>
        <v>0.43732150000000009</v>
      </c>
      <c r="W278" s="81" t="str">
        <f>IF(Calculations[[#This Row],[Πηγή εκπομπών]]="Electricity consumed in office buildings and projects - market based",Calculations[[#This Row],[t CO2]],"")</f>
        <v/>
      </c>
      <c r="X27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0.43732150000000009</v>
      </c>
    </row>
    <row r="279" spans="1:24" ht="29.4" hidden="1" thickTop="1">
      <c r="A279" s="15" t="s">
        <v>350</v>
      </c>
      <c r="B279" s="15" t="s">
        <v>351</v>
      </c>
      <c r="C279" s="16" t="s">
        <v>624</v>
      </c>
      <c r="D279" s="16" t="s">
        <v>1144</v>
      </c>
      <c r="E279" s="16" t="s">
        <v>1158</v>
      </c>
      <c r="F279" s="209" t="s">
        <v>647</v>
      </c>
      <c r="G279" s="16" t="s">
        <v>585</v>
      </c>
      <c r="H279" s="15" t="s">
        <v>347</v>
      </c>
      <c r="I279" s="89" t="s">
        <v>347</v>
      </c>
      <c r="J279" s="79">
        <v>113.25</v>
      </c>
      <c r="K279" s="18" t="s">
        <v>1157</v>
      </c>
      <c r="L279" s="94" t="s">
        <v>461</v>
      </c>
      <c r="M279" s="148" t="s">
        <v>572</v>
      </c>
      <c r="N279" s="81" t="str">
        <f>_xlfn.XLOOKUP(Calculations[[#This Row],[For XLOOKUP]],Factors[For XLOOKUP],Factors[Factor],"")</f>
        <v>Σ.Ε. CO₂ eq</v>
      </c>
      <c r="O279" s="81">
        <f>_xlfn.XLOOKUP(Calculations[[#This Row],[For XLOOKUP]],Factors[For XLOOKUP],Factors[Value],"")</f>
        <v>6.2126999999999997E-5</v>
      </c>
      <c r="P279" s="81" t="str">
        <f>_xlfn.XLOOKUP(Calculations[[#This Row],[For XLOOKUP]],Factors[For XLOOKUP],Factors[Units],"")</f>
        <v>tn CO2 eq/ €</v>
      </c>
      <c r="Q279" s="19" t="str">
        <f>_xlfn.XLOOKUP(Calculations[[#This Row],[For XLOOKUP]],Factors[For XLOOKUP],Factors[Source],"")</f>
        <v>EPA 2022</v>
      </c>
      <c r="R27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79" s="81" t="str">
        <f>IF(LEFT(Calculations[[#This Row],[Emission Factor]],7)="Σ.Ε. CH",Calculations[[#This Row],[Value]]*Calculations[[#This Row],[Τιμή]],"-")</f>
        <v>-</v>
      </c>
      <c r="T27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9" s="81" t="str">
        <f>IF(LEFT(Calculations[[#This Row],[Emission Factor]],3)="GWP",Calculations[[#This Row],[Τιμή]],"-")</f>
        <v>-</v>
      </c>
      <c r="V279" s="81">
        <f>IF(OR(Calculations[[#This Row],[Emission Factor]]="Σ.Ε. CO₂ eq",Calculations[[#This Row],[Emission Factor]]="CO₂ eq"),Calculations[[#This Row],[Value]]*Calculations[[#This Row],[Τιμή]],"-")</f>
        <v>7.0358827499999999E-3</v>
      </c>
      <c r="W279" s="81" t="str">
        <f>IF(Calculations[[#This Row],[Πηγή εκπομπών]]="Electricity consumed in office buildings and projects - market based",Calculations[[#This Row],[t CO2]],"")</f>
        <v/>
      </c>
      <c r="X27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7.0358827499999999E-3</v>
      </c>
    </row>
    <row r="280" spans="1:24" ht="29.4" hidden="1" thickTop="1">
      <c r="A280" s="15" t="s">
        <v>350</v>
      </c>
      <c r="B280" s="15" t="s">
        <v>351</v>
      </c>
      <c r="C280" s="16" t="s">
        <v>624</v>
      </c>
      <c r="D280" s="16" t="s">
        <v>1144</v>
      </c>
      <c r="E280" s="16" t="s">
        <v>1158</v>
      </c>
      <c r="F280" s="209" t="s">
        <v>647</v>
      </c>
      <c r="G280" s="16" t="s">
        <v>585</v>
      </c>
      <c r="H280" s="15" t="s">
        <v>347</v>
      </c>
      <c r="I280" s="89" t="s">
        <v>347</v>
      </c>
      <c r="J280" s="79">
        <v>370</v>
      </c>
      <c r="K280" s="18" t="s">
        <v>1157</v>
      </c>
      <c r="L280" s="94" t="s">
        <v>454</v>
      </c>
      <c r="M280" s="148" t="s">
        <v>565</v>
      </c>
      <c r="N280" s="19" t="str">
        <f>_xlfn.XLOOKUP(Calculations[[#This Row],[For XLOOKUP]],Factors[For XLOOKUP],Factors[Factor],"")</f>
        <v>Σ.Ε. CO₂ eq</v>
      </c>
      <c r="O280" s="19">
        <f>_xlfn.XLOOKUP(Calculations[[#This Row],[For XLOOKUP]],Factors[For XLOOKUP],Factors[Value],"")</f>
        <v>1.3478399999999999E-4</v>
      </c>
      <c r="P280" s="19" t="str">
        <f>_xlfn.XLOOKUP(Calculations[[#This Row],[For XLOOKUP]],Factors[For XLOOKUP],Factors[Units],"")</f>
        <v>tn CO2 eq/ €</v>
      </c>
      <c r="Q280" s="19" t="str">
        <f>_xlfn.XLOOKUP(Calculations[[#This Row],[For XLOOKUP]],Factors[For XLOOKUP],Factors[Source],"")</f>
        <v>EPA 2022</v>
      </c>
      <c r="R28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0" s="19" t="str">
        <f>IF(LEFT(Calculations[[#This Row],[Emission Factor]],7)="Σ.Ε. CH",Calculations[[#This Row],[Value]]*Calculations[[#This Row],[Τιμή]],"-")</f>
        <v>-</v>
      </c>
      <c r="T28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0" s="19" t="str">
        <f>IF(LEFT(Calculations[[#This Row],[Emission Factor]],3)="GWP",Calculations[[#This Row],[Τιμή]],"-")</f>
        <v>-</v>
      </c>
      <c r="V280" s="19">
        <f>IF(OR(Calculations[[#This Row],[Emission Factor]]="Σ.Ε. CO₂ eq",Calculations[[#This Row],[Emission Factor]]="CO₂ eq"),Calculations[[#This Row],[Value]]*Calculations[[#This Row],[Τιμή]],"-")</f>
        <v>4.9870079999999997E-2</v>
      </c>
      <c r="W280" s="19" t="str">
        <f>IF(Calculations[[#This Row],[Πηγή εκπομπών]]="Electricity consumed in office buildings and projects - market based",Calculations[[#This Row],[t CO2]],"")</f>
        <v/>
      </c>
      <c r="X28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4.9870079999999997E-2</v>
      </c>
    </row>
    <row r="281" spans="1:24" ht="29.4" hidden="1" thickTop="1">
      <c r="A281" s="15" t="s">
        <v>350</v>
      </c>
      <c r="B281" s="15" t="s">
        <v>351</v>
      </c>
      <c r="C281" s="16" t="s">
        <v>624</v>
      </c>
      <c r="D281" s="16" t="s">
        <v>1144</v>
      </c>
      <c r="E281" s="16" t="s">
        <v>1158</v>
      </c>
      <c r="F281" s="209" t="s">
        <v>647</v>
      </c>
      <c r="G281" s="16" t="s">
        <v>585</v>
      </c>
      <c r="H281" s="15" t="s">
        <v>347</v>
      </c>
      <c r="I281" s="89" t="s">
        <v>347</v>
      </c>
      <c r="J281" s="79">
        <v>10</v>
      </c>
      <c r="K281" s="18" t="s">
        <v>1157</v>
      </c>
      <c r="L281" s="94" t="s">
        <v>389</v>
      </c>
      <c r="M281" s="148" t="s">
        <v>500</v>
      </c>
      <c r="N281" s="81" t="str">
        <f>_xlfn.XLOOKUP(Calculations[[#This Row],[For XLOOKUP]],Factors[For XLOOKUP],Factors[Factor],"")</f>
        <v>Σ.Ε. CO₂ eq</v>
      </c>
      <c r="O281" s="81">
        <f>_xlfn.XLOOKUP(Calculations[[#This Row],[For XLOOKUP]],Factors[For XLOOKUP],Factors[Value],"")</f>
        <v>4.3550000000000001E-4</v>
      </c>
      <c r="P281" s="81" t="str">
        <f>_xlfn.XLOOKUP(Calculations[[#This Row],[For XLOOKUP]],Factors[For XLOOKUP],Factors[Units],"")</f>
        <v>tn CO2 eq/ €</v>
      </c>
      <c r="Q281" s="19" t="str">
        <f>_xlfn.XLOOKUP(Calculations[[#This Row],[For XLOOKUP]],Factors[For XLOOKUP],Factors[Source],"")</f>
        <v>EXIOBASE 2019 - GR</v>
      </c>
      <c r="R28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1" s="81" t="str">
        <f>IF(LEFT(Calculations[[#This Row],[Emission Factor]],7)="Σ.Ε. CH",Calculations[[#This Row],[Value]]*Calculations[[#This Row],[Τιμή]],"-")</f>
        <v>-</v>
      </c>
      <c r="T28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1" s="81" t="str">
        <f>IF(LEFT(Calculations[[#This Row],[Emission Factor]],3)="GWP",Calculations[[#This Row],[Τιμή]],"-")</f>
        <v>-</v>
      </c>
      <c r="V281" s="81">
        <f>IF(OR(Calculations[[#This Row],[Emission Factor]]="Σ.Ε. CO₂ eq",Calculations[[#This Row],[Emission Factor]]="CO₂ eq"),Calculations[[#This Row],[Value]]*Calculations[[#This Row],[Τιμή]],"-")</f>
        <v>4.3550000000000004E-3</v>
      </c>
      <c r="W281" s="81" t="str">
        <f>IF(Calculations[[#This Row],[Πηγή εκπομπών]]="Electricity consumed in office buildings and projects - market based",Calculations[[#This Row],[t CO2]],"")</f>
        <v/>
      </c>
      <c r="X28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4.3550000000000004E-3</v>
      </c>
    </row>
    <row r="282" spans="1:24" ht="29.4" hidden="1" thickTop="1">
      <c r="A282" s="15" t="s">
        <v>350</v>
      </c>
      <c r="B282" s="15" t="s">
        <v>351</v>
      </c>
      <c r="C282" s="16" t="s">
        <v>624</v>
      </c>
      <c r="D282" s="16" t="s">
        <v>895</v>
      </c>
      <c r="E282" s="16" t="s">
        <v>1340</v>
      </c>
      <c r="F282" s="16" t="s">
        <v>319</v>
      </c>
      <c r="G282" s="16" t="s">
        <v>585</v>
      </c>
      <c r="H282" s="15" t="s">
        <v>347</v>
      </c>
      <c r="I282" s="89" t="s">
        <v>347</v>
      </c>
      <c r="J282" s="79">
        <v>4000</v>
      </c>
      <c r="K282" s="18" t="s">
        <v>1157</v>
      </c>
      <c r="L282" s="94" t="s">
        <v>363</v>
      </c>
      <c r="M282" s="148" t="s">
        <v>474</v>
      </c>
      <c r="N282" s="81" t="str">
        <f>_xlfn.XLOOKUP(Calculations[[#This Row],[For XLOOKUP]],Factors[For XLOOKUP],Factors[Factor],"")</f>
        <v>Σ.Ε. CO₂ eq</v>
      </c>
      <c r="O282" s="81">
        <f>_xlfn.XLOOKUP(Calculations[[#This Row],[For XLOOKUP]],Factors[For XLOOKUP],Factors[Value],"")</f>
        <v>1.1819500000000002E-4</v>
      </c>
      <c r="P282" s="81" t="str">
        <f>_xlfn.XLOOKUP(Calculations[[#This Row],[For XLOOKUP]],Factors[For XLOOKUP],Factors[Units],"")</f>
        <v>tn CO2 eq/ €</v>
      </c>
      <c r="Q282" s="19" t="str">
        <f>_xlfn.XLOOKUP(Calculations[[#This Row],[For XLOOKUP]],Factors[For XLOOKUP],Factors[Source],"")</f>
        <v>BEIS 2021</v>
      </c>
      <c r="R28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2" s="81" t="str">
        <f>IF(LEFT(Calculations[[#This Row],[Emission Factor]],7)="Σ.Ε. CH",Calculations[[#This Row],[Value]]*Calculations[[#This Row],[Τιμή]],"-")</f>
        <v>-</v>
      </c>
      <c r="T28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2" s="81" t="str">
        <f>IF(LEFT(Calculations[[#This Row],[Emission Factor]],3)="GWP",Calculations[[#This Row],[Τιμή]],"-")</f>
        <v>-</v>
      </c>
      <c r="V282" s="81">
        <f>IF(OR(Calculations[[#This Row],[Emission Factor]]="Σ.Ε. CO₂ eq",Calculations[[#This Row],[Emission Factor]]="CO₂ eq"),Calculations[[#This Row],[Value]]*Calculations[[#This Row],[Τιμή]],"-")</f>
        <v>0.47278000000000009</v>
      </c>
      <c r="W282" s="81" t="str">
        <f>IF(Calculations[[#This Row],[Πηγή εκπομπών]]="Electricity consumed in office buildings and projects - market based",Calculations[[#This Row],[t CO2]],"")</f>
        <v/>
      </c>
      <c r="X28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0.47278000000000009</v>
      </c>
    </row>
    <row r="283" spans="1:24" ht="29.4" hidden="1" thickTop="1">
      <c r="A283" s="15" t="s">
        <v>350</v>
      </c>
      <c r="B283" s="15" t="s">
        <v>351</v>
      </c>
      <c r="C283" s="16" t="s">
        <v>624</v>
      </c>
      <c r="D283" s="16" t="s">
        <v>895</v>
      </c>
      <c r="E283" s="16" t="s">
        <v>1140</v>
      </c>
      <c r="F283" s="16" t="s">
        <v>322</v>
      </c>
      <c r="G283" s="16" t="s">
        <v>585</v>
      </c>
      <c r="H283" s="15" t="s">
        <v>347</v>
      </c>
      <c r="I283" s="89" t="s">
        <v>347</v>
      </c>
      <c r="J283" s="79">
        <v>1277741.94</v>
      </c>
      <c r="K283" s="18" t="s">
        <v>1157</v>
      </c>
      <c r="L283" s="94" t="s">
        <v>372</v>
      </c>
      <c r="M283" s="148" t="s">
        <v>483</v>
      </c>
      <c r="N283" s="81" t="str">
        <f>_xlfn.XLOOKUP(Calculations[[#This Row],[For XLOOKUP]],Factors[For XLOOKUP],Factors[Factor],"")</f>
        <v>Σ.Ε. CO₂ eq</v>
      </c>
      <c r="O283" s="81">
        <f>_xlfn.XLOOKUP(Calculations[[#This Row],[For XLOOKUP]],Factors[For XLOOKUP],Factors[Value],"")</f>
        <v>8.7399000000000008E-5</v>
      </c>
      <c r="P283" s="81" t="str">
        <f>_xlfn.XLOOKUP(Calculations[[#This Row],[For XLOOKUP]],Factors[For XLOOKUP],Factors[Units],"")</f>
        <v>tn CO2 eq/ €</v>
      </c>
      <c r="Q283" s="19" t="str">
        <f>_xlfn.XLOOKUP(Calculations[[#This Row],[For XLOOKUP]],Factors[For XLOOKUP],Factors[Source],"")</f>
        <v>EPA 2022</v>
      </c>
      <c r="R28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3" s="81" t="str">
        <f>IF(LEFT(Calculations[[#This Row],[Emission Factor]],7)="Σ.Ε. CH",Calculations[[#This Row],[Value]]*Calculations[[#This Row],[Τιμή]],"-")</f>
        <v>-</v>
      </c>
      <c r="T28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3" s="81" t="str">
        <f>IF(LEFT(Calculations[[#This Row],[Emission Factor]],3)="GWP",Calculations[[#This Row],[Τιμή]],"-")</f>
        <v>-</v>
      </c>
      <c r="V283" s="81">
        <f>IF(OR(Calculations[[#This Row],[Emission Factor]]="Σ.Ε. CO₂ eq",Calculations[[#This Row],[Emission Factor]]="CO₂ eq"),Calculations[[#This Row],[Value]]*Calculations[[#This Row],[Τιμή]],"-")</f>
        <v>111.67336781406</v>
      </c>
      <c r="W283" s="81" t="str">
        <f>IF(Calculations[[#This Row],[Πηγή εκπομπών]]="Electricity consumed in office buildings and projects - market based",Calculations[[#This Row],[t CO2]],"")</f>
        <v/>
      </c>
      <c r="X28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111.67336781406</v>
      </c>
    </row>
    <row r="284" spans="1:24" ht="29.4" hidden="1" thickTop="1">
      <c r="A284" s="15" t="s">
        <v>350</v>
      </c>
      <c r="B284" s="15" t="s">
        <v>351</v>
      </c>
      <c r="C284" s="16" t="s">
        <v>624</v>
      </c>
      <c r="D284" s="16" t="s">
        <v>895</v>
      </c>
      <c r="E284" s="16" t="s">
        <v>1140</v>
      </c>
      <c r="F284" s="16" t="s">
        <v>322</v>
      </c>
      <c r="G284" s="16" t="s">
        <v>585</v>
      </c>
      <c r="H284" s="15" t="s">
        <v>347</v>
      </c>
      <c r="I284" s="89" t="s">
        <v>347</v>
      </c>
      <c r="J284" s="79">
        <v>205141.35</v>
      </c>
      <c r="K284" s="18" t="s">
        <v>1157</v>
      </c>
      <c r="L284" s="94" t="s">
        <v>352</v>
      </c>
      <c r="M284" s="148" t="s">
        <v>463</v>
      </c>
      <c r="N284" s="81" t="str">
        <f>_xlfn.XLOOKUP(Calculations[[#This Row],[For XLOOKUP]],Factors[For XLOOKUP],Factors[Factor],"")</f>
        <v>Σ.Ε. CO₂ eq</v>
      </c>
      <c r="O284" s="81">
        <f>_xlfn.XLOOKUP(Calculations[[#This Row],[For XLOOKUP]],Factors[For XLOOKUP],Factors[Value],"")</f>
        <v>2.6851499999999999E-4</v>
      </c>
      <c r="P284" s="81" t="str">
        <f>_xlfn.XLOOKUP(Calculations[[#This Row],[For XLOOKUP]],Factors[For XLOOKUP],Factors[Units],"")</f>
        <v>tn CO2 eq/ €</v>
      </c>
      <c r="Q284" s="19" t="str">
        <f>_xlfn.XLOOKUP(Calculations[[#This Row],[For XLOOKUP]],Factors[For XLOOKUP],Factors[Source],"")</f>
        <v>EPA 2022</v>
      </c>
      <c r="R28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4" s="81" t="str">
        <f>IF(LEFT(Calculations[[#This Row],[Emission Factor]],7)="Σ.Ε. CH",Calculations[[#This Row],[Value]]*Calculations[[#This Row],[Τιμή]],"-")</f>
        <v>-</v>
      </c>
      <c r="T28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4" s="81" t="str">
        <f>IF(LEFT(Calculations[[#This Row],[Emission Factor]],3)="GWP",Calculations[[#This Row],[Τιμή]],"-")</f>
        <v>-</v>
      </c>
      <c r="V284" s="81">
        <f>IF(OR(Calculations[[#This Row],[Emission Factor]]="Σ.Ε. CO₂ eq",Calculations[[#This Row],[Emission Factor]]="CO₂ eq"),Calculations[[#This Row],[Value]]*Calculations[[#This Row],[Τιμή]],"-")</f>
        <v>55.083529595249999</v>
      </c>
      <c r="W284" s="81" t="str">
        <f>IF(Calculations[[#This Row],[Πηγή εκπομπών]]="Electricity consumed in office buildings and projects - market based",Calculations[[#This Row],[t CO2]],"")</f>
        <v/>
      </c>
      <c r="X28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55.083529595249999</v>
      </c>
    </row>
    <row r="285" spans="1:24" ht="29.4" hidden="1" thickTop="1">
      <c r="A285" s="15" t="s">
        <v>350</v>
      </c>
      <c r="B285" s="15" t="s">
        <v>351</v>
      </c>
      <c r="C285" s="16" t="s">
        <v>624</v>
      </c>
      <c r="D285" s="16" t="s">
        <v>895</v>
      </c>
      <c r="E285" s="77" t="s">
        <v>1140</v>
      </c>
      <c r="F285" s="16" t="s">
        <v>322</v>
      </c>
      <c r="G285" s="16" t="s">
        <v>585</v>
      </c>
      <c r="H285" s="15" t="s">
        <v>347</v>
      </c>
      <c r="I285" s="89" t="s">
        <v>347</v>
      </c>
      <c r="J285" s="79">
        <v>51682.46</v>
      </c>
      <c r="K285" s="18" t="s">
        <v>1157</v>
      </c>
      <c r="L285" s="94" t="s">
        <v>377</v>
      </c>
      <c r="M285" s="148" t="s">
        <v>488</v>
      </c>
      <c r="N285" s="81" t="str">
        <f>_xlfn.XLOOKUP(Calculations[[#This Row],[For XLOOKUP]],Factors[For XLOOKUP],Factors[Factor],"")</f>
        <v>Σ.Ε. CO₂ eq</v>
      </c>
      <c r="O285" s="81">
        <f>_xlfn.XLOOKUP(Calculations[[#This Row],[For XLOOKUP]],Factors[For XLOOKUP],Factors[Value],"")</f>
        <v>2.2370000000000002E-4</v>
      </c>
      <c r="P285" s="81" t="str">
        <f>_xlfn.XLOOKUP(Calculations[[#This Row],[For XLOOKUP]],Factors[For XLOOKUP],Factors[Units],"")</f>
        <v>tn CO2 eq/ €</v>
      </c>
      <c r="Q285" s="19" t="str">
        <f>_xlfn.XLOOKUP(Calculations[[#This Row],[For XLOOKUP]],Factors[For XLOOKUP],Factors[Source],"")</f>
        <v>EXIOBASE 2019 - GR</v>
      </c>
      <c r="R28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5" s="81" t="str">
        <f>IF(LEFT(Calculations[[#This Row],[Emission Factor]],7)="Σ.Ε. CH",Calculations[[#This Row],[Value]]*Calculations[[#This Row],[Τιμή]],"-")</f>
        <v>-</v>
      </c>
      <c r="T28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5" s="81" t="str">
        <f>IF(LEFT(Calculations[[#This Row],[Emission Factor]],3)="GWP",Calculations[[#This Row],[Τιμή]],"-")</f>
        <v>-</v>
      </c>
      <c r="V285" s="81">
        <f>IF(OR(Calculations[[#This Row],[Emission Factor]]="Σ.Ε. CO₂ eq",Calculations[[#This Row],[Emission Factor]]="CO₂ eq"),Calculations[[#This Row],[Value]]*Calculations[[#This Row],[Τιμή]],"-")</f>
        <v>11.561366302000001</v>
      </c>
      <c r="W285" s="81" t="str">
        <f>IF(Calculations[[#This Row],[Πηγή εκπομπών]]="Electricity consumed in office buildings and projects - market based",Calculations[[#This Row],[t CO2]],"")</f>
        <v/>
      </c>
      <c r="X28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11.561366302000001</v>
      </c>
    </row>
    <row r="286" spans="1:24" ht="29.4" hidden="1" thickTop="1">
      <c r="A286" s="15" t="s">
        <v>350</v>
      </c>
      <c r="B286" s="15" t="s">
        <v>351</v>
      </c>
      <c r="C286" s="16" t="s">
        <v>624</v>
      </c>
      <c r="D286" s="16" t="s">
        <v>895</v>
      </c>
      <c r="E286" s="77" t="s">
        <v>1141</v>
      </c>
      <c r="F286" s="16" t="s">
        <v>312</v>
      </c>
      <c r="G286" s="16" t="s">
        <v>585</v>
      </c>
      <c r="H286" s="15" t="s">
        <v>347</v>
      </c>
      <c r="I286" s="89" t="s">
        <v>347</v>
      </c>
      <c r="J286" s="79">
        <v>2636405.41</v>
      </c>
      <c r="K286" s="18" t="s">
        <v>1157</v>
      </c>
      <c r="L286" s="94" t="s">
        <v>358</v>
      </c>
      <c r="M286" s="148" t="s">
        <v>469</v>
      </c>
      <c r="N286" s="81" t="str">
        <f>_xlfn.XLOOKUP(Calculations[[#This Row],[For XLOOKUP]],Factors[For XLOOKUP],Factors[Factor],"")</f>
        <v>Σ.Ε. CO₂ eq</v>
      </c>
      <c r="O286" s="81">
        <f>_xlfn.XLOOKUP(Calculations[[#This Row],[For XLOOKUP]],Factors[For XLOOKUP],Factors[Value],"")</f>
        <v>3.4749000000000002E-5</v>
      </c>
      <c r="P286" s="81" t="str">
        <f>_xlfn.XLOOKUP(Calculations[[#This Row],[For XLOOKUP]],Factors[For XLOOKUP],Factors[Units],"")</f>
        <v>tn CO2 eq/ €</v>
      </c>
      <c r="Q286" s="19" t="str">
        <f>_xlfn.XLOOKUP(Calculations[[#This Row],[For XLOOKUP]],Factors[For XLOOKUP],Factors[Source],"")</f>
        <v>EPA 2022</v>
      </c>
      <c r="R28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6" s="81" t="str">
        <f>IF(LEFT(Calculations[[#This Row],[Emission Factor]],7)="Σ.Ε. CH",Calculations[[#This Row],[Value]]*Calculations[[#This Row],[Τιμή]],"-")</f>
        <v>-</v>
      </c>
      <c r="T28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6" s="81" t="str">
        <f>IF(LEFT(Calculations[[#This Row],[Emission Factor]],3)="GWP",Calculations[[#This Row],[Τιμή]],"-")</f>
        <v>-</v>
      </c>
      <c r="V286" s="81">
        <f>IF(OR(Calculations[[#This Row],[Emission Factor]]="Σ.Ε. CO₂ eq",Calculations[[#This Row],[Emission Factor]]="CO₂ eq"),Calculations[[#This Row],[Value]]*Calculations[[#This Row],[Τιμή]],"-")</f>
        <v>91.612451592090011</v>
      </c>
      <c r="W286" s="81" t="str">
        <f>IF(Calculations[[#This Row],[Πηγή εκπομπών]]="Electricity consumed in office buildings and projects - market based",Calculations[[#This Row],[t CO2]],"")</f>
        <v/>
      </c>
      <c r="X28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91.612451592090011</v>
      </c>
    </row>
    <row r="287" spans="1:24" ht="29.4" hidden="1" thickTop="1">
      <c r="A287" s="15" t="s">
        <v>350</v>
      </c>
      <c r="B287" s="15" t="s">
        <v>351</v>
      </c>
      <c r="C287" s="16" t="s">
        <v>624</v>
      </c>
      <c r="D287" s="16" t="s">
        <v>895</v>
      </c>
      <c r="E287" s="77" t="s">
        <v>1141</v>
      </c>
      <c r="F287" s="16" t="s">
        <v>312</v>
      </c>
      <c r="G287" s="16" t="s">
        <v>585</v>
      </c>
      <c r="H287" s="15" t="s">
        <v>347</v>
      </c>
      <c r="I287" s="89" t="s">
        <v>347</v>
      </c>
      <c r="J287" s="79">
        <v>675212.28</v>
      </c>
      <c r="K287" s="18" t="s">
        <v>1157</v>
      </c>
      <c r="L287" s="94" t="s">
        <v>361</v>
      </c>
      <c r="M287" s="148" t="s">
        <v>472</v>
      </c>
      <c r="N287" s="81" t="str">
        <f>_xlfn.XLOOKUP(Calculations[[#This Row],[For XLOOKUP]],Factors[For XLOOKUP],Factors[Factor],"")</f>
        <v>Σ.Ε. CO₂ eq</v>
      </c>
      <c r="O287" s="81">
        <f>_xlfn.XLOOKUP(Calculations[[#This Row],[For XLOOKUP]],Factors[For XLOOKUP],Factors[Value],"")</f>
        <v>4.2049999999999998E-4</v>
      </c>
      <c r="P287" s="81" t="str">
        <f>_xlfn.XLOOKUP(Calculations[[#This Row],[For XLOOKUP]],Factors[For XLOOKUP],Factors[Units],"")</f>
        <v>tn CO2 eq/ €</v>
      </c>
      <c r="Q287" s="19" t="str">
        <f>_xlfn.XLOOKUP(Calculations[[#This Row],[For XLOOKUP]],Factors[For XLOOKUP],Factors[Source],"")</f>
        <v>EXIOBASE 2019 - GR</v>
      </c>
      <c r="R28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7" s="81" t="str">
        <f>IF(LEFT(Calculations[[#This Row],[Emission Factor]],7)="Σ.Ε. CH",Calculations[[#This Row],[Value]]*Calculations[[#This Row],[Τιμή]],"-")</f>
        <v>-</v>
      </c>
      <c r="T28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7" s="81" t="str">
        <f>IF(LEFT(Calculations[[#This Row],[Emission Factor]],3)="GWP",Calculations[[#This Row],[Τιμή]],"-")</f>
        <v>-</v>
      </c>
      <c r="V287" s="81">
        <f>IF(OR(Calculations[[#This Row],[Emission Factor]]="Σ.Ε. CO₂ eq",Calculations[[#This Row],[Emission Factor]]="CO₂ eq"),Calculations[[#This Row],[Value]]*Calculations[[#This Row],[Τιμή]],"-")</f>
        <v>283.92676374000001</v>
      </c>
      <c r="W287" s="81" t="str">
        <f>IF(Calculations[[#This Row],[Πηγή εκπομπών]]="Electricity consumed in office buildings and projects - market based",Calculations[[#This Row],[t CO2]],"")</f>
        <v/>
      </c>
      <c r="X28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283.92676374000001</v>
      </c>
    </row>
    <row r="288" spans="1:24" ht="29.4" hidden="1" thickTop="1">
      <c r="A288" s="15" t="s">
        <v>350</v>
      </c>
      <c r="B288" s="15" t="s">
        <v>351</v>
      </c>
      <c r="C288" s="16" t="s">
        <v>624</v>
      </c>
      <c r="D288" s="16" t="s">
        <v>895</v>
      </c>
      <c r="E288" s="77" t="s">
        <v>1141</v>
      </c>
      <c r="F288" s="16" t="s">
        <v>312</v>
      </c>
      <c r="G288" s="16" t="s">
        <v>585</v>
      </c>
      <c r="H288" s="15" t="s">
        <v>347</v>
      </c>
      <c r="I288" s="89" t="s">
        <v>347</v>
      </c>
      <c r="J288" s="79">
        <v>459874.73</v>
      </c>
      <c r="K288" s="18" t="s">
        <v>1157</v>
      </c>
      <c r="L288" s="94" t="s">
        <v>377</v>
      </c>
      <c r="M288" s="148" t="s">
        <v>488</v>
      </c>
      <c r="N288" s="81" t="str">
        <f>_xlfn.XLOOKUP(Calculations[[#This Row],[For XLOOKUP]],Factors[For XLOOKUP],Factors[Factor],"")</f>
        <v>Σ.Ε. CO₂ eq</v>
      </c>
      <c r="O288" s="81">
        <f>_xlfn.XLOOKUP(Calculations[[#This Row],[For XLOOKUP]],Factors[For XLOOKUP],Factors[Value],"")</f>
        <v>2.2370000000000002E-4</v>
      </c>
      <c r="P288" s="81" t="str">
        <f>_xlfn.XLOOKUP(Calculations[[#This Row],[For XLOOKUP]],Factors[For XLOOKUP],Factors[Units],"")</f>
        <v>tn CO2 eq/ €</v>
      </c>
      <c r="Q288" s="19" t="str">
        <f>_xlfn.XLOOKUP(Calculations[[#This Row],[For XLOOKUP]],Factors[For XLOOKUP],Factors[Source],"")</f>
        <v>EXIOBASE 2019 - GR</v>
      </c>
      <c r="R28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8" s="81" t="str">
        <f>IF(LEFT(Calculations[[#This Row],[Emission Factor]],7)="Σ.Ε. CH",Calculations[[#This Row],[Value]]*Calculations[[#This Row],[Τιμή]],"-")</f>
        <v>-</v>
      </c>
      <c r="T28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8" s="81" t="str">
        <f>IF(LEFT(Calculations[[#This Row],[Emission Factor]],3)="GWP",Calculations[[#This Row],[Τιμή]],"-")</f>
        <v>-</v>
      </c>
      <c r="V288" s="81">
        <f>IF(OR(Calculations[[#This Row],[Emission Factor]]="Σ.Ε. CO₂ eq",Calculations[[#This Row],[Emission Factor]]="CO₂ eq"),Calculations[[#This Row],[Value]]*Calculations[[#This Row],[Τιμή]],"-")</f>
        <v>102.87397710100001</v>
      </c>
      <c r="W288" s="81" t="str">
        <f>IF(Calculations[[#This Row],[Πηγή εκπομπών]]="Electricity consumed in office buildings and projects - market based",Calculations[[#This Row],[t CO2]],"")</f>
        <v/>
      </c>
      <c r="X28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102.87397710100001</v>
      </c>
    </row>
    <row r="289" spans="1:24" ht="29.4" hidden="1" thickTop="1">
      <c r="A289" s="15" t="s">
        <v>350</v>
      </c>
      <c r="B289" s="15" t="s">
        <v>351</v>
      </c>
      <c r="C289" s="16" t="s">
        <v>624</v>
      </c>
      <c r="D289" s="16" t="s">
        <v>895</v>
      </c>
      <c r="E289" s="16" t="s">
        <v>1141</v>
      </c>
      <c r="F289" s="16" t="s">
        <v>312</v>
      </c>
      <c r="G289" s="16" t="s">
        <v>585</v>
      </c>
      <c r="H289" s="15" t="s">
        <v>347</v>
      </c>
      <c r="I289" s="89" t="s">
        <v>347</v>
      </c>
      <c r="J289" s="79">
        <v>405835.81</v>
      </c>
      <c r="K289" s="18" t="s">
        <v>1157</v>
      </c>
      <c r="L289" s="94" t="s">
        <v>353</v>
      </c>
      <c r="M289" s="148" t="s">
        <v>464</v>
      </c>
      <c r="N289" s="81" t="str">
        <f>_xlfn.XLOOKUP(Calculations[[#This Row],[For XLOOKUP]],Factors[For XLOOKUP],Factors[Factor],"")</f>
        <v>Σ.Ε. CO₂ eq</v>
      </c>
      <c r="O289" s="81">
        <f>_xlfn.XLOOKUP(Calculations[[#This Row],[For XLOOKUP]],Factors[For XLOOKUP],Factors[Value],"")</f>
        <v>5.8538760000000007E-5</v>
      </c>
      <c r="P289" s="81" t="str">
        <f>_xlfn.XLOOKUP(Calculations[[#This Row],[For XLOOKUP]],Factors[For XLOOKUP],Factors[Units],"")</f>
        <v>tn CO2 eq/ €</v>
      </c>
      <c r="Q289" s="19" t="str">
        <f>_xlfn.XLOOKUP(Calculations[[#This Row],[For XLOOKUP]],Factors[For XLOOKUP],Factors[Source],"")</f>
        <v>BEIS 2021</v>
      </c>
      <c r="R28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9" s="81" t="str">
        <f>IF(LEFT(Calculations[[#This Row],[Emission Factor]],7)="Σ.Ε. CH",Calculations[[#This Row],[Value]]*Calculations[[#This Row],[Τιμή]],"-")</f>
        <v>-</v>
      </c>
      <c r="T28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9" s="81" t="str">
        <f>IF(LEFT(Calculations[[#This Row],[Emission Factor]],3)="GWP",Calculations[[#This Row],[Τιμή]],"-")</f>
        <v>-</v>
      </c>
      <c r="V289" s="81">
        <f>IF(OR(Calculations[[#This Row],[Emission Factor]]="Σ.Ε. CO₂ eq",Calculations[[#This Row],[Emission Factor]]="CO₂ eq"),Calculations[[#This Row],[Value]]*Calculations[[#This Row],[Τιμή]],"-")</f>
        <v>23.757125080995603</v>
      </c>
      <c r="W289" s="81" t="str">
        <f>IF(Calculations[[#This Row],[Πηγή εκπομπών]]="Electricity consumed in office buildings and projects - market based",Calculations[[#This Row],[t CO2]],"")</f>
        <v/>
      </c>
      <c r="X28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23.757125080995603</v>
      </c>
    </row>
    <row r="290" spans="1:24" ht="29.4" hidden="1" thickTop="1">
      <c r="A290" s="15" t="s">
        <v>350</v>
      </c>
      <c r="B290" s="15" t="s">
        <v>351</v>
      </c>
      <c r="C290" s="16" t="s">
        <v>624</v>
      </c>
      <c r="D290" s="16" t="s">
        <v>895</v>
      </c>
      <c r="E290" s="77" t="s">
        <v>1141</v>
      </c>
      <c r="F290" s="16" t="s">
        <v>312</v>
      </c>
      <c r="G290" s="16" t="s">
        <v>585</v>
      </c>
      <c r="H290" s="15" t="s">
        <v>347</v>
      </c>
      <c r="I290" s="89" t="s">
        <v>347</v>
      </c>
      <c r="J290" s="79">
        <v>201752.28000000003</v>
      </c>
      <c r="K290" s="18" t="s">
        <v>1157</v>
      </c>
      <c r="L290" s="94" t="s">
        <v>401</v>
      </c>
      <c r="M290" s="148" t="s">
        <v>512</v>
      </c>
      <c r="N290" s="81" t="str">
        <f>_xlfn.XLOOKUP(Calculations[[#This Row],[For XLOOKUP]],Factors[For XLOOKUP],Factors[Factor],"")</f>
        <v>Σ.Ε. CO₂ eq</v>
      </c>
      <c r="O290" s="81">
        <f>_xlfn.XLOOKUP(Calculations[[#This Row],[For XLOOKUP]],Factors[For XLOOKUP],Factors[Value],"")</f>
        <v>2.288E-4</v>
      </c>
      <c r="P290" s="81" t="str">
        <f>_xlfn.XLOOKUP(Calculations[[#This Row],[For XLOOKUP]],Factors[For XLOOKUP],Factors[Units],"")</f>
        <v>tn CO2 eq/ €</v>
      </c>
      <c r="Q290" s="19" t="str">
        <f>_xlfn.XLOOKUP(Calculations[[#This Row],[For XLOOKUP]],Factors[For XLOOKUP],Factors[Source],"")</f>
        <v>EXIOBASE 2019 - GR</v>
      </c>
      <c r="R29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0" s="81" t="str">
        <f>IF(LEFT(Calculations[[#This Row],[Emission Factor]],7)="Σ.Ε. CH",Calculations[[#This Row],[Value]]*Calculations[[#This Row],[Τιμή]],"-")</f>
        <v>-</v>
      </c>
      <c r="T29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0" s="81" t="str">
        <f>IF(LEFT(Calculations[[#This Row],[Emission Factor]],3)="GWP",Calculations[[#This Row],[Τιμή]],"-")</f>
        <v>-</v>
      </c>
      <c r="V290" s="81">
        <f>IF(OR(Calculations[[#This Row],[Emission Factor]]="Σ.Ε. CO₂ eq",Calculations[[#This Row],[Emission Factor]]="CO₂ eq"),Calculations[[#This Row],[Value]]*Calculations[[#This Row],[Τιμή]],"-")</f>
        <v>46.160921664000007</v>
      </c>
      <c r="W290" s="81" t="str">
        <f>IF(Calculations[[#This Row],[Πηγή εκπομπών]]="Electricity consumed in office buildings and projects - market based",Calculations[[#This Row],[t CO2]],"")</f>
        <v/>
      </c>
      <c r="X29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46.160921664000007</v>
      </c>
    </row>
    <row r="291" spans="1:24" ht="29.4" hidden="1" thickTop="1">
      <c r="A291" s="15" t="s">
        <v>350</v>
      </c>
      <c r="B291" s="15" t="s">
        <v>351</v>
      </c>
      <c r="C291" s="16" t="s">
        <v>624</v>
      </c>
      <c r="D291" s="16" t="s">
        <v>895</v>
      </c>
      <c r="E291" s="77" t="s">
        <v>1141</v>
      </c>
      <c r="F291" s="16" t="s">
        <v>312</v>
      </c>
      <c r="G291" s="16" t="s">
        <v>585</v>
      </c>
      <c r="H291" s="15" t="s">
        <v>347</v>
      </c>
      <c r="I291" s="89" t="s">
        <v>347</v>
      </c>
      <c r="J291" s="79">
        <v>180199.55</v>
      </c>
      <c r="K291" s="18" t="s">
        <v>1157</v>
      </c>
      <c r="L291" s="94" t="s">
        <v>364</v>
      </c>
      <c r="M291" s="148" t="s">
        <v>475</v>
      </c>
      <c r="N291" s="81" t="str">
        <f>_xlfn.XLOOKUP(Calculations[[#This Row],[For XLOOKUP]],Factors[For XLOOKUP],Factors[Factor],"")</f>
        <v>Σ.Ε. CO₂ eq</v>
      </c>
      <c r="O291" s="81">
        <f>_xlfn.XLOOKUP(Calculations[[#This Row],[For XLOOKUP]],Factors[For XLOOKUP],Factors[Value],"")</f>
        <v>1.401148E-4</v>
      </c>
      <c r="P291" s="81" t="str">
        <f>_xlfn.XLOOKUP(Calculations[[#This Row],[For XLOOKUP]],Factors[For XLOOKUP],Factors[Units],"")</f>
        <v>tn CO2 eq/ €</v>
      </c>
      <c r="Q291" s="19" t="str">
        <f>_xlfn.XLOOKUP(Calculations[[#This Row],[For XLOOKUP]],Factors[For XLOOKUP],Factors[Source],"")</f>
        <v>BEIS 2021</v>
      </c>
      <c r="R29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1" s="81" t="str">
        <f>IF(LEFT(Calculations[[#This Row],[Emission Factor]],7)="Σ.Ε. CH",Calculations[[#This Row],[Value]]*Calculations[[#This Row],[Τιμή]],"-")</f>
        <v>-</v>
      </c>
      <c r="T29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1" s="81" t="str">
        <f>IF(LEFT(Calculations[[#This Row],[Emission Factor]],3)="GWP",Calculations[[#This Row],[Τιμή]],"-")</f>
        <v>-</v>
      </c>
      <c r="V291" s="81">
        <f>IF(OR(Calculations[[#This Row],[Emission Factor]]="Σ.Ε. CO₂ eq",Calculations[[#This Row],[Emission Factor]]="CO₂ eq"),Calculations[[#This Row],[Value]]*Calculations[[#This Row],[Τιμή]],"-")</f>
        <v>25.248623908339997</v>
      </c>
      <c r="W291" s="81" t="str">
        <f>IF(Calculations[[#This Row],[Πηγή εκπομπών]]="Electricity consumed in office buildings and projects - market based",Calculations[[#This Row],[t CO2]],"")</f>
        <v/>
      </c>
      <c r="X29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25.248623908339997</v>
      </c>
    </row>
    <row r="292" spans="1:24" ht="29.4" hidden="1" thickTop="1">
      <c r="A292" s="15" t="s">
        <v>350</v>
      </c>
      <c r="B292" s="15" t="s">
        <v>351</v>
      </c>
      <c r="C292" s="16" t="s">
        <v>624</v>
      </c>
      <c r="D292" s="16" t="s">
        <v>895</v>
      </c>
      <c r="E292" s="77" t="s">
        <v>1141</v>
      </c>
      <c r="F292" s="16" t="s">
        <v>312</v>
      </c>
      <c r="G292" s="16" t="s">
        <v>585</v>
      </c>
      <c r="H292" s="15" t="s">
        <v>347</v>
      </c>
      <c r="I292" s="89" t="s">
        <v>347</v>
      </c>
      <c r="J292" s="79">
        <v>168852.78</v>
      </c>
      <c r="K292" s="18" t="s">
        <v>1157</v>
      </c>
      <c r="L292" s="94" t="s">
        <v>461</v>
      </c>
      <c r="M292" s="148" t="s">
        <v>572</v>
      </c>
      <c r="N292" s="81" t="str">
        <f>_xlfn.XLOOKUP(Calculations[[#This Row],[For XLOOKUP]],Factors[For XLOOKUP],Factors[Factor],"")</f>
        <v>Σ.Ε. CO₂ eq</v>
      </c>
      <c r="O292" s="81">
        <f>_xlfn.XLOOKUP(Calculations[[#This Row],[For XLOOKUP]],Factors[For XLOOKUP],Factors[Value],"")</f>
        <v>6.2126999999999997E-5</v>
      </c>
      <c r="P292" s="81" t="str">
        <f>_xlfn.XLOOKUP(Calculations[[#This Row],[For XLOOKUP]],Factors[For XLOOKUP],Factors[Units],"")</f>
        <v>tn CO2 eq/ €</v>
      </c>
      <c r="Q292" s="19" t="str">
        <f>_xlfn.XLOOKUP(Calculations[[#This Row],[For XLOOKUP]],Factors[For XLOOKUP],Factors[Source],"")</f>
        <v>EPA 2022</v>
      </c>
      <c r="R29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2" s="81" t="str">
        <f>IF(LEFT(Calculations[[#This Row],[Emission Factor]],7)="Σ.Ε. CH",Calculations[[#This Row],[Value]]*Calculations[[#This Row],[Τιμή]],"-")</f>
        <v>-</v>
      </c>
      <c r="T29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2" s="81" t="str">
        <f>IF(LEFT(Calculations[[#This Row],[Emission Factor]],3)="GWP",Calculations[[#This Row],[Τιμή]],"-")</f>
        <v>-</v>
      </c>
      <c r="V292" s="81">
        <f>IF(OR(Calculations[[#This Row],[Emission Factor]]="Σ.Ε. CO₂ eq",Calculations[[#This Row],[Emission Factor]]="CO₂ eq"),Calculations[[#This Row],[Value]]*Calculations[[#This Row],[Τιμή]],"-")</f>
        <v>10.49031666306</v>
      </c>
      <c r="W292" s="81" t="str">
        <f>IF(Calculations[[#This Row],[Πηγή εκπομπών]]="Electricity consumed in office buildings and projects - market based",Calculations[[#This Row],[t CO2]],"")</f>
        <v/>
      </c>
      <c r="X29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10.49031666306</v>
      </c>
    </row>
    <row r="293" spans="1:24" ht="29.4" hidden="1" thickTop="1">
      <c r="A293" s="15" t="s">
        <v>350</v>
      </c>
      <c r="B293" s="15" t="s">
        <v>351</v>
      </c>
      <c r="C293" s="16" t="s">
        <v>624</v>
      </c>
      <c r="D293" s="16" t="s">
        <v>895</v>
      </c>
      <c r="E293" s="77" t="s">
        <v>1141</v>
      </c>
      <c r="F293" s="16" t="s">
        <v>312</v>
      </c>
      <c r="G293" s="16" t="s">
        <v>585</v>
      </c>
      <c r="H293" s="15" t="s">
        <v>347</v>
      </c>
      <c r="I293" s="89" t="s">
        <v>347</v>
      </c>
      <c r="J293" s="79">
        <v>158791.66</v>
      </c>
      <c r="K293" s="18" t="s">
        <v>1157</v>
      </c>
      <c r="L293" s="94" t="s">
        <v>363</v>
      </c>
      <c r="M293" s="148" t="s">
        <v>474</v>
      </c>
      <c r="N293" s="81" t="str">
        <f>_xlfn.XLOOKUP(Calculations[[#This Row],[For XLOOKUP]],Factors[For XLOOKUP],Factors[Factor],"")</f>
        <v>Σ.Ε. CO₂ eq</v>
      </c>
      <c r="O293" s="81">
        <f>_xlfn.XLOOKUP(Calculations[[#This Row],[For XLOOKUP]],Factors[For XLOOKUP],Factors[Value],"")</f>
        <v>1.1819500000000002E-4</v>
      </c>
      <c r="P293" s="81" t="str">
        <f>_xlfn.XLOOKUP(Calculations[[#This Row],[For XLOOKUP]],Factors[For XLOOKUP],Factors[Units],"")</f>
        <v>tn CO2 eq/ €</v>
      </c>
      <c r="Q293" s="19" t="str">
        <f>_xlfn.XLOOKUP(Calculations[[#This Row],[For XLOOKUP]],Factors[For XLOOKUP],Factors[Source],"")</f>
        <v>BEIS 2021</v>
      </c>
      <c r="R29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3" s="81" t="str">
        <f>IF(LEFT(Calculations[[#This Row],[Emission Factor]],7)="Σ.Ε. CH",Calculations[[#This Row],[Value]]*Calculations[[#This Row],[Τιμή]],"-")</f>
        <v>-</v>
      </c>
      <c r="T29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3" s="81" t="str">
        <f>IF(LEFT(Calculations[[#This Row],[Emission Factor]],3)="GWP",Calculations[[#This Row],[Τιμή]],"-")</f>
        <v>-</v>
      </c>
      <c r="V293" s="81">
        <f>IF(OR(Calculations[[#This Row],[Emission Factor]]="Σ.Ε. CO₂ eq",Calculations[[#This Row],[Emission Factor]]="CO₂ eq"),Calculations[[#This Row],[Value]]*Calculations[[#This Row],[Τιμή]],"-")</f>
        <v>18.768380253700002</v>
      </c>
      <c r="W293" s="81" t="str">
        <f>IF(Calculations[[#This Row],[Πηγή εκπομπών]]="Electricity consumed in office buildings and projects - market based",Calculations[[#This Row],[t CO2]],"")</f>
        <v/>
      </c>
      <c r="X29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18.768380253700002</v>
      </c>
    </row>
    <row r="294" spans="1:24" ht="29.4" hidden="1" thickTop="1">
      <c r="A294" s="15" t="s">
        <v>350</v>
      </c>
      <c r="B294" s="15" t="s">
        <v>351</v>
      </c>
      <c r="C294" s="16" t="s">
        <v>624</v>
      </c>
      <c r="D294" s="16" t="s">
        <v>895</v>
      </c>
      <c r="E294" s="16" t="s">
        <v>1141</v>
      </c>
      <c r="F294" s="16" t="s">
        <v>312</v>
      </c>
      <c r="G294" s="16" t="s">
        <v>585</v>
      </c>
      <c r="H294" s="15" t="s">
        <v>347</v>
      </c>
      <c r="I294" s="89" t="s">
        <v>347</v>
      </c>
      <c r="J294" s="79">
        <v>70672.13</v>
      </c>
      <c r="K294" s="18" t="s">
        <v>1157</v>
      </c>
      <c r="L294" s="94" t="s">
        <v>357</v>
      </c>
      <c r="M294" s="148" t="s">
        <v>468</v>
      </c>
      <c r="N294" s="19" t="str">
        <f>_xlfn.XLOOKUP(Calculations[[#This Row],[For XLOOKUP]],Factors[For XLOOKUP],Factors[Factor],"")</f>
        <v>Σ.Ε. CO₂ eq</v>
      </c>
      <c r="O294" s="19">
        <f>_xlfn.XLOOKUP(Calculations[[#This Row],[For XLOOKUP]],Factors[For XLOOKUP],Factors[Value],"")</f>
        <v>3.7960000000000001E-4</v>
      </c>
      <c r="P294" s="19" t="str">
        <f>_xlfn.XLOOKUP(Calculations[[#This Row],[For XLOOKUP]],Factors[For XLOOKUP],Factors[Units],"")</f>
        <v>tn CO2 eq/ €</v>
      </c>
      <c r="Q294" s="19" t="str">
        <f>_xlfn.XLOOKUP(Calculations[[#This Row],[For XLOOKUP]],Factors[For XLOOKUP],Factors[Source],"")</f>
        <v>EXIOBASE 2019 - GR</v>
      </c>
      <c r="R29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4" s="19" t="str">
        <f>IF(LEFT(Calculations[[#This Row],[Emission Factor]],7)="Σ.Ε. CH",Calculations[[#This Row],[Value]]*Calculations[[#This Row],[Τιμή]],"-")</f>
        <v>-</v>
      </c>
      <c r="T29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4" s="19" t="str">
        <f>IF(LEFT(Calculations[[#This Row],[Emission Factor]],3)="GWP",Calculations[[#This Row],[Τιμή]],"-")</f>
        <v>-</v>
      </c>
      <c r="V294" s="19">
        <f>IF(OR(Calculations[[#This Row],[Emission Factor]]="Σ.Ε. CO₂ eq",Calculations[[#This Row],[Emission Factor]]="CO₂ eq"),Calculations[[#This Row],[Value]]*Calculations[[#This Row],[Τιμή]],"-")</f>
        <v>26.827140548000003</v>
      </c>
      <c r="W294" s="19" t="str">
        <f>IF(Calculations[[#This Row],[Πηγή εκπομπών]]="Electricity consumed in office buildings and projects - market based",Calculations[[#This Row],[t CO2]],"")</f>
        <v/>
      </c>
      <c r="X29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26.827140548000003</v>
      </c>
    </row>
    <row r="295" spans="1:24" ht="29.4" hidden="1" thickTop="1">
      <c r="A295" s="15" t="s">
        <v>350</v>
      </c>
      <c r="B295" s="15" t="s">
        <v>351</v>
      </c>
      <c r="C295" s="16" t="s">
        <v>624</v>
      </c>
      <c r="D295" s="16" t="s">
        <v>895</v>
      </c>
      <c r="E295" s="77" t="s">
        <v>1141</v>
      </c>
      <c r="F295" s="16" t="s">
        <v>312</v>
      </c>
      <c r="G295" s="16" t="s">
        <v>585</v>
      </c>
      <c r="H295" s="15" t="s">
        <v>347</v>
      </c>
      <c r="I295" s="89" t="s">
        <v>347</v>
      </c>
      <c r="J295" s="79">
        <v>198747.39000000004</v>
      </c>
      <c r="K295" s="18" t="s">
        <v>1157</v>
      </c>
      <c r="L295" s="94" t="s">
        <v>383</v>
      </c>
      <c r="M295" s="148" t="s">
        <v>494</v>
      </c>
      <c r="N295" s="81" t="str">
        <f>_xlfn.XLOOKUP(Calculations[[#This Row],[For XLOOKUP]],Factors[For XLOOKUP],Factors[Factor],"")</f>
        <v>Σ.Ε. CO₂ eq</v>
      </c>
      <c r="O295" s="81">
        <f>_xlfn.XLOOKUP(Calculations[[#This Row],[For XLOOKUP]],Factors[For XLOOKUP],Factors[Value],"")</f>
        <v>1.3630000000000001E-3</v>
      </c>
      <c r="P295" s="81" t="str">
        <f>_xlfn.XLOOKUP(Calculations[[#This Row],[For XLOOKUP]],Factors[For XLOOKUP],Factors[Units],"")</f>
        <v>tn CO2 eq/ €</v>
      </c>
      <c r="Q295" s="19" t="str">
        <f>_xlfn.XLOOKUP(Calculations[[#This Row],[For XLOOKUP]],Factors[For XLOOKUP],Factors[Source],"")</f>
        <v>EXIOBASE 2019 - GR</v>
      </c>
      <c r="R29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5" s="81" t="str">
        <f>IF(LEFT(Calculations[[#This Row],[Emission Factor]],7)="Σ.Ε. CH",Calculations[[#This Row],[Value]]*Calculations[[#This Row],[Τιμή]],"-")</f>
        <v>-</v>
      </c>
      <c r="T29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5" s="81" t="str">
        <f>IF(LEFT(Calculations[[#This Row],[Emission Factor]],3)="GWP",Calculations[[#This Row],[Τιμή]],"-")</f>
        <v>-</v>
      </c>
      <c r="V295" s="81">
        <f>IF(OR(Calculations[[#This Row],[Emission Factor]]="Σ.Ε. CO₂ eq",Calculations[[#This Row],[Emission Factor]]="CO₂ eq"),Calculations[[#This Row],[Value]]*Calculations[[#This Row],[Τιμή]],"-")</f>
        <v>270.89269257000007</v>
      </c>
      <c r="W295" s="81" t="str">
        <f>IF(Calculations[[#This Row],[Πηγή εκπομπών]]="Electricity consumed in office buildings and projects - market based",Calculations[[#This Row],[t CO2]],"")</f>
        <v/>
      </c>
      <c r="X29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270.89269257000007</v>
      </c>
    </row>
    <row r="296" spans="1:24" ht="29.4" hidden="1" thickTop="1">
      <c r="A296" s="15" t="s">
        <v>350</v>
      </c>
      <c r="B296" s="15" t="s">
        <v>351</v>
      </c>
      <c r="C296" s="16" t="s">
        <v>624</v>
      </c>
      <c r="D296" s="16" t="s">
        <v>895</v>
      </c>
      <c r="E296" s="16" t="s">
        <v>1141</v>
      </c>
      <c r="F296" s="16" t="s">
        <v>312</v>
      </c>
      <c r="G296" s="16" t="s">
        <v>585</v>
      </c>
      <c r="H296" s="15" t="s">
        <v>347</v>
      </c>
      <c r="I296" s="89" t="s">
        <v>347</v>
      </c>
      <c r="J296" s="79">
        <v>26950</v>
      </c>
      <c r="K296" s="18" t="s">
        <v>1157</v>
      </c>
      <c r="L296" s="94" t="s">
        <v>356</v>
      </c>
      <c r="M296" s="148" t="s">
        <v>467</v>
      </c>
      <c r="N296" s="81" t="str">
        <f>_xlfn.XLOOKUP(Calculations[[#This Row],[For XLOOKUP]],Factors[For XLOOKUP],Factors[Factor],"")</f>
        <v>Σ.Ε. CO₂ eq</v>
      </c>
      <c r="O296" s="81">
        <f>_xlfn.XLOOKUP(Calculations[[#This Row],[For XLOOKUP]],Factors[For XLOOKUP],Factors[Value],"")</f>
        <v>1.6994291999999998E-4</v>
      </c>
      <c r="P296" s="81" t="str">
        <f>_xlfn.XLOOKUP(Calculations[[#This Row],[For XLOOKUP]],Factors[For XLOOKUP],Factors[Units],"")</f>
        <v>tn CO2 eq/ €</v>
      </c>
      <c r="Q296" s="19" t="str">
        <f>_xlfn.XLOOKUP(Calculations[[#This Row],[For XLOOKUP]],Factors[For XLOOKUP],Factors[Source],"")</f>
        <v>BEIS 2021</v>
      </c>
      <c r="R29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6" s="81" t="str">
        <f>IF(LEFT(Calculations[[#This Row],[Emission Factor]],7)="Σ.Ε. CH",Calculations[[#This Row],[Value]]*Calculations[[#This Row],[Τιμή]],"-")</f>
        <v>-</v>
      </c>
      <c r="T29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6" s="81" t="str">
        <f>IF(LEFT(Calculations[[#This Row],[Emission Factor]],3)="GWP",Calculations[[#This Row],[Τιμή]],"-")</f>
        <v>-</v>
      </c>
      <c r="V296" s="81">
        <f>IF(OR(Calculations[[#This Row],[Emission Factor]]="Σ.Ε. CO₂ eq",Calculations[[#This Row],[Emission Factor]]="CO₂ eq"),Calculations[[#This Row],[Value]]*Calculations[[#This Row],[Τιμή]],"-")</f>
        <v>4.5799616939999996</v>
      </c>
      <c r="W296" s="81" t="str">
        <f>IF(Calculations[[#This Row],[Πηγή εκπομπών]]="Electricity consumed in office buildings and projects - market based",Calculations[[#This Row],[t CO2]],"")</f>
        <v/>
      </c>
      <c r="X29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4.5799616939999996</v>
      </c>
    </row>
    <row r="297" spans="1:24" ht="29.4" hidden="1" thickTop="1">
      <c r="A297" s="15" t="s">
        <v>350</v>
      </c>
      <c r="B297" s="15" t="s">
        <v>351</v>
      </c>
      <c r="C297" s="16" t="s">
        <v>624</v>
      </c>
      <c r="D297" s="16" t="s">
        <v>895</v>
      </c>
      <c r="E297" s="77" t="s">
        <v>1141</v>
      </c>
      <c r="F297" s="16" t="s">
        <v>312</v>
      </c>
      <c r="G297" s="16" t="s">
        <v>585</v>
      </c>
      <c r="H297" s="15" t="s">
        <v>347</v>
      </c>
      <c r="I297" s="89" t="s">
        <v>347</v>
      </c>
      <c r="J297" s="79">
        <v>21199.48</v>
      </c>
      <c r="K297" s="18" t="s">
        <v>1157</v>
      </c>
      <c r="L297" s="94" t="s">
        <v>391</v>
      </c>
      <c r="M297" s="148" t="s">
        <v>502</v>
      </c>
      <c r="N297" s="81" t="str">
        <f>_xlfn.XLOOKUP(Calculations[[#This Row],[For XLOOKUP]],Factors[For XLOOKUP],Factors[Factor],"")</f>
        <v>Σ.Ε. CO₂ eq</v>
      </c>
      <c r="O297" s="81">
        <f>_xlfn.XLOOKUP(Calculations[[#This Row],[For XLOOKUP]],Factors[For XLOOKUP],Factors[Value],"")</f>
        <v>4.5980000000000001E-4</v>
      </c>
      <c r="P297" s="81" t="str">
        <f>_xlfn.XLOOKUP(Calculations[[#This Row],[For XLOOKUP]],Factors[For XLOOKUP],Factors[Units],"")</f>
        <v>tn CO2 eq/ €</v>
      </c>
      <c r="Q297" s="19" t="str">
        <f>_xlfn.XLOOKUP(Calculations[[#This Row],[For XLOOKUP]],Factors[For XLOOKUP],Factors[Source],"")</f>
        <v>EXIOBASE 2019 - GR</v>
      </c>
      <c r="R29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7" s="81" t="str">
        <f>IF(LEFT(Calculations[[#This Row],[Emission Factor]],7)="Σ.Ε. CH",Calculations[[#This Row],[Value]]*Calculations[[#This Row],[Τιμή]],"-")</f>
        <v>-</v>
      </c>
      <c r="T29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7" s="81" t="str">
        <f>IF(LEFT(Calculations[[#This Row],[Emission Factor]],3)="GWP",Calculations[[#This Row],[Τιμή]],"-")</f>
        <v>-</v>
      </c>
      <c r="V297" s="81">
        <f>IF(OR(Calculations[[#This Row],[Emission Factor]]="Σ.Ε. CO₂ eq",Calculations[[#This Row],[Emission Factor]]="CO₂ eq"),Calculations[[#This Row],[Value]]*Calculations[[#This Row],[Τιμή]],"-")</f>
        <v>9.7475209039999999</v>
      </c>
      <c r="W297" s="81" t="str">
        <f>IF(Calculations[[#This Row],[Πηγή εκπομπών]]="Electricity consumed in office buildings and projects - market based",Calculations[[#This Row],[t CO2]],"")</f>
        <v/>
      </c>
      <c r="X29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9.7475209039999999</v>
      </c>
    </row>
    <row r="298" spans="1:24" ht="29.4" hidden="1" thickTop="1">
      <c r="A298" s="15" t="s">
        <v>350</v>
      </c>
      <c r="B298" s="15" t="s">
        <v>351</v>
      </c>
      <c r="C298" s="16" t="s">
        <v>624</v>
      </c>
      <c r="D298" s="16" t="s">
        <v>895</v>
      </c>
      <c r="E298" s="77" t="s">
        <v>1141</v>
      </c>
      <c r="F298" s="16" t="s">
        <v>312</v>
      </c>
      <c r="G298" s="16" t="s">
        <v>585</v>
      </c>
      <c r="H298" s="15" t="s">
        <v>347</v>
      </c>
      <c r="I298" s="89" t="s">
        <v>347</v>
      </c>
      <c r="J298" s="79">
        <v>21143.25</v>
      </c>
      <c r="K298" s="18" t="s">
        <v>1157</v>
      </c>
      <c r="L298" s="94" t="s">
        <v>404</v>
      </c>
      <c r="M298" s="148" t="s">
        <v>515</v>
      </c>
      <c r="N298" s="81" t="str">
        <f>_xlfn.XLOOKUP(Calculations[[#This Row],[For XLOOKUP]],Factors[For XLOOKUP],Factors[Factor],"")</f>
        <v>Σ.Ε. CO₂ eq</v>
      </c>
      <c r="O298" s="81">
        <f>_xlfn.XLOOKUP(Calculations[[#This Row],[For XLOOKUP]],Factors[For XLOOKUP],Factors[Value],"")</f>
        <v>2.1090000000000002E-3</v>
      </c>
      <c r="P298" s="81" t="str">
        <f>_xlfn.XLOOKUP(Calculations[[#This Row],[For XLOOKUP]],Factors[For XLOOKUP],Factors[Units],"")</f>
        <v>tn CO2 eq/ €</v>
      </c>
      <c r="Q298" s="19" t="str">
        <f>_xlfn.XLOOKUP(Calculations[[#This Row],[For XLOOKUP]],Factors[For XLOOKUP],Factors[Source],"")</f>
        <v>EXIOBASE 2019 - GR</v>
      </c>
      <c r="R29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8" s="81" t="str">
        <f>IF(LEFT(Calculations[[#This Row],[Emission Factor]],7)="Σ.Ε. CH",Calculations[[#This Row],[Value]]*Calculations[[#This Row],[Τιμή]],"-")</f>
        <v>-</v>
      </c>
      <c r="T29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8" s="81" t="str">
        <f>IF(LEFT(Calculations[[#This Row],[Emission Factor]],3)="GWP",Calculations[[#This Row],[Τιμή]],"-")</f>
        <v>-</v>
      </c>
      <c r="V298" s="81">
        <f>IF(OR(Calculations[[#This Row],[Emission Factor]]="Σ.Ε. CO₂ eq",Calculations[[#This Row],[Emission Factor]]="CO₂ eq"),Calculations[[#This Row],[Value]]*Calculations[[#This Row],[Τιμή]],"-")</f>
        <v>44.591114250000004</v>
      </c>
      <c r="W298" s="81" t="str">
        <f>IF(Calculations[[#This Row],[Πηγή εκπομπών]]="Electricity consumed in office buildings and projects - market based",Calculations[[#This Row],[t CO2]],"")</f>
        <v/>
      </c>
      <c r="X29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44.591114250000004</v>
      </c>
    </row>
    <row r="299" spans="1:24" ht="29.4" hidden="1" thickTop="1">
      <c r="A299" s="15" t="s">
        <v>350</v>
      </c>
      <c r="B299" s="15" t="s">
        <v>351</v>
      </c>
      <c r="C299" s="16" t="s">
        <v>624</v>
      </c>
      <c r="D299" s="16" t="s">
        <v>895</v>
      </c>
      <c r="E299" s="77" t="s">
        <v>1141</v>
      </c>
      <c r="F299" s="16" t="s">
        <v>312</v>
      </c>
      <c r="G299" s="16" t="s">
        <v>585</v>
      </c>
      <c r="H299" s="15" t="s">
        <v>347</v>
      </c>
      <c r="I299" s="89" t="s">
        <v>347</v>
      </c>
      <c r="J299" s="79">
        <v>36521.710000000006</v>
      </c>
      <c r="K299" s="18" t="s">
        <v>1157</v>
      </c>
      <c r="L299" s="94" t="s">
        <v>405</v>
      </c>
      <c r="M299" s="148" t="s">
        <v>516</v>
      </c>
      <c r="N299" s="81" t="str">
        <f>_xlfn.XLOOKUP(Calculations[[#This Row],[For XLOOKUP]],Factors[For XLOOKUP],Factors[Factor],"")</f>
        <v>Σ.Ε. CO₂ eq</v>
      </c>
      <c r="O299" s="81">
        <f>_xlfn.XLOOKUP(Calculations[[#This Row],[For XLOOKUP]],Factors[For XLOOKUP],Factors[Value],"")</f>
        <v>7.6868999999999999E-5</v>
      </c>
      <c r="P299" s="81" t="str">
        <f>_xlfn.XLOOKUP(Calculations[[#This Row],[For XLOOKUP]],Factors[For XLOOKUP],Factors[Units],"")</f>
        <v>tn CO2 eq/ €</v>
      </c>
      <c r="Q299" s="19" t="str">
        <f>_xlfn.XLOOKUP(Calculations[[#This Row],[For XLOOKUP]],Factors[For XLOOKUP],Factors[Source],"")</f>
        <v>EPA 2022</v>
      </c>
      <c r="R29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9" s="81" t="str">
        <f>IF(LEFT(Calculations[[#This Row],[Emission Factor]],7)="Σ.Ε. CH",Calculations[[#This Row],[Value]]*Calculations[[#This Row],[Τιμή]],"-")</f>
        <v>-</v>
      </c>
      <c r="T29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9" s="81" t="str">
        <f>IF(LEFT(Calculations[[#This Row],[Emission Factor]],3)="GWP",Calculations[[#This Row],[Τιμή]],"-")</f>
        <v>-</v>
      </c>
      <c r="V299" s="81">
        <f>IF(OR(Calculations[[#This Row],[Emission Factor]]="Σ.Ε. CO₂ eq",Calculations[[#This Row],[Emission Factor]]="CO₂ eq"),Calculations[[#This Row],[Value]]*Calculations[[#This Row],[Τιμή]],"-")</f>
        <v>2.8073873259900006</v>
      </c>
      <c r="W299" s="81" t="str">
        <f>IF(Calculations[[#This Row],[Πηγή εκπομπών]]="Electricity consumed in office buildings and projects - market based",Calculations[[#This Row],[t CO2]],"")</f>
        <v/>
      </c>
      <c r="X29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2.8073873259900006</v>
      </c>
    </row>
    <row r="300" spans="1:24" ht="29.4" hidden="1" thickTop="1">
      <c r="A300" s="15" t="s">
        <v>350</v>
      </c>
      <c r="B300" s="15" t="s">
        <v>351</v>
      </c>
      <c r="C300" s="16" t="s">
        <v>624</v>
      </c>
      <c r="D300" s="16" t="s">
        <v>895</v>
      </c>
      <c r="E300" s="16" t="s">
        <v>1141</v>
      </c>
      <c r="F300" s="16" t="s">
        <v>312</v>
      </c>
      <c r="G300" s="16" t="s">
        <v>585</v>
      </c>
      <c r="H300" s="15" t="s">
        <v>347</v>
      </c>
      <c r="I300" s="89" t="s">
        <v>347</v>
      </c>
      <c r="J300" s="79">
        <v>18678.250000000004</v>
      </c>
      <c r="K300" s="18" t="s">
        <v>1157</v>
      </c>
      <c r="L300" s="94" t="s">
        <v>372</v>
      </c>
      <c r="M300" s="148" t="s">
        <v>483</v>
      </c>
      <c r="N300" s="81" t="str">
        <f>_xlfn.XLOOKUP(Calculations[[#This Row],[For XLOOKUP]],Factors[For XLOOKUP],Factors[Factor],"")</f>
        <v>Σ.Ε. CO₂ eq</v>
      </c>
      <c r="O300" s="81">
        <f>_xlfn.XLOOKUP(Calculations[[#This Row],[For XLOOKUP]],Factors[For XLOOKUP],Factors[Value],"")</f>
        <v>8.7399000000000008E-5</v>
      </c>
      <c r="P300" s="81" t="str">
        <f>_xlfn.XLOOKUP(Calculations[[#This Row],[For XLOOKUP]],Factors[For XLOOKUP],Factors[Units],"")</f>
        <v>tn CO2 eq/ €</v>
      </c>
      <c r="Q300" s="19" t="str">
        <f>_xlfn.XLOOKUP(Calculations[[#This Row],[For XLOOKUP]],Factors[For XLOOKUP],Factors[Source],"")</f>
        <v>EPA 2022</v>
      </c>
      <c r="R30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0" s="81" t="str">
        <f>IF(LEFT(Calculations[[#This Row],[Emission Factor]],7)="Σ.Ε. CH",Calculations[[#This Row],[Value]]*Calculations[[#This Row],[Τιμή]],"-")</f>
        <v>-</v>
      </c>
      <c r="T30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0" s="81" t="str">
        <f>IF(LEFT(Calculations[[#This Row],[Emission Factor]],3)="GWP",Calculations[[#This Row],[Τιμή]],"-")</f>
        <v>-</v>
      </c>
      <c r="V300" s="81">
        <f>IF(OR(Calculations[[#This Row],[Emission Factor]]="Σ.Ε. CO₂ eq",Calculations[[#This Row],[Emission Factor]]="CO₂ eq"),Calculations[[#This Row],[Value]]*Calculations[[#This Row],[Τιμή]],"-")</f>
        <v>1.6324603717500004</v>
      </c>
      <c r="W300" s="81" t="str">
        <f>IF(Calculations[[#This Row],[Πηγή εκπομπών]]="Electricity consumed in office buildings and projects - market based",Calculations[[#This Row],[t CO2]],"")</f>
        <v/>
      </c>
      <c r="X30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1.6324603717500004</v>
      </c>
    </row>
    <row r="301" spans="1:24" ht="29.4" hidden="1" thickTop="1">
      <c r="A301" s="15" t="s">
        <v>350</v>
      </c>
      <c r="B301" s="15" t="s">
        <v>351</v>
      </c>
      <c r="C301" s="16" t="s">
        <v>624</v>
      </c>
      <c r="D301" s="16" t="s">
        <v>895</v>
      </c>
      <c r="E301" s="16" t="s">
        <v>1141</v>
      </c>
      <c r="F301" s="16" t="s">
        <v>312</v>
      </c>
      <c r="G301" s="16" t="s">
        <v>585</v>
      </c>
      <c r="H301" s="15" t="s">
        <v>347</v>
      </c>
      <c r="I301" s="89" t="s">
        <v>347</v>
      </c>
      <c r="J301" s="79">
        <v>22518.75</v>
      </c>
      <c r="K301" s="18" t="s">
        <v>1157</v>
      </c>
      <c r="L301" s="94" t="s">
        <v>413</v>
      </c>
      <c r="M301" s="148" t="s">
        <v>524</v>
      </c>
      <c r="N301" s="81" t="str">
        <f>_xlfn.XLOOKUP(Calculations[[#This Row],[For XLOOKUP]],Factors[For XLOOKUP],Factors[Factor],"")</f>
        <v>Σ.Ε. CO₂ eq</v>
      </c>
      <c r="O301" s="81">
        <f>_xlfn.XLOOKUP(Calculations[[#This Row],[For XLOOKUP]],Factors[For XLOOKUP],Factors[Value],"")</f>
        <v>1.03194E-4</v>
      </c>
      <c r="P301" s="81" t="str">
        <f>_xlfn.XLOOKUP(Calculations[[#This Row],[For XLOOKUP]],Factors[For XLOOKUP],Factors[Units],"")</f>
        <v>tn CO2 eq/ €</v>
      </c>
      <c r="Q301" s="19" t="str">
        <f>_xlfn.XLOOKUP(Calculations[[#This Row],[For XLOOKUP]],Factors[For XLOOKUP],Factors[Source],"")</f>
        <v>EPA 2022</v>
      </c>
      <c r="R30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1" s="81" t="str">
        <f>IF(LEFT(Calculations[[#This Row],[Emission Factor]],7)="Σ.Ε. CH",Calculations[[#This Row],[Value]]*Calculations[[#This Row],[Τιμή]],"-")</f>
        <v>-</v>
      </c>
      <c r="T30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1" s="81" t="str">
        <f>IF(LEFT(Calculations[[#This Row],[Emission Factor]],3)="GWP",Calculations[[#This Row],[Τιμή]],"-")</f>
        <v>-</v>
      </c>
      <c r="V301" s="81">
        <f>IF(OR(Calculations[[#This Row],[Emission Factor]]="Σ.Ε. CO₂ eq",Calculations[[#This Row],[Emission Factor]]="CO₂ eq"),Calculations[[#This Row],[Value]]*Calculations[[#This Row],[Τιμή]],"-")</f>
        <v>2.3237998874999999</v>
      </c>
      <c r="W301" s="81" t="str">
        <f>IF(Calculations[[#This Row],[Πηγή εκπομπών]]="Electricity consumed in office buildings and projects - market based",Calculations[[#This Row],[t CO2]],"")</f>
        <v/>
      </c>
      <c r="X30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2.3237998874999999</v>
      </c>
    </row>
    <row r="302" spans="1:24" ht="29.4" hidden="1" thickTop="1">
      <c r="A302" s="15" t="s">
        <v>350</v>
      </c>
      <c r="B302" s="15" t="s">
        <v>351</v>
      </c>
      <c r="C302" s="16" t="s">
        <v>624</v>
      </c>
      <c r="D302" s="16" t="s">
        <v>895</v>
      </c>
      <c r="E302" s="16" t="s">
        <v>1141</v>
      </c>
      <c r="F302" s="16" t="s">
        <v>312</v>
      </c>
      <c r="G302" s="16" t="s">
        <v>585</v>
      </c>
      <c r="H302" s="15" t="s">
        <v>347</v>
      </c>
      <c r="I302" s="89" t="s">
        <v>347</v>
      </c>
      <c r="J302" s="79">
        <v>20010.54</v>
      </c>
      <c r="K302" s="18" t="s">
        <v>1157</v>
      </c>
      <c r="L302" s="94" t="s">
        <v>445</v>
      </c>
      <c r="M302" s="148" t="s">
        <v>556</v>
      </c>
      <c r="N302" s="81" t="str">
        <f>_xlfn.XLOOKUP(Calculations[[#This Row],[For XLOOKUP]],Factors[For XLOOKUP],Factors[Factor],"")</f>
        <v>Σ.Ε. CO₂ eq</v>
      </c>
      <c r="O302" s="81">
        <f>_xlfn.XLOOKUP(Calculations[[#This Row],[For XLOOKUP]],Factors[For XLOOKUP],Factors[Value],"")</f>
        <v>3.368E-4</v>
      </c>
      <c r="P302" s="81" t="str">
        <f>_xlfn.XLOOKUP(Calculations[[#This Row],[For XLOOKUP]],Factors[For XLOOKUP],Factors[Units],"")</f>
        <v>tn CO2 eq/ €</v>
      </c>
      <c r="Q302" s="19" t="str">
        <f>_xlfn.XLOOKUP(Calculations[[#This Row],[For XLOOKUP]],Factors[For XLOOKUP],Factors[Source],"")</f>
        <v>EXIOBASE 2019 - GR</v>
      </c>
      <c r="R30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2" s="81" t="str">
        <f>IF(LEFT(Calculations[[#This Row],[Emission Factor]],7)="Σ.Ε. CH",Calculations[[#This Row],[Value]]*Calculations[[#This Row],[Τιμή]],"-")</f>
        <v>-</v>
      </c>
      <c r="T30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2" s="81" t="str">
        <f>IF(LEFT(Calculations[[#This Row],[Emission Factor]],3)="GWP",Calculations[[#This Row],[Τιμή]],"-")</f>
        <v>-</v>
      </c>
      <c r="V302" s="81">
        <f>IF(OR(Calculations[[#This Row],[Emission Factor]]="Σ.Ε. CO₂ eq",Calculations[[#This Row],[Emission Factor]]="CO₂ eq"),Calculations[[#This Row],[Value]]*Calculations[[#This Row],[Τιμή]],"-")</f>
        <v>6.7395498720000004</v>
      </c>
      <c r="W302" s="81" t="str">
        <f>IF(Calculations[[#This Row],[Πηγή εκπομπών]]="Electricity consumed in office buildings and projects - market based",Calculations[[#This Row],[t CO2]],"")</f>
        <v/>
      </c>
      <c r="X30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6.7395498720000004</v>
      </c>
    </row>
    <row r="303" spans="1:24" ht="29.4" hidden="1" thickTop="1">
      <c r="A303" s="15" t="s">
        <v>350</v>
      </c>
      <c r="B303" s="15" t="s">
        <v>351</v>
      </c>
      <c r="C303" s="16" t="s">
        <v>624</v>
      </c>
      <c r="D303" s="16" t="s">
        <v>895</v>
      </c>
      <c r="E303" s="16" t="s">
        <v>1141</v>
      </c>
      <c r="F303" s="16" t="s">
        <v>312</v>
      </c>
      <c r="G303" s="16" t="s">
        <v>585</v>
      </c>
      <c r="H303" s="15" t="s">
        <v>347</v>
      </c>
      <c r="I303" s="89" t="s">
        <v>347</v>
      </c>
      <c r="J303" s="79">
        <v>12825.98</v>
      </c>
      <c r="K303" s="18" t="s">
        <v>1157</v>
      </c>
      <c r="L303" s="94" t="s">
        <v>429</v>
      </c>
      <c r="M303" s="148" t="s">
        <v>540</v>
      </c>
      <c r="N303" s="81" t="str">
        <f>_xlfn.XLOOKUP(Calculations[[#This Row],[For XLOOKUP]],Factors[For XLOOKUP],Factors[Factor],"")</f>
        <v>Σ.Ε. CO₂ eq</v>
      </c>
      <c r="O303" s="81">
        <f>_xlfn.XLOOKUP(Calculations[[#This Row],[For XLOOKUP]],Factors[For XLOOKUP],Factors[Value],"")</f>
        <v>8.8451999999999999E-5</v>
      </c>
      <c r="P303" s="81" t="str">
        <f>_xlfn.XLOOKUP(Calculations[[#This Row],[For XLOOKUP]],Factors[For XLOOKUP],Factors[Units],"")</f>
        <v>tn CO2 eq/ €</v>
      </c>
      <c r="Q303" s="19" t="str">
        <f>_xlfn.XLOOKUP(Calculations[[#This Row],[For XLOOKUP]],Factors[For XLOOKUP],Factors[Source],"")</f>
        <v>EPA 2022</v>
      </c>
      <c r="R30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3" s="81" t="str">
        <f>IF(LEFT(Calculations[[#This Row],[Emission Factor]],7)="Σ.Ε. CH",Calculations[[#This Row],[Value]]*Calculations[[#This Row],[Τιμή]],"-")</f>
        <v>-</v>
      </c>
      <c r="T30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3" s="81" t="str">
        <f>IF(LEFT(Calculations[[#This Row],[Emission Factor]],3)="GWP",Calculations[[#This Row],[Τιμή]],"-")</f>
        <v>-</v>
      </c>
      <c r="V303" s="81">
        <f>IF(OR(Calculations[[#This Row],[Emission Factor]]="Σ.Ε. CO₂ eq",Calculations[[#This Row],[Emission Factor]]="CO₂ eq"),Calculations[[#This Row],[Value]]*Calculations[[#This Row],[Τιμή]],"-")</f>
        <v>1.13448358296</v>
      </c>
      <c r="W303" s="81" t="str">
        <f>IF(Calculations[[#This Row],[Πηγή εκπομπών]]="Electricity consumed in office buildings and projects - market based",Calculations[[#This Row],[t CO2]],"")</f>
        <v/>
      </c>
      <c r="X30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1.13448358296</v>
      </c>
    </row>
    <row r="304" spans="1:24" ht="29.4" hidden="1" thickTop="1">
      <c r="A304" s="15" t="s">
        <v>350</v>
      </c>
      <c r="B304" s="15" t="s">
        <v>351</v>
      </c>
      <c r="C304" s="16" t="s">
        <v>624</v>
      </c>
      <c r="D304" s="16" t="s">
        <v>895</v>
      </c>
      <c r="E304" s="16" t="s">
        <v>1141</v>
      </c>
      <c r="F304" s="16" t="s">
        <v>312</v>
      </c>
      <c r="G304" s="16" t="s">
        <v>585</v>
      </c>
      <c r="H304" s="15" t="s">
        <v>347</v>
      </c>
      <c r="I304" s="89" t="s">
        <v>347</v>
      </c>
      <c r="J304" s="79">
        <v>27075.950000000004</v>
      </c>
      <c r="K304" s="18" t="s">
        <v>1157</v>
      </c>
      <c r="L304" s="94" t="s">
        <v>382</v>
      </c>
      <c r="M304" s="148" t="s">
        <v>493</v>
      </c>
      <c r="N304" s="81" t="str">
        <f>_xlfn.XLOOKUP(Calculations[[#This Row],[For XLOOKUP]],Factors[For XLOOKUP],Factors[Factor],"")</f>
        <v>Σ.Ε. CO₂ eq</v>
      </c>
      <c r="O304" s="81">
        <f>_xlfn.XLOOKUP(Calculations[[#This Row],[For XLOOKUP]],Factors[For XLOOKUP],Factors[Value],"")</f>
        <v>8.7299999999999997E-4</v>
      </c>
      <c r="P304" s="81" t="str">
        <f>_xlfn.XLOOKUP(Calculations[[#This Row],[For XLOOKUP]],Factors[For XLOOKUP],Factors[Units],"")</f>
        <v>tn CO2 eq/ €</v>
      </c>
      <c r="Q304" s="19" t="str">
        <f>_xlfn.XLOOKUP(Calculations[[#This Row],[For XLOOKUP]],Factors[For XLOOKUP],Factors[Source],"")</f>
        <v>EXIOBASE 2019 - GR</v>
      </c>
      <c r="R30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4" s="81" t="str">
        <f>IF(LEFT(Calculations[[#This Row],[Emission Factor]],7)="Σ.Ε. CH",Calculations[[#This Row],[Value]]*Calculations[[#This Row],[Τιμή]],"-")</f>
        <v>-</v>
      </c>
      <c r="T30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4" s="81" t="str">
        <f>IF(LEFT(Calculations[[#This Row],[Emission Factor]],3)="GWP",Calculations[[#This Row],[Τιμή]],"-")</f>
        <v>-</v>
      </c>
      <c r="V304" s="81">
        <f>IF(OR(Calculations[[#This Row],[Emission Factor]]="Σ.Ε. CO₂ eq",Calculations[[#This Row],[Emission Factor]]="CO₂ eq"),Calculations[[#This Row],[Value]]*Calculations[[#This Row],[Τιμή]],"-")</f>
        <v>23.637304350000004</v>
      </c>
      <c r="W304" s="81" t="str">
        <f>IF(Calculations[[#This Row],[Πηγή εκπομπών]]="Electricity consumed in office buildings and projects - market based",Calculations[[#This Row],[t CO2]],"")</f>
        <v/>
      </c>
      <c r="X30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23.637304350000004</v>
      </c>
    </row>
    <row r="305" spans="1:24" ht="29.4" hidden="1" thickTop="1">
      <c r="A305" s="15" t="s">
        <v>350</v>
      </c>
      <c r="B305" s="15" t="s">
        <v>351</v>
      </c>
      <c r="C305" s="16" t="s">
        <v>624</v>
      </c>
      <c r="D305" s="16" t="s">
        <v>895</v>
      </c>
      <c r="E305" s="16" t="s">
        <v>1141</v>
      </c>
      <c r="F305" s="16" t="s">
        <v>312</v>
      </c>
      <c r="G305" s="16" t="s">
        <v>585</v>
      </c>
      <c r="H305" s="15" t="s">
        <v>347</v>
      </c>
      <c r="I305" s="89" t="s">
        <v>347</v>
      </c>
      <c r="J305" s="79">
        <v>13826.42</v>
      </c>
      <c r="K305" s="18" t="s">
        <v>1157</v>
      </c>
      <c r="L305" s="94" t="s">
        <v>384</v>
      </c>
      <c r="M305" s="148" t="s">
        <v>495</v>
      </c>
      <c r="N305" s="81" t="str">
        <f>_xlfn.XLOOKUP(Calculations[[#This Row],[For XLOOKUP]],Factors[For XLOOKUP],Factors[Factor],"")</f>
        <v>Σ.Ε. CO₂ eq</v>
      </c>
      <c r="O305" s="81">
        <f>_xlfn.XLOOKUP(Calculations[[#This Row],[For XLOOKUP]],Factors[For XLOOKUP],Factors[Value],"")</f>
        <v>8.4404124000000004E-4</v>
      </c>
      <c r="P305" s="81" t="str">
        <f>_xlfn.XLOOKUP(Calculations[[#This Row],[For XLOOKUP]],Factors[For XLOOKUP],Factors[Units],"")</f>
        <v>tn CO2 eq/ €</v>
      </c>
      <c r="Q305" s="19" t="str">
        <f>_xlfn.XLOOKUP(Calculations[[#This Row],[For XLOOKUP]],Factors[For XLOOKUP],Factors[Source],"")</f>
        <v>BEIS 2021</v>
      </c>
      <c r="R30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5" s="81" t="str">
        <f>IF(LEFT(Calculations[[#This Row],[Emission Factor]],7)="Σ.Ε. CH",Calculations[[#This Row],[Value]]*Calculations[[#This Row],[Τιμή]],"-")</f>
        <v>-</v>
      </c>
      <c r="T30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5" s="81" t="str">
        <f>IF(LEFT(Calculations[[#This Row],[Emission Factor]],3)="GWP",Calculations[[#This Row],[Τιμή]],"-")</f>
        <v>-</v>
      </c>
      <c r="V305" s="81">
        <f>IF(OR(Calculations[[#This Row],[Emission Factor]]="Σ.Ε. CO₂ eq",Calculations[[#This Row],[Emission Factor]]="CO₂ eq"),Calculations[[#This Row],[Value]]*Calculations[[#This Row],[Τιμή]],"-")</f>
        <v>11.670068681560801</v>
      </c>
      <c r="W305" s="81" t="str">
        <f>IF(Calculations[[#This Row],[Πηγή εκπομπών]]="Electricity consumed in office buildings and projects - market based",Calculations[[#This Row],[t CO2]],"")</f>
        <v/>
      </c>
      <c r="X30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11.670068681560801</v>
      </c>
    </row>
    <row r="306" spans="1:24" ht="29.4" hidden="1" thickTop="1">
      <c r="A306" s="15" t="s">
        <v>350</v>
      </c>
      <c r="B306" s="15" t="s">
        <v>351</v>
      </c>
      <c r="C306" s="16" t="s">
        <v>624</v>
      </c>
      <c r="D306" s="16" t="s">
        <v>895</v>
      </c>
      <c r="E306" s="16" t="s">
        <v>1141</v>
      </c>
      <c r="F306" s="16" t="s">
        <v>312</v>
      </c>
      <c r="G306" s="16" t="s">
        <v>585</v>
      </c>
      <c r="H306" s="15" t="s">
        <v>347</v>
      </c>
      <c r="I306" s="89" t="s">
        <v>347</v>
      </c>
      <c r="J306" s="79">
        <v>8635.1500000000015</v>
      </c>
      <c r="K306" s="18" t="s">
        <v>1157</v>
      </c>
      <c r="L306" s="94" t="s">
        <v>453</v>
      </c>
      <c r="M306" s="148" t="s">
        <v>564</v>
      </c>
      <c r="N306" s="81" t="str">
        <f>_xlfn.XLOOKUP(Calculations[[#This Row],[For XLOOKUP]],Factors[For XLOOKUP],Factors[Factor],"")</f>
        <v>Σ.Ε. CO₂ eq</v>
      </c>
      <c r="O306" s="81">
        <f>_xlfn.XLOOKUP(Calculations[[#This Row],[For XLOOKUP]],Factors[For XLOOKUP],Factors[Value],"")</f>
        <v>1.1003849999999999E-3</v>
      </c>
      <c r="P306" s="81" t="str">
        <f>_xlfn.XLOOKUP(Calculations[[#This Row],[For XLOOKUP]],Factors[For XLOOKUP],Factors[Units],"")</f>
        <v>tn CO2 eq/ €</v>
      </c>
      <c r="Q306" s="19" t="str">
        <f>_xlfn.XLOOKUP(Calculations[[#This Row],[For XLOOKUP]],Factors[For XLOOKUP],Factors[Source],"")</f>
        <v>EPA 2022</v>
      </c>
      <c r="R30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6" s="81" t="str">
        <f>IF(LEFT(Calculations[[#This Row],[Emission Factor]],7)="Σ.Ε. CH",Calculations[[#This Row],[Value]]*Calculations[[#This Row],[Τιμή]],"-")</f>
        <v>-</v>
      </c>
      <c r="T30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6" s="81" t="str">
        <f>IF(LEFT(Calculations[[#This Row],[Emission Factor]],3)="GWP",Calculations[[#This Row],[Τιμή]],"-")</f>
        <v>-</v>
      </c>
      <c r="V306" s="81">
        <f>IF(OR(Calculations[[#This Row],[Emission Factor]]="Σ.Ε. CO₂ eq",Calculations[[#This Row],[Emission Factor]]="CO₂ eq"),Calculations[[#This Row],[Value]]*Calculations[[#This Row],[Τιμή]],"-")</f>
        <v>9.5019895327500006</v>
      </c>
      <c r="W306" s="81" t="str">
        <f>IF(Calculations[[#This Row],[Πηγή εκπομπών]]="Electricity consumed in office buildings and projects - market based",Calculations[[#This Row],[t CO2]],"")</f>
        <v/>
      </c>
      <c r="X30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9.5019895327500006</v>
      </c>
    </row>
    <row r="307" spans="1:24" ht="29.4" hidden="1" thickTop="1">
      <c r="A307" s="15" t="s">
        <v>350</v>
      </c>
      <c r="B307" s="15" t="s">
        <v>351</v>
      </c>
      <c r="C307" s="16" t="s">
        <v>624</v>
      </c>
      <c r="D307" s="16" t="s">
        <v>895</v>
      </c>
      <c r="E307" s="16" t="s">
        <v>1141</v>
      </c>
      <c r="F307" s="16" t="s">
        <v>312</v>
      </c>
      <c r="G307" s="16" t="s">
        <v>585</v>
      </c>
      <c r="H307" s="15" t="s">
        <v>347</v>
      </c>
      <c r="I307" s="89" t="s">
        <v>347</v>
      </c>
      <c r="J307" s="79">
        <v>46236.37</v>
      </c>
      <c r="K307" s="18" t="s">
        <v>1157</v>
      </c>
      <c r="L307" s="94" t="s">
        <v>371</v>
      </c>
      <c r="M307" s="148" t="s">
        <v>482</v>
      </c>
      <c r="N307" s="81" t="str">
        <f>_xlfn.XLOOKUP(Calculations[[#This Row],[For XLOOKUP]],Factors[For XLOOKUP],Factors[Factor],"")</f>
        <v>Σ.Ε. CO₂ eq</v>
      </c>
      <c r="O307" s="81">
        <f>_xlfn.XLOOKUP(Calculations[[#This Row],[For XLOOKUP]],Factors[For XLOOKUP],Factors[Value],"")</f>
        <v>6.3481460000000003E-4</v>
      </c>
      <c r="P307" s="81" t="str">
        <f>_xlfn.XLOOKUP(Calculations[[#This Row],[For XLOOKUP]],Factors[For XLOOKUP],Factors[Units],"")</f>
        <v>tn CO2 eq/ €</v>
      </c>
      <c r="Q307" s="19" t="str">
        <f>_xlfn.XLOOKUP(Calculations[[#This Row],[For XLOOKUP]],Factors[For XLOOKUP],Factors[Source],"")</f>
        <v>BEIS 2021</v>
      </c>
      <c r="R30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7" s="81" t="str">
        <f>IF(LEFT(Calculations[[#This Row],[Emission Factor]],7)="Σ.Ε. CH",Calculations[[#This Row],[Value]]*Calculations[[#This Row],[Τιμή]],"-")</f>
        <v>-</v>
      </c>
      <c r="T30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7" s="81" t="str">
        <f>IF(LEFT(Calculations[[#This Row],[Emission Factor]],3)="GWP",Calculations[[#This Row],[Τιμή]],"-")</f>
        <v>-</v>
      </c>
      <c r="V307" s="81">
        <f>IF(OR(Calculations[[#This Row],[Emission Factor]]="Σ.Ε. CO₂ eq",Calculations[[#This Row],[Emission Factor]]="CO₂ eq"),Calculations[[#This Row],[Value]]*Calculations[[#This Row],[Τιμή]],"-")</f>
        <v>29.351522727002003</v>
      </c>
      <c r="W307" s="81" t="str">
        <f>IF(Calculations[[#This Row],[Πηγή εκπομπών]]="Electricity consumed in office buildings and projects - market based",Calculations[[#This Row],[t CO2]],"")</f>
        <v/>
      </c>
      <c r="X30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29.351522727002003</v>
      </c>
    </row>
    <row r="308" spans="1:24" ht="29.4" hidden="1" thickTop="1">
      <c r="A308" s="15" t="s">
        <v>350</v>
      </c>
      <c r="B308" s="15" t="s">
        <v>351</v>
      </c>
      <c r="C308" s="16" t="s">
        <v>624</v>
      </c>
      <c r="D308" s="16" t="s">
        <v>895</v>
      </c>
      <c r="E308" s="16" t="s">
        <v>1141</v>
      </c>
      <c r="F308" s="77" t="s">
        <v>312</v>
      </c>
      <c r="G308" s="16" t="s">
        <v>585</v>
      </c>
      <c r="H308" s="15" t="s">
        <v>347</v>
      </c>
      <c r="I308" s="89" t="s">
        <v>347</v>
      </c>
      <c r="J308" s="79">
        <v>32165.789999999994</v>
      </c>
      <c r="K308" s="18" t="s">
        <v>1157</v>
      </c>
      <c r="L308" s="94" t="s">
        <v>390</v>
      </c>
      <c r="M308" s="148" t="s">
        <v>501</v>
      </c>
      <c r="N308" s="81" t="str">
        <f>_xlfn.XLOOKUP(Calculations[[#This Row],[For XLOOKUP]],Factors[For XLOOKUP],Factors[Factor],"")</f>
        <v>Σ.Ε. CO₂ eq</v>
      </c>
      <c r="O308" s="81">
        <f>_xlfn.XLOOKUP(Calculations[[#This Row],[For XLOOKUP]],Factors[For XLOOKUP],Factors[Value],"")</f>
        <v>1.9480499999999999E-4</v>
      </c>
      <c r="P308" s="81" t="str">
        <f>_xlfn.XLOOKUP(Calculations[[#This Row],[For XLOOKUP]],Factors[For XLOOKUP],Factors[Units],"")</f>
        <v>tn CO2 eq/ €</v>
      </c>
      <c r="Q308" s="19" t="str">
        <f>_xlfn.XLOOKUP(Calculations[[#This Row],[For XLOOKUP]],Factors[For XLOOKUP],Factors[Source],"")</f>
        <v>EPA 2022</v>
      </c>
      <c r="R30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8" s="81" t="str">
        <f>IF(LEFT(Calculations[[#This Row],[Emission Factor]],7)="Σ.Ε. CH",Calculations[[#This Row],[Value]]*Calculations[[#This Row],[Τιμή]],"-")</f>
        <v>-</v>
      </c>
      <c r="T30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8" s="81" t="str">
        <f>IF(LEFT(Calculations[[#This Row],[Emission Factor]],3)="GWP",Calculations[[#This Row],[Τιμή]],"-")</f>
        <v>-</v>
      </c>
      <c r="V308" s="81">
        <f>IF(OR(Calculations[[#This Row],[Emission Factor]]="Σ.Ε. CO₂ eq",Calculations[[#This Row],[Emission Factor]]="CO₂ eq"),Calculations[[#This Row],[Value]]*Calculations[[#This Row],[Τιμή]],"-")</f>
        <v>6.2660567209499982</v>
      </c>
      <c r="W308" s="81" t="str">
        <f>IF(Calculations[[#This Row],[Πηγή εκπομπών]]="Electricity consumed in office buildings and projects - market based",Calculations[[#This Row],[t CO2]],"")</f>
        <v/>
      </c>
      <c r="X30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6.2660567209499982</v>
      </c>
    </row>
    <row r="309" spans="1:24" ht="29.4" hidden="1" thickTop="1">
      <c r="A309" s="15" t="s">
        <v>350</v>
      </c>
      <c r="B309" s="15" t="s">
        <v>351</v>
      </c>
      <c r="C309" s="16" t="s">
        <v>624</v>
      </c>
      <c r="D309" s="16" t="s">
        <v>895</v>
      </c>
      <c r="E309" s="16" t="s">
        <v>1141</v>
      </c>
      <c r="F309" s="77" t="s">
        <v>312</v>
      </c>
      <c r="G309" s="16" t="s">
        <v>585</v>
      </c>
      <c r="H309" s="15" t="s">
        <v>347</v>
      </c>
      <c r="I309" s="89" t="s">
        <v>347</v>
      </c>
      <c r="J309" s="79">
        <v>7702.9499999999989</v>
      </c>
      <c r="K309" s="18" t="s">
        <v>1157</v>
      </c>
      <c r="L309" s="94" t="s">
        <v>389</v>
      </c>
      <c r="M309" s="148" t="s">
        <v>500</v>
      </c>
      <c r="N309" s="81" t="str">
        <f>_xlfn.XLOOKUP(Calculations[[#This Row],[For XLOOKUP]],Factors[For XLOOKUP],Factors[Factor],"")</f>
        <v>Σ.Ε. CO₂ eq</v>
      </c>
      <c r="O309" s="81">
        <f>_xlfn.XLOOKUP(Calculations[[#This Row],[For XLOOKUP]],Factors[For XLOOKUP],Factors[Value],"")</f>
        <v>4.3550000000000001E-4</v>
      </c>
      <c r="P309" s="81" t="str">
        <f>_xlfn.XLOOKUP(Calculations[[#This Row],[For XLOOKUP]],Factors[For XLOOKUP],Factors[Units],"")</f>
        <v>tn CO2 eq/ €</v>
      </c>
      <c r="Q309" s="19" t="str">
        <f>_xlfn.XLOOKUP(Calculations[[#This Row],[For XLOOKUP]],Factors[For XLOOKUP],Factors[Source],"")</f>
        <v>EXIOBASE 2019 - GR</v>
      </c>
      <c r="R30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9" s="81" t="str">
        <f>IF(LEFT(Calculations[[#This Row],[Emission Factor]],7)="Σ.Ε. CH",Calculations[[#This Row],[Value]]*Calculations[[#This Row],[Τιμή]],"-")</f>
        <v>-</v>
      </c>
      <c r="T30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9" s="81" t="str">
        <f>IF(LEFT(Calculations[[#This Row],[Emission Factor]],3)="GWP",Calculations[[#This Row],[Τιμή]],"-")</f>
        <v>-</v>
      </c>
      <c r="V309" s="81">
        <f>IF(OR(Calculations[[#This Row],[Emission Factor]]="Σ.Ε. CO₂ eq",Calculations[[#This Row],[Emission Factor]]="CO₂ eq"),Calculations[[#This Row],[Value]]*Calculations[[#This Row],[Τιμή]],"-")</f>
        <v>3.3546347249999995</v>
      </c>
      <c r="W309" s="81" t="str">
        <f>IF(Calculations[[#This Row],[Πηγή εκπομπών]]="Electricity consumed in office buildings and projects - market based",Calculations[[#This Row],[t CO2]],"")</f>
        <v/>
      </c>
      <c r="X30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3.3546347249999995</v>
      </c>
    </row>
    <row r="310" spans="1:24" ht="29.4" hidden="1" thickTop="1">
      <c r="A310" s="15" t="s">
        <v>350</v>
      </c>
      <c r="B310" s="15" t="s">
        <v>351</v>
      </c>
      <c r="C310" s="16" t="s">
        <v>624</v>
      </c>
      <c r="D310" s="16" t="s">
        <v>895</v>
      </c>
      <c r="E310" s="16" t="s">
        <v>1141</v>
      </c>
      <c r="F310" s="77" t="s">
        <v>312</v>
      </c>
      <c r="G310" s="16" t="s">
        <v>585</v>
      </c>
      <c r="H310" s="15" t="s">
        <v>347</v>
      </c>
      <c r="I310" s="89" t="s">
        <v>347</v>
      </c>
      <c r="J310" s="79">
        <v>16408.599999999999</v>
      </c>
      <c r="K310" s="18" t="s">
        <v>1157</v>
      </c>
      <c r="L310" s="94" t="s">
        <v>396</v>
      </c>
      <c r="M310" s="148" t="s">
        <v>507</v>
      </c>
      <c r="N310" s="81" t="str">
        <f>_xlfn.XLOOKUP(Calculations[[#This Row],[For XLOOKUP]],Factors[For XLOOKUP],Factors[Factor],"")</f>
        <v>Σ.Ε. CO₂ eq</v>
      </c>
      <c r="O310" s="81">
        <f>_xlfn.XLOOKUP(Calculations[[#This Row],[For XLOOKUP]],Factors[For XLOOKUP],Factors[Value],"")</f>
        <v>7.6880000000000004E-4</v>
      </c>
      <c r="P310" s="81" t="str">
        <f>_xlfn.XLOOKUP(Calculations[[#This Row],[For XLOOKUP]],Factors[For XLOOKUP],Factors[Units],"")</f>
        <v>tn CO2 eq/ €</v>
      </c>
      <c r="Q310" s="19" t="str">
        <f>_xlfn.XLOOKUP(Calculations[[#This Row],[For XLOOKUP]],Factors[For XLOOKUP],Factors[Source],"")</f>
        <v>EXIOBASE 2019 - GR</v>
      </c>
      <c r="R31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0" s="81" t="str">
        <f>IF(LEFT(Calculations[[#This Row],[Emission Factor]],7)="Σ.Ε. CH",Calculations[[#This Row],[Value]]*Calculations[[#This Row],[Τιμή]],"-")</f>
        <v>-</v>
      </c>
      <c r="T31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0" s="81" t="str">
        <f>IF(LEFT(Calculations[[#This Row],[Emission Factor]],3)="GWP",Calculations[[#This Row],[Τιμή]],"-")</f>
        <v>-</v>
      </c>
      <c r="V310" s="81">
        <f>IF(OR(Calculations[[#This Row],[Emission Factor]]="Σ.Ε. CO₂ eq",Calculations[[#This Row],[Emission Factor]]="CO₂ eq"),Calculations[[#This Row],[Value]]*Calculations[[#This Row],[Τιμή]],"-")</f>
        <v>12.61493168</v>
      </c>
      <c r="W310" s="81" t="str">
        <f>IF(Calculations[[#This Row],[Πηγή εκπομπών]]="Electricity consumed in office buildings and projects - market based",Calculations[[#This Row],[t CO2]],"")</f>
        <v/>
      </c>
      <c r="X31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12.61493168</v>
      </c>
    </row>
    <row r="311" spans="1:24" ht="29.4" hidden="1" thickTop="1">
      <c r="A311" s="15" t="s">
        <v>350</v>
      </c>
      <c r="B311" s="15" t="s">
        <v>351</v>
      </c>
      <c r="C311" s="16" t="s">
        <v>624</v>
      </c>
      <c r="D311" s="16" t="s">
        <v>895</v>
      </c>
      <c r="E311" s="16" t="s">
        <v>1141</v>
      </c>
      <c r="F311" s="77" t="s">
        <v>312</v>
      </c>
      <c r="G311" s="16" t="s">
        <v>585</v>
      </c>
      <c r="H311" s="15" t="s">
        <v>347</v>
      </c>
      <c r="I311" s="89" t="s">
        <v>347</v>
      </c>
      <c r="J311" s="79">
        <v>22562.32</v>
      </c>
      <c r="K311" s="18" t="s">
        <v>1157</v>
      </c>
      <c r="L311" s="94" t="s">
        <v>378</v>
      </c>
      <c r="M311" s="148" t="s">
        <v>489</v>
      </c>
      <c r="N311" s="81" t="str">
        <f>_xlfn.XLOOKUP(Calculations[[#This Row],[For XLOOKUP]],Factors[For XLOOKUP],Factors[Factor],"")</f>
        <v>Σ.Ε. CO₂ eq</v>
      </c>
      <c r="O311" s="81">
        <f>_xlfn.XLOOKUP(Calculations[[#This Row],[For XLOOKUP]],Factors[For XLOOKUP],Factors[Value],"")</f>
        <v>3.4710648E-4</v>
      </c>
      <c r="P311" s="81" t="str">
        <f>_xlfn.XLOOKUP(Calculations[[#This Row],[For XLOOKUP]],Factors[For XLOOKUP],Factors[Units],"")</f>
        <v>tn CO2 eq/ €</v>
      </c>
      <c r="Q311" s="19" t="str">
        <f>_xlfn.XLOOKUP(Calculations[[#This Row],[For XLOOKUP]],Factors[For XLOOKUP],Factors[Source],"")</f>
        <v>BEIS 2021</v>
      </c>
      <c r="R31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1" s="81" t="str">
        <f>IF(LEFT(Calculations[[#This Row],[Emission Factor]],7)="Σ.Ε. CH",Calculations[[#This Row],[Value]]*Calculations[[#This Row],[Τιμή]],"-")</f>
        <v>-</v>
      </c>
      <c r="T31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1" s="81" t="str">
        <f>IF(LEFT(Calculations[[#This Row],[Emission Factor]],3)="GWP",Calculations[[#This Row],[Τιμή]],"-")</f>
        <v>-</v>
      </c>
      <c r="V311" s="81">
        <f>IF(OR(Calculations[[#This Row],[Emission Factor]]="Σ.Ε. CO₂ eq",Calculations[[#This Row],[Emission Factor]]="CO₂ eq"),Calculations[[#This Row],[Value]]*Calculations[[#This Row],[Τιμή]],"-")</f>
        <v>7.8315274758335995</v>
      </c>
      <c r="W311" s="81" t="str">
        <f>IF(Calculations[[#This Row],[Πηγή εκπομπών]]="Electricity consumed in office buildings and projects - market based",Calculations[[#This Row],[t CO2]],"")</f>
        <v/>
      </c>
      <c r="X31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7.8315274758335995</v>
      </c>
    </row>
    <row r="312" spans="1:24" ht="29.4" hidden="1" thickTop="1">
      <c r="A312" s="15" t="s">
        <v>350</v>
      </c>
      <c r="B312" s="15" t="s">
        <v>351</v>
      </c>
      <c r="C312" s="16" t="s">
        <v>624</v>
      </c>
      <c r="D312" s="16" t="s">
        <v>895</v>
      </c>
      <c r="E312" s="16" t="s">
        <v>1141</v>
      </c>
      <c r="F312" s="77" t="s">
        <v>312</v>
      </c>
      <c r="G312" s="16" t="s">
        <v>585</v>
      </c>
      <c r="H312" s="15" t="s">
        <v>347</v>
      </c>
      <c r="I312" s="89" t="s">
        <v>347</v>
      </c>
      <c r="J312" s="79">
        <v>4005</v>
      </c>
      <c r="K312" s="18" t="s">
        <v>1157</v>
      </c>
      <c r="L312" s="94" t="s">
        <v>379</v>
      </c>
      <c r="M312" s="148" t="s">
        <v>490</v>
      </c>
      <c r="N312" s="81" t="str">
        <f>_xlfn.XLOOKUP(Calculations[[#This Row],[For XLOOKUP]],Factors[For XLOOKUP],Factors[Factor],"")</f>
        <v>Σ.Ε. CO₂ eq</v>
      </c>
      <c r="O312" s="81">
        <f>_xlfn.XLOOKUP(Calculations[[#This Row],[For XLOOKUP]],Factors[For XLOOKUP],Factors[Value],"")</f>
        <v>6.8300000000000001E-4</v>
      </c>
      <c r="P312" s="81" t="str">
        <f>_xlfn.XLOOKUP(Calculations[[#This Row],[For XLOOKUP]],Factors[For XLOOKUP],Factors[Units],"")</f>
        <v>tn CO2 eq/ €</v>
      </c>
      <c r="Q312" s="19" t="str">
        <f>_xlfn.XLOOKUP(Calculations[[#This Row],[For XLOOKUP]],Factors[For XLOOKUP],Factors[Source],"")</f>
        <v>EXIOBASE 2019 - GR</v>
      </c>
      <c r="R31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2" s="81" t="str">
        <f>IF(LEFT(Calculations[[#This Row],[Emission Factor]],7)="Σ.Ε. CH",Calculations[[#This Row],[Value]]*Calculations[[#This Row],[Τιμή]],"-")</f>
        <v>-</v>
      </c>
      <c r="T31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2" s="81" t="str">
        <f>IF(LEFT(Calculations[[#This Row],[Emission Factor]],3)="GWP",Calculations[[#This Row],[Τιμή]],"-")</f>
        <v>-</v>
      </c>
      <c r="V312" s="81">
        <f>IF(OR(Calculations[[#This Row],[Emission Factor]]="Σ.Ε. CO₂ eq",Calculations[[#This Row],[Emission Factor]]="CO₂ eq"),Calculations[[#This Row],[Value]]*Calculations[[#This Row],[Τιμή]],"-")</f>
        <v>2.7354150000000002</v>
      </c>
      <c r="W312" s="81" t="str">
        <f>IF(Calculations[[#This Row],[Πηγή εκπομπών]]="Electricity consumed in office buildings and projects - market based",Calculations[[#This Row],[t CO2]],"")</f>
        <v/>
      </c>
      <c r="X31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2.7354150000000002</v>
      </c>
    </row>
    <row r="313" spans="1:24" ht="29.4" hidden="1" thickTop="1">
      <c r="A313" s="15" t="s">
        <v>350</v>
      </c>
      <c r="B313" s="15" t="s">
        <v>351</v>
      </c>
      <c r="C313" s="16" t="s">
        <v>624</v>
      </c>
      <c r="D313" s="16" t="s">
        <v>895</v>
      </c>
      <c r="E313" s="16" t="s">
        <v>1141</v>
      </c>
      <c r="F313" s="77" t="s">
        <v>312</v>
      </c>
      <c r="G313" s="16" t="s">
        <v>585</v>
      </c>
      <c r="H313" s="15" t="s">
        <v>347</v>
      </c>
      <c r="I313" s="89" t="s">
        <v>347</v>
      </c>
      <c r="J313" s="79">
        <v>6457.3799999999992</v>
      </c>
      <c r="K313" s="18" t="s">
        <v>1157</v>
      </c>
      <c r="L313" s="94" t="s">
        <v>394</v>
      </c>
      <c r="M313" s="148" t="s">
        <v>505</v>
      </c>
      <c r="N313" s="81" t="str">
        <f>_xlfn.XLOOKUP(Calculations[[#This Row],[For XLOOKUP]],Factors[For XLOOKUP],Factors[Factor],"")</f>
        <v>Σ.Ε. CO₂ eq</v>
      </c>
      <c r="O313" s="81">
        <f>_xlfn.XLOOKUP(Calculations[[#This Row],[For XLOOKUP]],Factors[For XLOOKUP],Factors[Value],"")</f>
        <v>8.1360000000000004E-4</v>
      </c>
      <c r="P313" s="81" t="str">
        <f>_xlfn.XLOOKUP(Calculations[[#This Row],[For XLOOKUP]],Factors[For XLOOKUP],Factors[Units],"")</f>
        <v>tn CO2 eq/ €</v>
      </c>
      <c r="Q313" s="19" t="str">
        <f>_xlfn.XLOOKUP(Calculations[[#This Row],[For XLOOKUP]],Factors[For XLOOKUP],Factors[Source],"")</f>
        <v>EXIOBASE 2019 - GR</v>
      </c>
      <c r="R31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3" s="81" t="str">
        <f>IF(LEFT(Calculations[[#This Row],[Emission Factor]],7)="Σ.Ε. CH",Calculations[[#This Row],[Value]]*Calculations[[#This Row],[Τιμή]],"-")</f>
        <v>-</v>
      </c>
      <c r="T31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3" s="81" t="str">
        <f>IF(LEFT(Calculations[[#This Row],[Emission Factor]],3)="GWP",Calculations[[#This Row],[Τιμή]],"-")</f>
        <v>-</v>
      </c>
      <c r="V313" s="81">
        <f>IF(OR(Calculations[[#This Row],[Emission Factor]]="Σ.Ε. CO₂ eq",Calculations[[#This Row],[Emission Factor]]="CO₂ eq"),Calculations[[#This Row],[Value]]*Calculations[[#This Row],[Τιμή]],"-")</f>
        <v>5.2537243679999994</v>
      </c>
      <c r="W313" s="81" t="str">
        <f>IF(Calculations[[#This Row],[Πηγή εκπομπών]]="Electricity consumed in office buildings and projects - market based",Calculations[[#This Row],[t CO2]],"")</f>
        <v/>
      </c>
      <c r="X31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5.2537243679999994</v>
      </c>
    </row>
    <row r="314" spans="1:24" ht="29.4" hidden="1" thickTop="1">
      <c r="A314" s="15" t="s">
        <v>350</v>
      </c>
      <c r="B314" s="15" t="s">
        <v>351</v>
      </c>
      <c r="C314" s="16" t="s">
        <v>624</v>
      </c>
      <c r="D314" s="16" t="s">
        <v>895</v>
      </c>
      <c r="E314" s="16" t="s">
        <v>1141</v>
      </c>
      <c r="F314" s="77" t="s">
        <v>312</v>
      </c>
      <c r="G314" s="16" t="s">
        <v>585</v>
      </c>
      <c r="H314" s="15" t="s">
        <v>347</v>
      </c>
      <c r="I314" s="89" t="s">
        <v>347</v>
      </c>
      <c r="J314" s="79">
        <v>4181.84</v>
      </c>
      <c r="K314" s="18" t="s">
        <v>1157</v>
      </c>
      <c r="L314" s="94" t="s">
        <v>435</v>
      </c>
      <c r="M314" s="148" t="s">
        <v>546</v>
      </c>
      <c r="N314" s="81" t="str">
        <f>_xlfn.XLOOKUP(Calculations[[#This Row],[For XLOOKUP]],Factors[For XLOOKUP],Factors[Factor],"")</f>
        <v>Σ.Ε. CO₂ eq</v>
      </c>
      <c r="O314" s="81">
        <f>_xlfn.XLOOKUP(Calculations[[#This Row],[For XLOOKUP]],Factors[For XLOOKUP],Factors[Value],"")</f>
        <v>5.7283200000000012E-4</v>
      </c>
      <c r="P314" s="81" t="str">
        <f>_xlfn.XLOOKUP(Calculations[[#This Row],[For XLOOKUP]],Factors[For XLOOKUP],Factors[Units],"")</f>
        <v>tn CO2 eq/ €</v>
      </c>
      <c r="Q314" s="19" t="str">
        <f>_xlfn.XLOOKUP(Calculations[[#This Row],[For XLOOKUP]],Factors[For XLOOKUP],Factors[Source],"")</f>
        <v>EPA 2022</v>
      </c>
      <c r="R31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4" s="81" t="str">
        <f>IF(LEFT(Calculations[[#This Row],[Emission Factor]],7)="Σ.Ε. CH",Calculations[[#This Row],[Value]]*Calculations[[#This Row],[Τιμή]],"-")</f>
        <v>-</v>
      </c>
      <c r="T31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4" s="81" t="str">
        <f>IF(LEFT(Calculations[[#This Row],[Emission Factor]],3)="GWP",Calculations[[#This Row],[Τιμή]],"-")</f>
        <v>-</v>
      </c>
      <c r="V314" s="81">
        <f>IF(OR(Calculations[[#This Row],[Emission Factor]]="Σ.Ε. CO₂ eq",Calculations[[#This Row],[Emission Factor]]="CO₂ eq"),Calculations[[#This Row],[Value]]*Calculations[[#This Row],[Τιμή]],"-")</f>
        <v>2.3954917708800005</v>
      </c>
      <c r="W314" s="81" t="str">
        <f>IF(Calculations[[#This Row],[Πηγή εκπομπών]]="Electricity consumed in office buildings and projects - market based",Calculations[[#This Row],[t CO2]],"")</f>
        <v/>
      </c>
      <c r="X31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2.3954917708800005</v>
      </c>
    </row>
    <row r="315" spans="1:24" ht="29.4" hidden="1" thickTop="1">
      <c r="A315" s="15" t="s">
        <v>350</v>
      </c>
      <c r="B315" s="15" t="s">
        <v>351</v>
      </c>
      <c r="C315" s="16" t="s">
        <v>624</v>
      </c>
      <c r="D315" s="16" t="s">
        <v>895</v>
      </c>
      <c r="E315" s="16" t="s">
        <v>1141</v>
      </c>
      <c r="F315" s="77" t="s">
        <v>312</v>
      </c>
      <c r="G315" s="16" t="s">
        <v>585</v>
      </c>
      <c r="H315" s="15" t="s">
        <v>347</v>
      </c>
      <c r="I315" s="89" t="s">
        <v>347</v>
      </c>
      <c r="J315" s="79">
        <v>6266.71</v>
      </c>
      <c r="K315" s="18" t="s">
        <v>1157</v>
      </c>
      <c r="L315" s="94" t="s">
        <v>387</v>
      </c>
      <c r="M315" s="148" t="s">
        <v>498</v>
      </c>
      <c r="N315" s="81" t="str">
        <f>_xlfn.XLOOKUP(Calculations[[#This Row],[For XLOOKUP]],Factors[For XLOOKUP],Factors[Factor],"")</f>
        <v>Σ.Ε. CO₂ eq</v>
      </c>
      <c r="O315" s="81">
        <f>_xlfn.XLOOKUP(Calculations[[#This Row],[For XLOOKUP]],Factors[For XLOOKUP],Factors[Value],"")</f>
        <v>1.6539999999999999E-3</v>
      </c>
      <c r="P315" s="81" t="str">
        <f>_xlfn.XLOOKUP(Calculations[[#This Row],[For XLOOKUP]],Factors[For XLOOKUP],Factors[Units],"")</f>
        <v>tn CO2 eq/ €</v>
      </c>
      <c r="Q315" s="19" t="str">
        <f>_xlfn.XLOOKUP(Calculations[[#This Row],[For XLOOKUP]],Factors[For XLOOKUP],Factors[Source],"")</f>
        <v>EXIOBASE 2019 - GR</v>
      </c>
      <c r="R31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5" s="81" t="str">
        <f>IF(LEFT(Calculations[[#This Row],[Emission Factor]],7)="Σ.Ε. CH",Calculations[[#This Row],[Value]]*Calculations[[#This Row],[Τιμή]],"-")</f>
        <v>-</v>
      </c>
      <c r="T31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5" s="81" t="str">
        <f>IF(LEFT(Calculations[[#This Row],[Emission Factor]],3)="GWP",Calculations[[#This Row],[Τιμή]],"-")</f>
        <v>-</v>
      </c>
      <c r="V315" s="81">
        <f>IF(OR(Calculations[[#This Row],[Emission Factor]]="Σ.Ε. CO₂ eq",Calculations[[#This Row],[Emission Factor]]="CO₂ eq"),Calculations[[#This Row],[Value]]*Calculations[[#This Row],[Τιμή]],"-")</f>
        <v>10.36513834</v>
      </c>
      <c r="W315" s="81" t="str">
        <f>IF(Calculations[[#This Row],[Πηγή εκπομπών]]="Electricity consumed in office buildings and projects - market based",Calculations[[#This Row],[t CO2]],"")</f>
        <v/>
      </c>
      <c r="X31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10.36513834</v>
      </c>
    </row>
    <row r="316" spans="1:24" ht="29.4" hidden="1" thickTop="1">
      <c r="A316" s="15" t="s">
        <v>350</v>
      </c>
      <c r="B316" s="15" t="s">
        <v>351</v>
      </c>
      <c r="C316" s="16" t="s">
        <v>624</v>
      </c>
      <c r="D316" s="16" t="s">
        <v>895</v>
      </c>
      <c r="E316" s="16" t="s">
        <v>1141</v>
      </c>
      <c r="F316" s="77" t="s">
        <v>312</v>
      </c>
      <c r="G316" s="16" t="s">
        <v>585</v>
      </c>
      <c r="H316" s="15" t="s">
        <v>347</v>
      </c>
      <c r="I316" s="89" t="s">
        <v>347</v>
      </c>
      <c r="J316" s="79">
        <v>3659.38</v>
      </c>
      <c r="K316" s="18" t="s">
        <v>1157</v>
      </c>
      <c r="L316" s="94" t="s">
        <v>388</v>
      </c>
      <c r="M316" s="148" t="s">
        <v>499</v>
      </c>
      <c r="N316" s="81" t="str">
        <f>_xlfn.XLOOKUP(Calculations[[#This Row],[For XLOOKUP]],Factors[For XLOOKUP],Factors[Factor],"")</f>
        <v>Σ.Ε. CO₂ eq</v>
      </c>
      <c r="O316" s="81">
        <f>_xlfn.XLOOKUP(Calculations[[#This Row],[For XLOOKUP]],Factors[For XLOOKUP],Factors[Value],"")</f>
        <v>2.93787E-4</v>
      </c>
      <c r="P316" s="81" t="str">
        <f>_xlfn.XLOOKUP(Calculations[[#This Row],[For XLOOKUP]],Factors[For XLOOKUP],Factors[Units],"")</f>
        <v>tn CO2 eq/ €</v>
      </c>
      <c r="Q316" s="19" t="str">
        <f>_xlfn.XLOOKUP(Calculations[[#This Row],[For XLOOKUP]],Factors[For XLOOKUP],Factors[Source],"")</f>
        <v>EPA 2022</v>
      </c>
      <c r="R31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6" s="81" t="str">
        <f>IF(LEFT(Calculations[[#This Row],[Emission Factor]],7)="Σ.Ε. CH",Calculations[[#This Row],[Value]]*Calculations[[#This Row],[Τιμή]],"-")</f>
        <v>-</v>
      </c>
      <c r="T31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6" s="81" t="str">
        <f>IF(LEFT(Calculations[[#This Row],[Emission Factor]],3)="GWP",Calculations[[#This Row],[Τιμή]],"-")</f>
        <v>-</v>
      </c>
      <c r="V316" s="81">
        <f>IF(OR(Calculations[[#This Row],[Emission Factor]]="Σ.Ε. CO₂ eq",Calculations[[#This Row],[Emission Factor]]="CO₂ eq"),Calculations[[#This Row],[Value]]*Calculations[[#This Row],[Τιμή]],"-")</f>
        <v>1.0750782720600001</v>
      </c>
      <c r="W316" s="81" t="str">
        <f>IF(Calculations[[#This Row],[Πηγή εκπομπών]]="Electricity consumed in office buildings and projects - market based",Calculations[[#This Row],[t CO2]],"")</f>
        <v/>
      </c>
      <c r="X31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1.0750782720600001</v>
      </c>
    </row>
    <row r="317" spans="1:24" ht="29.4" hidden="1" thickTop="1">
      <c r="A317" s="15" t="s">
        <v>350</v>
      </c>
      <c r="B317" s="15" t="s">
        <v>351</v>
      </c>
      <c r="C317" s="16" t="s">
        <v>624</v>
      </c>
      <c r="D317" s="16" t="s">
        <v>895</v>
      </c>
      <c r="E317" s="16" t="s">
        <v>1141</v>
      </c>
      <c r="F317" s="77" t="s">
        <v>312</v>
      </c>
      <c r="G317" s="16" t="s">
        <v>585</v>
      </c>
      <c r="H317" s="15" t="s">
        <v>347</v>
      </c>
      <c r="I317" s="89" t="s">
        <v>347</v>
      </c>
      <c r="J317" s="79">
        <v>2335.0100000000002</v>
      </c>
      <c r="K317" s="18" t="s">
        <v>1157</v>
      </c>
      <c r="L317" s="94" t="s">
        <v>452</v>
      </c>
      <c r="M317" s="148" t="s">
        <v>563</v>
      </c>
      <c r="N317" s="81" t="str">
        <f>_xlfn.XLOOKUP(Calculations[[#This Row],[For XLOOKUP]],Factors[For XLOOKUP],Factors[Factor],"")</f>
        <v>Σ.Ε. CO₂ eq</v>
      </c>
      <c r="O317" s="81">
        <f>_xlfn.XLOOKUP(Calculations[[#This Row],[For XLOOKUP]],Factors[For XLOOKUP],Factors[Value],"")</f>
        <v>3.7907999999999996E-4</v>
      </c>
      <c r="P317" s="81" t="str">
        <f>_xlfn.XLOOKUP(Calculations[[#This Row],[For XLOOKUP]],Factors[For XLOOKUP],Factors[Units],"")</f>
        <v>tn CO2 eq/ €</v>
      </c>
      <c r="Q317" s="19" t="str">
        <f>_xlfn.XLOOKUP(Calculations[[#This Row],[For XLOOKUP]],Factors[For XLOOKUP],Factors[Source],"")</f>
        <v>EPA 2022</v>
      </c>
      <c r="R31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7" s="81" t="str">
        <f>IF(LEFT(Calculations[[#This Row],[Emission Factor]],7)="Σ.Ε. CH",Calculations[[#This Row],[Value]]*Calculations[[#This Row],[Τιμή]],"-")</f>
        <v>-</v>
      </c>
      <c r="T31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7" s="81" t="str">
        <f>IF(LEFT(Calculations[[#This Row],[Emission Factor]],3)="GWP",Calculations[[#This Row],[Τιμή]],"-")</f>
        <v>-</v>
      </c>
      <c r="V317" s="81">
        <f>IF(OR(Calculations[[#This Row],[Emission Factor]]="Σ.Ε. CO₂ eq",Calculations[[#This Row],[Emission Factor]]="CO₂ eq"),Calculations[[#This Row],[Value]]*Calculations[[#This Row],[Τιμή]],"-")</f>
        <v>0.88515559079999995</v>
      </c>
      <c r="W317" s="81" t="str">
        <f>IF(Calculations[[#This Row],[Πηγή εκπομπών]]="Electricity consumed in office buildings and projects - market based",Calculations[[#This Row],[t CO2]],"")</f>
        <v/>
      </c>
      <c r="X31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0.88515559079999995</v>
      </c>
    </row>
    <row r="318" spans="1:24" ht="29.4" hidden="1" thickTop="1">
      <c r="A318" s="15" t="s">
        <v>350</v>
      </c>
      <c r="B318" s="15" t="s">
        <v>351</v>
      </c>
      <c r="C318" s="16" t="s">
        <v>624</v>
      </c>
      <c r="D318" s="16" t="s">
        <v>895</v>
      </c>
      <c r="E318" s="16" t="s">
        <v>1141</v>
      </c>
      <c r="F318" s="77" t="s">
        <v>312</v>
      </c>
      <c r="G318" s="16" t="s">
        <v>585</v>
      </c>
      <c r="H318" s="15" t="s">
        <v>347</v>
      </c>
      <c r="I318" s="89" t="s">
        <v>347</v>
      </c>
      <c r="J318" s="79">
        <v>6756.57</v>
      </c>
      <c r="K318" s="18" t="s">
        <v>1157</v>
      </c>
      <c r="L318" s="94" t="s">
        <v>365</v>
      </c>
      <c r="M318" s="148" t="s">
        <v>476</v>
      </c>
      <c r="N318" s="81" t="str">
        <f>_xlfn.XLOOKUP(Calculations[[#This Row],[For XLOOKUP]],Factors[For XLOOKUP],Factors[Factor],"")</f>
        <v>Σ.Ε. CO₂ eq</v>
      </c>
      <c r="O318" s="81">
        <f>_xlfn.XLOOKUP(Calculations[[#This Row],[For XLOOKUP]],Factors[For XLOOKUP],Factors[Value],"")</f>
        <v>1.93752E-4</v>
      </c>
      <c r="P318" s="81" t="str">
        <f>_xlfn.XLOOKUP(Calculations[[#This Row],[For XLOOKUP]],Factors[For XLOOKUP],Factors[Units],"")</f>
        <v>tn CO2 eq/ €</v>
      </c>
      <c r="Q318" s="19" t="str">
        <f>_xlfn.XLOOKUP(Calculations[[#This Row],[For XLOOKUP]],Factors[For XLOOKUP],Factors[Source],"")</f>
        <v>EPA 2022</v>
      </c>
      <c r="R31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8" s="81" t="str">
        <f>IF(LEFT(Calculations[[#This Row],[Emission Factor]],7)="Σ.Ε. CH",Calculations[[#This Row],[Value]]*Calculations[[#This Row],[Τιμή]],"-")</f>
        <v>-</v>
      </c>
      <c r="T31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8" s="81" t="str">
        <f>IF(LEFT(Calculations[[#This Row],[Emission Factor]],3)="GWP",Calculations[[#This Row],[Τιμή]],"-")</f>
        <v>-</v>
      </c>
      <c r="V318" s="81">
        <f>IF(OR(Calculations[[#This Row],[Emission Factor]]="Σ.Ε. CO₂ eq",Calculations[[#This Row],[Emission Factor]]="CO₂ eq"),Calculations[[#This Row],[Value]]*Calculations[[#This Row],[Τιμή]],"-")</f>
        <v>1.3090989506399999</v>
      </c>
      <c r="W318" s="81" t="str">
        <f>IF(Calculations[[#This Row],[Πηγή εκπομπών]]="Electricity consumed in office buildings and projects - market based",Calculations[[#This Row],[t CO2]],"")</f>
        <v/>
      </c>
      <c r="X31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1.3090989506399999</v>
      </c>
    </row>
    <row r="319" spans="1:24" ht="29.4" hidden="1" thickTop="1">
      <c r="A319" s="15" t="s">
        <v>350</v>
      </c>
      <c r="B319" s="15" t="s">
        <v>351</v>
      </c>
      <c r="C319" s="16" t="s">
        <v>624</v>
      </c>
      <c r="D319" s="16" t="s">
        <v>895</v>
      </c>
      <c r="E319" s="16" t="s">
        <v>1141</v>
      </c>
      <c r="F319" s="77" t="s">
        <v>312</v>
      </c>
      <c r="G319" s="16" t="s">
        <v>585</v>
      </c>
      <c r="H319" s="15" t="s">
        <v>347</v>
      </c>
      <c r="I319" s="89" t="s">
        <v>347</v>
      </c>
      <c r="J319" s="79">
        <v>3956.51</v>
      </c>
      <c r="K319" s="18" t="s">
        <v>1157</v>
      </c>
      <c r="L319" s="94" t="s">
        <v>399</v>
      </c>
      <c r="M319" s="148" t="s">
        <v>510</v>
      </c>
      <c r="N319" s="81" t="str">
        <f>_xlfn.XLOOKUP(Calculations[[#This Row],[For XLOOKUP]],Factors[For XLOOKUP],Factors[Factor],"")</f>
        <v>Σ.Ε. CO₂ eq</v>
      </c>
      <c r="O319" s="81">
        <f>_xlfn.XLOOKUP(Calculations[[#This Row],[For XLOOKUP]],Factors[For XLOOKUP],Factors[Value],"")</f>
        <v>2.2112999999999999E-4</v>
      </c>
      <c r="P319" s="81" t="str">
        <f>_xlfn.XLOOKUP(Calculations[[#This Row],[For XLOOKUP]],Factors[For XLOOKUP],Factors[Units],"")</f>
        <v>tn CO2 eq/ €</v>
      </c>
      <c r="Q319" s="19" t="str">
        <f>_xlfn.XLOOKUP(Calculations[[#This Row],[For XLOOKUP]],Factors[For XLOOKUP],Factors[Source],"")</f>
        <v>EPA 2022</v>
      </c>
      <c r="R31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9" s="81" t="str">
        <f>IF(LEFT(Calculations[[#This Row],[Emission Factor]],7)="Σ.Ε. CH",Calculations[[#This Row],[Value]]*Calculations[[#This Row],[Τιμή]],"-")</f>
        <v>-</v>
      </c>
      <c r="T31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9" s="81" t="str">
        <f>IF(LEFT(Calculations[[#This Row],[Emission Factor]],3)="GWP",Calculations[[#This Row],[Τιμή]],"-")</f>
        <v>-</v>
      </c>
      <c r="V319" s="81">
        <f>IF(OR(Calculations[[#This Row],[Emission Factor]]="Σ.Ε. CO₂ eq",Calculations[[#This Row],[Emission Factor]]="CO₂ eq"),Calculations[[#This Row],[Value]]*Calculations[[#This Row],[Τιμή]],"-")</f>
        <v>0.87490305629999998</v>
      </c>
      <c r="W319" s="81" t="str">
        <f>IF(Calculations[[#This Row],[Πηγή εκπομπών]]="Electricity consumed in office buildings and projects - market based",Calculations[[#This Row],[t CO2]],"")</f>
        <v/>
      </c>
      <c r="X31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0.87490305629999998</v>
      </c>
    </row>
    <row r="320" spans="1:24" ht="29.4" hidden="1" thickTop="1">
      <c r="A320" s="15" t="s">
        <v>350</v>
      </c>
      <c r="B320" s="15" t="s">
        <v>351</v>
      </c>
      <c r="C320" s="16" t="s">
        <v>624</v>
      </c>
      <c r="D320" s="16" t="s">
        <v>895</v>
      </c>
      <c r="E320" s="16" t="s">
        <v>1141</v>
      </c>
      <c r="F320" s="77" t="s">
        <v>312</v>
      </c>
      <c r="G320" s="16" t="s">
        <v>585</v>
      </c>
      <c r="H320" s="15" t="s">
        <v>347</v>
      </c>
      <c r="I320" s="89" t="s">
        <v>347</v>
      </c>
      <c r="J320" s="79">
        <v>2630.7000000000003</v>
      </c>
      <c r="K320" s="18" t="s">
        <v>1157</v>
      </c>
      <c r="L320" s="94" t="s">
        <v>385</v>
      </c>
      <c r="M320" s="148" t="s">
        <v>496</v>
      </c>
      <c r="N320" s="81" t="str">
        <f>_xlfn.XLOOKUP(Calculations[[#This Row],[For XLOOKUP]],Factors[For XLOOKUP],Factors[Factor],"")</f>
        <v>Σ.Ε. CO₂ eq</v>
      </c>
      <c r="O320" s="81">
        <f>_xlfn.XLOOKUP(Calculations[[#This Row],[For XLOOKUP]],Factors[For XLOOKUP],Factors[Value],"")</f>
        <v>7.1914136000000004E-4</v>
      </c>
      <c r="P320" s="81" t="str">
        <f>_xlfn.XLOOKUP(Calculations[[#This Row],[For XLOOKUP]],Factors[For XLOOKUP],Factors[Units],"")</f>
        <v>tn CO2 eq/ €</v>
      </c>
      <c r="Q320" s="19" t="str">
        <f>_xlfn.XLOOKUP(Calculations[[#This Row],[For XLOOKUP]],Factors[For XLOOKUP],Factors[Source],"")</f>
        <v>BEIS 2021</v>
      </c>
      <c r="R32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0" s="81" t="str">
        <f>IF(LEFT(Calculations[[#This Row],[Emission Factor]],7)="Σ.Ε. CH",Calculations[[#This Row],[Value]]*Calculations[[#This Row],[Τιμή]],"-")</f>
        <v>-</v>
      </c>
      <c r="T32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0" s="81" t="str">
        <f>IF(LEFT(Calculations[[#This Row],[Emission Factor]],3)="GWP",Calculations[[#This Row],[Τιμή]],"-")</f>
        <v>-</v>
      </c>
      <c r="V320" s="81">
        <f>IF(OR(Calculations[[#This Row],[Emission Factor]]="Σ.Ε. CO₂ eq",Calculations[[#This Row],[Emission Factor]]="CO₂ eq"),Calculations[[#This Row],[Value]]*Calculations[[#This Row],[Τιμή]],"-")</f>
        <v>1.8918451757520003</v>
      </c>
      <c r="W320" s="81" t="str">
        <f>IF(Calculations[[#This Row],[Πηγή εκπομπών]]="Electricity consumed in office buildings and projects - market based",Calculations[[#This Row],[t CO2]],"")</f>
        <v/>
      </c>
      <c r="X32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1.8918451757520003</v>
      </c>
    </row>
    <row r="321" spans="1:24" ht="29.4" hidden="1" thickTop="1">
      <c r="A321" s="15" t="s">
        <v>350</v>
      </c>
      <c r="B321" s="15" t="s">
        <v>351</v>
      </c>
      <c r="C321" s="16" t="s">
        <v>624</v>
      </c>
      <c r="D321" s="16" t="s">
        <v>895</v>
      </c>
      <c r="E321" s="16" t="s">
        <v>1141</v>
      </c>
      <c r="F321" s="77" t="s">
        <v>312</v>
      </c>
      <c r="G321" s="16" t="s">
        <v>585</v>
      </c>
      <c r="H321" s="15" t="s">
        <v>347</v>
      </c>
      <c r="I321" s="89" t="s">
        <v>347</v>
      </c>
      <c r="J321" s="79">
        <v>1141.6600000000001</v>
      </c>
      <c r="K321" s="18" t="s">
        <v>1157</v>
      </c>
      <c r="L321" s="94" t="s">
        <v>403</v>
      </c>
      <c r="M321" s="148" t="s">
        <v>514</v>
      </c>
      <c r="N321" s="81" t="str">
        <f>_xlfn.XLOOKUP(Calculations[[#This Row],[For XLOOKUP]],Factors[For XLOOKUP],Factors[Factor],"")</f>
        <v>Σ.Ε. CO₂ eq</v>
      </c>
      <c r="O321" s="81">
        <f>_xlfn.XLOOKUP(Calculations[[#This Row],[For XLOOKUP]],Factors[For XLOOKUP],Factors[Value],"")</f>
        <v>1.5329999999999999E-3</v>
      </c>
      <c r="P321" s="81" t="str">
        <f>_xlfn.XLOOKUP(Calculations[[#This Row],[For XLOOKUP]],Factors[For XLOOKUP],Factors[Units],"")</f>
        <v>tn CO2 eq/ €</v>
      </c>
      <c r="Q321" s="19" t="str">
        <f>_xlfn.XLOOKUP(Calculations[[#This Row],[For XLOOKUP]],Factors[For XLOOKUP],Factors[Source],"")</f>
        <v>EXIOBASE 2019 - GR</v>
      </c>
      <c r="R32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1" s="81" t="str">
        <f>IF(LEFT(Calculations[[#This Row],[Emission Factor]],7)="Σ.Ε. CH",Calculations[[#This Row],[Value]]*Calculations[[#This Row],[Τιμή]],"-")</f>
        <v>-</v>
      </c>
      <c r="T32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1" s="81" t="str">
        <f>IF(LEFT(Calculations[[#This Row],[Emission Factor]],3)="GWP",Calculations[[#This Row],[Τιμή]],"-")</f>
        <v>-</v>
      </c>
      <c r="V321" s="81">
        <f>IF(OR(Calculations[[#This Row],[Emission Factor]]="Σ.Ε. CO₂ eq",Calculations[[#This Row],[Emission Factor]]="CO₂ eq"),Calculations[[#This Row],[Value]]*Calculations[[#This Row],[Τιμή]],"-")</f>
        <v>1.75016478</v>
      </c>
      <c r="W321" s="81" t="str">
        <f>IF(Calculations[[#This Row],[Πηγή εκπομπών]]="Electricity consumed in office buildings and projects - market based",Calculations[[#This Row],[t CO2]],"")</f>
        <v/>
      </c>
      <c r="X32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1.75016478</v>
      </c>
    </row>
    <row r="322" spans="1:24" ht="29.4" hidden="1" thickTop="1">
      <c r="A322" s="15" t="s">
        <v>350</v>
      </c>
      <c r="B322" s="15" t="s">
        <v>351</v>
      </c>
      <c r="C322" s="16" t="s">
        <v>624</v>
      </c>
      <c r="D322" s="16" t="s">
        <v>895</v>
      </c>
      <c r="E322" s="16" t="s">
        <v>1141</v>
      </c>
      <c r="F322" s="77" t="s">
        <v>312</v>
      </c>
      <c r="G322" s="16" t="s">
        <v>585</v>
      </c>
      <c r="H322" s="15" t="s">
        <v>347</v>
      </c>
      <c r="I322" s="89" t="s">
        <v>347</v>
      </c>
      <c r="J322" s="79">
        <v>2610.8500000000004</v>
      </c>
      <c r="K322" s="18" t="s">
        <v>1157</v>
      </c>
      <c r="L322" s="94" t="s">
        <v>418</v>
      </c>
      <c r="M322" s="148" t="s">
        <v>529</v>
      </c>
      <c r="N322" s="81" t="str">
        <f>_xlfn.XLOOKUP(Calculations[[#This Row],[For XLOOKUP]],Factors[For XLOOKUP],Factors[Factor],"")</f>
        <v>Σ.Ε. CO₂ eq</v>
      </c>
      <c r="O322" s="81">
        <f>_xlfn.XLOOKUP(Calculations[[#This Row],[For XLOOKUP]],Factors[For XLOOKUP],Factors[Value],"")</f>
        <v>1.655E-3</v>
      </c>
      <c r="P322" s="81" t="str">
        <f>_xlfn.XLOOKUP(Calculations[[#This Row],[For XLOOKUP]],Factors[For XLOOKUP],Factors[Units],"")</f>
        <v>tn CO2 eq/ €</v>
      </c>
      <c r="Q322" s="19" t="str">
        <f>_xlfn.XLOOKUP(Calculations[[#This Row],[For XLOOKUP]],Factors[For XLOOKUP],Factors[Source],"")</f>
        <v>EXIOBASE 2019 - GR</v>
      </c>
      <c r="R32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2" s="81" t="str">
        <f>IF(LEFT(Calculations[[#This Row],[Emission Factor]],7)="Σ.Ε. CH",Calculations[[#This Row],[Value]]*Calculations[[#This Row],[Τιμή]],"-")</f>
        <v>-</v>
      </c>
      <c r="T32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2" s="81" t="str">
        <f>IF(LEFT(Calculations[[#This Row],[Emission Factor]],3)="GWP",Calculations[[#This Row],[Τιμή]],"-")</f>
        <v>-</v>
      </c>
      <c r="V322" s="81">
        <f>IF(OR(Calculations[[#This Row],[Emission Factor]]="Σ.Ε. CO₂ eq",Calculations[[#This Row],[Emission Factor]]="CO₂ eq"),Calculations[[#This Row],[Value]]*Calculations[[#This Row],[Τιμή]],"-")</f>
        <v>4.3209567500000006</v>
      </c>
      <c r="W322" s="81" t="str">
        <f>IF(Calculations[[#This Row],[Πηγή εκπομπών]]="Electricity consumed in office buildings and projects - market based",Calculations[[#This Row],[t CO2]],"")</f>
        <v/>
      </c>
      <c r="X32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4.3209567500000006</v>
      </c>
    </row>
    <row r="323" spans="1:24" ht="29.4" hidden="1" thickTop="1">
      <c r="A323" s="15" t="s">
        <v>350</v>
      </c>
      <c r="B323" s="15" t="s">
        <v>351</v>
      </c>
      <c r="C323" s="16" t="s">
        <v>624</v>
      </c>
      <c r="D323" s="16" t="s">
        <v>895</v>
      </c>
      <c r="E323" s="16" t="s">
        <v>1141</v>
      </c>
      <c r="F323" s="77" t="s">
        <v>312</v>
      </c>
      <c r="G323" s="16" t="s">
        <v>585</v>
      </c>
      <c r="H323" s="15" t="s">
        <v>347</v>
      </c>
      <c r="I323" s="89" t="s">
        <v>347</v>
      </c>
      <c r="J323" s="79">
        <v>1461.57</v>
      </c>
      <c r="K323" s="18" t="s">
        <v>1157</v>
      </c>
      <c r="L323" s="94" t="s">
        <v>359</v>
      </c>
      <c r="M323" s="148" t="s">
        <v>470</v>
      </c>
      <c r="N323" s="81" t="str">
        <f>_xlfn.XLOOKUP(Calculations[[#This Row],[For XLOOKUP]],Factors[For XLOOKUP],Factors[Factor],"")</f>
        <v>Σ.Ε. CO₂ eq</v>
      </c>
      <c r="O323" s="81">
        <f>_xlfn.XLOOKUP(Calculations[[#This Row],[For XLOOKUP]],Factors[For XLOOKUP],Factors[Value],"")</f>
        <v>1.16883E-4</v>
      </c>
      <c r="P323" s="81" t="str">
        <f>_xlfn.XLOOKUP(Calculations[[#This Row],[For XLOOKUP]],Factors[For XLOOKUP],Factors[Units],"")</f>
        <v>tn CO2 eq/ €</v>
      </c>
      <c r="Q323" s="19" t="str">
        <f>_xlfn.XLOOKUP(Calculations[[#This Row],[For XLOOKUP]],Factors[For XLOOKUP],Factors[Source],"")</f>
        <v>EPA 2022</v>
      </c>
      <c r="R32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3" s="81" t="str">
        <f>IF(LEFT(Calculations[[#This Row],[Emission Factor]],7)="Σ.Ε. CH",Calculations[[#This Row],[Value]]*Calculations[[#This Row],[Τιμή]],"-")</f>
        <v>-</v>
      </c>
      <c r="T32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3" s="81" t="str">
        <f>IF(LEFT(Calculations[[#This Row],[Emission Factor]],3)="GWP",Calculations[[#This Row],[Τιμή]],"-")</f>
        <v>-</v>
      </c>
      <c r="V323" s="81">
        <f>IF(OR(Calculations[[#This Row],[Emission Factor]]="Σ.Ε. CO₂ eq",Calculations[[#This Row],[Emission Factor]]="CO₂ eq"),Calculations[[#This Row],[Value]]*Calculations[[#This Row],[Τιμή]],"-")</f>
        <v>0.17083268630999998</v>
      </c>
      <c r="W323" s="81" t="str">
        <f>IF(Calculations[[#This Row],[Πηγή εκπομπών]]="Electricity consumed in office buildings and projects - market based",Calculations[[#This Row],[t CO2]],"")</f>
        <v/>
      </c>
      <c r="X32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0.17083268630999998</v>
      </c>
    </row>
    <row r="324" spans="1:24" ht="29.4" hidden="1" thickTop="1">
      <c r="A324" s="15" t="s">
        <v>350</v>
      </c>
      <c r="B324" s="15" t="s">
        <v>351</v>
      </c>
      <c r="C324" s="16" t="s">
        <v>624</v>
      </c>
      <c r="D324" s="16" t="s">
        <v>895</v>
      </c>
      <c r="E324" s="16" t="s">
        <v>1141</v>
      </c>
      <c r="F324" s="77" t="s">
        <v>312</v>
      </c>
      <c r="G324" s="16" t="s">
        <v>585</v>
      </c>
      <c r="H324" s="15" t="s">
        <v>347</v>
      </c>
      <c r="I324" s="89" t="s">
        <v>347</v>
      </c>
      <c r="J324" s="79">
        <v>9289.43</v>
      </c>
      <c r="K324" s="18" t="s">
        <v>1157</v>
      </c>
      <c r="L324" s="94" t="s">
        <v>362</v>
      </c>
      <c r="M324" s="148" t="s">
        <v>473</v>
      </c>
      <c r="N324" s="81" t="str">
        <f>_xlfn.XLOOKUP(Calculations[[#This Row],[For XLOOKUP]],Factors[For XLOOKUP],Factors[Factor],"")</f>
        <v>Σ.Ε. CO₂ eq</v>
      </c>
      <c r="O324" s="81">
        <f>_xlfn.XLOOKUP(Calculations[[#This Row],[For XLOOKUP]],Factors[For XLOOKUP],Factors[Value],"")</f>
        <v>2.6324999999999997E-4</v>
      </c>
      <c r="P324" s="81" t="str">
        <f>_xlfn.XLOOKUP(Calculations[[#This Row],[For XLOOKUP]],Factors[For XLOOKUP],Factors[Units],"")</f>
        <v>tn CO2 eq/ €</v>
      </c>
      <c r="Q324" s="19" t="str">
        <f>_xlfn.XLOOKUP(Calculations[[#This Row],[For XLOOKUP]],Factors[For XLOOKUP],Factors[Source],"")</f>
        <v>EPA 2022</v>
      </c>
      <c r="R32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4" s="81" t="str">
        <f>IF(LEFT(Calculations[[#This Row],[Emission Factor]],7)="Σ.Ε. CH",Calculations[[#This Row],[Value]]*Calculations[[#This Row],[Τιμή]],"-")</f>
        <v>-</v>
      </c>
      <c r="T32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4" s="81" t="str">
        <f>IF(LEFT(Calculations[[#This Row],[Emission Factor]],3)="GWP",Calculations[[#This Row],[Τιμή]],"-")</f>
        <v>-</v>
      </c>
      <c r="V324" s="81">
        <f>IF(OR(Calculations[[#This Row],[Emission Factor]]="Σ.Ε. CO₂ eq",Calculations[[#This Row],[Emission Factor]]="CO₂ eq"),Calculations[[#This Row],[Value]]*Calculations[[#This Row],[Τιμή]],"-")</f>
        <v>2.4454424475000001</v>
      </c>
      <c r="W324" s="81" t="str">
        <f>IF(Calculations[[#This Row],[Πηγή εκπομπών]]="Electricity consumed in office buildings and projects - market based",Calculations[[#This Row],[t CO2]],"")</f>
        <v/>
      </c>
      <c r="X32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2.4454424475000001</v>
      </c>
    </row>
    <row r="325" spans="1:24" ht="29.4" hidden="1" thickTop="1">
      <c r="A325" s="15" t="s">
        <v>350</v>
      </c>
      <c r="B325" s="15" t="s">
        <v>351</v>
      </c>
      <c r="C325" s="16" t="s">
        <v>624</v>
      </c>
      <c r="D325" s="16" t="s">
        <v>895</v>
      </c>
      <c r="E325" s="16" t="s">
        <v>1141</v>
      </c>
      <c r="F325" s="77" t="s">
        <v>312</v>
      </c>
      <c r="G325" s="16" t="s">
        <v>585</v>
      </c>
      <c r="H325" s="15" t="s">
        <v>347</v>
      </c>
      <c r="I325" s="89" t="s">
        <v>347</v>
      </c>
      <c r="J325" s="79">
        <v>2001.6199999999997</v>
      </c>
      <c r="K325" s="18" t="s">
        <v>1157</v>
      </c>
      <c r="L325" s="94" t="s">
        <v>439</v>
      </c>
      <c r="M325" s="148" t="s">
        <v>550</v>
      </c>
      <c r="N325" s="81" t="str">
        <f>_xlfn.XLOOKUP(Calculations[[#This Row],[For XLOOKUP]],Factors[For XLOOKUP],Factors[Factor],"")</f>
        <v>Σ.Ε. CO₂ eq</v>
      </c>
      <c r="O325" s="81">
        <f>_xlfn.XLOOKUP(Calculations[[#This Row],[For XLOOKUP]],Factors[For XLOOKUP],Factors[Value],"")</f>
        <v>8.1689999999999996E-4</v>
      </c>
      <c r="P325" s="81" t="str">
        <f>_xlfn.XLOOKUP(Calculations[[#This Row],[For XLOOKUP]],Factors[For XLOOKUP],Factors[Units],"")</f>
        <v>tn CO2 eq/ €</v>
      </c>
      <c r="Q325" s="19" t="str">
        <f>_xlfn.XLOOKUP(Calculations[[#This Row],[For XLOOKUP]],Factors[For XLOOKUP],Factors[Source],"")</f>
        <v>EXIOBASE 2019 - GR</v>
      </c>
      <c r="R32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5" s="81" t="str">
        <f>IF(LEFT(Calculations[[#This Row],[Emission Factor]],7)="Σ.Ε. CH",Calculations[[#This Row],[Value]]*Calculations[[#This Row],[Τιμή]],"-")</f>
        <v>-</v>
      </c>
      <c r="T32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5" s="81" t="str">
        <f>IF(LEFT(Calculations[[#This Row],[Emission Factor]],3)="GWP",Calculations[[#This Row],[Τιμή]],"-")</f>
        <v>-</v>
      </c>
      <c r="V325" s="81">
        <f>IF(OR(Calculations[[#This Row],[Emission Factor]]="Σ.Ε. CO₂ eq",Calculations[[#This Row],[Emission Factor]]="CO₂ eq"),Calculations[[#This Row],[Value]]*Calculations[[#This Row],[Τιμή]],"-")</f>
        <v>1.6351233779999996</v>
      </c>
      <c r="W325" s="81" t="str">
        <f>IF(Calculations[[#This Row],[Πηγή εκπομπών]]="Electricity consumed in office buildings and projects - market based",Calculations[[#This Row],[t CO2]],"")</f>
        <v/>
      </c>
      <c r="X32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1.6351233779999996</v>
      </c>
    </row>
    <row r="326" spans="1:24" ht="29.4" hidden="1" thickTop="1">
      <c r="A326" s="15" t="s">
        <v>350</v>
      </c>
      <c r="B326" s="15" t="s">
        <v>351</v>
      </c>
      <c r="C326" s="16" t="s">
        <v>624</v>
      </c>
      <c r="D326" s="16" t="s">
        <v>895</v>
      </c>
      <c r="E326" s="16" t="s">
        <v>1141</v>
      </c>
      <c r="F326" s="77" t="s">
        <v>312</v>
      </c>
      <c r="G326" s="16" t="s">
        <v>585</v>
      </c>
      <c r="H326" s="15" t="s">
        <v>347</v>
      </c>
      <c r="I326" s="89" t="s">
        <v>347</v>
      </c>
      <c r="J326" s="79">
        <v>3351.8599999999997</v>
      </c>
      <c r="K326" s="18" t="s">
        <v>1157</v>
      </c>
      <c r="L326" s="94" t="s">
        <v>415</v>
      </c>
      <c r="M326" s="148" t="s">
        <v>526</v>
      </c>
      <c r="N326" s="81" t="str">
        <f>_xlfn.XLOOKUP(Calculations[[#This Row],[For XLOOKUP]],Factors[For XLOOKUP],Factors[Factor],"")</f>
        <v>Σ.Ε. CO₂ eq</v>
      </c>
      <c r="O326" s="81">
        <f>_xlfn.XLOOKUP(Calculations[[#This Row],[For XLOOKUP]],Factors[For XLOOKUP],Factors[Value],"")</f>
        <v>3.5486099999999999E-4</v>
      </c>
      <c r="P326" s="81" t="str">
        <f>_xlfn.XLOOKUP(Calculations[[#This Row],[For XLOOKUP]],Factors[For XLOOKUP],Factors[Units],"")</f>
        <v>tn CO2 eq/ €</v>
      </c>
      <c r="Q326" s="19" t="str">
        <f>_xlfn.XLOOKUP(Calculations[[#This Row],[For XLOOKUP]],Factors[For XLOOKUP],Factors[Source],"")</f>
        <v>EPA 2022</v>
      </c>
      <c r="R32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6" s="81" t="str">
        <f>IF(LEFT(Calculations[[#This Row],[Emission Factor]],7)="Σ.Ε. CH",Calculations[[#This Row],[Value]]*Calculations[[#This Row],[Τιμή]],"-")</f>
        <v>-</v>
      </c>
      <c r="T32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6" s="81" t="str">
        <f>IF(LEFT(Calculations[[#This Row],[Emission Factor]],3)="GWP",Calculations[[#This Row],[Τιμή]],"-")</f>
        <v>-</v>
      </c>
      <c r="V326" s="81">
        <f>IF(OR(Calculations[[#This Row],[Emission Factor]]="Σ.Ε. CO₂ eq",Calculations[[#This Row],[Emission Factor]]="CO₂ eq"),Calculations[[#This Row],[Value]]*Calculations[[#This Row],[Τιμή]],"-")</f>
        <v>1.1894443914599999</v>
      </c>
      <c r="W326" s="81" t="str">
        <f>IF(Calculations[[#This Row],[Πηγή εκπομπών]]="Electricity consumed in office buildings and projects - market based",Calculations[[#This Row],[t CO2]],"")</f>
        <v/>
      </c>
      <c r="X32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1.1894443914599999</v>
      </c>
    </row>
    <row r="327" spans="1:24" ht="29.4" hidden="1" thickTop="1">
      <c r="A327" s="15" t="s">
        <v>350</v>
      </c>
      <c r="B327" s="15" t="s">
        <v>351</v>
      </c>
      <c r="C327" s="16" t="s">
        <v>624</v>
      </c>
      <c r="D327" s="16" t="s">
        <v>895</v>
      </c>
      <c r="E327" s="16" t="s">
        <v>1141</v>
      </c>
      <c r="F327" s="77" t="s">
        <v>312</v>
      </c>
      <c r="G327" s="16" t="s">
        <v>585</v>
      </c>
      <c r="H327" s="15" t="s">
        <v>347</v>
      </c>
      <c r="I327" s="89" t="s">
        <v>347</v>
      </c>
      <c r="J327" s="79">
        <v>2072.2199999999998</v>
      </c>
      <c r="K327" s="18" t="s">
        <v>1157</v>
      </c>
      <c r="L327" s="94" t="s">
        <v>419</v>
      </c>
      <c r="M327" s="148" t="s">
        <v>530</v>
      </c>
      <c r="N327" s="81" t="str">
        <f>_xlfn.XLOOKUP(Calculations[[#This Row],[For XLOOKUP]],Factors[For XLOOKUP],Factors[Factor],"")</f>
        <v>Σ.Ε. CO₂ eq</v>
      </c>
      <c r="O327" s="81">
        <f>_xlfn.XLOOKUP(Calculations[[#This Row],[For XLOOKUP]],Factors[For XLOOKUP],Factors[Value],"")</f>
        <v>2.6114399999999999E-4</v>
      </c>
      <c r="P327" s="81" t="str">
        <f>_xlfn.XLOOKUP(Calculations[[#This Row],[For XLOOKUP]],Factors[For XLOOKUP],Factors[Units],"")</f>
        <v>tn CO2 eq/ €</v>
      </c>
      <c r="Q327" s="19" t="str">
        <f>_xlfn.XLOOKUP(Calculations[[#This Row],[For XLOOKUP]],Factors[For XLOOKUP],Factors[Source],"")</f>
        <v>EPA 2022</v>
      </c>
      <c r="R32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7" s="81" t="str">
        <f>IF(LEFT(Calculations[[#This Row],[Emission Factor]],7)="Σ.Ε. CH",Calculations[[#This Row],[Value]]*Calculations[[#This Row],[Τιμή]],"-")</f>
        <v>-</v>
      </c>
      <c r="T32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7" s="81" t="str">
        <f>IF(LEFT(Calculations[[#This Row],[Emission Factor]],3)="GWP",Calculations[[#This Row],[Τιμή]],"-")</f>
        <v>-</v>
      </c>
      <c r="V327" s="81">
        <f>IF(OR(Calculations[[#This Row],[Emission Factor]]="Σ.Ε. CO₂ eq",Calculations[[#This Row],[Emission Factor]]="CO₂ eq"),Calculations[[#This Row],[Value]]*Calculations[[#This Row],[Τιμή]],"-")</f>
        <v>0.54114781967999992</v>
      </c>
      <c r="W327" s="81" t="str">
        <f>IF(Calculations[[#This Row],[Πηγή εκπομπών]]="Electricity consumed in office buildings and projects - market based",Calculations[[#This Row],[t CO2]],"")</f>
        <v/>
      </c>
      <c r="X32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0.54114781967999992</v>
      </c>
    </row>
    <row r="328" spans="1:24" ht="29.4" hidden="1" thickTop="1">
      <c r="A328" s="15" t="s">
        <v>350</v>
      </c>
      <c r="B328" s="15" t="s">
        <v>351</v>
      </c>
      <c r="C328" s="16" t="s">
        <v>624</v>
      </c>
      <c r="D328" s="16" t="s">
        <v>895</v>
      </c>
      <c r="E328" s="16" t="s">
        <v>1141</v>
      </c>
      <c r="F328" s="77" t="s">
        <v>312</v>
      </c>
      <c r="G328" s="16" t="s">
        <v>585</v>
      </c>
      <c r="H328" s="15" t="s">
        <v>347</v>
      </c>
      <c r="I328" s="89" t="s">
        <v>347</v>
      </c>
      <c r="J328" s="79">
        <v>540</v>
      </c>
      <c r="K328" s="18" t="s">
        <v>1157</v>
      </c>
      <c r="L328" s="94" t="s">
        <v>425</v>
      </c>
      <c r="M328" s="148" t="s">
        <v>536</v>
      </c>
      <c r="N328" s="81" t="str">
        <f>_xlfn.XLOOKUP(Calculations[[#This Row],[For XLOOKUP]],Factors[For XLOOKUP],Factors[Factor],"")</f>
        <v>Σ.Ε. CO₂ eq</v>
      </c>
      <c r="O328" s="81">
        <f>_xlfn.XLOOKUP(Calculations[[#This Row],[For XLOOKUP]],Factors[For XLOOKUP],Factors[Value],"")</f>
        <v>2.5061399999999997E-4</v>
      </c>
      <c r="P328" s="81" t="str">
        <f>_xlfn.XLOOKUP(Calculations[[#This Row],[For XLOOKUP]],Factors[For XLOOKUP],Factors[Units],"")</f>
        <v>tn CO2 eq/ €</v>
      </c>
      <c r="Q328" s="19" t="str">
        <f>_xlfn.XLOOKUP(Calculations[[#This Row],[For XLOOKUP]],Factors[For XLOOKUP],Factors[Source],"")</f>
        <v>EPA 2022</v>
      </c>
      <c r="R32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8" s="81" t="str">
        <f>IF(LEFT(Calculations[[#This Row],[Emission Factor]],7)="Σ.Ε. CH",Calculations[[#This Row],[Value]]*Calculations[[#This Row],[Τιμή]],"-")</f>
        <v>-</v>
      </c>
      <c r="T32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8" s="81" t="str">
        <f>IF(LEFT(Calculations[[#This Row],[Emission Factor]],3)="GWP",Calculations[[#This Row],[Τιμή]],"-")</f>
        <v>-</v>
      </c>
      <c r="V328" s="81">
        <f>IF(OR(Calculations[[#This Row],[Emission Factor]]="Σ.Ε. CO₂ eq",Calculations[[#This Row],[Emission Factor]]="CO₂ eq"),Calculations[[#This Row],[Value]]*Calculations[[#This Row],[Τιμή]],"-")</f>
        <v>0.13533155999999999</v>
      </c>
      <c r="W328" s="81" t="str">
        <f>IF(Calculations[[#This Row],[Πηγή εκπομπών]]="Electricity consumed in office buildings and projects - market based",Calculations[[#This Row],[t CO2]],"")</f>
        <v/>
      </c>
      <c r="X32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0.13533155999999999</v>
      </c>
    </row>
    <row r="329" spans="1:24" ht="29.4" hidden="1" thickTop="1">
      <c r="A329" s="15" t="s">
        <v>350</v>
      </c>
      <c r="B329" s="15" t="s">
        <v>351</v>
      </c>
      <c r="C329" s="16" t="s">
        <v>624</v>
      </c>
      <c r="D329" s="16" t="s">
        <v>895</v>
      </c>
      <c r="E329" s="16" t="s">
        <v>1141</v>
      </c>
      <c r="F329" s="77" t="s">
        <v>312</v>
      </c>
      <c r="G329" s="16" t="s">
        <v>585</v>
      </c>
      <c r="H329" s="15" t="s">
        <v>347</v>
      </c>
      <c r="I329" s="89" t="s">
        <v>347</v>
      </c>
      <c r="J329" s="79">
        <v>609.16000000000008</v>
      </c>
      <c r="K329" s="18" t="s">
        <v>1157</v>
      </c>
      <c r="L329" s="94" t="s">
        <v>444</v>
      </c>
      <c r="M329" s="148" t="s">
        <v>555</v>
      </c>
      <c r="N329" s="81" t="str">
        <f>_xlfn.XLOOKUP(Calculations[[#This Row],[For XLOOKUP]],Factors[For XLOOKUP],Factors[Factor],"")</f>
        <v>Σ.Ε. CO₂ eq</v>
      </c>
      <c r="O329" s="81">
        <f>_xlfn.XLOOKUP(Calculations[[#This Row],[For XLOOKUP]],Factors[For XLOOKUP],Factors[Value],"")</f>
        <v>5.3740000000000005E-4</v>
      </c>
      <c r="P329" s="81" t="str">
        <f>_xlfn.XLOOKUP(Calculations[[#This Row],[For XLOOKUP]],Factors[For XLOOKUP],Factors[Units],"")</f>
        <v>tn CO2 eq/ €</v>
      </c>
      <c r="Q329" s="19" t="str">
        <f>_xlfn.XLOOKUP(Calculations[[#This Row],[For XLOOKUP]],Factors[For XLOOKUP],Factors[Source],"")</f>
        <v>EXIOBASE 2019 - GR</v>
      </c>
      <c r="R32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9" s="81" t="str">
        <f>IF(LEFT(Calculations[[#This Row],[Emission Factor]],7)="Σ.Ε. CH",Calculations[[#This Row],[Value]]*Calculations[[#This Row],[Τιμή]],"-")</f>
        <v>-</v>
      </c>
      <c r="T32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9" s="81" t="str">
        <f>IF(LEFT(Calculations[[#This Row],[Emission Factor]],3)="GWP",Calculations[[#This Row],[Τιμή]],"-")</f>
        <v>-</v>
      </c>
      <c r="V329" s="81">
        <f>IF(OR(Calculations[[#This Row],[Emission Factor]]="Σ.Ε. CO₂ eq",Calculations[[#This Row],[Emission Factor]]="CO₂ eq"),Calculations[[#This Row],[Value]]*Calculations[[#This Row],[Τιμή]],"-")</f>
        <v>0.32736258400000007</v>
      </c>
      <c r="W329" s="81" t="str">
        <f>IF(Calculations[[#This Row],[Πηγή εκπομπών]]="Electricity consumed in office buildings and projects - market based",Calculations[[#This Row],[t CO2]],"")</f>
        <v/>
      </c>
      <c r="X32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0.32736258400000007</v>
      </c>
    </row>
    <row r="330" spans="1:24" ht="29.4" hidden="1" thickTop="1">
      <c r="A330" s="15" t="s">
        <v>350</v>
      </c>
      <c r="B330" s="15" t="s">
        <v>351</v>
      </c>
      <c r="C330" s="16" t="s">
        <v>624</v>
      </c>
      <c r="D330" s="16" t="s">
        <v>895</v>
      </c>
      <c r="E330" s="16" t="s">
        <v>1141</v>
      </c>
      <c r="F330" s="77" t="s">
        <v>312</v>
      </c>
      <c r="G330" s="16" t="s">
        <v>585</v>
      </c>
      <c r="H330" s="15" t="s">
        <v>347</v>
      </c>
      <c r="I330" s="89" t="s">
        <v>347</v>
      </c>
      <c r="J330" s="79">
        <v>475</v>
      </c>
      <c r="K330" s="18" t="s">
        <v>1157</v>
      </c>
      <c r="L330" s="94" t="s">
        <v>395</v>
      </c>
      <c r="M330" s="148" t="s">
        <v>506</v>
      </c>
      <c r="N330" s="81" t="str">
        <f>_xlfn.XLOOKUP(Calculations[[#This Row],[For XLOOKUP]],Factors[For XLOOKUP],Factors[Factor],"")</f>
        <v>Σ.Ε. CO₂ eq</v>
      </c>
      <c r="O330" s="81">
        <f>_xlfn.XLOOKUP(Calculations[[#This Row],[For XLOOKUP]],Factors[For XLOOKUP],Factors[Value],"")</f>
        <v>1.8216899999999998E-4</v>
      </c>
      <c r="P330" s="81" t="str">
        <f>_xlfn.XLOOKUP(Calculations[[#This Row],[For XLOOKUP]],Factors[For XLOOKUP],Factors[Units],"")</f>
        <v>tn CO2 eq/ €</v>
      </c>
      <c r="Q330" s="19" t="str">
        <f>_xlfn.XLOOKUP(Calculations[[#This Row],[For XLOOKUP]],Factors[For XLOOKUP],Factors[Source],"")</f>
        <v>EPA 2022</v>
      </c>
      <c r="R33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0" s="81" t="str">
        <f>IF(LEFT(Calculations[[#This Row],[Emission Factor]],7)="Σ.Ε. CH",Calculations[[#This Row],[Value]]*Calculations[[#This Row],[Τιμή]],"-")</f>
        <v>-</v>
      </c>
      <c r="T33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0" s="81" t="str">
        <f>IF(LEFT(Calculations[[#This Row],[Emission Factor]],3)="GWP",Calculations[[#This Row],[Τιμή]],"-")</f>
        <v>-</v>
      </c>
      <c r="V330" s="81">
        <f>IF(OR(Calculations[[#This Row],[Emission Factor]]="Σ.Ε. CO₂ eq",Calculations[[#This Row],[Emission Factor]]="CO₂ eq"),Calculations[[#This Row],[Value]]*Calculations[[#This Row],[Τιμή]],"-")</f>
        <v>8.653027499999999E-2</v>
      </c>
      <c r="W330" s="81" t="str">
        <f>IF(Calculations[[#This Row],[Πηγή εκπομπών]]="Electricity consumed in office buildings and projects - market based",Calculations[[#This Row],[t CO2]],"")</f>
        <v/>
      </c>
      <c r="X33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8.653027499999999E-2</v>
      </c>
    </row>
    <row r="331" spans="1:24" ht="29.4" hidden="1" thickTop="1">
      <c r="A331" s="15" t="s">
        <v>350</v>
      </c>
      <c r="B331" s="15" t="s">
        <v>351</v>
      </c>
      <c r="C331" s="16" t="s">
        <v>624</v>
      </c>
      <c r="D331" s="16" t="s">
        <v>895</v>
      </c>
      <c r="E331" s="16" t="s">
        <v>1141</v>
      </c>
      <c r="F331" s="77" t="s">
        <v>312</v>
      </c>
      <c r="G331" s="16" t="s">
        <v>585</v>
      </c>
      <c r="H331" s="15" t="s">
        <v>347</v>
      </c>
      <c r="I331" s="89" t="s">
        <v>347</v>
      </c>
      <c r="J331" s="79">
        <v>647.41999999999996</v>
      </c>
      <c r="K331" s="18" t="s">
        <v>1157</v>
      </c>
      <c r="L331" s="94" t="s">
        <v>392</v>
      </c>
      <c r="M331" s="148" t="s">
        <v>503</v>
      </c>
      <c r="N331" s="81" t="str">
        <f>_xlfn.XLOOKUP(Calculations[[#This Row],[For XLOOKUP]],Factors[For XLOOKUP],Factors[Factor],"")</f>
        <v>Σ.Ε. CO₂ eq</v>
      </c>
      <c r="O331" s="81">
        <f>_xlfn.XLOOKUP(Calculations[[#This Row],[For XLOOKUP]],Factors[For XLOOKUP],Factors[Value],"")</f>
        <v>1.03194E-4</v>
      </c>
      <c r="P331" s="81" t="str">
        <f>_xlfn.XLOOKUP(Calculations[[#This Row],[For XLOOKUP]],Factors[For XLOOKUP],Factors[Units],"")</f>
        <v>tn CO2 eq/ €</v>
      </c>
      <c r="Q331" s="19" t="str">
        <f>_xlfn.XLOOKUP(Calculations[[#This Row],[For XLOOKUP]],Factors[For XLOOKUP],Factors[Source],"")</f>
        <v>EPA 2022</v>
      </c>
      <c r="R33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1" s="81" t="str">
        <f>IF(LEFT(Calculations[[#This Row],[Emission Factor]],7)="Σ.Ε. CH",Calculations[[#This Row],[Value]]*Calculations[[#This Row],[Τιμή]],"-")</f>
        <v>-</v>
      </c>
      <c r="T33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1" s="81" t="str">
        <f>IF(LEFT(Calculations[[#This Row],[Emission Factor]],3)="GWP",Calculations[[#This Row],[Τιμή]],"-")</f>
        <v>-</v>
      </c>
      <c r="V331" s="81">
        <f>IF(OR(Calculations[[#This Row],[Emission Factor]]="Σ.Ε. CO₂ eq",Calculations[[#This Row],[Emission Factor]]="CO₂ eq"),Calculations[[#This Row],[Value]]*Calculations[[#This Row],[Τιμή]],"-")</f>
        <v>6.6809859479999997E-2</v>
      </c>
      <c r="W331" s="81" t="str">
        <f>IF(Calculations[[#This Row],[Πηγή εκπομπών]]="Electricity consumed in office buildings and projects - market based",Calculations[[#This Row],[t CO2]],"")</f>
        <v/>
      </c>
      <c r="X33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6.6809859479999997E-2</v>
      </c>
    </row>
    <row r="332" spans="1:24" ht="29.4" hidden="1" thickTop="1">
      <c r="A332" s="15" t="s">
        <v>350</v>
      </c>
      <c r="B332" s="15" t="s">
        <v>351</v>
      </c>
      <c r="C332" s="16" t="s">
        <v>624</v>
      </c>
      <c r="D332" s="16" t="s">
        <v>895</v>
      </c>
      <c r="E332" s="16" t="s">
        <v>1141</v>
      </c>
      <c r="F332" s="77" t="s">
        <v>312</v>
      </c>
      <c r="G332" s="16" t="s">
        <v>585</v>
      </c>
      <c r="H332" s="15" t="s">
        <v>347</v>
      </c>
      <c r="I332" s="89" t="s">
        <v>347</v>
      </c>
      <c r="J332" s="79">
        <v>282.26</v>
      </c>
      <c r="K332" s="18" t="s">
        <v>1157</v>
      </c>
      <c r="L332" s="94" t="s">
        <v>406</v>
      </c>
      <c r="M332" s="148" t="s">
        <v>517</v>
      </c>
      <c r="N332" s="81" t="str">
        <f>_xlfn.XLOOKUP(Calculations[[#This Row],[For XLOOKUP]],Factors[For XLOOKUP],Factors[Factor],"")</f>
        <v>Σ.Ε. CO₂ eq</v>
      </c>
      <c r="O332" s="81">
        <f>_xlfn.XLOOKUP(Calculations[[#This Row],[For XLOOKUP]],Factors[For XLOOKUP],Factors[Value],"")</f>
        <v>1.887E-3</v>
      </c>
      <c r="P332" s="81" t="str">
        <f>_xlfn.XLOOKUP(Calculations[[#This Row],[For XLOOKUP]],Factors[For XLOOKUP],Factors[Units],"")</f>
        <v>tn CO2 eq/ €</v>
      </c>
      <c r="Q332" s="19" t="str">
        <f>_xlfn.XLOOKUP(Calculations[[#This Row],[For XLOOKUP]],Factors[For XLOOKUP],Factors[Source],"")</f>
        <v>EXIOBASE 2019 - GR</v>
      </c>
      <c r="R33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2" s="81" t="str">
        <f>IF(LEFT(Calculations[[#This Row],[Emission Factor]],7)="Σ.Ε. CH",Calculations[[#This Row],[Value]]*Calculations[[#This Row],[Τιμή]],"-")</f>
        <v>-</v>
      </c>
      <c r="T33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2" s="81" t="str">
        <f>IF(LEFT(Calculations[[#This Row],[Emission Factor]],3)="GWP",Calculations[[#This Row],[Τιμή]],"-")</f>
        <v>-</v>
      </c>
      <c r="V332" s="81">
        <f>IF(OR(Calculations[[#This Row],[Emission Factor]]="Σ.Ε. CO₂ eq",Calculations[[#This Row],[Emission Factor]]="CO₂ eq"),Calculations[[#This Row],[Value]]*Calculations[[#This Row],[Τιμή]],"-")</f>
        <v>0.53262461999999999</v>
      </c>
      <c r="W332" s="81" t="str">
        <f>IF(Calculations[[#This Row],[Πηγή εκπομπών]]="Electricity consumed in office buildings and projects - market based",Calculations[[#This Row],[t CO2]],"")</f>
        <v/>
      </c>
      <c r="X33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0.53262461999999999</v>
      </c>
    </row>
    <row r="333" spans="1:24" ht="29.4" hidden="1" thickTop="1">
      <c r="A333" s="15" t="s">
        <v>350</v>
      </c>
      <c r="B333" s="15" t="s">
        <v>351</v>
      </c>
      <c r="C333" s="16" t="s">
        <v>624</v>
      </c>
      <c r="D333" s="16" t="s">
        <v>895</v>
      </c>
      <c r="E333" s="16" t="s">
        <v>1141</v>
      </c>
      <c r="F333" s="77" t="s">
        <v>312</v>
      </c>
      <c r="G333" s="16" t="s">
        <v>585</v>
      </c>
      <c r="H333" s="15" t="s">
        <v>347</v>
      </c>
      <c r="I333" s="89" t="s">
        <v>347</v>
      </c>
      <c r="J333" s="79">
        <v>268.62</v>
      </c>
      <c r="K333" s="18" t="s">
        <v>1157</v>
      </c>
      <c r="L333" s="94" t="s">
        <v>408</v>
      </c>
      <c r="M333" s="148" t="s">
        <v>519</v>
      </c>
      <c r="N333" s="81" t="str">
        <f>_xlfn.XLOOKUP(Calculations[[#This Row],[For XLOOKUP]],Factors[For XLOOKUP],Factors[Factor],"")</f>
        <v>Σ.Ε. CO₂ eq</v>
      </c>
      <c r="O333" s="81">
        <f>_xlfn.XLOOKUP(Calculations[[#This Row],[For XLOOKUP]],Factors[For XLOOKUP],Factors[Value],"")</f>
        <v>3.2831800000000008E-4</v>
      </c>
      <c r="P333" s="81" t="str">
        <f>_xlfn.XLOOKUP(Calculations[[#This Row],[For XLOOKUP]],Factors[For XLOOKUP],Factors[Units],"")</f>
        <v>tn CO2 eq/ €</v>
      </c>
      <c r="Q333" s="19" t="str">
        <f>_xlfn.XLOOKUP(Calculations[[#This Row],[For XLOOKUP]],Factors[For XLOOKUP],Factors[Source],"")</f>
        <v>EPA 2018</v>
      </c>
      <c r="R33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3" s="81" t="str">
        <f>IF(LEFT(Calculations[[#This Row],[Emission Factor]],7)="Σ.Ε. CH",Calculations[[#This Row],[Value]]*Calculations[[#This Row],[Τιμή]],"-")</f>
        <v>-</v>
      </c>
      <c r="T33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3" s="81" t="str">
        <f>IF(LEFT(Calculations[[#This Row],[Emission Factor]],3)="GWP",Calculations[[#This Row],[Τιμή]],"-")</f>
        <v>-</v>
      </c>
      <c r="V333" s="81">
        <f>IF(OR(Calculations[[#This Row],[Emission Factor]]="Σ.Ε. CO₂ eq",Calculations[[#This Row],[Emission Factor]]="CO₂ eq"),Calculations[[#This Row],[Value]]*Calculations[[#This Row],[Τιμή]],"-")</f>
        <v>8.8192781160000025E-2</v>
      </c>
      <c r="W333" s="81" t="str">
        <f>IF(Calculations[[#This Row],[Πηγή εκπομπών]]="Electricity consumed in office buildings and projects - market based",Calculations[[#This Row],[t CO2]],"")</f>
        <v/>
      </c>
      <c r="X33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8.8192781160000025E-2</v>
      </c>
    </row>
    <row r="334" spans="1:24" ht="29.4" hidden="1" thickTop="1">
      <c r="A334" s="15" t="s">
        <v>350</v>
      </c>
      <c r="B334" s="15" t="s">
        <v>351</v>
      </c>
      <c r="C334" s="16" t="s">
        <v>624</v>
      </c>
      <c r="D334" s="16" t="s">
        <v>895</v>
      </c>
      <c r="E334" s="16" t="s">
        <v>1141</v>
      </c>
      <c r="F334" s="77" t="s">
        <v>312</v>
      </c>
      <c r="G334" s="16" t="s">
        <v>585</v>
      </c>
      <c r="H334" s="15" t="s">
        <v>347</v>
      </c>
      <c r="I334" s="89" t="s">
        <v>347</v>
      </c>
      <c r="J334" s="79">
        <v>197.5</v>
      </c>
      <c r="K334" s="18" t="s">
        <v>1157</v>
      </c>
      <c r="L334" s="94" t="s">
        <v>409</v>
      </c>
      <c r="M334" s="148" t="s">
        <v>520</v>
      </c>
      <c r="N334" s="81" t="str">
        <f>_xlfn.XLOOKUP(Calculations[[#This Row],[For XLOOKUP]],Factors[For XLOOKUP],Factors[Factor],"")</f>
        <v>Σ.Ε. CO₂ eq</v>
      </c>
      <c r="O334" s="81">
        <f>_xlfn.XLOOKUP(Calculations[[#This Row],[For XLOOKUP]],Factors[For XLOOKUP],Factors[Value],"")</f>
        <v>3.2537700000000001E-4</v>
      </c>
      <c r="P334" s="81" t="str">
        <f>_xlfn.XLOOKUP(Calculations[[#This Row],[For XLOOKUP]],Factors[For XLOOKUP],Factors[Units],"")</f>
        <v>tn CO2 eq/ €</v>
      </c>
      <c r="Q334" s="19" t="str">
        <f>_xlfn.XLOOKUP(Calculations[[#This Row],[For XLOOKUP]],Factors[For XLOOKUP],Factors[Source],"")</f>
        <v>EPA 2022</v>
      </c>
      <c r="R33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4" s="81" t="str">
        <f>IF(LEFT(Calculations[[#This Row],[Emission Factor]],7)="Σ.Ε. CH",Calculations[[#This Row],[Value]]*Calculations[[#This Row],[Τιμή]],"-")</f>
        <v>-</v>
      </c>
      <c r="T33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4" s="81" t="str">
        <f>IF(LEFT(Calculations[[#This Row],[Emission Factor]],3)="GWP",Calculations[[#This Row],[Τιμή]],"-")</f>
        <v>-</v>
      </c>
      <c r="V334" s="81">
        <f>IF(OR(Calculations[[#This Row],[Emission Factor]]="Σ.Ε. CO₂ eq",Calculations[[#This Row],[Emission Factor]]="CO₂ eq"),Calculations[[#This Row],[Value]]*Calculations[[#This Row],[Τιμή]],"-")</f>
        <v>6.4261957500000008E-2</v>
      </c>
      <c r="W334" s="81" t="str">
        <f>IF(Calculations[[#This Row],[Πηγή εκπομπών]]="Electricity consumed in office buildings and projects - market based",Calculations[[#This Row],[t CO2]],"")</f>
        <v/>
      </c>
      <c r="X33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6.4261957500000008E-2</v>
      </c>
    </row>
    <row r="335" spans="1:24" ht="29.4" hidden="1" thickTop="1">
      <c r="A335" s="15" t="s">
        <v>350</v>
      </c>
      <c r="B335" s="15" t="s">
        <v>351</v>
      </c>
      <c r="C335" s="16" t="s">
        <v>624</v>
      </c>
      <c r="D335" s="16" t="s">
        <v>895</v>
      </c>
      <c r="E335" s="16" t="s">
        <v>1141</v>
      </c>
      <c r="F335" s="77" t="s">
        <v>312</v>
      </c>
      <c r="G335" s="16" t="s">
        <v>585</v>
      </c>
      <c r="H335" s="15" t="s">
        <v>347</v>
      </c>
      <c r="I335" s="89" t="s">
        <v>347</v>
      </c>
      <c r="J335" s="79">
        <v>602.59999999999991</v>
      </c>
      <c r="K335" s="18" t="s">
        <v>1157</v>
      </c>
      <c r="L335" s="94" t="s">
        <v>398</v>
      </c>
      <c r="M335" s="148" t="s">
        <v>509</v>
      </c>
      <c r="N335" s="81" t="str">
        <f>_xlfn.XLOOKUP(Calculations[[#This Row],[For XLOOKUP]],Factors[For XLOOKUP],Factors[Factor],"")</f>
        <v>Σ.Ε. CO₂ eq</v>
      </c>
      <c r="O335" s="81">
        <f>_xlfn.XLOOKUP(Calculations[[#This Row],[For XLOOKUP]],Factors[For XLOOKUP],Factors[Value],"")</f>
        <v>1.275183E-3</v>
      </c>
      <c r="P335" s="81" t="str">
        <f>_xlfn.XLOOKUP(Calculations[[#This Row],[For XLOOKUP]],Factors[For XLOOKUP],Factors[Units],"")</f>
        <v>tn CO2 eq/ €</v>
      </c>
      <c r="Q335" s="19" t="str">
        <f>_xlfn.XLOOKUP(Calculations[[#This Row],[For XLOOKUP]],Factors[For XLOOKUP],Factors[Source],"")</f>
        <v>EPA 2022</v>
      </c>
      <c r="R33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5" s="81" t="str">
        <f>IF(LEFT(Calculations[[#This Row],[Emission Factor]],7)="Σ.Ε. CH",Calculations[[#This Row],[Value]]*Calculations[[#This Row],[Τιμή]],"-")</f>
        <v>-</v>
      </c>
      <c r="T33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5" s="81" t="str">
        <f>IF(LEFT(Calculations[[#This Row],[Emission Factor]],3)="GWP",Calculations[[#This Row],[Τιμή]],"-")</f>
        <v>-</v>
      </c>
      <c r="V335" s="81">
        <f>IF(OR(Calculations[[#This Row],[Emission Factor]]="Σ.Ε. CO₂ eq",Calculations[[#This Row],[Emission Factor]]="CO₂ eq"),Calculations[[#This Row],[Value]]*Calculations[[#This Row],[Τιμή]],"-")</f>
        <v>0.76842527579999986</v>
      </c>
      <c r="W335" s="81" t="str">
        <f>IF(Calculations[[#This Row],[Πηγή εκπομπών]]="Electricity consumed in office buildings and projects - market based",Calculations[[#This Row],[t CO2]],"")</f>
        <v/>
      </c>
      <c r="X33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0.76842527579999986</v>
      </c>
    </row>
    <row r="336" spans="1:24" ht="29.4" hidden="1" thickTop="1">
      <c r="A336" s="15" t="s">
        <v>350</v>
      </c>
      <c r="B336" s="15" t="s">
        <v>351</v>
      </c>
      <c r="C336" s="16" t="s">
        <v>624</v>
      </c>
      <c r="D336" s="16" t="s">
        <v>895</v>
      </c>
      <c r="E336" s="16" t="s">
        <v>1141</v>
      </c>
      <c r="F336" s="77" t="s">
        <v>312</v>
      </c>
      <c r="G336" s="16" t="s">
        <v>585</v>
      </c>
      <c r="H336" s="15" t="s">
        <v>347</v>
      </c>
      <c r="I336" s="89" t="s">
        <v>347</v>
      </c>
      <c r="J336" s="79">
        <v>250.45</v>
      </c>
      <c r="K336" s="18" t="s">
        <v>1157</v>
      </c>
      <c r="L336" s="94" t="s">
        <v>431</v>
      </c>
      <c r="M336" s="148" t="s">
        <v>542</v>
      </c>
      <c r="N336" s="81" t="str">
        <f>_xlfn.XLOOKUP(Calculations[[#This Row],[For XLOOKUP]],Factors[For XLOOKUP],Factors[Factor],"")</f>
        <v>Σ.Ε. CO₂ eq</v>
      </c>
      <c r="O336" s="81">
        <f>_xlfn.XLOOKUP(Calculations[[#This Row],[For XLOOKUP]],Factors[For XLOOKUP],Factors[Value],"")</f>
        <v>2.2007699999999997E-4</v>
      </c>
      <c r="P336" s="81" t="str">
        <f>_xlfn.XLOOKUP(Calculations[[#This Row],[For XLOOKUP]],Factors[For XLOOKUP],Factors[Units],"")</f>
        <v>tn CO2 eq/ €</v>
      </c>
      <c r="Q336" s="19" t="str">
        <f>_xlfn.XLOOKUP(Calculations[[#This Row],[For XLOOKUP]],Factors[For XLOOKUP],Factors[Source],"")</f>
        <v>EPA 2022</v>
      </c>
      <c r="R33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6" s="81" t="str">
        <f>IF(LEFT(Calculations[[#This Row],[Emission Factor]],7)="Σ.Ε. CH",Calculations[[#This Row],[Value]]*Calculations[[#This Row],[Τιμή]],"-")</f>
        <v>-</v>
      </c>
      <c r="T33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6" s="81" t="str">
        <f>IF(LEFT(Calculations[[#This Row],[Emission Factor]],3)="GWP",Calculations[[#This Row],[Τιμή]],"-")</f>
        <v>-</v>
      </c>
      <c r="V336" s="81">
        <f>IF(OR(Calculations[[#This Row],[Emission Factor]]="Σ.Ε. CO₂ eq",Calculations[[#This Row],[Emission Factor]]="CO₂ eq"),Calculations[[#This Row],[Value]]*Calculations[[#This Row],[Τιμή]],"-")</f>
        <v>5.5118284649999988E-2</v>
      </c>
      <c r="W336" s="81" t="str">
        <f>IF(Calculations[[#This Row],[Πηγή εκπομπών]]="Electricity consumed in office buildings and projects - market based",Calculations[[#This Row],[t CO2]],"")</f>
        <v/>
      </c>
      <c r="X33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5.5118284649999988E-2</v>
      </c>
    </row>
    <row r="337" spans="1:24" ht="29.4" hidden="1" thickTop="1">
      <c r="A337" s="15" t="s">
        <v>350</v>
      </c>
      <c r="B337" s="15" t="s">
        <v>351</v>
      </c>
      <c r="C337" s="16" t="s">
        <v>624</v>
      </c>
      <c r="D337" s="16" t="s">
        <v>895</v>
      </c>
      <c r="E337" s="16" t="s">
        <v>1141</v>
      </c>
      <c r="F337" s="77" t="s">
        <v>312</v>
      </c>
      <c r="G337" s="16" t="s">
        <v>585</v>
      </c>
      <c r="H337" s="15" t="s">
        <v>347</v>
      </c>
      <c r="I337" s="89" t="s">
        <v>347</v>
      </c>
      <c r="J337" s="79">
        <v>94.82</v>
      </c>
      <c r="K337" s="18" t="s">
        <v>1157</v>
      </c>
      <c r="L337" s="94" t="s">
        <v>423</v>
      </c>
      <c r="M337" s="148" t="s">
        <v>534</v>
      </c>
      <c r="N337" s="81" t="str">
        <f>_xlfn.XLOOKUP(Calculations[[#This Row],[For XLOOKUP]],Factors[For XLOOKUP],Factors[Factor],"")</f>
        <v>Σ.Ε. CO₂ eq</v>
      </c>
      <c r="O337" s="81">
        <f>_xlfn.XLOOKUP(Calculations[[#This Row],[For XLOOKUP]],Factors[For XLOOKUP],Factors[Value],"")</f>
        <v>9.4980599999999998E-4</v>
      </c>
      <c r="P337" s="81" t="str">
        <f>_xlfn.XLOOKUP(Calculations[[#This Row],[For XLOOKUP]],Factors[For XLOOKUP],Factors[Units],"")</f>
        <v>tn CO2 eq/ €</v>
      </c>
      <c r="Q337" s="19" t="str">
        <f>_xlfn.XLOOKUP(Calculations[[#This Row],[For XLOOKUP]],Factors[For XLOOKUP],Factors[Source],"")</f>
        <v>EPA 2022</v>
      </c>
      <c r="R33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7" s="81" t="str">
        <f>IF(LEFT(Calculations[[#This Row],[Emission Factor]],7)="Σ.Ε. CH",Calculations[[#This Row],[Value]]*Calculations[[#This Row],[Τιμή]],"-")</f>
        <v>-</v>
      </c>
      <c r="T33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7" s="81" t="str">
        <f>IF(LEFT(Calculations[[#This Row],[Emission Factor]],3)="GWP",Calculations[[#This Row],[Τιμή]],"-")</f>
        <v>-</v>
      </c>
      <c r="V337" s="81">
        <f>IF(OR(Calculations[[#This Row],[Emission Factor]]="Σ.Ε. CO₂ eq",Calculations[[#This Row],[Emission Factor]]="CO₂ eq"),Calculations[[#This Row],[Value]]*Calculations[[#This Row],[Τιμή]],"-")</f>
        <v>9.0060604919999995E-2</v>
      </c>
      <c r="W337" s="81" t="str">
        <f>IF(Calculations[[#This Row],[Πηγή εκπομπών]]="Electricity consumed in office buildings and projects - market based",Calculations[[#This Row],[t CO2]],"")</f>
        <v/>
      </c>
      <c r="X33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9.0060604919999995E-2</v>
      </c>
    </row>
    <row r="338" spans="1:24" ht="29.4" hidden="1" thickTop="1">
      <c r="A338" s="15" t="s">
        <v>350</v>
      </c>
      <c r="B338" s="15" t="s">
        <v>351</v>
      </c>
      <c r="C338" s="16" t="s">
        <v>624</v>
      </c>
      <c r="D338" s="16" t="s">
        <v>895</v>
      </c>
      <c r="E338" s="16" t="s">
        <v>1141</v>
      </c>
      <c r="F338" s="77" t="s">
        <v>312</v>
      </c>
      <c r="G338" s="16" t="s">
        <v>585</v>
      </c>
      <c r="H338" s="15" t="s">
        <v>347</v>
      </c>
      <c r="I338" s="89" t="s">
        <v>347</v>
      </c>
      <c r="J338" s="79">
        <v>74.039999999999992</v>
      </c>
      <c r="K338" s="18" t="s">
        <v>1157</v>
      </c>
      <c r="L338" s="94" t="s">
        <v>438</v>
      </c>
      <c r="M338" s="148" t="s">
        <v>549</v>
      </c>
      <c r="N338" s="81" t="str">
        <f>_xlfn.XLOOKUP(Calculations[[#This Row],[For XLOOKUP]],Factors[For XLOOKUP],Factors[Factor],"")</f>
        <v>Σ.Ε. CO₂ eq</v>
      </c>
      <c r="O338" s="81">
        <f>_xlfn.XLOOKUP(Calculations[[#This Row],[For XLOOKUP]],Factors[For XLOOKUP],Factors[Value],"")</f>
        <v>6.715E-4</v>
      </c>
      <c r="P338" s="81" t="str">
        <f>_xlfn.XLOOKUP(Calculations[[#This Row],[For XLOOKUP]],Factors[For XLOOKUP],Factors[Units],"")</f>
        <v>tn CO2 eq/ €</v>
      </c>
      <c r="Q338" s="19" t="str">
        <f>_xlfn.XLOOKUP(Calculations[[#This Row],[For XLOOKUP]],Factors[For XLOOKUP],Factors[Source],"")</f>
        <v>EXIOBASE 2019 - GR</v>
      </c>
      <c r="R33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8" s="81" t="str">
        <f>IF(LEFT(Calculations[[#This Row],[Emission Factor]],7)="Σ.Ε. CH",Calculations[[#This Row],[Value]]*Calculations[[#This Row],[Τιμή]],"-")</f>
        <v>-</v>
      </c>
      <c r="T33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8" s="81" t="str">
        <f>IF(LEFT(Calculations[[#This Row],[Emission Factor]],3)="GWP",Calculations[[#This Row],[Τιμή]],"-")</f>
        <v>-</v>
      </c>
      <c r="V338" s="81">
        <f>IF(OR(Calculations[[#This Row],[Emission Factor]]="Σ.Ε. CO₂ eq",Calculations[[#This Row],[Emission Factor]]="CO₂ eq"),Calculations[[#This Row],[Value]]*Calculations[[#This Row],[Τιμή]],"-")</f>
        <v>4.9717859999999996E-2</v>
      </c>
      <c r="W338" s="81" t="str">
        <f>IF(Calculations[[#This Row],[Πηγή εκπομπών]]="Electricity consumed in office buildings and projects - market based",Calculations[[#This Row],[t CO2]],"")</f>
        <v/>
      </c>
      <c r="X33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4.9717859999999996E-2</v>
      </c>
    </row>
    <row r="339" spans="1:24" ht="29.4" hidden="1" thickTop="1">
      <c r="A339" s="15" t="s">
        <v>350</v>
      </c>
      <c r="B339" s="15" t="s">
        <v>351</v>
      </c>
      <c r="C339" s="16" t="s">
        <v>624</v>
      </c>
      <c r="D339" s="16" t="s">
        <v>895</v>
      </c>
      <c r="E339" s="16" t="s">
        <v>1141</v>
      </c>
      <c r="F339" s="77" t="s">
        <v>312</v>
      </c>
      <c r="G339" s="16" t="s">
        <v>585</v>
      </c>
      <c r="H339" s="15" t="s">
        <v>347</v>
      </c>
      <c r="I339" s="89" t="s">
        <v>347</v>
      </c>
      <c r="J339" s="79">
        <v>49.38</v>
      </c>
      <c r="K339" s="18" t="s">
        <v>1157</v>
      </c>
      <c r="L339" s="94" t="s">
        <v>451</v>
      </c>
      <c r="M339" s="148" t="s">
        <v>562</v>
      </c>
      <c r="N339" s="81" t="str">
        <f>_xlfn.XLOOKUP(Calculations[[#This Row],[For XLOOKUP]],Factors[For XLOOKUP],Factors[Factor],"")</f>
        <v>Σ.Ε. CO₂ eq</v>
      </c>
      <c r="O339" s="81">
        <f>_xlfn.XLOOKUP(Calculations[[#This Row],[For XLOOKUP]],Factors[For XLOOKUP],Factors[Value],"")</f>
        <v>1.2636E-4</v>
      </c>
      <c r="P339" s="81" t="str">
        <f>_xlfn.XLOOKUP(Calculations[[#This Row],[For XLOOKUP]],Factors[For XLOOKUP],Factors[Units],"")</f>
        <v>tn CO2 eq/ €</v>
      </c>
      <c r="Q339" s="19" t="str">
        <f>_xlfn.XLOOKUP(Calculations[[#This Row],[For XLOOKUP]],Factors[For XLOOKUP],Factors[Source],"")</f>
        <v>EPA 2022</v>
      </c>
      <c r="R33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9" s="81" t="str">
        <f>IF(LEFT(Calculations[[#This Row],[Emission Factor]],7)="Σ.Ε. CH",Calculations[[#This Row],[Value]]*Calculations[[#This Row],[Τιμή]],"-")</f>
        <v>-</v>
      </c>
      <c r="T33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9" s="81" t="str">
        <f>IF(LEFT(Calculations[[#This Row],[Emission Factor]],3)="GWP",Calculations[[#This Row],[Τιμή]],"-")</f>
        <v>-</v>
      </c>
      <c r="V339" s="81">
        <f>IF(OR(Calculations[[#This Row],[Emission Factor]]="Σ.Ε. CO₂ eq",Calculations[[#This Row],[Emission Factor]]="CO₂ eq"),Calculations[[#This Row],[Value]]*Calculations[[#This Row],[Τιμή]],"-")</f>
        <v>6.2396568000000008E-3</v>
      </c>
      <c r="W339" s="81" t="str">
        <f>IF(Calculations[[#This Row],[Πηγή εκπομπών]]="Electricity consumed in office buildings and projects - market based",Calculations[[#This Row],[t CO2]],"")</f>
        <v/>
      </c>
      <c r="X33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6.2396568000000008E-3</v>
      </c>
    </row>
    <row r="340" spans="1:24" ht="29.4" hidden="1" thickTop="1">
      <c r="A340" s="15" t="s">
        <v>350</v>
      </c>
      <c r="B340" s="15" t="s">
        <v>351</v>
      </c>
      <c r="C340" s="16" t="s">
        <v>624</v>
      </c>
      <c r="D340" s="16" t="s">
        <v>895</v>
      </c>
      <c r="E340" s="16" t="s">
        <v>1141</v>
      </c>
      <c r="F340" s="77" t="s">
        <v>312</v>
      </c>
      <c r="G340" s="16" t="s">
        <v>585</v>
      </c>
      <c r="H340" s="15" t="s">
        <v>347</v>
      </c>
      <c r="I340" s="89" t="s">
        <v>347</v>
      </c>
      <c r="J340" s="79">
        <v>97.12</v>
      </c>
      <c r="K340" s="18" t="s">
        <v>1157</v>
      </c>
      <c r="L340" s="94" t="s">
        <v>442</v>
      </c>
      <c r="M340" s="148" t="s">
        <v>553</v>
      </c>
      <c r="N340" s="81" t="str">
        <f>_xlfn.XLOOKUP(Calculations[[#This Row],[For XLOOKUP]],Factors[For XLOOKUP],Factors[Factor],"")</f>
        <v>Σ.Ε. CO₂ eq</v>
      </c>
      <c r="O340" s="81">
        <f>_xlfn.XLOOKUP(Calculations[[#This Row],[For XLOOKUP]],Factors[For XLOOKUP],Factors[Value],"")</f>
        <v>5.5914300000000001E-4</v>
      </c>
      <c r="P340" s="81" t="str">
        <f>_xlfn.XLOOKUP(Calculations[[#This Row],[For XLOOKUP]],Factors[For XLOOKUP],Factors[Units],"")</f>
        <v>tn CO2 eq/ €</v>
      </c>
      <c r="Q340" s="19" t="str">
        <f>_xlfn.XLOOKUP(Calculations[[#This Row],[For XLOOKUP]],Factors[For XLOOKUP],Factors[Source],"")</f>
        <v>EPA 2022</v>
      </c>
      <c r="R34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0" s="81" t="str">
        <f>IF(LEFT(Calculations[[#This Row],[Emission Factor]],7)="Σ.Ε. CH",Calculations[[#This Row],[Value]]*Calculations[[#This Row],[Τιμή]],"-")</f>
        <v>-</v>
      </c>
      <c r="T34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0" s="81" t="str">
        <f>IF(LEFT(Calculations[[#This Row],[Emission Factor]],3)="GWP",Calculations[[#This Row],[Τιμή]],"-")</f>
        <v>-</v>
      </c>
      <c r="V340" s="81">
        <f>IF(OR(Calculations[[#This Row],[Emission Factor]]="Σ.Ε. CO₂ eq",Calculations[[#This Row],[Emission Factor]]="CO₂ eq"),Calculations[[#This Row],[Value]]*Calculations[[#This Row],[Τιμή]],"-")</f>
        <v>5.430396816E-2</v>
      </c>
      <c r="W340" s="81" t="str">
        <f>IF(Calculations[[#This Row],[Πηγή εκπομπών]]="Electricity consumed in office buildings and projects - market based",Calculations[[#This Row],[t CO2]],"")</f>
        <v/>
      </c>
      <c r="X34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5.430396816E-2</v>
      </c>
    </row>
    <row r="341" spans="1:24" ht="29.4" hidden="1" thickTop="1">
      <c r="A341" s="15" t="s">
        <v>350</v>
      </c>
      <c r="B341" s="15" t="s">
        <v>351</v>
      </c>
      <c r="C341" s="16" t="s">
        <v>624</v>
      </c>
      <c r="D341" s="16" t="s">
        <v>895</v>
      </c>
      <c r="E341" s="16" t="s">
        <v>1141</v>
      </c>
      <c r="F341" s="77" t="s">
        <v>312</v>
      </c>
      <c r="G341" s="16" t="s">
        <v>585</v>
      </c>
      <c r="H341" s="15" t="s">
        <v>347</v>
      </c>
      <c r="I341" s="89" t="s">
        <v>347</v>
      </c>
      <c r="J341" s="79">
        <v>0</v>
      </c>
      <c r="K341" s="18" t="s">
        <v>1157</v>
      </c>
      <c r="L341" s="94" t="s">
        <v>460</v>
      </c>
      <c r="M341" s="148" t="s">
        <v>571</v>
      </c>
      <c r="N341" s="81" t="str">
        <f>_xlfn.XLOOKUP(Calculations[[#This Row],[For XLOOKUP]],Factors[For XLOOKUP],Factors[Factor],"")</f>
        <v>Σ.Ε. CO₂ eq</v>
      </c>
      <c r="O341" s="81">
        <f>_xlfn.XLOOKUP(Calculations[[#This Row],[For XLOOKUP]],Factors[For XLOOKUP],Factors[Value],"")</f>
        <v>1.0667636E-4</v>
      </c>
      <c r="P341" s="81" t="str">
        <f>_xlfn.XLOOKUP(Calculations[[#This Row],[For XLOOKUP]],Factors[For XLOOKUP],Factors[Units],"")</f>
        <v>tn CO2 eq/ €</v>
      </c>
      <c r="Q341" s="19" t="str">
        <f>_xlfn.XLOOKUP(Calculations[[#This Row],[For XLOOKUP]],Factors[For XLOOKUP],Factors[Source],"")</f>
        <v>BEIS 2021</v>
      </c>
      <c r="R34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1" s="81" t="str">
        <f>IF(LEFT(Calculations[[#This Row],[Emission Factor]],7)="Σ.Ε. CH",Calculations[[#This Row],[Value]]*Calculations[[#This Row],[Τιμή]],"-")</f>
        <v>-</v>
      </c>
      <c r="T34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1" s="81" t="str">
        <f>IF(LEFT(Calculations[[#This Row],[Emission Factor]],3)="GWP",Calculations[[#This Row],[Τιμή]],"-")</f>
        <v>-</v>
      </c>
      <c r="V341" s="81">
        <f>IF(OR(Calculations[[#This Row],[Emission Factor]]="Σ.Ε. CO₂ eq",Calculations[[#This Row],[Emission Factor]]="CO₂ eq"),Calculations[[#This Row],[Value]]*Calculations[[#This Row],[Τιμή]],"-")</f>
        <v>0</v>
      </c>
      <c r="W341" s="81" t="str">
        <f>IF(Calculations[[#This Row],[Πηγή εκπομπών]]="Electricity consumed in office buildings and projects - market based",Calculations[[#This Row],[t CO2]],"")</f>
        <v/>
      </c>
      <c r="X34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342" spans="1:24" ht="29.4" hidden="1" thickTop="1">
      <c r="A342" s="15" t="s">
        <v>350</v>
      </c>
      <c r="B342" s="15" t="s">
        <v>351</v>
      </c>
      <c r="C342" s="16" t="s">
        <v>624</v>
      </c>
      <c r="D342" s="16" t="s">
        <v>897</v>
      </c>
      <c r="E342" s="16" t="s">
        <v>1166</v>
      </c>
      <c r="F342" s="77" t="s">
        <v>320</v>
      </c>
      <c r="G342" s="16" t="s">
        <v>585</v>
      </c>
      <c r="H342" s="15" t="s">
        <v>347</v>
      </c>
      <c r="I342" s="89" t="s">
        <v>347</v>
      </c>
      <c r="J342" s="79">
        <v>905291</v>
      </c>
      <c r="K342" s="18" t="s">
        <v>1157</v>
      </c>
      <c r="L342" s="94" t="s">
        <v>354</v>
      </c>
      <c r="M342" s="148" t="s">
        <v>465</v>
      </c>
      <c r="N342" s="81" t="str">
        <f>_xlfn.XLOOKUP(Calculations[[#This Row],[For XLOOKUP]],Factors[For XLOOKUP],Factors[Factor],"")</f>
        <v>Σ.Ε. CO₂ eq</v>
      </c>
      <c r="O342" s="81">
        <f>_xlfn.XLOOKUP(Calculations[[#This Row],[For XLOOKUP]],Factors[For XLOOKUP],Factors[Value],"")</f>
        <v>9.6361160000000019E-5</v>
      </c>
      <c r="P342" s="81" t="str">
        <f>_xlfn.XLOOKUP(Calculations[[#This Row],[For XLOOKUP]],Factors[For XLOOKUP],Factors[Units],"")</f>
        <v>tn CO2 eq/ €</v>
      </c>
      <c r="Q342" s="19" t="str">
        <f>_xlfn.XLOOKUP(Calculations[[#This Row],[For XLOOKUP]],Factors[For XLOOKUP],Factors[Source],"")</f>
        <v>BEIS 2021</v>
      </c>
      <c r="R34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2" s="81" t="str">
        <f>IF(LEFT(Calculations[[#This Row],[Emission Factor]],7)="Σ.Ε. CH",Calculations[[#This Row],[Value]]*Calculations[[#This Row],[Τιμή]],"-")</f>
        <v>-</v>
      </c>
      <c r="T34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2" s="81" t="str">
        <f>IF(LEFT(Calculations[[#This Row],[Emission Factor]],3)="GWP",Calculations[[#This Row],[Τιμή]],"-")</f>
        <v>-</v>
      </c>
      <c r="V342" s="81">
        <f>IF(OR(Calculations[[#This Row],[Emission Factor]]="Σ.Ε. CO₂ eq",Calculations[[#This Row],[Emission Factor]]="CO₂ eq"),Calculations[[#This Row],[Value]]*Calculations[[#This Row],[Τιμή]],"-")</f>
        <v>87.234890897560021</v>
      </c>
      <c r="W342" s="81" t="str">
        <f>IF(Calculations[[#This Row],[Πηγή εκπομπών]]="Electricity consumed in office buildings and projects - market based",Calculations[[#This Row],[t CO2]],"")</f>
        <v/>
      </c>
      <c r="X34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87.234890897560021</v>
      </c>
    </row>
    <row r="343" spans="1:24" ht="29.4" hidden="1" thickTop="1">
      <c r="A343" s="15" t="s">
        <v>350</v>
      </c>
      <c r="B343" s="15" t="s">
        <v>351</v>
      </c>
      <c r="C343" s="16" t="s">
        <v>624</v>
      </c>
      <c r="D343" s="16" t="s">
        <v>897</v>
      </c>
      <c r="E343" s="16" t="s">
        <v>1166</v>
      </c>
      <c r="F343" s="77" t="s">
        <v>320</v>
      </c>
      <c r="G343" s="16" t="s">
        <v>585</v>
      </c>
      <c r="H343" s="15" t="s">
        <v>347</v>
      </c>
      <c r="I343" s="89" t="s">
        <v>347</v>
      </c>
      <c r="J343" s="79">
        <v>800531.79</v>
      </c>
      <c r="K343" s="18" t="s">
        <v>1157</v>
      </c>
      <c r="L343" s="94" t="s">
        <v>373</v>
      </c>
      <c r="M343" s="148" t="s">
        <v>484</v>
      </c>
      <c r="N343" s="81" t="str">
        <f>_xlfn.XLOOKUP(Calculations[[#This Row],[For XLOOKUP]],Factors[For XLOOKUP],Factors[Factor],"")</f>
        <v>Σ.Ε. CO₂ eq</v>
      </c>
      <c r="O343" s="81">
        <f>_xlfn.XLOOKUP(Calculations[[#This Row],[For XLOOKUP]],Factors[For XLOOKUP],Factors[Value],"")</f>
        <v>1.4320800000000003E-4</v>
      </c>
      <c r="P343" s="81" t="str">
        <f>_xlfn.XLOOKUP(Calculations[[#This Row],[For XLOOKUP]],Factors[For XLOOKUP],Factors[Units],"")</f>
        <v>tn CO2 eq/ €</v>
      </c>
      <c r="Q343" s="19" t="str">
        <f>_xlfn.XLOOKUP(Calculations[[#This Row],[For XLOOKUP]],Factors[For XLOOKUP],Factors[Source],"")</f>
        <v>EPA 2022</v>
      </c>
      <c r="R34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3" s="81" t="str">
        <f>IF(LEFT(Calculations[[#This Row],[Emission Factor]],7)="Σ.Ε. CH",Calculations[[#This Row],[Value]]*Calculations[[#This Row],[Τιμή]],"-")</f>
        <v>-</v>
      </c>
      <c r="T34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3" s="81" t="str">
        <f>IF(LEFT(Calculations[[#This Row],[Emission Factor]],3)="GWP",Calculations[[#This Row],[Τιμή]],"-")</f>
        <v>-</v>
      </c>
      <c r="V343" s="81">
        <f>IF(OR(Calculations[[#This Row],[Emission Factor]]="Σ.Ε. CO₂ eq",Calculations[[#This Row],[Emission Factor]]="CO₂ eq"),Calculations[[#This Row],[Value]]*Calculations[[#This Row],[Τιμή]],"-")</f>
        <v>114.64255658232003</v>
      </c>
      <c r="W343" s="81" t="str">
        <f>IF(Calculations[[#This Row],[Πηγή εκπομπών]]="Electricity consumed in office buildings and projects - market based",Calculations[[#This Row],[t CO2]],"")</f>
        <v/>
      </c>
      <c r="X34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114.64255658232003</v>
      </c>
    </row>
    <row r="344" spans="1:24" ht="29.4" hidden="1" thickTop="1">
      <c r="A344" s="15" t="s">
        <v>350</v>
      </c>
      <c r="B344" s="15" t="s">
        <v>351</v>
      </c>
      <c r="C344" s="16" t="s">
        <v>624</v>
      </c>
      <c r="D344" s="16" t="s">
        <v>897</v>
      </c>
      <c r="E344" s="16" t="s">
        <v>1166</v>
      </c>
      <c r="F344" s="77" t="s">
        <v>320</v>
      </c>
      <c r="G344" s="16" t="s">
        <v>585</v>
      </c>
      <c r="H344" s="15" t="s">
        <v>347</v>
      </c>
      <c r="I344" s="89" t="s">
        <v>347</v>
      </c>
      <c r="J344" s="79">
        <v>308000</v>
      </c>
      <c r="K344" s="18" t="s">
        <v>1157</v>
      </c>
      <c r="L344" s="94" t="s">
        <v>356</v>
      </c>
      <c r="M344" s="148" t="s">
        <v>467</v>
      </c>
      <c r="N344" s="81" t="str">
        <f>_xlfn.XLOOKUP(Calculations[[#This Row],[For XLOOKUP]],Factors[For XLOOKUP],Factors[Factor],"")</f>
        <v>Σ.Ε. CO₂ eq</v>
      </c>
      <c r="O344" s="81">
        <f>_xlfn.XLOOKUP(Calculations[[#This Row],[For XLOOKUP]],Factors[For XLOOKUP],Factors[Value],"")</f>
        <v>1.6994291999999998E-4</v>
      </c>
      <c r="P344" s="81" t="str">
        <f>_xlfn.XLOOKUP(Calculations[[#This Row],[For XLOOKUP]],Factors[For XLOOKUP],Factors[Units],"")</f>
        <v>tn CO2 eq/ €</v>
      </c>
      <c r="Q344" s="19" t="str">
        <f>_xlfn.XLOOKUP(Calculations[[#This Row],[For XLOOKUP]],Factors[For XLOOKUP],Factors[Source],"")</f>
        <v>BEIS 2021</v>
      </c>
      <c r="R34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4" s="81" t="str">
        <f>IF(LEFT(Calculations[[#This Row],[Emission Factor]],7)="Σ.Ε. CH",Calculations[[#This Row],[Value]]*Calculations[[#This Row],[Τιμή]],"-")</f>
        <v>-</v>
      </c>
      <c r="T34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4" s="81" t="str">
        <f>IF(LEFT(Calculations[[#This Row],[Emission Factor]],3)="GWP",Calculations[[#This Row],[Τιμή]],"-")</f>
        <v>-</v>
      </c>
      <c r="V344" s="81">
        <f>IF(OR(Calculations[[#This Row],[Emission Factor]]="Σ.Ε. CO₂ eq",Calculations[[#This Row],[Emission Factor]]="CO₂ eq"),Calculations[[#This Row],[Value]]*Calculations[[#This Row],[Τιμή]],"-")</f>
        <v>52.342419359999994</v>
      </c>
      <c r="W344" s="81" t="str">
        <f>IF(Calculations[[#This Row],[Πηγή εκπομπών]]="Electricity consumed in office buildings and projects - market based",Calculations[[#This Row],[t CO2]],"")</f>
        <v/>
      </c>
      <c r="X34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52.342419359999994</v>
      </c>
    </row>
    <row r="345" spans="1:24" ht="29.4" hidden="1" thickTop="1">
      <c r="A345" s="15" t="s">
        <v>350</v>
      </c>
      <c r="B345" s="15" t="s">
        <v>351</v>
      </c>
      <c r="C345" s="16" t="s">
        <v>624</v>
      </c>
      <c r="D345" s="16" t="s">
        <v>897</v>
      </c>
      <c r="E345" s="16" t="s">
        <v>1166</v>
      </c>
      <c r="F345" s="77" t="s">
        <v>320</v>
      </c>
      <c r="G345" s="16" t="s">
        <v>585</v>
      </c>
      <c r="H345" s="15" t="s">
        <v>347</v>
      </c>
      <c r="I345" s="89" t="s">
        <v>347</v>
      </c>
      <c r="J345" s="79">
        <v>234502.21</v>
      </c>
      <c r="K345" s="18" t="s">
        <v>1157</v>
      </c>
      <c r="L345" s="94" t="s">
        <v>358</v>
      </c>
      <c r="M345" s="148" t="s">
        <v>469</v>
      </c>
      <c r="N345" s="81" t="str">
        <f>_xlfn.XLOOKUP(Calculations[[#This Row],[For XLOOKUP]],Factors[For XLOOKUP],Factors[Factor],"")</f>
        <v>Σ.Ε. CO₂ eq</v>
      </c>
      <c r="O345" s="81">
        <f>_xlfn.XLOOKUP(Calculations[[#This Row],[For XLOOKUP]],Factors[For XLOOKUP],Factors[Value],"")</f>
        <v>3.4749000000000002E-5</v>
      </c>
      <c r="P345" s="81" t="str">
        <f>_xlfn.XLOOKUP(Calculations[[#This Row],[For XLOOKUP]],Factors[For XLOOKUP],Factors[Units],"")</f>
        <v>tn CO2 eq/ €</v>
      </c>
      <c r="Q345" s="19" t="str">
        <f>_xlfn.XLOOKUP(Calculations[[#This Row],[For XLOOKUP]],Factors[For XLOOKUP],Factors[Source],"")</f>
        <v>EPA 2022</v>
      </c>
      <c r="R34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5" s="81" t="str">
        <f>IF(LEFT(Calculations[[#This Row],[Emission Factor]],7)="Σ.Ε. CH",Calculations[[#This Row],[Value]]*Calculations[[#This Row],[Τιμή]],"-")</f>
        <v>-</v>
      </c>
      <c r="T34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5" s="81" t="str">
        <f>IF(LEFT(Calculations[[#This Row],[Emission Factor]],3)="GWP",Calculations[[#This Row],[Τιμή]],"-")</f>
        <v>-</v>
      </c>
      <c r="V345" s="81">
        <f>IF(OR(Calculations[[#This Row],[Emission Factor]]="Σ.Ε. CO₂ eq",Calculations[[#This Row],[Emission Factor]]="CO₂ eq"),Calculations[[#This Row],[Value]]*Calculations[[#This Row],[Τιμή]],"-")</f>
        <v>8.14871729529</v>
      </c>
      <c r="W345" s="81" t="str">
        <f>IF(Calculations[[#This Row],[Πηγή εκπομπών]]="Electricity consumed in office buildings and projects - market based",Calculations[[#This Row],[t CO2]],"")</f>
        <v/>
      </c>
      <c r="X34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8.14871729529</v>
      </c>
    </row>
    <row r="346" spans="1:24" ht="29.4" hidden="1" thickTop="1">
      <c r="A346" s="15" t="s">
        <v>350</v>
      </c>
      <c r="B346" s="15" t="s">
        <v>351</v>
      </c>
      <c r="C346" s="16" t="s">
        <v>624</v>
      </c>
      <c r="D346" s="16" t="s">
        <v>897</v>
      </c>
      <c r="E346" s="16" t="s">
        <v>1166</v>
      </c>
      <c r="F346" s="16" t="s">
        <v>320</v>
      </c>
      <c r="G346" s="16" t="s">
        <v>585</v>
      </c>
      <c r="H346" s="15" t="s">
        <v>347</v>
      </c>
      <c r="I346" s="89" t="s">
        <v>347</v>
      </c>
      <c r="J346" s="79">
        <v>119771.37999999999</v>
      </c>
      <c r="K346" s="18" t="s">
        <v>1157</v>
      </c>
      <c r="L346" s="94" t="s">
        <v>364</v>
      </c>
      <c r="M346" s="148" t="s">
        <v>475</v>
      </c>
      <c r="N346" s="81" t="str">
        <f>_xlfn.XLOOKUP(Calculations[[#This Row],[For XLOOKUP]],Factors[For XLOOKUP],Factors[Factor],"")</f>
        <v>Σ.Ε. CO₂ eq</v>
      </c>
      <c r="O346" s="81">
        <f>_xlfn.XLOOKUP(Calculations[[#This Row],[For XLOOKUP]],Factors[For XLOOKUP],Factors[Value],"")</f>
        <v>1.401148E-4</v>
      </c>
      <c r="P346" s="81" t="str">
        <f>_xlfn.XLOOKUP(Calculations[[#This Row],[For XLOOKUP]],Factors[For XLOOKUP],Factors[Units],"")</f>
        <v>tn CO2 eq/ €</v>
      </c>
      <c r="Q346" s="19" t="str">
        <f>_xlfn.XLOOKUP(Calculations[[#This Row],[For XLOOKUP]],Factors[For XLOOKUP],Factors[Source],"")</f>
        <v>BEIS 2021</v>
      </c>
      <c r="R34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6" s="81" t="str">
        <f>IF(LEFT(Calculations[[#This Row],[Emission Factor]],7)="Σ.Ε. CH",Calculations[[#This Row],[Value]]*Calculations[[#This Row],[Τιμή]],"-")</f>
        <v>-</v>
      </c>
      <c r="T34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6" s="81" t="str">
        <f>IF(LEFT(Calculations[[#This Row],[Emission Factor]],3)="GWP",Calculations[[#This Row],[Τιμή]],"-")</f>
        <v>-</v>
      </c>
      <c r="V346" s="81">
        <f>IF(OR(Calculations[[#This Row],[Emission Factor]]="Σ.Ε. CO₂ eq",Calculations[[#This Row],[Emission Factor]]="CO₂ eq"),Calculations[[#This Row],[Value]]*Calculations[[#This Row],[Τιμή]],"-")</f>
        <v>16.781742954423997</v>
      </c>
      <c r="W346" s="81" t="str">
        <f>IF(Calculations[[#This Row],[Πηγή εκπομπών]]="Electricity consumed in office buildings and projects - market based",Calculations[[#This Row],[t CO2]],"")</f>
        <v/>
      </c>
      <c r="X34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16.781742954423997</v>
      </c>
    </row>
    <row r="347" spans="1:24" ht="29.4" hidden="1" thickTop="1">
      <c r="A347" s="15" t="s">
        <v>350</v>
      </c>
      <c r="B347" s="15" t="s">
        <v>351</v>
      </c>
      <c r="C347" s="16" t="s">
        <v>624</v>
      </c>
      <c r="D347" s="16" t="s">
        <v>897</v>
      </c>
      <c r="E347" s="16" t="s">
        <v>1166</v>
      </c>
      <c r="F347" s="16" t="s">
        <v>320</v>
      </c>
      <c r="G347" s="16" t="s">
        <v>585</v>
      </c>
      <c r="H347" s="15" t="s">
        <v>347</v>
      </c>
      <c r="I347" s="89" t="s">
        <v>347</v>
      </c>
      <c r="J347" s="79">
        <v>45579.5</v>
      </c>
      <c r="K347" s="18" t="s">
        <v>1157</v>
      </c>
      <c r="L347" s="94" t="s">
        <v>353</v>
      </c>
      <c r="M347" s="148" t="s">
        <v>464</v>
      </c>
      <c r="N347" s="81" t="str">
        <f>_xlfn.XLOOKUP(Calculations[[#This Row],[For XLOOKUP]],Factors[For XLOOKUP],Factors[Factor],"")</f>
        <v>Σ.Ε. CO₂ eq</v>
      </c>
      <c r="O347" s="81">
        <f>_xlfn.XLOOKUP(Calculations[[#This Row],[For XLOOKUP]],Factors[For XLOOKUP],Factors[Value],"")</f>
        <v>5.8538760000000007E-5</v>
      </c>
      <c r="P347" s="81" t="str">
        <f>_xlfn.XLOOKUP(Calculations[[#This Row],[For XLOOKUP]],Factors[For XLOOKUP],Factors[Units],"")</f>
        <v>tn CO2 eq/ €</v>
      </c>
      <c r="Q347" s="19" t="str">
        <f>_xlfn.XLOOKUP(Calculations[[#This Row],[For XLOOKUP]],Factors[For XLOOKUP],Factors[Source],"")</f>
        <v>BEIS 2021</v>
      </c>
      <c r="R34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7" s="81" t="str">
        <f>IF(LEFT(Calculations[[#This Row],[Emission Factor]],7)="Σ.Ε. CH",Calculations[[#This Row],[Value]]*Calculations[[#This Row],[Τιμή]],"-")</f>
        <v>-</v>
      </c>
      <c r="T34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7" s="81" t="str">
        <f>IF(LEFT(Calculations[[#This Row],[Emission Factor]],3)="GWP",Calculations[[#This Row],[Τιμή]],"-")</f>
        <v>-</v>
      </c>
      <c r="V347" s="81">
        <f>IF(OR(Calculations[[#This Row],[Emission Factor]]="Σ.Ε. CO₂ eq",Calculations[[#This Row],[Emission Factor]]="CO₂ eq"),Calculations[[#This Row],[Value]]*Calculations[[#This Row],[Τιμή]],"-")</f>
        <v>2.6681674114200002</v>
      </c>
      <c r="W347" s="81" t="str">
        <f>IF(Calculations[[#This Row],[Πηγή εκπομπών]]="Electricity consumed in office buildings and projects - market based",Calculations[[#This Row],[t CO2]],"")</f>
        <v/>
      </c>
      <c r="X34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2.6681674114200002</v>
      </c>
    </row>
    <row r="348" spans="1:24" ht="29.4" hidden="1" thickTop="1">
      <c r="A348" s="15" t="s">
        <v>350</v>
      </c>
      <c r="B348" s="15" t="s">
        <v>351</v>
      </c>
      <c r="C348" s="16" t="s">
        <v>624</v>
      </c>
      <c r="D348" s="16" t="s">
        <v>897</v>
      </c>
      <c r="E348" s="16" t="s">
        <v>1166</v>
      </c>
      <c r="F348" s="16" t="s">
        <v>320</v>
      </c>
      <c r="G348" s="16" t="s">
        <v>585</v>
      </c>
      <c r="H348" s="15" t="s">
        <v>347</v>
      </c>
      <c r="I348" s="89" t="s">
        <v>347</v>
      </c>
      <c r="J348" s="79">
        <v>32681.89</v>
      </c>
      <c r="K348" s="18" t="s">
        <v>1157</v>
      </c>
      <c r="L348" s="94" t="s">
        <v>377</v>
      </c>
      <c r="M348" s="148" t="s">
        <v>488</v>
      </c>
      <c r="N348" s="81" t="str">
        <f>_xlfn.XLOOKUP(Calculations[[#This Row],[For XLOOKUP]],Factors[For XLOOKUP],Factors[Factor],"")</f>
        <v>Σ.Ε. CO₂ eq</v>
      </c>
      <c r="O348" s="81">
        <f>_xlfn.XLOOKUP(Calculations[[#This Row],[For XLOOKUP]],Factors[For XLOOKUP],Factors[Value],"")</f>
        <v>2.2370000000000002E-4</v>
      </c>
      <c r="P348" s="81" t="str">
        <f>_xlfn.XLOOKUP(Calculations[[#This Row],[For XLOOKUP]],Factors[For XLOOKUP],Factors[Units],"")</f>
        <v>tn CO2 eq/ €</v>
      </c>
      <c r="Q348" s="19" t="str">
        <f>_xlfn.XLOOKUP(Calculations[[#This Row],[For XLOOKUP]],Factors[For XLOOKUP],Factors[Source],"")</f>
        <v>EXIOBASE 2019 - GR</v>
      </c>
      <c r="R34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8" s="81" t="str">
        <f>IF(LEFT(Calculations[[#This Row],[Emission Factor]],7)="Σ.Ε. CH",Calculations[[#This Row],[Value]]*Calculations[[#This Row],[Τιμή]],"-")</f>
        <v>-</v>
      </c>
      <c r="T34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8" s="81" t="str">
        <f>IF(LEFT(Calculations[[#This Row],[Emission Factor]],3)="GWP",Calculations[[#This Row],[Τιμή]],"-")</f>
        <v>-</v>
      </c>
      <c r="V348" s="81">
        <f>IF(OR(Calculations[[#This Row],[Emission Factor]]="Σ.Ε. CO₂ eq",Calculations[[#This Row],[Emission Factor]]="CO₂ eq"),Calculations[[#This Row],[Value]]*Calculations[[#This Row],[Τιμή]],"-")</f>
        <v>7.310938793</v>
      </c>
      <c r="W348" s="81" t="str">
        <f>IF(Calculations[[#This Row],[Πηγή εκπομπών]]="Electricity consumed in office buildings and projects - market based",Calculations[[#This Row],[t CO2]],"")</f>
        <v/>
      </c>
      <c r="X34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7.310938793</v>
      </c>
    </row>
    <row r="349" spans="1:24" ht="29.4" hidden="1" thickTop="1">
      <c r="A349" s="15" t="s">
        <v>350</v>
      </c>
      <c r="B349" s="15" t="s">
        <v>351</v>
      </c>
      <c r="C349" s="16" t="s">
        <v>624</v>
      </c>
      <c r="D349" s="16" t="s">
        <v>897</v>
      </c>
      <c r="E349" s="16" t="s">
        <v>1166</v>
      </c>
      <c r="F349" s="16" t="s">
        <v>320</v>
      </c>
      <c r="G349" s="16" t="s">
        <v>585</v>
      </c>
      <c r="H349" s="15" t="s">
        <v>347</v>
      </c>
      <c r="I349" s="89" t="s">
        <v>347</v>
      </c>
      <c r="J349" s="79">
        <v>27500</v>
      </c>
      <c r="K349" s="18" t="s">
        <v>1157</v>
      </c>
      <c r="L349" s="94" t="s">
        <v>363</v>
      </c>
      <c r="M349" s="148" t="s">
        <v>474</v>
      </c>
      <c r="N349" s="81" t="str">
        <f>_xlfn.XLOOKUP(Calculations[[#This Row],[For XLOOKUP]],Factors[For XLOOKUP],Factors[Factor],"")</f>
        <v>Σ.Ε. CO₂ eq</v>
      </c>
      <c r="O349" s="81">
        <f>_xlfn.XLOOKUP(Calculations[[#This Row],[For XLOOKUP]],Factors[For XLOOKUP],Factors[Value],"")</f>
        <v>1.1819500000000002E-4</v>
      </c>
      <c r="P349" s="81" t="str">
        <f>_xlfn.XLOOKUP(Calculations[[#This Row],[For XLOOKUP]],Factors[For XLOOKUP],Factors[Units],"")</f>
        <v>tn CO2 eq/ €</v>
      </c>
      <c r="Q349" s="19" t="str">
        <f>_xlfn.XLOOKUP(Calculations[[#This Row],[For XLOOKUP]],Factors[For XLOOKUP],Factors[Source],"")</f>
        <v>BEIS 2021</v>
      </c>
      <c r="R34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9" s="81" t="str">
        <f>IF(LEFT(Calculations[[#This Row],[Emission Factor]],7)="Σ.Ε. CH",Calculations[[#This Row],[Value]]*Calculations[[#This Row],[Τιμή]],"-")</f>
        <v>-</v>
      </c>
      <c r="T34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9" s="81" t="str">
        <f>IF(LEFT(Calculations[[#This Row],[Emission Factor]],3)="GWP",Calculations[[#This Row],[Τιμή]],"-")</f>
        <v>-</v>
      </c>
      <c r="V349" s="81">
        <f>IF(OR(Calculations[[#This Row],[Emission Factor]]="Σ.Ε. CO₂ eq",Calculations[[#This Row],[Emission Factor]]="CO₂ eq"),Calculations[[#This Row],[Value]]*Calculations[[#This Row],[Τιμή]],"-")</f>
        <v>3.2503625000000005</v>
      </c>
      <c r="W349" s="81" t="str">
        <f>IF(Calculations[[#This Row],[Πηγή εκπομπών]]="Electricity consumed in office buildings and projects - market based",Calculations[[#This Row],[t CO2]],"")</f>
        <v/>
      </c>
      <c r="X34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3.2503625000000005</v>
      </c>
    </row>
    <row r="350" spans="1:24" ht="29.4" hidden="1" thickTop="1">
      <c r="A350" s="15" t="s">
        <v>350</v>
      </c>
      <c r="B350" s="15" t="s">
        <v>351</v>
      </c>
      <c r="C350" s="16" t="s">
        <v>624</v>
      </c>
      <c r="D350" s="16" t="s">
        <v>897</v>
      </c>
      <c r="E350" s="16" t="s">
        <v>1166</v>
      </c>
      <c r="F350" s="16" t="s">
        <v>320</v>
      </c>
      <c r="G350" s="16" t="s">
        <v>585</v>
      </c>
      <c r="H350" s="15" t="s">
        <v>347</v>
      </c>
      <c r="I350" s="89" t="s">
        <v>347</v>
      </c>
      <c r="J350" s="79">
        <v>36334.680000000008</v>
      </c>
      <c r="K350" s="18" t="s">
        <v>1157</v>
      </c>
      <c r="L350" s="94" t="s">
        <v>369</v>
      </c>
      <c r="M350" s="148" t="s">
        <v>480</v>
      </c>
      <c r="N350" s="81" t="str">
        <f>_xlfn.XLOOKUP(Calculations[[#This Row],[For XLOOKUP]],Factors[For XLOOKUP],Factors[Factor],"")</f>
        <v>Σ.Ε. CO₂ eq</v>
      </c>
      <c r="O350" s="81">
        <f>_xlfn.XLOOKUP(Calculations[[#This Row],[For XLOOKUP]],Factors[For XLOOKUP],Factors[Value],"")</f>
        <v>1.1372399999999998E-4</v>
      </c>
      <c r="P350" s="81" t="str">
        <f>_xlfn.XLOOKUP(Calculations[[#This Row],[For XLOOKUP]],Factors[For XLOOKUP],Factors[Units],"")</f>
        <v>tn CO2 eq/ €</v>
      </c>
      <c r="Q350" s="19" t="str">
        <f>_xlfn.XLOOKUP(Calculations[[#This Row],[For XLOOKUP]],Factors[For XLOOKUP],Factors[Source],"")</f>
        <v>EPA 2022</v>
      </c>
      <c r="R35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0" s="81" t="str">
        <f>IF(LEFT(Calculations[[#This Row],[Emission Factor]],7)="Σ.Ε. CH",Calculations[[#This Row],[Value]]*Calculations[[#This Row],[Τιμή]],"-")</f>
        <v>-</v>
      </c>
      <c r="T35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0" s="81" t="str">
        <f>IF(LEFT(Calculations[[#This Row],[Emission Factor]],3)="GWP",Calculations[[#This Row],[Τιμή]],"-")</f>
        <v>-</v>
      </c>
      <c r="V350" s="81">
        <f>IF(OR(Calculations[[#This Row],[Emission Factor]]="Σ.Ε. CO₂ eq",Calculations[[#This Row],[Emission Factor]]="CO₂ eq"),Calculations[[#This Row],[Value]]*Calculations[[#This Row],[Τιμή]],"-")</f>
        <v>4.1321251483200001</v>
      </c>
      <c r="W350" s="81" t="str">
        <f>IF(Calculations[[#This Row],[Πηγή εκπομπών]]="Electricity consumed in office buildings and projects - market based",Calculations[[#This Row],[t CO2]],"")</f>
        <v/>
      </c>
      <c r="X35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4.1321251483200001</v>
      </c>
    </row>
    <row r="351" spans="1:24" ht="29.4" hidden="1" thickTop="1">
      <c r="A351" s="15" t="s">
        <v>350</v>
      </c>
      <c r="B351" s="15" t="s">
        <v>351</v>
      </c>
      <c r="C351" s="16" t="s">
        <v>624</v>
      </c>
      <c r="D351" s="16" t="s">
        <v>897</v>
      </c>
      <c r="E351" s="16" t="s">
        <v>1166</v>
      </c>
      <c r="F351" s="16" t="s">
        <v>320</v>
      </c>
      <c r="G351" s="16" t="s">
        <v>585</v>
      </c>
      <c r="H351" s="15" t="s">
        <v>347</v>
      </c>
      <c r="I351" s="89" t="s">
        <v>347</v>
      </c>
      <c r="J351" s="79">
        <v>42244.659999999996</v>
      </c>
      <c r="K351" s="18" t="s">
        <v>1157</v>
      </c>
      <c r="L351" s="94" t="s">
        <v>375</v>
      </c>
      <c r="M351" s="148" t="s">
        <v>486</v>
      </c>
      <c r="N351" s="81" t="str">
        <f>_xlfn.XLOOKUP(Calculations[[#This Row],[For XLOOKUP]],Factors[For XLOOKUP],Factors[Factor],"")</f>
        <v>Σ.Ε. CO₂ eq</v>
      </c>
      <c r="O351" s="81">
        <f>_xlfn.XLOOKUP(Calculations[[#This Row],[For XLOOKUP]],Factors[For XLOOKUP],Factors[Value],"")</f>
        <v>9.4769999999999989E-5</v>
      </c>
      <c r="P351" s="81" t="str">
        <f>_xlfn.XLOOKUP(Calculations[[#This Row],[For XLOOKUP]],Factors[For XLOOKUP],Factors[Units],"")</f>
        <v>tn CO2 eq/ €</v>
      </c>
      <c r="Q351" s="19" t="str">
        <f>_xlfn.XLOOKUP(Calculations[[#This Row],[For XLOOKUP]],Factors[For XLOOKUP],Factors[Source],"")</f>
        <v>EPA 2022</v>
      </c>
      <c r="R35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1" s="81" t="str">
        <f>IF(LEFT(Calculations[[#This Row],[Emission Factor]],7)="Σ.Ε. CH",Calculations[[#This Row],[Value]]*Calculations[[#This Row],[Τιμή]],"-")</f>
        <v>-</v>
      </c>
      <c r="T35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1" s="81" t="str">
        <f>IF(LEFT(Calculations[[#This Row],[Emission Factor]],3)="GWP",Calculations[[#This Row],[Τιμή]],"-")</f>
        <v>-</v>
      </c>
      <c r="V351" s="81">
        <f>IF(OR(Calculations[[#This Row],[Emission Factor]]="Σ.Ε. CO₂ eq",Calculations[[#This Row],[Emission Factor]]="CO₂ eq"),Calculations[[#This Row],[Value]]*Calculations[[#This Row],[Τιμή]],"-")</f>
        <v>4.0035264281999989</v>
      </c>
      <c r="W351" s="81" t="str">
        <f>IF(Calculations[[#This Row],[Πηγή εκπομπών]]="Electricity consumed in office buildings and projects - market based",Calculations[[#This Row],[t CO2]],"")</f>
        <v/>
      </c>
      <c r="X35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4.0035264281999989</v>
      </c>
    </row>
    <row r="352" spans="1:24" ht="29.4" hidden="1" thickTop="1">
      <c r="A352" s="15" t="s">
        <v>350</v>
      </c>
      <c r="B352" s="15" t="s">
        <v>351</v>
      </c>
      <c r="C352" s="16" t="s">
        <v>624</v>
      </c>
      <c r="D352" s="16" t="s">
        <v>897</v>
      </c>
      <c r="E352" s="16" t="s">
        <v>1166</v>
      </c>
      <c r="F352" s="16" t="s">
        <v>320</v>
      </c>
      <c r="G352" s="16" t="s">
        <v>585</v>
      </c>
      <c r="H352" s="15" t="s">
        <v>347</v>
      </c>
      <c r="I352" s="89" t="s">
        <v>347</v>
      </c>
      <c r="J352" s="79">
        <v>10569.41</v>
      </c>
      <c r="K352" s="18" t="s">
        <v>1157</v>
      </c>
      <c r="L352" s="94" t="s">
        <v>366</v>
      </c>
      <c r="M352" s="148" t="s">
        <v>477</v>
      </c>
      <c r="N352" s="81" t="str">
        <f>_xlfn.XLOOKUP(Calculations[[#This Row],[For XLOOKUP]],Factors[For XLOOKUP],Factors[Factor],"")</f>
        <v>Σ.Ε. CO₂ eq</v>
      </c>
      <c r="O352" s="81">
        <f>_xlfn.XLOOKUP(Calculations[[#This Row],[For XLOOKUP]],Factors[For XLOOKUP],Factors[Value],"")</f>
        <v>1.9958900000000002E-4</v>
      </c>
      <c r="P352" s="81" t="str">
        <f>_xlfn.XLOOKUP(Calculations[[#This Row],[For XLOOKUP]],Factors[For XLOOKUP],Factors[Units],"")</f>
        <v>tn CO2 eq/ €</v>
      </c>
      <c r="Q352" s="19" t="str">
        <f>_xlfn.XLOOKUP(Calculations[[#This Row],[For XLOOKUP]],Factors[For XLOOKUP],Factors[Source],"")</f>
        <v>EPA 2018</v>
      </c>
      <c r="R35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2" s="81" t="str">
        <f>IF(LEFT(Calculations[[#This Row],[Emission Factor]],7)="Σ.Ε. CH",Calculations[[#This Row],[Value]]*Calculations[[#This Row],[Τιμή]],"-")</f>
        <v>-</v>
      </c>
      <c r="T35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2" s="81" t="str">
        <f>IF(LEFT(Calculations[[#This Row],[Emission Factor]],3)="GWP",Calculations[[#This Row],[Τιμή]],"-")</f>
        <v>-</v>
      </c>
      <c r="V352" s="81">
        <f>IF(OR(Calculations[[#This Row],[Emission Factor]]="Σ.Ε. CO₂ eq",Calculations[[#This Row],[Emission Factor]]="CO₂ eq"),Calculations[[#This Row],[Value]]*Calculations[[#This Row],[Τιμή]],"-")</f>
        <v>2.1095379724900001</v>
      </c>
      <c r="W352" s="81" t="str">
        <f>IF(Calculations[[#This Row],[Πηγή εκπομπών]]="Electricity consumed in office buildings and projects - market based",Calculations[[#This Row],[t CO2]],"")</f>
        <v/>
      </c>
      <c r="X35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2.1095379724900001</v>
      </c>
    </row>
    <row r="353" spans="1:24" ht="29.4" hidden="1" thickTop="1">
      <c r="A353" s="15" t="s">
        <v>350</v>
      </c>
      <c r="B353" s="15" t="s">
        <v>351</v>
      </c>
      <c r="C353" s="16" t="s">
        <v>624</v>
      </c>
      <c r="D353" s="16" t="s">
        <v>897</v>
      </c>
      <c r="E353" s="16" t="s">
        <v>1166</v>
      </c>
      <c r="F353" s="16" t="s">
        <v>320</v>
      </c>
      <c r="G353" s="16" t="s">
        <v>585</v>
      </c>
      <c r="H353" s="15" t="s">
        <v>347</v>
      </c>
      <c r="I353" s="89" t="s">
        <v>347</v>
      </c>
      <c r="J353" s="79">
        <v>17860.78</v>
      </c>
      <c r="K353" s="18" t="s">
        <v>1157</v>
      </c>
      <c r="L353" s="94" t="s">
        <v>357</v>
      </c>
      <c r="M353" s="148" t="s">
        <v>468</v>
      </c>
      <c r="N353" s="81" t="str">
        <f>_xlfn.XLOOKUP(Calculations[[#This Row],[For XLOOKUP]],Factors[For XLOOKUP],Factors[Factor],"")</f>
        <v>Σ.Ε. CO₂ eq</v>
      </c>
      <c r="O353" s="81">
        <f>_xlfn.XLOOKUP(Calculations[[#This Row],[For XLOOKUP]],Factors[For XLOOKUP],Factors[Value],"")</f>
        <v>3.7960000000000001E-4</v>
      </c>
      <c r="P353" s="81" t="str">
        <f>_xlfn.XLOOKUP(Calculations[[#This Row],[For XLOOKUP]],Factors[For XLOOKUP],Factors[Units],"")</f>
        <v>tn CO2 eq/ €</v>
      </c>
      <c r="Q353" s="19" t="str">
        <f>_xlfn.XLOOKUP(Calculations[[#This Row],[For XLOOKUP]],Factors[For XLOOKUP],Factors[Source],"")</f>
        <v>EXIOBASE 2019 - GR</v>
      </c>
      <c r="R35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3" s="81" t="str">
        <f>IF(LEFT(Calculations[[#This Row],[Emission Factor]],7)="Σ.Ε. CH",Calculations[[#This Row],[Value]]*Calculations[[#This Row],[Τιμή]],"-")</f>
        <v>-</v>
      </c>
      <c r="T35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3" s="81" t="str">
        <f>IF(LEFT(Calculations[[#This Row],[Emission Factor]],3)="GWP",Calculations[[#This Row],[Τιμή]],"-")</f>
        <v>-</v>
      </c>
      <c r="V353" s="81">
        <f>IF(OR(Calculations[[#This Row],[Emission Factor]]="Σ.Ε. CO₂ eq",Calculations[[#This Row],[Emission Factor]]="CO₂ eq"),Calculations[[#This Row],[Value]]*Calculations[[#This Row],[Τιμή]],"-")</f>
        <v>6.7799520879999999</v>
      </c>
      <c r="W353" s="81" t="str">
        <f>IF(Calculations[[#This Row],[Πηγή εκπομπών]]="Electricity consumed in office buildings and projects - market based",Calculations[[#This Row],[t CO2]],"")</f>
        <v/>
      </c>
      <c r="X35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6.7799520879999999</v>
      </c>
    </row>
    <row r="354" spans="1:24" ht="29.4" hidden="1" thickTop="1">
      <c r="A354" s="15" t="s">
        <v>350</v>
      </c>
      <c r="B354" s="15" t="s">
        <v>351</v>
      </c>
      <c r="C354" s="16" t="s">
        <v>624</v>
      </c>
      <c r="D354" s="16" t="s">
        <v>897</v>
      </c>
      <c r="E354" s="16" t="s">
        <v>1166</v>
      </c>
      <c r="F354" s="16" t="s">
        <v>320</v>
      </c>
      <c r="G354" s="16" t="s">
        <v>585</v>
      </c>
      <c r="H354" s="15" t="s">
        <v>347</v>
      </c>
      <c r="I354" s="89" t="s">
        <v>347</v>
      </c>
      <c r="J354" s="79">
        <v>18477.22</v>
      </c>
      <c r="K354" s="18" t="s">
        <v>1157</v>
      </c>
      <c r="L354" s="94" t="s">
        <v>372</v>
      </c>
      <c r="M354" s="148" t="s">
        <v>483</v>
      </c>
      <c r="N354" s="81" t="str">
        <f>_xlfn.XLOOKUP(Calculations[[#This Row],[For XLOOKUP]],Factors[For XLOOKUP],Factors[Factor],"")</f>
        <v>Σ.Ε. CO₂ eq</v>
      </c>
      <c r="O354" s="81">
        <f>_xlfn.XLOOKUP(Calculations[[#This Row],[For XLOOKUP]],Factors[For XLOOKUP],Factors[Value],"")</f>
        <v>8.7399000000000008E-5</v>
      </c>
      <c r="P354" s="81" t="str">
        <f>_xlfn.XLOOKUP(Calculations[[#This Row],[For XLOOKUP]],Factors[For XLOOKUP],Factors[Units],"")</f>
        <v>tn CO2 eq/ €</v>
      </c>
      <c r="Q354" s="19" t="str">
        <f>_xlfn.XLOOKUP(Calculations[[#This Row],[For XLOOKUP]],Factors[For XLOOKUP],Factors[Source],"")</f>
        <v>EPA 2022</v>
      </c>
      <c r="R35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4" s="81" t="str">
        <f>IF(LEFT(Calculations[[#This Row],[Emission Factor]],7)="Σ.Ε. CH",Calculations[[#This Row],[Value]]*Calculations[[#This Row],[Τιμή]],"-")</f>
        <v>-</v>
      </c>
      <c r="T35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4" s="81" t="str">
        <f>IF(LEFT(Calculations[[#This Row],[Emission Factor]],3)="GWP",Calculations[[#This Row],[Τιμή]],"-")</f>
        <v>-</v>
      </c>
      <c r="V354" s="81">
        <f>IF(OR(Calculations[[#This Row],[Emission Factor]]="Σ.Ε. CO₂ eq",Calculations[[#This Row],[Emission Factor]]="CO₂ eq"),Calculations[[#This Row],[Value]]*Calculations[[#This Row],[Τιμή]],"-")</f>
        <v>1.6148905507800002</v>
      </c>
      <c r="W354" s="81" t="str">
        <f>IF(Calculations[[#This Row],[Πηγή εκπομπών]]="Electricity consumed in office buildings and projects - market based",Calculations[[#This Row],[t CO2]],"")</f>
        <v/>
      </c>
      <c r="X35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1.6148905507800002</v>
      </c>
    </row>
    <row r="355" spans="1:24" ht="29.4" hidden="1" thickTop="1">
      <c r="A355" s="15" t="s">
        <v>350</v>
      </c>
      <c r="B355" s="15" t="s">
        <v>351</v>
      </c>
      <c r="C355" s="16" t="s">
        <v>624</v>
      </c>
      <c r="D355" s="16" t="s">
        <v>897</v>
      </c>
      <c r="E355" s="16" t="s">
        <v>1166</v>
      </c>
      <c r="F355" s="16" t="s">
        <v>320</v>
      </c>
      <c r="G355" s="16" t="s">
        <v>585</v>
      </c>
      <c r="H355" s="15" t="s">
        <v>347</v>
      </c>
      <c r="I355" s="89" t="s">
        <v>347</v>
      </c>
      <c r="J355" s="79">
        <v>12416.51</v>
      </c>
      <c r="K355" s="18" t="s">
        <v>1157</v>
      </c>
      <c r="L355" s="94" t="s">
        <v>359</v>
      </c>
      <c r="M355" s="148" t="s">
        <v>470</v>
      </c>
      <c r="N355" s="81" t="str">
        <f>_xlfn.XLOOKUP(Calculations[[#This Row],[For XLOOKUP]],Factors[For XLOOKUP],Factors[Factor],"")</f>
        <v>Σ.Ε. CO₂ eq</v>
      </c>
      <c r="O355" s="81">
        <f>_xlfn.XLOOKUP(Calculations[[#This Row],[For XLOOKUP]],Factors[For XLOOKUP],Factors[Value],"")</f>
        <v>1.16883E-4</v>
      </c>
      <c r="P355" s="81" t="str">
        <f>_xlfn.XLOOKUP(Calculations[[#This Row],[For XLOOKUP]],Factors[For XLOOKUP],Factors[Units],"")</f>
        <v>tn CO2 eq/ €</v>
      </c>
      <c r="Q355" s="19" t="str">
        <f>_xlfn.XLOOKUP(Calculations[[#This Row],[For XLOOKUP]],Factors[For XLOOKUP],Factors[Source],"")</f>
        <v>EPA 2022</v>
      </c>
      <c r="R35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5" s="81" t="str">
        <f>IF(LEFT(Calculations[[#This Row],[Emission Factor]],7)="Σ.Ε. CH",Calculations[[#This Row],[Value]]*Calculations[[#This Row],[Τιμή]],"-")</f>
        <v>-</v>
      </c>
      <c r="T35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5" s="81" t="str">
        <f>IF(LEFT(Calculations[[#This Row],[Emission Factor]],3)="GWP",Calculations[[#This Row],[Τιμή]],"-")</f>
        <v>-</v>
      </c>
      <c r="V355" s="81">
        <f>IF(OR(Calculations[[#This Row],[Emission Factor]]="Σ.Ε. CO₂ eq",Calculations[[#This Row],[Emission Factor]]="CO₂ eq"),Calculations[[#This Row],[Value]]*Calculations[[#This Row],[Τιμή]],"-")</f>
        <v>1.45127893833</v>
      </c>
      <c r="W355" s="81" t="str">
        <f>IF(Calculations[[#This Row],[Πηγή εκπομπών]]="Electricity consumed in office buildings and projects - market based",Calculations[[#This Row],[t CO2]],"")</f>
        <v/>
      </c>
      <c r="X35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1.45127893833</v>
      </c>
    </row>
    <row r="356" spans="1:24" ht="29.4" hidden="1" thickTop="1">
      <c r="A356" s="15" t="s">
        <v>350</v>
      </c>
      <c r="B356" s="15" t="s">
        <v>351</v>
      </c>
      <c r="C356" s="16" t="s">
        <v>624</v>
      </c>
      <c r="D356" s="16" t="s">
        <v>897</v>
      </c>
      <c r="E356" s="16" t="s">
        <v>1166</v>
      </c>
      <c r="F356" s="16" t="s">
        <v>320</v>
      </c>
      <c r="G356" s="16" t="s">
        <v>585</v>
      </c>
      <c r="H356" s="15" t="s">
        <v>347</v>
      </c>
      <c r="I356" s="89" t="s">
        <v>347</v>
      </c>
      <c r="J356" s="79">
        <v>4411.99</v>
      </c>
      <c r="K356" s="18" t="s">
        <v>1157</v>
      </c>
      <c r="L356" s="94" t="s">
        <v>1163</v>
      </c>
      <c r="M356" s="148" t="s">
        <v>1160</v>
      </c>
      <c r="N356" s="81" t="str">
        <f>_xlfn.XLOOKUP(Calculations[[#This Row],[For XLOOKUP]],Factors[For XLOOKUP],Factors[Factor],"")</f>
        <v>Σ.Ε. CO₂ eq</v>
      </c>
      <c r="O356" s="81">
        <f>_xlfn.XLOOKUP(Calculations[[#This Row],[For XLOOKUP]],Factors[For XLOOKUP],Factors[Value],"")</f>
        <v>2.2534199999999998E-4</v>
      </c>
      <c r="P356" s="81" t="str">
        <f>_xlfn.XLOOKUP(Calculations[[#This Row],[For XLOOKUP]],Factors[For XLOOKUP],Factors[Units],"")</f>
        <v>tn CO2 eq/ €</v>
      </c>
      <c r="Q356" s="19" t="str">
        <f>_xlfn.XLOOKUP(Calculations[[#This Row],[For XLOOKUP]],Factors[For XLOOKUP],Factors[Source],"")</f>
        <v>EPA 2022</v>
      </c>
      <c r="R35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6" s="81" t="str">
        <f>IF(LEFT(Calculations[[#This Row],[Emission Factor]],7)="Σ.Ε. CH",Calculations[[#This Row],[Value]]*Calculations[[#This Row],[Τιμή]],"-")</f>
        <v>-</v>
      </c>
      <c r="T35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6" s="81" t="str">
        <f>IF(LEFT(Calculations[[#This Row],[Emission Factor]],3)="GWP",Calculations[[#This Row],[Τιμή]],"-")</f>
        <v>-</v>
      </c>
      <c r="V356" s="81">
        <f>IF(OR(Calculations[[#This Row],[Emission Factor]]="Σ.Ε. CO₂ eq",Calculations[[#This Row],[Emission Factor]]="CO₂ eq"),Calculations[[#This Row],[Value]]*Calculations[[#This Row],[Τιμή]],"-")</f>
        <v>0.99420665057999991</v>
      </c>
      <c r="W356" s="81" t="str">
        <f>IF(Calculations[[#This Row],[Πηγή εκπομπών]]="Electricity consumed in office buildings and projects - market based",Calculations[[#This Row],[t CO2]],"")</f>
        <v/>
      </c>
      <c r="X35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0.99420665057999991</v>
      </c>
    </row>
    <row r="357" spans="1:24" ht="29.4" hidden="1" thickTop="1">
      <c r="A357" s="15" t="s">
        <v>350</v>
      </c>
      <c r="B357" s="15" t="s">
        <v>351</v>
      </c>
      <c r="C357" s="16" t="s">
        <v>624</v>
      </c>
      <c r="D357" s="16" t="s">
        <v>897</v>
      </c>
      <c r="E357" s="16" t="s">
        <v>1166</v>
      </c>
      <c r="F357" s="16" t="s">
        <v>320</v>
      </c>
      <c r="G357" s="16" t="s">
        <v>585</v>
      </c>
      <c r="H357" s="15" t="s">
        <v>347</v>
      </c>
      <c r="I357" s="89" t="s">
        <v>347</v>
      </c>
      <c r="J357" s="79">
        <v>4960</v>
      </c>
      <c r="K357" s="18" t="s">
        <v>1157</v>
      </c>
      <c r="L357" s="94" t="s">
        <v>376</v>
      </c>
      <c r="M357" s="148" t="s">
        <v>487</v>
      </c>
      <c r="N357" s="81" t="str">
        <f>_xlfn.XLOOKUP(Calculations[[#This Row],[For XLOOKUP]],Factors[For XLOOKUP],Factors[Factor],"")</f>
        <v>Σ.Ε. CO₂ eq</v>
      </c>
      <c r="O357" s="81">
        <f>_xlfn.XLOOKUP(Calculations[[#This Row],[For XLOOKUP]],Factors[For XLOOKUP],Factors[Value],"")</f>
        <v>6.2126999999999997E-5</v>
      </c>
      <c r="P357" s="81" t="str">
        <f>_xlfn.XLOOKUP(Calculations[[#This Row],[For XLOOKUP]],Factors[For XLOOKUP],Factors[Units],"")</f>
        <v>tn CO2 eq/ €</v>
      </c>
      <c r="Q357" s="19" t="str">
        <f>_xlfn.XLOOKUP(Calculations[[#This Row],[For XLOOKUP]],Factors[For XLOOKUP],Factors[Source],"")</f>
        <v>EPA 2022</v>
      </c>
      <c r="R35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7" s="81" t="str">
        <f>IF(LEFT(Calculations[[#This Row],[Emission Factor]],7)="Σ.Ε. CH",Calculations[[#This Row],[Value]]*Calculations[[#This Row],[Τιμή]],"-")</f>
        <v>-</v>
      </c>
      <c r="T35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7" s="81" t="str">
        <f>IF(LEFT(Calculations[[#This Row],[Emission Factor]],3)="GWP",Calculations[[#This Row],[Τιμή]],"-")</f>
        <v>-</v>
      </c>
      <c r="V357" s="81">
        <f>IF(OR(Calculations[[#This Row],[Emission Factor]]="Σ.Ε. CO₂ eq",Calculations[[#This Row],[Emission Factor]]="CO₂ eq"),Calculations[[#This Row],[Value]]*Calculations[[#This Row],[Τιμή]],"-")</f>
        <v>0.30814991999999997</v>
      </c>
      <c r="W357" s="81" t="str">
        <f>IF(Calculations[[#This Row],[Πηγή εκπομπών]]="Electricity consumed in office buildings and projects - market based",Calculations[[#This Row],[t CO2]],"")</f>
        <v/>
      </c>
      <c r="X35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0.30814991999999997</v>
      </c>
    </row>
    <row r="358" spans="1:24" ht="29.4" hidden="1" thickTop="1">
      <c r="A358" s="15" t="s">
        <v>350</v>
      </c>
      <c r="B358" s="15" t="s">
        <v>351</v>
      </c>
      <c r="C358" s="16" t="s">
        <v>624</v>
      </c>
      <c r="D358" s="16" t="s">
        <v>897</v>
      </c>
      <c r="E358" s="16" t="s">
        <v>1166</v>
      </c>
      <c r="F358" s="16" t="s">
        <v>320</v>
      </c>
      <c r="G358" s="16" t="s">
        <v>585</v>
      </c>
      <c r="H358" s="15" t="s">
        <v>347</v>
      </c>
      <c r="I358" s="89" t="s">
        <v>347</v>
      </c>
      <c r="J358" s="79">
        <v>7314.14</v>
      </c>
      <c r="K358" s="18" t="s">
        <v>1157</v>
      </c>
      <c r="L358" s="94" t="s">
        <v>367</v>
      </c>
      <c r="M358" s="148" t="s">
        <v>478</v>
      </c>
      <c r="N358" s="81" t="str">
        <f>_xlfn.XLOOKUP(Calculations[[#This Row],[For XLOOKUP]],Factors[For XLOOKUP],Factors[Factor],"")</f>
        <v>Σ.Ε. CO₂ eq</v>
      </c>
      <c r="O358" s="81">
        <f>_xlfn.XLOOKUP(Calculations[[#This Row],[For XLOOKUP]],Factors[For XLOOKUP],Factors[Value],"")</f>
        <v>2.06388E-4</v>
      </c>
      <c r="P358" s="81" t="str">
        <f>_xlfn.XLOOKUP(Calculations[[#This Row],[For XLOOKUP]],Factors[For XLOOKUP],Factors[Units],"")</f>
        <v>tn CO2 eq/ €</v>
      </c>
      <c r="Q358" s="19" t="str">
        <f>_xlfn.XLOOKUP(Calculations[[#This Row],[For XLOOKUP]],Factors[For XLOOKUP],Factors[Source],"")</f>
        <v>EPA 2022</v>
      </c>
      <c r="R35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8" s="81" t="str">
        <f>IF(LEFT(Calculations[[#This Row],[Emission Factor]],7)="Σ.Ε. CH",Calculations[[#This Row],[Value]]*Calculations[[#This Row],[Τιμή]],"-")</f>
        <v>-</v>
      </c>
      <c r="T35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8" s="81" t="str">
        <f>IF(LEFT(Calculations[[#This Row],[Emission Factor]],3)="GWP",Calculations[[#This Row],[Τιμή]],"-")</f>
        <v>-</v>
      </c>
      <c r="V358" s="81">
        <f>IF(OR(Calculations[[#This Row],[Emission Factor]]="Σ.Ε. CO₂ eq",Calculations[[#This Row],[Emission Factor]]="CO₂ eq"),Calculations[[#This Row],[Value]]*Calculations[[#This Row],[Τιμή]],"-")</f>
        <v>1.5095507263200001</v>
      </c>
      <c r="W358" s="81" t="str">
        <f>IF(Calculations[[#This Row],[Πηγή εκπομπών]]="Electricity consumed in office buildings and projects - market based",Calculations[[#This Row],[t CO2]],"")</f>
        <v/>
      </c>
      <c r="X35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1.5095507263200001</v>
      </c>
    </row>
    <row r="359" spans="1:24" ht="29.4" hidden="1" thickTop="1">
      <c r="A359" s="15" t="s">
        <v>350</v>
      </c>
      <c r="B359" s="15" t="s">
        <v>351</v>
      </c>
      <c r="C359" s="16" t="s">
        <v>624</v>
      </c>
      <c r="D359" s="16" t="s">
        <v>897</v>
      </c>
      <c r="E359" s="16" t="s">
        <v>1166</v>
      </c>
      <c r="F359" s="16" t="s">
        <v>320</v>
      </c>
      <c r="G359" s="16" t="s">
        <v>585</v>
      </c>
      <c r="H359" s="15" t="s">
        <v>347</v>
      </c>
      <c r="I359" s="89" t="s">
        <v>347</v>
      </c>
      <c r="J359" s="79">
        <v>2000</v>
      </c>
      <c r="K359" s="18" t="s">
        <v>1157</v>
      </c>
      <c r="L359" s="94" t="s">
        <v>424</v>
      </c>
      <c r="M359" s="148" t="s">
        <v>535</v>
      </c>
      <c r="N359" s="81" t="str">
        <f>_xlfn.XLOOKUP(Calculations[[#This Row],[For XLOOKUP]],Factors[For XLOOKUP],Factors[Factor],"")</f>
        <v>Σ.Ε. CO₂ eq</v>
      </c>
      <c r="O359" s="81">
        <f>_xlfn.XLOOKUP(Calculations[[#This Row],[For XLOOKUP]],Factors[For XLOOKUP],Factors[Value],"")</f>
        <v>1.758E-3</v>
      </c>
      <c r="P359" s="81" t="str">
        <f>_xlfn.XLOOKUP(Calculations[[#This Row],[For XLOOKUP]],Factors[For XLOOKUP],Factors[Units],"")</f>
        <v>tn CO2 eq/ €</v>
      </c>
      <c r="Q359" s="19" t="str">
        <f>_xlfn.XLOOKUP(Calculations[[#This Row],[For XLOOKUP]],Factors[For XLOOKUP],Factors[Source],"")</f>
        <v>EXIOBASE 2019 - GR</v>
      </c>
      <c r="R35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9" s="81" t="str">
        <f>IF(LEFT(Calculations[[#This Row],[Emission Factor]],7)="Σ.Ε. CH",Calculations[[#This Row],[Value]]*Calculations[[#This Row],[Τιμή]],"-")</f>
        <v>-</v>
      </c>
      <c r="T35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9" s="81" t="str">
        <f>IF(LEFT(Calculations[[#This Row],[Emission Factor]],3)="GWP",Calculations[[#This Row],[Τιμή]],"-")</f>
        <v>-</v>
      </c>
      <c r="V359" s="81">
        <f>IF(OR(Calculations[[#This Row],[Emission Factor]]="Σ.Ε. CO₂ eq",Calculations[[#This Row],[Emission Factor]]="CO₂ eq"),Calculations[[#This Row],[Value]]*Calculations[[#This Row],[Τιμή]],"-")</f>
        <v>3.516</v>
      </c>
      <c r="W359" s="81" t="str">
        <f>IF(Calculations[[#This Row],[Πηγή εκπομπών]]="Electricity consumed in office buildings and projects - market based",Calculations[[#This Row],[t CO2]],"")</f>
        <v/>
      </c>
      <c r="X35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3.516</v>
      </c>
    </row>
    <row r="360" spans="1:24" ht="29.4" hidden="1" thickTop="1">
      <c r="A360" s="15" t="s">
        <v>350</v>
      </c>
      <c r="B360" s="15" t="s">
        <v>351</v>
      </c>
      <c r="C360" s="16" t="s">
        <v>624</v>
      </c>
      <c r="D360" s="16" t="s">
        <v>897</v>
      </c>
      <c r="E360" s="16" t="s">
        <v>1166</v>
      </c>
      <c r="F360" s="16" t="s">
        <v>320</v>
      </c>
      <c r="G360" s="16" t="s">
        <v>585</v>
      </c>
      <c r="H360" s="15" t="s">
        <v>347</v>
      </c>
      <c r="I360" s="89" t="s">
        <v>347</v>
      </c>
      <c r="J360" s="79">
        <v>3364.1</v>
      </c>
      <c r="K360" s="18" t="s">
        <v>1157</v>
      </c>
      <c r="L360" s="94" t="s">
        <v>371</v>
      </c>
      <c r="M360" s="148" t="s">
        <v>482</v>
      </c>
      <c r="N360" s="81" t="str">
        <f>_xlfn.XLOOKUP(Calculations[[#This Row],[For XLOOKUP]],Factors[For XLOOKUP],Factors[Factor],"")</f>
        <v>Σ.Ε. CO₂ eq</v>
      </c>
      <c r="O360" s="81">
        <f>_xlfn.XLOOKUP(Calculations[[#This Row],[For XLOOKUP]],Factors[For XLOOKUP],Factors[Value],"")</f>
        <v>6.3481460000000003E-4</v>
      </c>
      <c r="P360" s="81" t="str">
        <f>_xlfn.XLOOKUP(Calculations[[#This Row],[For XLOOKUP]],Factors[For XLOOKUP],Factors[Units],"")</f>
        <v>tn CO2 eq/ €</v>
      </c>
      <c r="Q360" s="19" t="str">
        <f>_xlfn.XLOOKUP(Calculations[[#This Row],[For XLOOKUP]],Factors[For XLOOKUP],Factors[Source],"")</f>
        <v>BEIS 2021</v>
      </c>
      <c r="R36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0" s="81" t="str">
        <f>IF(LEFT(Calculations[[#This Row],[Emission Factor]],7)="Σ.Ε. CH",Calculations[[#This Row],[Value]]*Calculations[[#This Row],[Τιμή]],"-")</f>
        <v>-</v>
      </c>
      <c r="T36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0" s="81" t="str">
        <f>IF(LEFT(Calculations[[#This Row],[Emission Factor]],3)="GWP",Calculations[[#This Row],[Τιμή]],"-")</f>
        <v>-</v>
      </c>
      <c r="V360" s="81">
        <f>IF(OR(Calculations[[#This Row],[Emission Factor]]="Σ.Ε. CO₂ eq",Calculations[[#This Row],[Emission Factor]]="CO₂ eq"),Calculations[[#This Row],[Value]]*Calculations[[#This Row],[Τιμή]],"-")</f>
        <v>2.13557979586</v>
      </c>
      <c r="W360" s="81" t="str">
        <f>IF(Calculations[[#This Row],[Πηγή εκπομπών]]="Electricity consumed in office buildings and projects - market based",Calculations[[#This Row],[t CO2]],"")</f>
        <v/>
      </c>
      <c r="X36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2.13557979586</v>
      </c>
    </row>
    <row r="361" spans="1:24" ht="29.4" hidden="1" thickTop="1">
      <c r="A361" s="15" t="s">
        <v>350</v>
      </c>
      <c r="B361" s="15" t="s">
        <v>351</v>
      </c>
      <c r="C361" s="16" t="s">
        <v>624</v>
      </c>
      <c r="D361" s="16" t="s">
        <v>897</v>
      </c>
      <c r="E361" s="16" t="s">
        <v>1166</v>
      </c>
      <c r="F361" s="16" t="s">
        <v>320</v>
      </c>
      <c r="G361" s="16" t="s">
        <v>585</v>
      </c>
      <c r="H361" s="15" t="s">
        <v>347</v>
      </c>
      <c r="I361" s="89" t="s">
        <v>347</v>
      </c>
      <c r="J361" s="79">
        <v>2717.1</v>
      </c>
      <c r="K361" s="18" t="s">
        <v>1157</v>
      </c>
      <c r="L361" s="94" t="s">
        <v>362</v>
      </c>
      <c r="M361" s="148" t="s">
        <v>473</v>
      </c>
      <c r="N361" s="81" t="str">
        <f>_xlfn.XLOOKUP(Calculations[[#This Row],[For XLOOKUP]],Factors[For XLOOKUP],Factors[Factor],"")</f>
        <v>Σ.Ε. CO₂ eq</v>
      </c>
      <c r="O361" s="81">
        <f>_xlfn.XLOOKUP(Calculations[[#This Row],[For XLOOKUP]],Factors[For XLOOKUP],Factors[Value],"")</f>
        <v>2.6324999999999997E-4</v>
      </c>
      <c r="P361" s="81" t="str">
        <f>_xlfn.XLOOKUP(Calculations[[#This Row],[For XLOOKUP]],Factors[For XLOOKUP],Factors[Units],"")</f>
        <v>tn CO2 eq/ €</v>
      </c>
      <c r="Q361" s="19" t="str">
        <f>_xlfn.XLOOKUP(Calculations[[#This Row],[For XLOOKUP]],Factors[For XLOOKUP],Factors[Source],"")</f>
        <v>EPA 2022</v>
      </c>
      <c r="R36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1" s="81" t="str">
        <f>IF(LEFT(Calculations[[#This Row],[Emission Factor]],7)="Σ.Ε. CH",Calculations[[#This Row],[Value]]*Calculations[[#This Row],[Τιμή]],"-")</f>
        <v>-</v>
      </c>
      <c r="T36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1" s="81" t="str">
        <f>IF(LEFT(Calculations[[#This Row],[Emission Factor]],3)="GWP",Calculations[[#This Row],[Τιμή]],"-")</f>
        <v>-</v>
      </c>
      <c r="V361" s="81">
        <f>IF(OR(Calculations[[#This Row],[Emission Factor]]="Σ.Ε. CO₂ eq",Calculations[[#This Row],[Emission Factor]]="CO₂ eq"),Calculations[[#This Row],[Value]]*Calculations[[#This Row],[Τιμή]],"-")</f>
        <v>0.71527657499999986</v>
      </c>
      <c r="W361" s="81" t="str">
        <f>IF(Calculations[[#This Row],[Πηγή εκπομπών]]="Electricity consumed in office buildings and projects - market based",Calculations[[#This Row],[t CO2]],"")</f>
        <v/>
      </c>
      <c r="X36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0.71527657499999986</v>
      </c>
    </row>
    <row r="362" spans="1:24" ht="29.4" hidden="1" thickTop="1">
      <c r="A362" s="15" t="s">
        <v>350</v>
      </c>
      <c r="B362" s="15" t="s">
        <v>351</v>
      </c>
      <c r="C362" s="16" t="s">
        <v>624</v>
      </c>
      <c r="D362" s="16" t="s">
        <v>895</v>
      </c>
      <c r="E362" s="96" t="s">
        <v>1275</v>
      </c>
      <c r="F362" s="16" t="s">
        <v>319</v>
      </c>
      <c r="G362" s="16" t="s">
        <v>585</v>
      </c>
      <c r="H362" s="15" t="s">
        <v>347</v>
      </c>
      <c r="I362" s="89" t="s">
        <v>347</v>
      </c>
      <c r="J362" s="79">
        <v>4113</v>
      </c>
      <c r="K362" s="18" t="s">
        <v>1157</v>
      </c>
      <c r="L362" s="94" t="s">
        <v>354</v>
      </c>
      <c r="M362" s="148" t="s">
        <v>465</v>
      </c>
      <c r="N362" s="81" t="str">
        <f>_xlfn.XLOOKUP(Calculations[[#This Row],[For XLOOKUP]],Factors[For XLOOKUP],Factors[Factor],"")</f>
        <v>Σ.Ε. CO₂ eq</v>
      </c>
      <c r="O362" s="81">
        <f>_xlfn.XLOOKUP(Calculations[[#This Row],[For XLOOKUP]],Factors[For XLOOKUP],Factors[Value],"")</f>
        <v>9.6361160000000019E-5</v>
      </c>
      <c r="P362" s="81" t="str">
        <f>_xlfn.XLOOKUP(Calculations[[#This Row],[For XLOOKUP]],Factors[For XLOOKUP],Factors[Units],"")</f>
        <v>tn CO2 eq/ €</v>
      </c>
      <c r="Q362" s="19" t="str">
        <f>_xlfn.XLOOKUP(Calculations[[#This Row],[For XLOOKUP]],Factors[For XLOOKUP],Factors[Source],"")</f>
        <v>BEIS 2021</v>
      </c>
      <c r="R36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2" s="81" t="str">
        <f>IF(LEFT(Calculations[[#This Row],[Emission Factor]],7)="Σ.Ε. CH",Calculations[[#This Row],[Value]]*Calculations[[#This Row],[Τιμή]],"-")</f>
        <v>-</v>
      </c>
      <c r="T36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2" s="81" t="str">
        <f>IF(LEFT(Calculations[[#This Row],[Emission Factor]],3)="GWP",Calculations[[#This Row],[Τιμή]],"-")</f>
        <v>-</v>
      </c>
      <c r="V362" s="81">
        <f>IF(OR(Calculations[[#This Row],[Emission Factor]]="Σ.Ε. CO₂ eq",Calculations[[#This Row],[Emission Factor]]="CO₂ eq"),Calculations[[#This Row],[Value]]*Calculations[[#This Row],[Τιμή]],"-")</f>
        <v>0.39633345108000007</v>
      </c>
      <c r="W362" s="81" t="str">
        <f>IF(Calculations[[#This Row],[Πηγή εκπομπών]]="Electricity consumed in office buildings and projects - market based",Calculations[[#This Row],[t CO2]],"")</f>
        <v/>
      </c>
      <c r="X36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0.39633345108000007</v>
      </c>
    </row>
    <row r="363" spans="1:24" ht="29.4" hidden="1" thickTop="1">
      <c r="A363" s="15" t="s">
        <v>350</v>
      </c>
      <c r="B363" s="15" t="s">
        <v>351</v>
      </c>
      <c r="C363" s="16" t="s">
        <v>624</v>
      </c>
      <c r="D363" s="16" t="s">
        <v>895</v>
      </c>
      <c r="E363" s="96" t="s">
        <v>1275</v>
      </c>
      <c r="F363" s="16" t="s">
        <v>319</v>
      </c>
      <c r="G363" s="16" t="s">
        <v>585</v>
      </c>
      <c r="H363" s="15" t="s">
        <v>347</v>
      </c>
      <c r="I363" s="89" t="s">
        <v>347</v>
      </c>
      <c r="J363" s="79">
        <v>2060</v>
      </c>
      <c r="K363" s="18" t="s">
        <v>1157</v>
      </c>
      <c r="L363" s="94" t="s">
        <v>363</v>
      </c>
      <c r="M363" s="148" t="s">
        <v>474</v>
      </c>
      <c r="N363" s="81" t="str">
        <f>_xlfn.XLOOKUP(Calculations[[#This Row],[For XLOOKUP]],Factors[For XLOOKUP],Factors[Factor],"")</f>
        <v>Σ.Ε. CO₂ eq</v>
      </c>
      <c r="O363" s="81">
        <f>_xlfn.XLOOKUP(Calculations[[#This Row],[For XLOOKUP]],Factors[For XLOOKUP],Factors[Value],"")</f>
        <v>1.1819500000000002E-4</v>
      </c>
      <c r="P363" s="81" t="str">
        <f>_xlfn.XLOOKUP(Calculations[[#This Row],[For XLOOKUP]],Factors[For XLOOKUP],Factors[Units],"")</f>
        <v>tn CO2 eq/ €</v>
      </c>
      <c r="Q363" s="19" t="str">
        <f>_xlfn.XLOOKUP(Calculations[[#This Row],[For XLOOKUP]],Factors[For XLOOKUP],Factors[Source],"")</f>
        <v>BEIS 2021</v>
      </c>
      <c r="R36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3" s="81" t="str">
        <f>IF(LEFT(Calculations[[#This Row],[Emission Factor]],7)="Σ.Ε. CH",Calculations[[#This Row],[Value]]*Calculations[[#This Row],[Τιμή]],"-")</f>
        <v>-</v>
      </c>
      <c r="T36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3" s="81" t="str">
        <f>IF(LEFT(Calculations[[#This Row],[Emission Factor]],3)="GWP",Calculations[[#This Row],[Τιμή]],"-")</f>
        <v>-</v>
      </c>
      <c r="V363" s="81">
        <f>IF(OR(Calculations[[#This Row],[Emission Factor]]="Σ.Ε. CO₂ eq",Calculations[[#This Row],[Emission Factor]]="CO₂ eq"),Calculations[[#This Row],[Value]]*Calculations[[#This Row],[Τιμή]],"-")</f>
        <v>0.24348170000000002</v>
      </c>
      <c r="W363" s="81" t="str">
        <f>IF(Calculations[[#This Row],[Πηγή εκπομπών]]="Electricity consumed in office buildings and projects - market based",Calculations[[#This Row],[t CO2]],"")</f>
        <v/>
      </c>
      <c r="X36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0.24348170000000002</v>
      </c>
    </row>
    <row r="364" spans="1:24" ht="29.4" hidden="1" thickTop="1">
      <c r="A364" s="15" t="s">
        <v>350</v>
      </c>
      <c r="B364" s="15" t="s">
        <v>351</v>
      </c>
      <c r="C364" s="16" t="s">
        <v>624</v>
      </c>
      <c r="D364" s="16" t="s">
        <v>895</v>
      </c>
      <c r="E364" s="208" t="s">
        <v>1139</v>
      </c>
      <c r="F364" s="16" t="s">
        <v>319</v>
      </c>
      <c r="G364" s="16" t="s">
        <v>585</v>
      </c>
      <c r="H364" s="15" t="s">
        <v>347</v>
      </c>
      <c r="I364" s="89" t="s">
        <v>347</v>
      </c>
      <c r="J364" s="79">
        <v>7557.76</v>
      </c>
      <c r="K364" s="18" t="s">
        <v>1157</v>
      </c>
      <c r="L364" s="94" t="s">
        <v>354</v>
      </c>
      <c r="M364" s="148" t="s">
        <v>465</v>
      </c>
      <c r="N364" s="81" t="str">
        <f>_xlfn.XLOOKUP(Calculations[[#This Row],[For XLOOKUP]],Factors[For XLOOKUP],Factors[Factor],"")</f>
        <v>Σ.Ε. CO₂ eq</v>
      </c>
      <c r="O364" s="81">
        <f>_xlfn.XLOOKUP(Calculations[[#This Row],[For XLOOKUP]],Factors[For XLOOKUP],Factors[Value],"")</f>
        <v>9.6361160000000019E-5</v>
      </c>
      <c r="P364" s="81" t="str">
        <f>_xlfn.XLOOKUP(Calculations[[#This Row],[For XLOOKUP]],Factors[For XLOOKUP],Factors[Units],"")</f>
        <v>tn CO2 eq/ €</v>
      </c>
      <c r="Q364" s="19" t="str">
        <f>_xlfn.XLOOKUP(Calculations[[#This Row],[For XLOOKUP]],Factors[For XLOOKUP],Factors[Source],"")</f>
        <v>BEIS 2021</v>
      </c>
      <c r="R36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4" s="81" t="str">
        <f>IF(LEFT(Calculations[[#This Row],[Emission Factor]],7)="Σ.Ε. CH",Calculations[[#This Row],[Value]]*Calculations[[#This Row],[Τιμή]],"-")</f>
        <v>-</v>
      </c>
      <c r="T36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4" s="81" t="str">
        <f>IF(LEFT(Calculations[[#This Row],[Emission Factor]],3)="GWP",Calculations[[#This Row],[Τιμή]],"-")</f>
        <v>-</v>
      </c>
      <c r="V364" s="81">
        <f>IF(OR(Calculations[[#This Row],[Emission Factor]]="Σ.Ε. CO₂ eq",Calculations[[#This Row],[Emission Factor]]="CO₂ eq"),Calculations[[#This Row],[Value]]*Calculations[[#This Row],[Τιμή]],"-")</f>
        <v>0.72827452060160014</v>
      </c>
      <c r="W364" s="81" t="str">
        <f>IF(Calculations[[#This Row],[Πηγή εκπομπών]]="Electricity consumed in office buildings and projects - market based",Calculations[[#This Row],[t CO2]],"")</f>
        <v/>
      </c>
      <c r="X36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0.72827452060160014</v>
      </c>
    </row>
    <row r="365" spans="1:24" ht="29.4" hidden="1" thickTop="1">
      <c r="A365" s="15" t="s">
        <v>350</v>
      </c>
      <c r="B365" s="15" t="s">
        <v>351</v>
      </c>
      <c r="C365" s="16" t="s">
        <v>624</v>
      </c>
      <c r="D365" s="16" t="s">
        <v>895</v>
      </c>
      <c r="E365" s="208" t="s">
        <v>1139</v>
      </c>
      <c r="F365" s="16" t="s">
        <v>319</v>
      </c>
      <c r="G365" s="16" t="s">
        <v>585</v>
      </c>
      <c r="H365" s="15" t="s">
        <v>347</v>
      </c>
      <c r="I365" s="89" t="s">
        <v>347</v>
      </c>
      <c r="J365" s="79">
        <v>8977.9</v>
      </c>
      <c r="K365" s="18" t="s">
        <v>1157</v>
      </c>
      <c r="L365" s="94" t="s">
        <v>377</v>
      </c>
      <c r="M365" s="148" t="s">
        <v>488</v>
      </c>
      <c r="N365" s="81" t="str">
        <f>_xlfn.XLOOKUP(Calculations[[#This Row],[For XLOOKUP]],Factors[For XLOOKUP],Factors[Factor],"")</f>
        <v>Σ.Ε. CO₂ eq</v>
      </c>
      <c r="O365" s="81">
        <f>_xlfn.XLOOKUP(Calculations[[#This Row],[For XLOOKUP]],Factors[For XLOOKUP],Factors[Value],"")</f>
        <v>2.2370000000000002E-4</v>
      </c>
      <c r="P365" s="81" t="str">
        <f>_xlfn.XLOOKUP(Calculations[[#This Row],[For XLOOKUP]],Factors[For XLOOKUP],Factors[Units],"")</f>
        <v>tn CO2 eq/ €</v>
      </c>
      <c r="Q365" s="19" t="str">
        <f>_xlfn.XLOOKUP(Calculations[[#This Row],[For XLOOKUP]],Factors[For XLOOKUP],Factors[Source],"")</f>
        <v>EXIOBASE 2019 - GR</v>
      </c>
      <c r="R36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5" s="81" t="str">
        <f>IF(LEFT(Calculations[[#This Row],[Emission Factor]],7)="Σ.Ε. CH",Calculations[[#This Row],[Value]]*Calculations[[#This Row],[Τιμή]],"-")</f>
        <v>-</v>
      </c>
      <c r="T36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5" s="81" t="str">
        <f>IF(LEFT(Calculations[[#This Row],[Emission Factor]],3)="GWP",Calculations[[#This Row],[Τιμή]],"-")</f>
        <v>-</v>
      </c>
      <c r="V365" s="81">
        <f>IF(OR(Calculations[[#This Row],[Emission Factor]]="Σ.Ε. CO₂ eq",Calculations[[#This Row],[Emission Factor]]="CO₂ eq"),Calculations[[#This Row],[Value]]*Calculations[[#This Row],[Τιμή]],"-")</f>
        <v>2.00835623</v>
      </c>
      <c r="W365" s="81" t="str">
        <f>IF(Calculations[[#This Row],[Πηγή εκπομπών]]="Electricity consumed in office buildings and projects - market based",Calculations[[#This Row],[t CO2]],"")</f>
        <v/>
      </c>
      <c r="X36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2.00835623</v>
      </c>
    </row>
    <row r="366" spans="1:24" ht="29.4" hidden="1" thickTop="1">
      <c r="A366" s="15" t="s">
        <v>350</v>
      </c>
      <c r="B366" s="15" t="s">
        <v>351</v>
      </c>
      <c r="C366" s="16" t="s">
        <v>624</v>
      </c>
      <c r="D366" s="16" t="s">
        <v>895</v>
      </c>
      <c r="E366" s="208" t="s">
        <v>1139</v>
      </c>
      <c r="F366" s="16" t="s">
        <v>319</v>
      </c>
      <c r="G366" s="16" t="s">
        <v>585</v>
      </c>
      <c r="H366" s="15" t="s">
        <v>347</v>
      </c>
      <c r="I366" s="89" t="s">
        <v>347</v>
      </c>
      <c r="J366" s="79">
        <v>1193.32</v>
      </c>
      <c r="K366" s="18" t="s">
        <v>1157</v>
      </c>
      <c r="L366" s="94" t="s">
        <v>357</v>
      </c>
      <c r="M366" s="148" t="s">
        <v>468</v>
      </c>
      <c r="N366" s="81" t="str">
        <f>_xlfn.XLOOKUP(Calculations[[#This Row],[For XLOOKUP]],Factors[For XLOOKUP],Factors[Factor],"")</f>
        <v>Σ.Ε. CO₂ eq</v>
      </c>
      <c r="O366" s="81">
        <f>_xlfn.XLOOKUP(Calculations[[#This Row],[For XLOOKUP]],Factors[For XLOOKUP],Factors[Value],"")</f>
        <v>3.7960000000000001E-4</v>
      </c>
      <c r="P366" s="81" t="str">
        <f>_xlfn.XLOOKUP(Calculations[[#This Row],[For XLOOKUP]],Factors[For XLOOKUP],Factors[Units],"")</f>
        <v>tn CO2 eq/ €</v>
      </c>
      <c r="Q366" s="19" t="str">
        <f>_xlfn.XLOOKUP(Calculations[[#This Row],[For XLOOKUP]],Factors[For XLOOKUP],Factors[Source],"")</f>
        <v>EXIOBASE 2019 - GR</v>
      </c>
      <c r="R36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6" s="81" t="str">
        <f>IF(LEFT(Calculations[[#This Row],[Emission Factor]],7)="Σ.Ε. CH",Calculations[[#This Row],[Value]]*Calculations[[#This Row],[Τιμή]],"-")</f>
        <v>-</v>
      </c>
      <c r="T36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6" s="81" t="str">
        <f>IF(LEFT(Calculations[[#This Row],[Emission Factor]],3)="GWP",Calculations[[#This Row],[Τιμή]],"-")</f>
        <v>-</v>
      </c>
      <c r="V366" s="81">
        <f>IF(OR(Calculations[[#This Row],[Emission Factor]]="Σ.Ε. CO₂ eq",Calculations[[#This Row],[Emission Factor]]="CO₂ eq"),Calculations[[#This Row],[Value]]*Calculations[[#This Row],[Τιμή]],"-")</f>
        <v>0.45298427199999997</v>
      </c>
      <c r="W366" s="81" t="str">
        <f>IF(Calculations[[#This Row],[Πηγή εκπομπών]]="Electricity consumed in office buildings and projects - market based",Calculations[[#This Row],[t CO2]],"")</f>
        <v/>
      </c>
      <c r="X36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0.45298427199999997</v>
      </c>
    </row>
    <row r="367" spans="1:24" ht="29.4" hidden="1" thickTop="1">
      <c r="A367" s="15" t="s">
        <v>350</v>
      </c>
      <c r="B367" s="15" t="s">
        <v>351</v>
      </c>
      <c r="C367" s="16" t="s">
        <v>624</v>
      </c>
      <c r="D367" s="16" t="s">
        <v>1144</v>
      </c>
      <c r="E367" s="16" t="s">
        <v>1159</v>
      </c>
      <c r="F367" s="209" t="s">
        <v>647</v>
      </c>
      <c r="G367" s="16" t="s">
        <v>585</v>
      </c>
      <c r="H367" s="15" t="s">
        <v>347</v>
      </c>
      <c r="I367" s="89" t="s">
        <v>347</v>
      </c>
      <c r="J367" s="79">
        <v>165</v>
      </c>
      <c r="K367" s="18" t="s">
        <v>1157</v>
      </c>
      <c r="L367" s="94" t="s">
        <v>364</v>
      </c>
      <c r="M367" s="148" t="s">
        <v>475</v>
      </c>
      <c r="N367" s="81" t="str">
        <f>_xlfn.XLOOKUP(Calculations[[#This Row],[For XLOOKUP]],Factors[For XLOOKUP],Factors[Factor],"")</f>
        <v>Σ.Ε. CO₂ eq</v>
      </c>
      <c r="O367" s="81">
        <f>_xlfn.XLOOKUP(Calculations[[#This Row],[For XLOOKUP]],Factors[For XLOOKUP],Factors[Value],"")</f>
        <v>1.401148E-4</v>
      </c>
      <c r="P367" s="81" t="str">
        <f>_xlfn.XLOOKUP(Calculations[[#This Row],[For XLOOKUP]],Factors[For XLOOKUP],Factors[Units],"")</f>
        <v>tn CO2 eq/ €</v>
      </c>
      <c r="Q367" s="19" t="str">
        <f>_xlfn.XLOOKUP(Calculations[[#This Row],[For XLOOKUP]],Factors[For XLOOKUP],Factors[Source],"")</f>
        <v>BEIS 2021</v>
      </c>
      <c r="R36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7" s="81" t="str">
        <f>IF(LEFT(Calculations[[#This Row],[Emission Factor]],7)="Σ.Ε. CH",Calculations[[#This Row],[Value]]*Calculations[[#This Row],[Τιμή]],"-")</f>
        <v>-</v>
      </c>
      <c r="T36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7" s="81" t="str">
        <f>IF(LEFT(Calculations[[#This Row],[Emission Factor]],3)="GWP",Calculations[[#This Row],[Τιμή]],"-")</f>
        <v>-</v>
      </c>
      <c r="V367" s="81">
        <f>IF(OR(Calculations[[#This Row],[Emission Factor]]="Σ.Ε. CO₂ eq",Calculations[[#This Row],[Emission Factor]]="CO₂ eq"),Calculations[[#This Row],[Value]]*Calculations[[#This Row],[Τιμή]],"-")</f>
        <v>2.3118942E-2</v>
      </c>
      <c r="W367" s="81" t="str">
        <f>IF(Calculations[[#This Row],[Πηγή εκπομπών]]="Electricity consumed in office buildings and projects - market based",Calculations[[#This Row],[t CO2]],"")</f>
        <v/>
      </c>
      <c r="X36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2.3118942E-2</v>
      </c>
    </row>
    <row r="368" spans="1:24" ht="29.4" hidden="1" thickTop="1">
      <c r="A368" s="15" t="s">
        <v>350</v>
      </c>
      <c r="B368" s="15" t="s">
        <v>351</v>
      </c>
      <c r="C368" s="16" t="s">
        <v>624</v>
      </c>
      <c r="D368" s="16" t="s">
        <v>1144</v>
      </c>
      <c r="E368" s="16" t="s">
        <v>1159</v>
      </c>
      <c r="F368" s="209" t="s">
        <v>647</v>
      </c>
      <c r="G368" s="16" t="s">
        <v>585</v>
      </c>
      <c r="H368" s="15" t="s">
        <v>347</v>
      </c>
      <c r="I368" s="89" t="s">
        <v>347</v>
      </c>
      <c r="J368" s="79">
        <v>5000</v>
      </c>
      <c r="K368" s="18" t="s">
        <v>1157</v>
      </c>
      <c r="L368" s="94" t="s">
        <v>363</v>
      </c>
      <c r="M368" s="148" t="s">
        <v>474</v>
      </c>
      <c r="N368" s="81" t="str">
        <f>_xlfn.XLOOKUP(Calculations[[#This Row],[For XLOOKUP]],Factors[For XLOOKUP],Factors[Factor],"")</f>
        <v>Σ.Ε. CO₂ eq</v>
      </c>
      <c r="O368" s="81">
        <f>_xlfn.XLOOKUP(Calculations[[#This Row],[For XLOOKUP]],Factors[For XLOOKUP],Factors[Value],"")</f>
        <v>1.1819500000000002E-4</v>
      </c>
      <c r="P368" s="81" t="str">
        <f>_xlfn.XLOOKUP(Calculations[[#This Row],[For XLOOKUP]],Factors[For XLOOKUP],Factors[Units],"")</f>
        <v>tn CO2 eq/ €</v>
      </c>
      <c r="Q368" s="19" t="str">
        <f>_xlfn.XLOOKUP(Calculations[[#This Row],[For XLOOKUP]],Factors[For XLOOKUP],Factors[Source],"")</f>
        <v>BEIS 2021</v>
      </c>
      <c r="R36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8" s="81" t="str">
        <f>IF(LEFT(Calculations[[#This Row],[Emission Factor]],7)="Σ.Ε. CH",Calculations[[#This Row],[Value]]*Calculations[[#This Row],[Τιμή]],"-")</f>
        <v>-</v>
      </c>
      <c r="T36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8" s="81" t="str">
        <f>IF(LEFT(Calculations[[#This Row],[Emission Factor]],3)="GWP",Calculations[[#This Row],[Τιμή]],"-")</f>
        <v>-</v>
      </c>
      <c r="V368" s="81">
        <f>IF(OR(Calculations[[#This Row],[Emission Factor]]="Σ.Ε. CO₂ eq",Calculations[[#This Row],[Emission Factor]]="CO₂ eq"),Calculations[[#This Row],[Value]]*Calculations[[#This Row],[Τιμή]],"-")</f>
        <v>0.59097500000000003</v>
      </c>
      <c r="W368" s="81" t="str">
        <f>IF(Calculations[[#This Row],[Πηγή εκπομπών]]="Electricity consumed in office buildings and projects - market based",Calculations[[#This Row],[t CO2]],"")</f>
        <v/>
      </c>
      <c r="X36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0.59097500000000003</v>
      </c>
    </row>
    <row r="369" spans="1:24" ht="29.4" hidden="1" thickTop="1">
      <c r="A369" s="15" t="s">
        <v>350</v>
      </c>
      <c r="B369" s="15" t="s">
        <v>351</v>
      </c>
      <c r="C369" s="16" t="s">
        <v>624</v>
      </c>
      <c r="D369" s="16" t="s">
        <v>1144</v>
      </c>
      <c r="E369" s="16" t="s">
        <v>1159</v>
      </c>
      <c r="F369" s="209" t="s">
        <v>647</v>
      </c>
      <c r="G369" s="16" t="s">
        <v>585</v>
      </c>
      <c r="H369" s="15" t="s">
        <v>347</v>
      </c>
      <c r="I369" s="89" t="s">
        <v>347</v>
      </c>
      <c r="J369" s="79">
        <v>14.489999999999998</v>
      </c>
      <c r="K369" s="18" t="s">
        <v>1157</v>
      </c>
      <c r="L369" s="94" t="s">
        <v>461</v>
      </c>
      <c r="M369" s="148" t="s">
        <v>572</v>
      </c>
      <c r="N369" s="81" t="str">
        <f>_xlfn.XLOOKUP(Calculations[[#This Row],[For XLOOKUP]],Factors[For XLOOKUP],Factors[Factor],"")</f>
        <v>Σ.Ε. CO₂ eq</v>
      </c>
      <c r="O369" s="81">
        <f>_xlfn.XLOOKUP(Calculations[[#This Row],[For XLOOKUP]],Factors[For XLOOKUP],Factors[Value],"")</f>
        <v>6.2126999999999997E-5</v>
      </c>
      <c r="P369" s="81" t="str">
        <f>_xlfn.XLOOKUP(Calculations[[#This Row],[For XLOOKUP]],Factors[For XLOOKUP],Factors[Units],"")</f>
        <v>tn CO2 eq/ €</v>
      </c>
      <c r="Q369" s="19" t="str">
        <f>_xlfn.XLOOKUP(Calculations[[#This Row],[For XLOOKUP]],Factors[For XLOOKUP],Factors[Source],"")</f>
        <v>EPA 2022</v>
      </c>
      <c r="R36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9" s="81" t="str">
        <f>IF(LEFT(Calculations[[#This Row],[Emission Factor]],7)="Σ.Ε. CH",Calculations[[#This Row],[Value]]*Calculations[[#This Row],[Τιμή]],"-")</f>
        <v>-</v>
      </c>
      <c r="T36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9" s="81" t="str">
        <f>IF(LEFT(Calculations[[#This Row],[Emission Factor]],3)="GWP",Calculations[[#This Row],[Τιμή]],"-")</f>
        <v>-</v>
      </c>
      <c r="V369" s="81">
        <f>IF(OR(Calculations[[#This Row],[Emission Factor]]="Σ.Ε. CO₂ eq",Calculations[[#This Row],[Emission Factor]]="CO₂ eq"),Calculations[[#This Row],[Value]]*Calculations[[#This Row],[Τιμή]],"-")</f>
        <v>9.0022022999999981E-4</v>
      </c>
      <c r="W369" s="81" t="str">
        <f>IF(Calculations[[#This Row],[Πηγή εκπομπών]]="Electricity consumed in office buildings and projects - market based",Calculations[[#This Row],[t CO2]],"")</f>
        <v/>
      </c>
      <c r="X36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9.0022022999999981E-4</v>
      </c>
    </row>
    <row r="370" spans="1:24" ht="29.4" hidden="1" thickTop="1">
      <c r="A370" s="15" t="s">
        <v>350</v>
      </c>
      <c r="B370" s="15" t="s">
        <v>351</v>
      </c>
      <c r="C370" s="16" t="s">
        <v>624</v>
      </c>
      <c r="D370" s="16" t="s">
        <v>1144</v>
      </c>
      <c r="E370" s="16" t="s">
        <v>1159</v>
      </c>
      <c r="F370" s="209" t="s">
        <v>647</v>
      </c>
      <c r="G370" s="16" t="s">
        <v>585</v>
      </c>
      <c r="H370" s="15" t="s">
        <v>347</v>
      </c>
      <c r="I370" s="89" t="s">
        <v>347</v>
      </c>
      <c r="J370" s="79">
        <v>2019.5</v>
      </c>
      <c r="K370" s="18" t="s">
        <v>1157</v>
      </c>
      <c r="L370" s="94" t="s">
        <v>353</v>
      </c>
      <c r="M370" s="148" t="s">
        <v>464</v>
      </c>
      <c r="N370" s="81" t="str">
        <f>_xlfn.XLOOKUP(Calculations[[#This Row],[For XLOOKUP]],Factors[For XLOOKUP],Factors[Factor],"")</f>
        <v>Σ.Ε. CO₂ eq</v>
      </c>
      <c r="O370" s="81">
        <f>_xlfn.XLOOKUP(Calculations[[#This Row],[For XLOOKUP]],Factors[For XLOOKUP],Factors[Value],"")</f>
        <v>5.8538760000000007E-5</v>
      </c>
      <c r="P370" s="81" t="str">
        <f>_xlfn.XLOOKUP(Calculations[[#This Row],[For XLOOKUP]],Factors[For XLOOKUP],Factors[Units],"")</f>
        <v>tn CO2 eq/ €</v>
      </c>
      <c r="Q370" s="19" t="str">
        <f>_xlfn.XLOOKUP(Calculations[[#This Row],[For XLOOKUP]],Factors[For XLOOKUP],Factors[Source],"")</f>
        <v>BEIS 2021</v>
      </c>
      <c r="R37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0" s="81" t="str">
        <f>IF(LEFT(Calculations[[#This Row],[Emission Factor]],7)="Σ.Ε. CH",Calculations[[#This Row],[Value]]*Calculations[[#This Row],[Τιμή]],"-")</f>
        <v>-</v>
      </c>
      <c r="T37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0" s="81" t="str">
        <f>IF(LEFT(Calculations[[#This Row],[Emission Factor]],3)="GWP",Calculations[[#This Row],[Τιμή]],"-")</f>
        <v>-</v>
      </c>
      <c r="V370" s="81">
        <f>IF(OR(Calculations[[#This Row],[Emission Factor]]="Σ.Ε. CO₂ eq",Calculations[[#This Row],[Emission Factor]]="CO₂ eq"),Calculations[[#This Row],[Value]]*Calculations[[#This Row],[Τιμή]],"-")</f>
        <v>0.11821902582000002</v>
      </c>
      <c r="W370" s="81" t="str">
        <f>IF(Calculations[[#This Row],[Πηγή εκπομπών]]="Electricity consumed in office buildings and projects - market based",Calculations[[#This Row],[t CO2]],"")</f>
        <v/>
      </c>
      <c r="X37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0.11821902582000002</v>
      </c>
    </row>
    <row r="371" spans="1:24" ht="29.4" hidden="1" thickTop="1">
      <c r="A371" s="15" t="s">
        <v>350</v>
      </c>
      <c r="B371" s="15" t="s">
        <v>351</v>
      </c>
      <c r="C371" s="16" t="s">
        <v>624</v>
      </c>
      <c r="D371" s="16" t="s">
        <v>1144</v>
      </c>
      <c r="E371" s="16" t="s">
        <v>1159</v>
      </c>
      <c r="F371" s="209" t="s">
        <v>647</v>
      </c>
      <c r="G371" s="16" t="s">
        <v>585</v>
      </c>
      <c r="H371" s="15" t="s">
        <v>347</v>
      </c>
      <c r="I371" s="89" t="s">
        <v>347</v>
      </c>
      <c r="J371" s="79">
        <v>620</v>
      </c>
      <c r="K371" s="18" t="s">
        <v>1157</v>
      </c>
      <c r="L371" s="94" t="s">
        <v>454</v>
      </c>
      <c r="M371" s="148" t="s">
        <v>565</v>
      </c>
      <c r="N371" s="81" t="str">
        <f>_xlfn.XLOOKUP(Calculations[[#This Row],[For XLOOKUP]],Factors[For XLOOKUP],Factors[Factor],"")</f>
        <v>Σ.Ε. CO₂ eq</v>
      </c>
      <c r="O371" s="81">
        <f>_xlfn.XLOOKUP(Calculations[[#This Row],[For XLOOKUP]],Factors[For XLOOKUP],Factors[Value],"")</f>
        <v>1.3478399999999999E-4</v>
      </c>
      <c r="P371" s="81" t="str">
        <f>_xlfn.XLOOKUP(Calculations[[#This Row],[For XLOOKUP]],Factors[For XLOOKUP],Factors[Units],"")</f>
        <v>tn CO2 eq/ €</v>
      </c>
      <c r="Q371" s="19" t="str">
        <f>_xlfn.XLOOKUP(Calculations[[#This Row],[For XLOOKUP]],Factors[For XLOOKUP],Factors[Source],"")</f>
        <v>EPA 2022</v>
      </c>
      <c r="R37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1" s="81" t="str">
        <f>IF(LEFT(Calculations[[#This Row],[Emission Factor]],7)="Σ.Ε. CH",Calculations[[#This Row],[Value]]*Calculations[[#This Row],[Τιμή]],"-")</f>
        <v>-</v>
      </c>
      <c r="T37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1" s="81" t="str">
        <f>IF(LEFT(Calculations[[#This Row],[Emission Factor]],3)="GWP",Calculations[[#This Row],[Τιμή]],"-")</f>
        <v>-</v>
      </c>
      <c r="V371" s="81">
        <f>IF(OR(Calculations[[#This Row],[Emission Factor]]="Σ.Ε. CO₂ eq",Calculations[[#This Row],[Emission Factor]]="CO₂ eq"),Calculations[[#This Row],[Value]]*Calculations[[#This Row],[Τιμή]],"-")</f>
        <v>8.3566079999999987E-2</v>
      </c>
      <c r="W371" s="81" t="str">
        <f>IF(Calculations[[#This Row],[Πηγή εκπομπών]]="Electricity consumed in office buildings and projects - market based",Calculations[[#This Row],[t CO2]],"")</f>
        <v/>
      </c>
      <c r="X37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8.3566079999999987E-2</v>
      </c>
    </row>
    <row r="372" spans="1:24" ht="29.4" hidden="1" thickTop="1">
      <c r="A372" s="15" t="s">
        <v>350</v>
      </c>
      <c r="B372" s="15" t="s">
        <v>351</v>
      </c>
      <c r="C372" s="16" t="s">
        <v>624</v>
      </c>
      <c r="D372" s="16" t="s">
        <v>1144</v>
      </c>
      <c r="E372" s="16" t="s">
        <v>1159</v>
      </c>
      <c r="F372" s="209" t="s">
        <v>647</v>
      </c>
      <c r="G372" s="16" t="s">
        <v>585</v>
      </c>
      <c r="H372" s="15" t="s">
        <v>347</v>
      </c>
      <c r="I372" s="89" t="s">
        <v>347</v>
      </c>
      <c r="J372" s="79">
        <v>25</v>
      </c>
      <c r="K372" s="18" t="s">
        <v>1157</v>
      </c>
      <c r="L372" s="94" t="s">
        <v>389</v>
      </c>
      <c r="M372" s="148" t="s">
        <v>500</v>
      </c>
      <c r="N372" s="81" t="str">
        <f>_xlfn.XLOOKUP(Calculations[[#This Row],[For XLOOKUP]],Factors[For XLOOKUP],Factors[Factor],"")</f>
        <v>Σ.Ε. CO₂ eq</v>
      </c>
      <c r="O372" s="81">
        <f>_xlfn.XLOOKUP(Calculations[[#This Row],[For XLOOKUP]],Factors[For XLOOKUP],Factors[Value],"")</f>
        <v>4.3550000000000001E-4</v>
      </c>
      <c r="P372" s="81" t="str">
        <f>_xlfn.XLOOKUP(Calculations[[#This Row],[For XLOOKUP]],Factors[For XLOOKUP],Factors[Units],"")</f>
        <v>tn CO2 eq/ €</v>
      </c>
      <c r="Q372" s="19" t="str">
        <f>_xlfn.XLOOKUP(Calculations[[#This Row],[For XLOOKUP]],Factors[For XLOOKUP],Factors[Source],"")</f>
        <v>EXIOBASE 2019 - GR</v>
      </c>
      <c r="R37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2" s="81" t="str">
        <f>IF(LEFT(Calculations[[#This Row],[Emission Factor]],7)="Σ.Ε. CH",Calculations[[#This Row],[Value]]*Calculations[[#This Row],[Τιμή]],"-")</f>
        <v>-</v>
      </c>
      <c r="T37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2" s="81" t="str">
        <f>IF(LEFT(Calculations[[#This Row],[Emission Factor]],3)="GWP",Calculations[[#This Row],[Τιμή]],"-")</f>
        <v>-</v>
      </c>
      <c r="V372" s="81">
        <f>IF(OR(Calculations[[#This Row],[Emission Factor]]="Σ.Ε. CO₂ eq",Calculations[[#This Row],[Emission Factor]]="CO₂ eq"),Calculations[[#This Row],[Value]]*Calculations[[#This Row],[Τιμή]],"-")</f>
        <v>1.08875E-2</v>
      </c>
      <c r="W372" s="81" t="str">
        <f>IF(Calculations[[#This Row],[Πηγή εκπομπών]]="Electricity consumed in office buildings and projects - market based",Calculations[[#This Row],[t CO2]],"")</f>
        <v/>
      </c>
      <c r="X37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1.08875E-2</v>
      </c>
    </row>
    <row r="373" spans="1:24" ht="29.4" hidden="1" thickTop="1">
      <c r="A373" s="15" t="s">
        <v>350</v>
      </c>
      <c r="B373" s="15" t="s">
        <v>351</v>
      </c>
      <c r="C373" s="16" t="s">
        <v>624</v>
      </c>
      <c r="D373" s="16" t="s">
        <v>895</v>
      </c>
      <c r="E373" s="96" t="s">
        <v>1134</v>
      </c>
      <c r="F373" s="16" t="s">
        <v>319</v>
      </c>
      <c r="G373" s="16" t="s">
        <v>585</v>
      </c>
      <c r="H373" s="15" t="s">
        <v>347</v>
      </c>
      <c r="I373" s="89" t="s">
        <v>347</v>
      </c>
      <c r="J373" s="79">
        <v>21069</v>
      </c>
      <c r="K373" s="18" t="s">
        <v>1157</v>
      </c>
      <c r="L373" s="94" t="s">
        <v>876</v>
      </c>
      <c r="M373" s="148" t="s">
        <v>881</v>
      </c>
      <c r="N373" s="81" t="str">
        <f>_xlfn.XLOOKUP(Calculations[[#This Row],[For XLOOKUP]],Factors[For XLOOKUP],Factors[Factor],"")</f>
        <v>Σ.Ε. CO₂ eq</v>
      </c>
      <c r="O373" s="81">
        <f>_xlfn.XLOOKUP(Calculations[[#This Row],[For XLOOKUP]],Factors[For XLOOKUP],Factors[Value],"")</f>
        <v>1.16883E-4</v>
      </c>
      <c r="P373" s="81" t="str">
        <f>_xlfn.XLOOKUP(Calculations[[#This Row],[For XLOOKUP]],Factors[For XLOOKUP],Factors[Units],"")</f>
        <v>tn CO2 eq/ €</v>
      </c>
      <c r="Q373" s="19" t="str">
        <f>_xlfn.XLOOKUP(Calculations[[#This Row],[For XLOOKUP]],Factors[For XLOOKUP],Factors[Source],"")</f>
        <v>EPA 2022</v>
      </c>
      <c r="R37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3" s="81" t="str">
        <f>IF(LEFT(Calculations[[#This Row],[Emission Factor]],7)="Σ.Ε. CH",Calculations[[#This Row],[Value]]*Calculations[[#This Row],[Τιμή]],"-")</f>
        <v>-</v>
      </c>
      <c r="T37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3" s="81" t="str">
        <f>IF(LEFT(Calculations[[#This Row],[Emission Factor]],3)="GWP",Calculations[[#This Row],[Τιμή]],"-")</f>
        <v>-</v>
      </c>
      <c r="V373" s="81">
        <f>IF(OR(Calculations[[#This Row],[Emission Factor]]="Σ.Ε. CO₂ eq",Calculations[[#This Row],[Emission Factor]]="CO₂ eq"),Calculations[[#This Row],[Value]]*Calculations[[#This Row],[Τιμή]],"-")</f>
        <v>2.4626079270000001</v>
      </c>
      <c r="W373" s="81" t="str">
        <f>IF(Calculations[[#This Row],[Πηγή εκπομπών]]="Electricity consumed in office buildings and projects - market based",Calculations[[#This Row],[t CO2]],"")</f>
        <v/>
      </c>
      <c r="X37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2.4626079270000001</v>
      </c>
    </row>
    <row r="374" spans="1:24" ht="29.4" hidden="1" thickTop="1">
      <c r="A374" s="15" t="s">
        <v>350</v>
      </c>
      <c r="B374" s="15" t="s">
        <v>351</v>
      </c>
      <c r="C374" s="16" t="s">
        <v>624</v>
      </c>
      <c r="D374" s="16" t="s">
        <v>895</v>
      </c>
      <c r="E374" s="96" t="s">
        <v>1134</v>
      </c>
      <c r="F374" s="16" t="s">
        <v>319</v>
      </c>
      <c r="G374" s="16" t="s">
        <v>585</v>
      </c>
      <c r="H374" s="15" t="s">
        <v>347</v>
      </c>
      <c r="I374" s="89" t="s">
        <v>347</v>
      </c>
      <c r="J374" s="79">
        <v>24455.26</v>
      </c>
      <c r="K374" s="18" t="s">
        <v>1157</v>
      </c>
      <c r="L374" s="94" t="s">
        <v>354</v>
      </c>
      <c r="M374" s="148" t="s">
        <v>465</v>
      </c>
      <c r="N374" s="81" t="str">
        <f>_xlfn.XLOOKUP(Calculations[[#This Row],[For XLOOKUP]],Factors[For XLOOKUP],Factors[Factor],"")</f>
        <v>Σ.Ε. CO₂ eq</v>
      </c>
      <c r="O374" s="81">
        <f>_xlfn.XLOOKUP(Calculations[[#This Row],[For XLOOKUP]],Factors[For XLOOKUP],Factors[Value],"")</f>
        <v>9.6361160000000019E-5</v>
      </c>
      <c r="P374" s="81" t="str">
        <f>_xlfn.XLOOKUP(Calculations[[#This Row],[For XLOOKUP]],Factors[For XLOOKUP],Factors[Units],"")</f>
        <v>tn CO2 eq/ €</v>
      </c>
      <c r="Q374" s="19" t="str">
        <f>_xlfn.XLOOKUP(Calculations[[#This Row],[For XLOOKUP]],Factors[For XLOOKUP],Factors[Source],"")</f>
        <v>BEIS 2021</v>
      </c>
      <c r="R37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4" s="81" t="str">
        <f>IF(LEFT(Calculations[[#This Row],[Emission Factor]],7)="Σ.Ε. CH",Calculations[[#This Row],[Value]]*Calculations[[#This Row],[Τιμή]],"-")</f>
        <v>-</v>
      </c>
      <c r="T37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4" s="81" t="str">
        <f>IF(LEFT(Calculations[[#This Row],[Emission Factor]],3)="GWP",Calculations[[#This Row],[Τιμή]],"-")</f>
        <v>-</v>
      </c>
      <c r="V374" s="81">
        <f>IF(OR(Calculations[[#This Row],[Emission Factor]]="Σ.Ε. CO₂ eq",Calculations[[#This Row],[Emission Factor]]="CO₂ eq"),Calculations[[#This Row],[Value]]*Calculations[[#This Row],[Τιμή]],"-")</f>
        <v>2.3565372217016005</v>
      </c>
      <c r="W374" s="81" t="str">
        <f>IF(Calculations[[#This Row],[Πηγή εκπομπών]]="Electricity consumed in office buildings and projects - market based",Calculations[[#This Row],[t CO2]],"")</f>
        <v/>
      </c>
      <c r="X37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2.3565372217016005</v>
      </c>
    </row>
    <row r="375" spans="1:24" ht="29.4" hidden="1" thickTop="1">
      <c r="A375" s="15" t="s">
        <v>350</v>
      </c>
      <c r="B375" s="15" t="s">
        <v>351</v>
      </c>
      <c r="C375" s="16" t="s">
        <v>624</v>
      </c>
      <c r="D375" s="16" t="s">
        <v>895</v>
      </c>
      <c r="E375" s="96" t="s">
        <v>1134</v>
      </c>
      <c r="F375" s="16" t="s">
        <v>319</v>
      </c>
      <c r="G375" s="16" t="s">
        <v>585</v>
      </c>
      <c r="H375" s="15" t="s">
        <v>347</v>
      </c>
      <c r="I375" s="89" t="s">
        <v>347</v>
      </c>
      <c r="J375" s="79">
        <v>9984.6</v>
      </c>
      <c r="K375" s="18" t="s">
        <v>1157</v>
      </c>
      <c r="L375" s="94" t="s">
        <v>377</v>
      </c>
      <c r="M375" s="174" t="s">
        <v>488</v>
      </c>
      <c r="N375" s="81" t="str">
        <f>_xlfn.XLOOKUP(Calculations[[#This Row],[For XLOOKUP]],Factors[For XLOOKUP],Factors[Factor],"")</f>
        <v>Σ.Ε. CO₂ eq</v>
      </c>
      <c r="O375" s="81">
        <f>_xlfn.XLOOKUP(Calculations[[#This Row],[For XLOOKUP]],Factors[For XLOOKUP],Factors[Value],"")</f>
        <v>2.2370000000000002E-4</v>
      </c>
      <c r="P375" s="81" t="str">
        <f>_xlfn.XLOOKUP(Calculations[[#This Row],[For XLOOKUP]],Factors[For XLOOKUP],Factors[Units],"")</f>
        <v>tn CO2 eq/ €</v>
      </c>
      <c r="Q375" s="19" t="str">
        <f>_xlfn.XLOOKUP(Calculations[[#This Row],[For XLOOKUP]],Factors[For XLOOKUP],Factors[Source],"")</f>
        <v>EXIOBASE 2019 - GR</v>
      </c>
      <c r="R37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5" s="81" t="str">
        <f>IF(LEFT(Calculations[[#This Row],[Emission Factor]],7)="Σ.Ε. CH",Calculations[[#This Row],[Value]]*Calculations[[#This Row],[Τιμή]],"-")</f>
        <v>-</v>
      </c>
      <c r="T37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5" s="81" t="str">
        <f>IF(LEFT(Calculations[[#This Row],[Emission Factor]],3)="GWP",Calculations[[#This Row],[Τιμή]],"-")</f>
        <v>-</v>
      </c>
      <c r="V375" s="81">
        <f>IF(OR(Calculations[[#This Row],[Emission Factor]]="Σ.Ε. CO₂ eq",Calculations[[#This Row],[Emission Factor]]="CO₂ eq"),Calculations[[#This Row],[Value]]*Calculations[[#This Row],[Τιμή]],"-")</f>
        <v>2.2335550200000003</v>
      </c>
      <c r="W375" s="81" t="str">
        <f>IF(Calculations[[#This Row],[Πηγή εκπομπών]]="Electricity consumed in office buildings and projects - market based",Calculations[[#This Row],[t CO2]],"")</f>
        <v/>
      </c>
      <c r="X37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2.2335550200000003</v>
      </c>
    </row>
    <row r="376" spans="1:24" ht="29.4" hidden="1" thickTop="1">
      <c r="A376" s="15" t="s">
        <v>350</v>
      </c>
      <c r="B376" s="15" t="s">
        <v>351</v>
      </c>
      <c r="C376" s="16" t="s">
        <v>624</v>
      </c>
      <c r="D376" s="16" t="s">
        <v>895</v>
      </c>
      <c r="E376" s="96" t="s">
        <v>1134</v>
      </c>
      <c r="F376" s="16" t="s">
        <v>319</v>
      </c>
      <c r="G376" s="16" t="s">
        <v>585</v>
      </c>
      <c r="H376" s="15" t="s">
        <v>347</v>
      </c>
      <c r="I376" s="89" t="s">
        <v>347</v>
      </c>
      <c r="J376" s="79">
        <v>2172.7800000000002</v>
      </c>
      <c r="K376" s="18" t="s">
        <v>1157</v>
      </c>
      <c r="L376" s="94" t="s">
        <v>357</v>
      </c>
      <c r="M376" s="174" t="s">
        <v>468</v>
      </c>
      <c r="N376" s="81" t="str">
        <f>_xlfn.XLOOKUP(Calculations[[#This Row],[For XLOOKUP]],Factors[For XLOOKUP],Factors[Factor],"")</f>
        <v>Σ.Ε. CO₂ eq</v>
      </c>
      <c r="O376" s="81">
        <f>_xlfn.XLOOKUP(Calculations[[#This Row],[For XLOOKUP]],Factors[For XLOOKUP],Factors[Value],"")</f>
        <v>3.7960000000000001E-4</v>
      </c>
      <c r="P376" s="81" t="str">
        <f>_xlfn.XLOOKUP(Calculations[[#This Row],[For XLOOKUP]],Factors[For XLOOKUP],Factors[Units],"")</f>
        <v>tn CO2 eq/ €</v>
      </c>
      <c r="Q376" s="19" t="str">
        <f>_xlfn.XLOOKUP(Calculations[[#This Row],[For XLOOKUP]],Factors[For XLOOKUP],Factors[Source],"")</f>
        <v>EXIOBASE 2019 - GR</v>
      </c>
      <c r="R37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6" s="81" t="str">
        <f>IF(LEFT(Calculations[[#This Row],[Emission Factor]],7)="Σ.Ε. CH",Calculations[[#This Row],[Value]]*Calculations[[#This Row],[Τιμή]],"-")</f>
        <v>-</v>
      </c>
      <c r="T37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6" s="81" t="str">
        <f>IF(LEFT(Calculations[[#This Row],[Emission Factor]],3)="GWP",Calculations[[#This Row],[Τιμή]],"-")</f>
        <v>-</v>
      </c>
      <c r="V376" s="81">
        <f>IF(OR(Calculations[[#This Row],[Emission Factor]]="Σ.Ε. CO₂ eq",Calculations[[#This Row],[Emission Factor]]="CO₂ eq"),Calculations[[#This Row],[Value]]*Calculations[[#This Row],[Τιμή]],"-")</f>
        <v>0.82478728800000012</v>
      </c>
      <c r="W376" s="81" t="str">
        <f>IF(Calculations[[#This Row],[Πηγή εκπομπών]]="Electricity consumed in office buildings and projects - market based",Calculations[[#This Row],[t CO2]],"")</f>
        <v/>
      </c>
      <c r="X37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0.82478728800000012</v>
      </c>
    </row>
    <row r="377" spans="1:24" ht="29.4" hidden="1" thickTop="1">
      <c r="A377" s="15" t="s">
        <v>350</v>
      </c>
      <c r="B377" s="15" t="s">
        <v>351</v>
      </c>
      <c r="C377" s="16" t="s">
        <v>624</v>
      </c>
      <c r="D377" s="16" t="s">
        <v>895</v>
      </c>
      <c r="E377" s="16" t="s">
        <v>1156</v>
      </c>
      <c r="F377" s="16" t="s">
        <v>319</v>
      </c>
      <c r="G377" s="16" t="s">
        <v>585</v>
      </c>
      <c r="H377" s="15" t="s">
        <v>347</v>
      </c>
      <c r="I377" s="89" t="s">
        <v>347</v>
      </c>
      <c r="J377" s="79">
        <v>228334.28333333335</v>
      </c>
      <c r="K377" s="18" t="s">
        <v>1157</v>
      </c>
      <c r="L377" s="94" t="s">
        <v>356</v>
      </c>
      <c r="M377" s="148" t="s">
        <v>467</v>
      </c>
      <c r="N377" s="81" t="str">
        <f>_xlfn.XLOOKUP(Calculations[[#This Row],[For XLOOKUP]],Factors[For XLOOKUP],Factors[Factor],"")</f>
        <v>Σ.Ε. CO₂ eq</v>
      </c>
      <c r="O377" s="81">
        <f>_xlfn.XLOOKUP(Calculations[[#This Row],[For XLOOKUP]],Factors[For XLOOKUP],Factors[Value],"")</f>
        <v>1.6994291999999998E-4</v>
      </c>
      <c r="P377" s="81" t="str">
        <f>_xlfn.XLOOKUP(Calculations[[#This Row],[For XLOOKUP]],Factors[For XLOOKUP],Factors[Units],"")</f>
        <v>tn CO2 eq/ €</v>
      </c>
      <c r="Q377" s="19" t="str">
        <f>_xlfn.XLOOKUP(Calculations[[#This Row],[For XLOOKUP]],Factors[For XLOOKUP],Factors[Source],"")</f>
        <v>BEIS 2021</v>
      </c>
      <c r="R37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7" s="81" t="str">
        <f>IF(LEFT(Calculations[[#This Row],[Emission Factor]],7)="Σ.Ε. CH",Calculations[[#This Row],[Value]]*Calculations[[#This Row],[Τιμή]],"-")</f>
        <v>-</v>
      </c>
      <c r="T37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7" s="81" t="str">
        <f>IF(LEFT(Calculations[[#This Row],[Emission Factor]],3)="GWP",Calculations[[#This Row],[Τιμή]],"-")</f>
        <v>-</v>
      </c>
      <c r="V377" s="81">
        <f>IF(OR(Calculations[[#This Row],[Emission Factor]]="Σ.Ε. CO₂ eq",Calculations[[#This Row],[Emission Factor]]="CO₂ eq"),Calculations[[#This Row],[Value]]*Calculations[[#This Row],[Τιμή]],"-")</f>
        <v>38.803794845774</v>
      </c>
      <c r="W377" s="81" t="str">
        <f>IF(Calculations[[#This Row],[Πηγή εκπομπών]]="Electricity consumed in office buildings and projects - market based",Calculations[[#This Row],[t CO2]],"")</f>
        <v/>
      </c>
      <c r="X37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38.803794845774</v>
      </c>
    </row>
    <row r="378" spans="1:24" ht="29.4" hidden="1" thickTop="1">
      <c r="A378" s="15" t="s">
        <v>350</v>
      </c>
      <c r="B378" s="15" t="s">
        <v>351</v>
      </c>
      <c r="C378" s="16" t="s">
        <v>624</v>
      </c>
      <c r="D378" s="16" t="s">
        <v>895</v>
      </c>
      <c r="E378" s="16" t="s">
        <v>1156</v>
      </c>
      <c r="F378" s="16" t="s">
        <v>319</v>
      </c>
      <c r="G378" s="16" t="s">
        <v>585</v>
      </c>
      <c r="H378" s="15" t="s">
        <v>347</v>
      </c>
      <c r="I378" s="89" t="s">
        <v>347</v>
      </c>
      <c r="J378" s="79">
        <v>697020.35333333339</v>
      </c>
      <c r="K378" s="18" t="s">
        <v>1157</v>
      </c>
      <c r="L378" s="94" t="s">
        <v>363</v>
      </c>
      <c r="M378" s="148" t="s">
        <v>474</v>
      </c>
      <c r="N378" s="81" t="str">
        <f>_xlfn.XLOOKUP(Calculations[[#This Row],[For XLOOKUP]],Factors[For XLOOKUP],Factors[Factor],"")</f>
        <v>Σ.Ε. CO₂ eq</v>
      </c>
      <c r="O378" s="81">
        <f>_xlfn.XLOOKUP(Calculations[[#This Row],[For XLOOKUP]],Factors[For XLOOKUP],Factors[Value],"")</f>
        <v>1.1819500000000002E-4</v>
      </c>
      <c r="P378" s="81" t="str">
        <f>_xlfn.XLOOKUP(Calculations[[#This Row],[For XLOOKUP]],Factors[For XLOOKUP],Factors[Units],"")</f>
        <v>tn CO2 eq/ €</v>
      </c>
      <c r="Q378" s="19" t="str">
        <f>_xlfn.XLOOKUP(Calculations[[#This Row],[For XLOOKUP]],Factors[For XLOOKUP],Factors[Source],"")</f>
        <v>BEIS 2021</v>
      </c>
      <c r="R37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8" s="81" t="str">
        <f>IF(LEFT(Calculations[[#This Row],[Emission Factor]],7)="Σ.Ε. CH",Calculations[[#This Row],[Value]]*Calculations[[#This Row],[Τιμή]],"-")</f>
        <v>-</v>
      </c>
      <c r="T37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8" s="81" t="str">
        <f>IF(LEFT(Calculations[[#This Row],[Emission Factor]],3)="GWP",Calculations[[#This Row],[Τιμή]],"-")</f>
        <v>-</v>
      </c>
      <c r="V378" s="81">
        <f>IF(OR(Calculations[[#This Row],[Emission Factor]]="Σ.Ε. CO₂ eq",Calculations[[#This Row],[Emission Factor]]="CO₂ eq"),Calculations[[#This Row],[Value]]*Calculations[[#This Row],[Τιμή]],"-")</f>
        <v>82.38432066223335</v>
      </c>
      <c r="W378" s="81" t="str">
        <f>IF(Calculations[[#This Row],[Πηγή εκπομπών]]="Electricity consumed in office buildings and projects - market based",Calculations[[#This Row],[t CO2]],"")</f>
        <v/>
      </c>
      <c r="X37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82.38432066223335</v>
      </c>
    </row>
    <row r="379" spans="1:24" ht="29.4" hidden="1" thickTop="1">
      <c r="A379" s="15" t="s">
        <v>350</v>
      </c>
      <c r="B379" s="15" t="s">
        <v>351</v>
      </c>
      <c r="C379" s="16" t="s">
        <v>624</v>
      </c>
      <c r="D379" s="16" t="s">
        <v>895</v>
      </c>
      <c r="E379" s="16" t="s">
        <v>1156</v>
      </c>
      <c r="F379" s="16" t="s">
        <v>319</v>
      </c>
      <c r="G379" s="16" t="s">
        <v>585</v>
      </c>
      <c r="H379" s="15" t="s">
        <v>347</v>
      </c>
      <c r="I379" s="89" t="s">
        <v>347</v>
      </c>
      <c r="J379" s="79">
        <v>54700.333333333336</v>
      </c>
      <c r="K379" s="18" t="s">
        <v>1157</v>
      </c>
      <c r="L379" s="94" t="s">
        <v>353</v>
      </c>
      <c r="M379" s="148" t="s">
        <v>464</v>
      </c>
      <c r="N379" s="81" t="str">
        <f>_xlfn.XLOOKUP(Calculations[[#This Row],[For XLOOKUP]],Factors[For XLOOKUP],Factors[Factor],"")</f>
        <v>Σ.Ε. CO₂ eq</v>
      </c>
      <c r="O379" s="81">
        <f>_xlfn.XLOOKUP(Calculations[[#This Row],[For XLOOKUP]],Factors[For XLOOKUP],Factors[Value],"")</f>
        <v>5.8538760000000007E-5</v>
      </c>
      <c r="P379" s="81" t="str">
        <f>_xlfn.XLOOKUP(Calculations[[#This Row],[For XLOOKUP]],Factors[For XLOOKUP],Factors[Units],"")</f>
        <v>tn CO2 eq/ €</v>
      </c>
      <c r="Q379" s="19" t="str">
        <f>_xlfn.XLOOKUP(Calculations[[#This Row],[For XLOOKUP]],Factors[For XLOOKUP],Factors[Source],"")</f>
        <v>BEIS 2021</v>
      </c>
      <c r="R37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9" s="81" t="str">
        <f>IF(LEFT(Calculations[[#This Row],[Emission Factor]],7)="Σ.Ε. CH",Calculations[[#This Row],[Value]]*Calculations[[#This Row],[Τιμή]],"-")</f>
        <v>-</v>
      </c>
      <c r="T37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9" s="81" t="str">
        <f>IF(LEFT(Calculations[[#This Row],[Emission Factor]],3)="GWP",Calculations[[#This Row],[Τιμή]],"-")</f>
        <v>-</v>
      </c>
      <c r="V379" s="81">
        <f>IF(OR(Calculations[[#This Row],[Emission Factor]]="Σ.Ε. CO₂ eq",Calculations[[#This Row],[Emission Factor]]="CO₂ eq"),Calculations[[#This Row],[Value]]*Calculations[[#This Row],[Τιμή]],"-")</f>
        <v>3.2020896849200007</v>
      </c>
      <c r="W379" s="81" t="str">
        <f>IF(Calculations[[#This Row],[Πηγή εκπομπών]]="Electricity consumed in office buildings and projects - market based",Calculations[[#This Row],[t CO2]],"")</f>
        <v/>
      </c>
      <c r="X37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3.2020896849200007</v>
      </c>
    </row>
    <row r="380" spans="1:24" ht="29.4" hidden="1" thickTop="1">
      <c r="A380" s="15" t="s">
        <v>350</v>
      </c>
      <c r="B380" s="15" t="s">
        <v>351</v>
      </c>
      <c r="C380" s="16" t="s">
        <v>624</v>
      </c>
      <c r="D380" s="16" t="s">
        <v>895</v>
      </c>
      <c r="E380" s="16" t="s">
        <v>1156</v>
      </c>
      <c r="F380" s="16" t="s">
        <v>319</v>
      </c>
      <c r="G380" s="16" t="s">
        <v>585</v>
      </c>
      <c r="H380" s="15" t="s">
        <v>347</v>
      </c>
      <c r="I380" s="89" t="s">
        <v>347</v>
      </c>
      <c r="J380" s="79">
        <v>8432.58</v>
      </c>
      <c r="K380" s="18" t="s">
        <v>1157</v>
      </c>
      <c r="L380" s="94" t="s">
        <v>377</v>
      </c>
      <c r="M380" s="148" t="s">
        <v>488</v>
      </c>
      <c r="N380" s="81" t="str">
        <f>_xlfn.XLOOKUP(Calculations[[#This Row],[For XLOOKUP]],Factors[For XLOOKUP],Factors[Factor],"")</f>
        <v>Σ.Ε. CO₂ eq</v>
      </c>
      <c r="O380" s="81">
        <f>_xlfn.XLOOKUP(Calculations[[#This Row],[For XLOOKUP]],Factors[For XLOOKUP],Factors[Value],"")</f>
        <v>2.2370000000000002E-4</v>
      </c>
      <c r="P380" s="81" t="str">
        <f>_xlfn.XLOOKUP(Calculations[[#This Row],[For XLOOKUP]],Factors[For XLOOKUP],Factors[Units],"")</f>
        <v>tn CO2 eq/ €</v>
      </c>
      <c r="Q380" s="19" t="str">
        <f>_xlfn.XLOOKUP(Calculations[[#This Row],[For XLOOKUP]],Factors[For XLOOKUP],Factors[Source],"")</f>
        <v>EXIOBASE 2019 - GR</v>
      </c>
      <c r="R38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0" s="81" t="str">
        <f>IF(LEFT(Calculations[[#This Row],[Emission Factor]],7)="Σ.Ε. CH",Calculations[[#This Row],[Value]]*Calculations[[#This Row],[Τιμή]],"-")</f>
        <v>-</v>
      </c>
      <c r="T38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0" s="81" t="str">
        <f>IF(LEFT(Calculations[[#This Row],[Emission Factor]],3)="GWP",Calculations[[#This Row],[Τιμή]],"-")</f>
        <v>-</v>
      </c>
      <c r="V380" s="81">
        <f>IF(OR(Calculations[[#This Row],[Emission Factor]]="Σ.Ε. CO₂ eq",Calculations[[#This Row],[Emission Factor]]="CO₂ eq"),Calculations[[#This Row],[Value]]*Calculations[[#This Row],[Τιμή]],"-")</f>
        <v>1.8863681460000001</v>
      </c>
      <c r="W380" s="81" t="str">
        <f>IF(Calculations[[#This Row],[Πηγή εκπομπών]]="Electricity consumed in office buildings and projects - market based",Calculations[[#This Row],[t CO2]],"")</f>
        <v/>
      </c>
      <c r="X38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1.8863681460000001</v>
      </c>
    </row>
    <row r="381" spans="1:24" ht="29.4" hidden="1" thickTop="1">
      <c r="A381" s="15" t="s">
        <v>350</v>
      </c>
      <c r="B381" s="15" t="s">
        <v>351</v>
      </c>
      <c r="C381" s="16" t="s">
        <v>624</v>
      </c>
      <c r="D381" s="16" t="s">
        <v>895</v>
      </c>
      <c r="E381" s="16" t="s">
        <v>1156</v>
      </c>
      <c r="F381" s="16" t="s">
        <v>319</v>
      </c>
      <c r="G381" s="16" t="s">
        <v>585</v>
      </c>
      <c r="H381" s="15" t="s">
        <v>347</v>
      </c>
      <c r="I381" s="89" t="s">
        <v>347</v>
      </c>
      <c r="J381" s="79">
        <v>20948</v>
      </c>
      <c r="K381" s="18" t="s">
        <v>1157</v>
      </c>
      <c r="L381" s="94" t="s">
        <v>361</v>
      </c>
      <c r="M381" s="148" t="s">
        <v>472</v>
      </c>
      <c r="N381" s="81" t="str">
        <f>_xlfn.XLOOKUP(Calculations[[#This Row],[For XLOOKUP]],Factors[For XLOOKUP],Factors[Factor],"")</f>
        <v>Σ.Ε. CO₂ eq</v>
      </c>
      <c r="O381" s="81">
        <f>_xlfn.XLOOKUP(Calculations[[#This Row],[For XLOOKUP]],Factors[For XLOOKUP],Factors[Value],"")</f>
        <v>4.2049999999999998E-4</v>
      </c>
      <c r="P381" s="81" t="str">
        <f>_xlfn.XLOOKUP(Calculations[[#This Row],[For XLOOKUP]],Factors[For XLOOKUP],Factors[Units],"")</f>
        <v>tn CO2 eq/ €</v>
      </c>
      <c r="Q381" s="19" t="str">
        <f>_xlfn.XLOOKUP(Calculations[[#This Row],[For XLOOKUP]],Factors[For XLOOKUP],Factors[Source],"")</f>
        <v>EXIOBASE 2019 - GR</v>
      </c>
      <c r="R38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1" s="81" t="str">
        <f>IF(LEFT(Calculations[[#This Row],[Emission Factor]],7)="Σ.Ε. CH",Calculations[[#This Row],[Value]]*Calculations[[#This Row],[Τιμή]],"-")</f>
        <v>-</v>
      </c>
      <c r="T38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1" s="81" t="str">
        <f>IF(LEFT(Calculations[[#This Row],[Emission Factor]],3)="GWP",Calculations[[#This Row],[Τιμή]],"-")</f>
        <v>-</v>
      </c>
      <c r="V381" s="81">
        <f>IF(OR(Calculations[[#This Row],[Emission Factor]]="Σ.Ε. CO₂ eq",Calculations[[#This Row],[Emission Factor]]="CO₂ eq"),Calculations[[#This Row],[Value]]*Calculations[[#This Row],[Τιμή]],"-")</f>
        <v>8.8086339999999996</v>
      </c>
      <c r="W381" s="81" t="str">
        <f>IF(Calculations[[#This Row],[Πηγή εκπομπών]]="Electricity consumed in office buildings and projects - market based",Calculations[[#This Row],[t CO2]],"")</f>
        <v/>
      </c>
      <c r="X38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8.8086339999999996</v>
      </c>
    </row>
    <row r="382" spans="1:24" ht="29.4" hidden="1" thickTop="1">
      <c r="A382" s="15" t="s">
        <v>350</v>
      </c>
      <c r="B382" s="15" t="s">
        <v>351</v>
      </c>
      <c r="C382" s="16" t="s">
        <v>624</v>
      </c>
      <c r="D382" s="16" t="s">
        <v>895</v>
      </c>
      <c r="E382" s="16" t="s">
        <v>1156</v>
      </c>
      <c r="F382" s="16" t="s">
        <v>319</v>
      </c>
      <c r="G382" s="16" t="s">
        <v>585</v>
      </c>
      <c r="H382" s="15" t="s">
        <v>347</v>
      </c>
      <c r="I382" s="89" t="s">
        <v>347</v>
      </c>
      <c r="J382" s="79">
        <v>407018</v>
      </c>
      <c r="K382" s="18" t="s">
        <v>1157</v>
      </c>
      <c r="L382" s="94" t="s">
        <v>354</v>
      </c>
      <c r="M382" s="148" t="s">
        <v>465</v>
      </c>
      <c r="N382" s="81" t="str">
        <f>_xlfn.XLOOKUP(Calculations[[#This Row],[For XLOOKUP]],Factors[For XLOOKUP],Factors[Factor],"")</f>
        <v>Σ.Ε. CO₂ eq</v>
      </c>
      <c r="O382" s="81">
        <f>_xlfn.XLOOKUP(Calculations[[#This Row],[For XLOOKUP]],Factors[For XLOOKUP],Factors[Value],"")</f>
        <v>9.6361160000000019E-5</v>
      </c>
      <c r="P382" s="81" t="str">
        <f>_xlfn.XLOOKUP(Calculations[[#This Row],[For XLOOKUP]],Factors[For XLOOKUP],Factors[Units],"")</f>
        <v>tn CO2 eq/ €</v>
      </c>
      <c r="Q382" s="19" t="str">
        <f>_xlfn.XLOOKUP(Calculations[[#This Row],[For XLOOKUP]],Factors[For XLOOKUP],Factors[Source],"")</f>
        <v>BEIS 2021</v>
      </c>
      <c r="R38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2" s="81" t="str">
        <f>IF(LEFT(Calculations[[#This Row],[Emission Factor]],7)="Σ.Ε. CH",Calculations[[#This Row],[Value]]*Calculations[[#This Row],[Τιμή]],"-")</f>
        <v>-</v>
      </c>
      <c r="T38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2" s="81" t="str">
        <f>IF(LEFT(Calculations[[#This Row],[Emission Factor]],3)="GWP",Calculations[[#This Row],[Τιμή]],"-")</f>
        <v>-</v>
      </c>
      <c r="V382" s="81">
        <f>IF(OR(Calculations[[#This Row],[Emission Factor]]="Σ.Ε. CO₂ eq",Calculations[[#This Row],[Emission Factor]]="CO₂ eq"),Calculations[[#This Row],[Value]]*Calculations[[#This Row],[Τιμή]],"-")</f>
        <v>39.220726620880008</v>
      </c>
      <c r="W382" s="81" t="str">
        <f>IF(Calculations[[#This Row],[Πηγή εκπομπών]]="Electricity consumed in office buildings and projects - market based",Calculations[[#This Row],[t CO2]],"")</f>
        <v/>
      </c>
      <c r="X38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39.220726620880008</v>
      </c>
    </row>
    <row r="383" spans="1:24" ht="29.4" hidden="1" thickTop="1">
      <c r="A383" s="15" t="s">
        <v>350</v>
      </c>
      <c r="B383" s="15" t="s">
        <v>351</v>
      </c>
      <c r="C383" s="16" t="s">
        <v>624</v>
      </c>
      <c r="D383" s="16" t="s">
        <v>895</v>
      </c>
      <c r="E383" s="16" t="s">
        <v>1156</v>
      </c>
      <c r="F383" s="16" t="s">
        <v>319</v>
      </c>
      <c r="G383" s="16" t="s">
        <v>585</v>
      </c>
      <c r="H383" s="15" t="s">
        <v>347</v>
      </c>
      <c r="I383" s="89" t="s">
        <v>347</v>
      </c>
      <c r="J383" s="79">
        <v>5</v>
      </c>
      <c r="K383" s="18" t="s">
        <v>1157</v>
      </c>
      <c r="L383" s="94" t="s">
        <v>357</v>
      </c>
      <c r="M383" s="148" t="s">
        <v>468</v>
      </c>
      <c r="N383" s="81" t="str">
        <f>_xlfn.XLOOKUP(Calculations[[#This Row],[For XLOOKUP]],Factors[For XLOOKUP],Factors[Factor],"")</f>
        <v>Σ.Ε. CO₂ eq</v>
      </c>
      <c r="O383" s="81">
        <f>_xlfn.XLOOKUP(Calculations[[#This Row],[For XLOOKUP]],Factors[For XLOOKUP],Factors[Value],"")</f>
        <v>3.7960000000000001E-4</v>
      </c>
      <c r="P383" s="81" t="str">
        <f>_xlfn.XLOOKUP(Calculations[[#This Row],[For XLOOKUP]],Factors[For XLOOKUP],Factors[Units],"")</f>
        <v>tn CO2 eq/ €</v>
      </c>
      <c r="Q383" s="19" t="str">
        <f>_xlfn.XLOOKUP(Calculations[[#This Row],[For XLOOKUP]],Factors[For XLOOKUP],Factors[Source],"")</f>
        <v>EXIOBASE 2019 - GR</v>
      </c>
      <c r="R38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3" s="81" t="str">
        <f>IF(LEFT(Calculations[[#This Row],[Emission Factor]],7)="Σ.Ε. CH",Calculations[[#This Row],[Value]]*Calculations[[#This Row],[Τιμή]],"-")</f>
        <v>-</v>
      </c>
      <c r="T38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3" s="81" t="str">
        <f>IF(LEFT(Calculations[[#This Row],[Emission Factor]],3)="GWP",Calculations[[#This Row],[Τιμή]],"-")</f>
        <v>-</v>
      </c>
      <c r="V383" s="81">
        <f>IF(OR(Calculations[[#This Row],[Emission Factor]]="Σ.Ε. CO₂ eq",Calculations[[#This Row],[Emission Factor]]="CO₂ eq"),Calculations[[#This Row],[Value]]*Calculations[[#This Row],[Τιμή]],"-")</f>
        <v>1.8979999999999999E-3</v>
      </c>
      <c r="W383" s="81" t="str">
        <f>IF(Calculations[[#This Row],[Πηγή εκπομπών]]="Electricity consumed in office buildings and projects - market based",Calculations[[#This Row],[t CO2]],"")</f>
        <v/>
      </c>
      <c r="X38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1.8979999999999999E-3</v>
      </c>
    </row>
    <row r="384" spans="1:24" ht="29.4" hidden="1" thickTop="1">
      <c r="A384" s="15" t="s">
        <v>350</v>
      </c>
      <c r="B384" s="15" t="s">
        <v>351</v>
      </c>
      <c r="C384" s="16" t="s">
        <v>624</v>
      </c>
      <c r="D384" s="16" t="s">
        <v>895</v>
      </c>
      <c r="E384" s="16" t="s">
        <v>1156</v>
      </c>
      <c r="F384" s="16" t="s">
        <v>319</v>
      </c>
      <c r="G384" s="16" t="s">
        <v>585</v>
      </c>
      <c r="H384" s="15" t="s">
        <v>347</v>
      </c>
      <c r="I384" s="89" t="s">
        <v>347</v>
      </c>
      <c r="J384" s="79">
        <v>96.960000000000008</v>
      </c>
      <c r="K384" s="18" t="s">
        <v>1157</v>
      </c>
      <c r="L384" s="94" t="s">
        <v>352</v>
      </c>
      <c r="M384" s="148" t="s">
        <v>463</v>
      </c>
      <c r="N384" s="81" t="str">
        <f>_xlfn.XLOOKUP(Calculations[[#This Row],[For XLOOKUP]],Factors[For XLOOKUP],Factors[Factor],"")</f>
        <v>Σ.Ε. CO₂ eq</v>
      </c>
      <c r="O384" s="81">
        <f>_xlfn.XLOOKUP(Calculations[[#This Row],[For XLOOKUP]],Factors[For XLOOKUP],Factors[Value],"")</f>
        <v>2.6851499999999999E-4</v>
      </c>
      <c r="P384" s="81" t="str">
        <f>_xlfn.XLOOKUP(Calculations[[#This Row],[For XLOOKUP]],Factors[For XLOOKUP],Factors[Units],"")</f>
        <v>tn CO2 eq/ €</v>
      </c>
      <c r="Q384" s="19" t="str">
        <f>_xlfn.XLOOKUP(Calculations[[#This Row],[For XLOOKUP]],Factors[For XLOOKUP],Factors[Source],"")</f>
        <v>EPA 2022</v>
      </c>
      <c r="R38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4" s="81" t="str">
        <f>IF(LEFT(Calculations[[#This Row],[Emission Factor]],7)="Σ.Ε. CH",Calculations[[#This Row],[Value]]*Calculations[[#This Row],[Τιμή]],"-")</f>
        <v>-</v>
      </c>
      <c r="T38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4" s="81" t="str">
        <f>IF(LEFT(Calculations[[#This Row],[Emission Factor]],3)="GWP",Calculations[[#This Row],[Τιμή]],"-")</f>
        <v>-</v>
      </c>
      <c r="V384" s="81">
        <f>IF(OR(Calculations[[#This Row],[Emission Factor]]="Σ.Ε. CO₂ eq",Calculations[[#This Row],[Emission Factor]]="CO₂ eq"),Calculations[[#This Row],[Value]]*Calculations[[#This Row],[Τιμή]],"-")</f>
        <v>2.6035214399999999E-2</v>
      </c>
      <c r="W384" s="81" t="str">
        <f>IF(Calculations[[#This Row],[Πηγή εκπομπών]]="Electricity consumed in office buildings and projects - market based",Calculations[[#This Row],[t CO2]],"")</f>
        <v/>
      </c>
      <c r="X38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2.6035214399999999E-2</v>
      </c>
    </row>
    <row r="385" spans="1:24" ht="29.4" hidden="1" thickTop="1">
      <c r="A385" s="15" t="s">
        <v>350</v>
      </c>
      <c r="B385" s="15" t="s">
        <v>351</v>
      </c>
      <c r="C385" s="16" t="s">
        <v>624</v>
      </c>
      <c r="D385" s="16" t="s">
        <v>895</v>
      </c>
      <c r="E385" s="16" t="s">
        <v>1138</v>
      </c>
      <c r="F385" s="16" t="s">
        <v>319</v>
      </c>
      <c r="G385" s="16" t="s">
        <v>585</v>
      </c>
      <c r="H385" s="15" t="s">
        <v>347</v>
      </c>
      <c r="I385" s="89" t="s">
        <v>347</v>
      </c>
      <c r="J385" s="79">
        <v>5995.8</v>
      </c>
      <c r="K385" s="18" t="s">
        <v>1157</v>
      </c>
      <c r="L385" s="94" t="s">
        <v>354</v>
      </c>
      <c r="M385" s="148" t="s">
        <v>465</v>
      </c>
      <c r="N385" s="81" t="str">
        <f>_xlfn.XLOOKUP(Calculations[[#This Row],[For XLOOKUP]],Factors[For XLOOKUP],Factors[Factor],"")</f>
        <v>Σ.Ε. CO₂ eq</v>
      </c>
      <c r="O385" s="81">
        <f>_xlfn.XLOOKUP(Calculations[[#This Row],[For XLOOKUP]],Factors[For XLOOKUP],Factors[Value],"")</f>
        <v>9.6361160000000019E-5</v>
      </c>
      <c r="P385" s="81" t="str">
        <f>_xlfn.XLOOKUP(Calculations[[#This Row],[For XLOOKUP]],Factors[For XLOOKUP],Factors[Units],"")</f>
        <v>tn CO2 eq/ €</v>
      </c>
      <c r="Q385" s="19" t="str">
        <f>_xlfn.XLOOKUP(Calculations[[#This Row],[For XLOOKUP]],Factors[For XLOOKUP],Factors[Source],"")</f>
        <v>BEIS 2021</v>
      </c>
      <c r="R38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5" s="81" t="str">
        <f>IF(LEFT(Calculations[[#This Row],[Emission Factor]],7)="Σ.Ε. CH",Calculations[[#This Row],[Value]]*Calculations[[#This Row],[Τιμή]],"-")</f>
        <v>-</v>
      </c>
      <c r="T38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5" s="81" t="str">
        <f>IF(LEFT(Calculations[[#This Row],[Emission Factor]],3)="GWP",Calculations[[#This Row],[Τιμή]],"-")</f>
        <v>-</v>
      </c>
      <c r="V385" s="81">
        <f>IF(OR(Calculations[[#This Row],[Emission Factor]]="Σ.Ε. CO₂ eq",Calculations[[#This Row],[Emission Factor]]="CO₂ eq"),Calculations[[#This Row],[Value]]*Calculations[[#This Row],[Τιμή]],"-")</f>
        <v>0.57776224312800017</v>
      </c>
      <c r="W385" s="81" t="str">
        <f>IF(Calculations[[#This Row],[Πηγή εκπομπών]]="Electricity consumed in office buildings and projects - market based",Calculations[[#This Row],[t CO2]],"")</f>
        <v/>
      </c>
      <c r="X38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0.57776224312800017</v>
      </c>
    </row>
    <row r="386" spans="1:24" ht="29.4" hidden="1" thickTop="1">
      <c r="A386" s="15" t="s">
        <v>350</v>
      </c>
      <c r="B386" s="15" t="s">
        <v>351</v>
      </c>
      <c r="C386" s="16" t="s">
        <v>624</v>
      </c>
      <c r="D386" s="16" t="s">
        <v>895</v>
      </c>
      <c r="E386" s="96" t="s">
        <v>1138</v>
      </c>
      <c r="F386" s="16" t="s">
        <v>319</v>
      </c>
      <c r="G386" s="16" t="s">
        <v>585</v>
      </c>
      <c r="H386" s="15" t="s">
        <v>347</v>
      </c>
      <c r="I386" s="89" t="s">
        <v>347</v>
      </c>
      <c r="J386" s="79">
        <v>1850</v>
      </c>
      <c r="K386" s="18" t="s">
        <v>1157</v>
      </c>
      <c r="L386" s="94" t="s">
        <v>355</v>
      </c>
      <c r="M386" s="148" t="s">
        <v>466</v>
      </c>
      <c r="N386" s="81" t="str">
        <f>_xlfn.XLOOKUP(Calculations[[#This Row],[For XLOOKUP]],Factors[For XLOOKUP],Factors[Factor],"")</f>
        <v>Σ.Ε. CO₂ eq</v>
      </c>
      <c r="O386" s="81">
        <f>_xlfn.XLOOKUP(Calculations[[#This Row],[For XLOOKUP]],Factors[For XLOOKUP],Factors[Value],"")</f>
        <v>2.2534199999999998E-4</v>
      </c>
      <c r="P386" s="81" t="str">
        <f>_xlfn.XLOOKUP(Calculations[[#This Row],[For XLOOKUP]],Factors[For XLOOKUP],Factors[Units],"")</f>
        <v>tn CO2 eq/ €</v>
      </c>
      <c r="Q386" s="19" t="str">
        <f>_xlfn.XLOOKUP(Calculations[[#This Row],[For XLOOKUP]],Factors[For XLOOKUP],Factors[Source],"")</f>
        <v>EPA 2022</v>
      </c>
      <c r="R38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6" s="81" t="str">
        <f>IF(LEFT(Calculations[[#This Row],[Emission Factor]],7)="Σ.Ε. CH",Calculations[[#This Row],[Value]]*Calculations[[#This Row],[Τιμή]],"-")</f>
        <v>-</v>
      </c>
      <c r="T38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6" s="81" t="str">
        <f>IF(LEFT(Calculations[[#This Row],[Emission Factor]],3)="GWP",Calculations[[#This Row],[Τιμή]],"-")</f>
        <v>-</v>
      </c>
      <c r="V386" s="81">
        <f>IF(OR(Calculations[[#This Row],[Emission Factor]]="Σ.Ε. CO₂ eq",Calculations[[#This Row],[Emission Factor]]="CO₂ eq"),Calculations[[#This Row],[Value]]*Calculations[[#This Row],[Τιμή]],"-")</f>
        <v>0.41688269999999999</v>
      </c>
      <c r="W386" s="81" t="str">
        <f>IF(Calculations[[#This Row],[Πηγή εκπομπών]]="Electricity consumed in office buildings and projects - market based",Calculations[[#This Row],[t CO2]],"")</f>
        <v/>
      </c>
      <c r="X38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0.41688269999999999</v>
      </c>
    </row>
    <row r="387" spans="1:24" ht="29.4" hidden="1" thickTop="1">
      <c r="A387" s="15" t="s">
        <v>350</v>
      </c>
      <c r="B387" s="15" t="s">
        <v>351</v>
      </c>
      <c r="C387" s="16" t="s">
        <v>624</v>
      </c>
      <c r="D387" s="16" t="s">
        <v>895</v>
      </c>
      <c r="E387" s="96" t="s">
        <v>1138</v>
      </c>
      <c r="F387" s="16" t="s">
        <v>319</v>
      </c>
      <c r="G387" s="16" t="s">
        <v>585</v>
      </c>
      <c r="H387" s="15" t="s">
        <v>347</v>
      </c>
      <c r="I387" s="89" t="s">
        <v>347</v>
      </c>
      <c r="J387" s="79">
        <v>13169.1</v>
      </c>
      <c r="K387" s="18" t="s">
        <v>1157</v>
      </c>
      <c r="L387" s="94" t="s">
        <v>377</v>
      </c>
      <c r="M387" s="148" t="s">
        <v>488</v>
      </c>
      <c r="N387" s="81" t="str">
        <f>_xlfn.XLOOKUP(Calculations[[#This Row],[For XLOOKUP]],Factors[For XLOOKUP],Factors[Factor],"")</f>
        <v>Σ.Ε. CO₂ eq</v>
      </c>
      <c r="O387" s="81">
        <f>_xlfn.XLOOKUP(Calculations[[#This Row],[For XLOOKUP]],Factors[For XLOOKUP],Factors[Value],"")</f>
        <v>2.2370000000000002E-4</v>
      </c>
      <c r="P387" s="81" t="str">
        <f>_xlfn.XLOOKUP(Calculations[[#This Row],[For XLOOKUP]],Factors[For XLOOKUP],Factors[Units],"")</f>
        <v>tn CO2 eq/ €</v>
      </c>
      <c r="Q387" s="19" t="str">
        <f>_xlfn.XLOOKUP(Calculations[[#This Row],[For XLOOKUP]],Factors[For XLOOKUP],Factors[Source],"")</f>
        <v>EXIOBASE 2019 - GR</v>
      </c>
      <c r="R38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7" s="81" t="str">
        <f>IF(LEFT(Calculations[[#This Row],[Emission Factor]],7)="Σ.Ε. CH",Calculations[[#This Row],[Value]]*Calculations[[#This Row],[Τιμή]],"-")</f>
        <v>-</v>
      </c>
      <c r="T38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7" s="81" t="str">
        <f>IF(LEFT(Calculations[[#This Row],[Emission Factor]],3)="GWP",Calculations[[#This Row],[Τιμή]],"-")</f>
        <v>-</v>
      </c>
      <c r="V387" s="81">
        <f>IF(OR(Calculations[[#This Row],[Emission Factor]]="Σ.Ε. CO₂ eq",Calculations[[#This Row],[Emission Factor]]="CO₂ eq"),Calculations[[#This Row],[Value]]*Calculations[[#This Row],[Τιμή]],"-")</f>
        <v>2.9459276700000001</v>
      </c>
      <c r="W387" s="81" t="str">
        <f>IF(Calculations[[#This Row],[Πηγή εκπομπών]]="Electricity consumed in office buildings and projects - market based",Calculations[[#This Row],[t CO2]],"")</f>
        <v/>
      </c>
      <c r="X38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2.9459276700000001</v>
      </c>
    </row>
    <row r="388" spans="1:24" ht="29.4" hidden="1" thickTop="1">
      <c r="A388" s="15" t="s">
        <v>350</v>
      </c>
      <c r="B388" s="15" t="s">
        <v>351</v>
      </c>
      <c r="C388" s="16" t="s">
        <v>624</v>
      </c>
      <c r="D388" s="16" t="s">
        <v>895</v>
      </c>
      <c r="E388" s="96" t="s">
        <v>1138</v>
      </c>
      <c r="F388" s="16" t="s">
        <v>319</v>
      </c>
      <c r="G388" s="16" t="s">
        <v>585</v>
      </c>
      <c r="H388" s="15" t="s">
        <v>347</v>
      </c>
      <c r="I388" s="89" t="s">
        <v>347</v>
      </c>
      <c r="J388" s="79">
        <v>1088.92</v>
      </c>
      <c r="K388" s="18" t="s">
        <v>1157</v>
      </c>
      <c r="L388" s="94" t="s">
        <v>357</v>
      </c>
      <c r="M388" s="148" t="s">
        <v>468</v>
      </c>
      <c r="N388" s="81" t="str">
        <f>_xlfn.XLOOKUP(Calculations[[#This Row],[For XLOOKUP]],Factors[For XLOOKUP],Factors[Factor],"")</f>
        <v>Σ.Ε. CO₂ eq</v>
      </c>
      <c r="O388" s="81">
        <f>_xlfn.XLOOKUP(Calculations[[#This Row],[For XLOOKUP]],Factors[For XLOOKUP],Factors[Value],"")</f>
        <v>3.7960000000000001E-4</v>
      </c>
      <c r="P388" s="81" t="str">
        <f>_xlfn.XLOOKUP(Calculations[[#This Row],[For XLOOKUP]],Factors[For XLOOKUP],Factors[Units],"")</f>
        <v>tn CO2 eq/ €</v>
      </c>
      <c r="Q388" s="19" t="str">
        <f>_xlfn.XLOOKUP(Calculations[[#This Row],[For XLOOKUP]],Factors[For XLOOKUP],Factors[Source],"")</f>
        <v>EXIOBASE 2019 - GR</v>
      </c>
      <c r="R38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8" s="81" t="str">
        <f>IF(LEFT(Calculations[[#This Row],[Emission Factor]],7)="Σ.Ε. CH",Calculations[[#This Row],[Value]]*Calculations[[#This Row],[Τιμή]],"-")</f>
        <v>-</v>
      </c>
      <c r="T38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8" s="81" t="str">
        <f>IF(LEFT(Calculations[[#This Row],[Emission Factor]],3)="GWP",Calculations[[#This Row],[Τιμή]],"-")</f>
        <v>-</v>
      </c>
      <c r="V388" s="81">
        <f>IF(OR(Calculations[[#This Row],[Emission Factor]]="Σ.Ε. CO₂ eq",Calculations[[#This Row],[Emission Factor]]="CO₂ eq"),Calculations[[#This Row],[Value]]*Calculations[[#This Row],[Τιμή]],"-")</f>
        <v>0.41335403200000004</v>
      </c>
      <c r="W388" s="81" t="str">
        <f>IF(Calculations[[#This Row],[Πηγή εκπομπών]]="Electricity consumed in office buildings and projects - market based",Calculations[[#This Row],[t CO2]],"")</f>
        <v/>
      </c>
      <c r="X38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0.41335403200000004</v>
      </c>
    </row>
    <row r="389" spans="1:24" ht="29.4" hidden="1" thickTop="1">
      <c r="A389" s="15" t="s">
        <v>350</v>
      </c>
      <c r="B389" s="15" t="s">
        <v>351</v>
      </c>
      <c r="C389" s="16" t="s">
        <v>624</v>
      </c>
      <c r="D389" s="16" t="s">
        <v>895</v>
      </c>
      <c r="E389" s="16"/>
      <c r="F389" s="16" t="s">
        <v>319</v>
      </c>
      <c r="G389" s="16" t="s">
        <v>585</v>
      </c>
      <c r="H389" s="15" t="s">
        <v>347</v>
      </c>
      <c r="I389" s="89" t="s">
        <v>347</v>
      </c>
      <c r="J389" s="79">
        <v>2140456.7799999998</v>
      </c>
      <c r="K389" s="18" t="s">
        <v>1157</v>
      </c>
      <c r="L389" s="94" t="s">
        <v>356</v>
      </c>
      <c r="M389" s="148" t="s">
        <v>467</v>
      </c>
      <c r="N389" s="81" t="str">
        <f>_xlfn.XLOOKUP(Calculations[[#This Row],[For XLOOKUP]],Factors[For XLOOKUP],Factors[Factor],"")</f>
        <v>Σ.Ε. CO₂ eq</v>
      </c>
      <c r="O389" s="81">
        <f>_xlfn.XLOOKUP(Calculations[[#This Row],[For XLOOKUP]],Factors[For XLOOKUP],Factors[Value],"")</f>
        <v>1.6994291999999998E-4</v>
      </c>
      <c r="P389" s="81" t="str">
        <f>_xlfn.XLOOKUP(Calculations[[#This Row],[For XLOOKUP]],Factors[For XLOOKUP],Factors[Units],"")</f>
        <v>tn CO2 eq/ €</v>
      </c>
      <c r="Q389" s="19" t="str">
        <f>_xlfn.XLOOKUP(Calculations[[#This Row],[For XLOOKUP]],Factors[For XLOOKUP],Factors[Source],"")</f>
        <v>BEIS 2021</v>
      </c>
      <c r="R38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9" s="81" t="str">
        <f>IF(LEFT(Calculations[[#This Row],[Emission Factor]],7)="Σ.Ε. CH",Calculations[[#This Row],[Value]]*Calculations[[#This Row],[Τιμή]],"-")</f>
        <v>-</v>
      </c>
      <c r="T38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9" s="81" t="str">
        <f>IF(LEFT(Calculations[[#This Row],[Emission Factor]],3)="GWP",Calculations[[#This Row],[Τιμή]],"-")</f>
        <v>-</v>
      </c>
      <c r="V389" s="81">
        <f>IF(OR(Calculations[[#This Row],[Emission Factor]]="Σ.Ε. CO₂ eq",Calculations[[#This Row],[Emission Factor]]="CO₂ eq"),Calculations[[#This Row],[Value]]*Calculations[[#This Row],[Τιμή]],"-")</f>
        <v>363.7554753269975</v>
      </c>
      <c r="W389" s="81" t="str">
        <f>IF(Calculations[[#This Row],[Πηγή εκπομπών]]="Electricity consumed in office buildings and projects - market based",Calculations[[#This Row],[t CO2]],"")</f>
        <v/>
      </c>
      <c r="X38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363.7554753269975</v>
      </c>
    </row>
    <row r="390" spans="1:24" ht="29.4" hidden="1" thickTop="1">
      <c r="A390" s="15" t="s">
        <v>350</v>
      </c>
      <c r="B390" s="15" t="s">
        <v>351</v>
      </c>
      <c r="C390" s="16" t="s">
        <v>624</v>
      </c>
      <c r="D390" s="16" t="s">
        <v>895</v>
      </c>
      <c r="E390" s="16"/>
      <c r="F390" s="16" t="s">
        <v>319</v>
      </c>
      <c r="G390" s="16" t="s">
        <v>585</v>
      </c>
      <c r="H390" s="15" t="s">
        <v>347</v>
      </c>
      <c r="I390" s="89" t="s">
        <v>347</v>
      </c>
      <c r="J390" s="79">
        <v>986837.56999999972</v>
      </c>
      <c r="K390" s="18" t="s">
        <v>1157</v>
      </c>
      <c r="L390" s="94" t="s">
        <v>361</v>
      </c>
      <c r="M390" s="148" t="s">
        <v>472</v>
      </c>
      <c r="N390" s="81" t="str">
        <f>_xlfn.XLOOKUP(Calculations[[#This Row],[For XLOOKUP]],Factors[For XLOOKUP],Factors[Factor],"")</f>
        <v>Σ.Ε. CO₂ eq</v>
      </c>
      <c r="O390" s="81">
        <f>_xlfn.XLOOKUP(Calculations[[#This Row],[For XLOOKUP]],Factors[For XLOOKUP],Factors[Value],"")</f>
        <v>4.2049999999999998E-4</v>
      </c>
      <c r="P390" s="81" t="str">
        <f>_xlfn.XLOOKUP(Calculations[[#This Row],[For XLOOKUP]],Factors[For XLOOKUP],Factors[Units],"")</f>
        <v>tn CO2 eq/ €</v>
      </c>
      <c r="Q390" s="19" t="str">
        <f>_xlfn.XLOOKUP(Calculations[[#This Row],[For XLOOKUP]],Factors[For XLOOKUP],Factors[Source],"")</f>
        <v>EXIOBASE 2019 - GR</v>
      </c>
      <c r="R39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0" s="81" t="str">
        <f>IF(LEFT(Calculations[[#This Row],[Emission Factor]],7)="Σ.Ε. CH",Calculations[[#This Row],[Value]]*Calculations[[#This Row],[Τιμή]],"-")</f>
        <v>-</v>
      </c>
      <c r="T39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0" s="81" t="str">
        <f>IF(LEFT(Calculations[[#This Row],[Emission Factor]],3)="GWP",Calculations[[#This Row],[Τιμή]],"-")</f>
        <v>-</v>
      </c>
      <c r="V390" s="81">
        <f>IF(OR(Calculations[[#This Row],[Emission Factor]]="Σ.Ε. CO₂ eq",Calculations[[#This Row],[Emission Factor]]="CO₂ eq"),Calculations[[#This Row],[Value]]*Calculations[[#This Row],[Τιμή]],"-")</f>
        <v>414.96519818499985</v>
      </c>
      <c r="W390" s="81" t="str">
        <f>IF(Calculations[[#This Row],[Πηγή εκπομπών]]="Electricity consumed in office buildings and projects - market based",Calculations[[#This Row],[t CO2]],"")</f>
        <v/>
      </c>
      <c r="X39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414.96519818499985</v>
      </c>
    </row>
    <row r="391" spans="1:24" ht="29.4" hidden="1" thickTop="1">
      <c r="A391" s="15" t="s">
        <v>350</v>
      </c>
      <c r="B391" s="15" t="s">
        <v>351</v>
      </c>
      <c r="C391" s="16" t="s">
        <v>624</v>
      </c>
      <c r="D391" s="16" t="s">
        <v>895</v>
      </c>
      <c r="E391" s="16"/>
      <c r="F391" s="16" t="s">
        <v>319</v>
      </c>
      <c r="G391" s="16" t="s">
        <v>585</v>
      </c>
      <c r="H391" s="15" t="s">
        <v>347</v>
      </c>
      <c r="I391" s="89" t="s">
        <v>347</v>
      </c>
      <c r="J391" s="79">
        <v>625050</v>
      </c>
      <c r="K391" s="18" t="s">
        <v>1157</v>
      </c>
      <c r="L391" s="94" t="s">
        <v>360</v>
      </c>
      <c r="M391" s="148" t="s">
        <v>471</v>
      </c>
      <c r="N391" s="81" t="str">
        <f>_xlfn.XLOOKUP(Calculations[[#This Row],[For XLOOKUP]],Factors[For XLOOKUP],Factors[Factor],"")</f>
        <v>Σ.Ε. CO₂ eq</v>
      </c>
      <c r="O391" s="81">
        <f>_xlfn.XLOOKUP(Calculations[[#This Row],[For XLOOKUP]],Factors[For XLOOKUP],Factors[Value],"")</f>
        <v>8.9505000000000004E-5</v>
      </c>
      <c r="P391" s="81" t="str">
        <f>_xlfn.XLOOKUP(Calculations[[#This Row],[For XLOOKUP]],Factors[For XLOOKUP],Factors[Units],"")</f>
        <v>tn CO2 eq/ €</v>
      </c>
      <c r="Q391" s="19" t="str">
        <f>_xlfn.XLOOKUP(Calculations[[#This Row],[For XLOOKUP]],Factors[For XLOOKUP],Factors[Source],"")</f>
        <v>EPA 2022</v>
      </c>
      <c r="R39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1" s="81" t="str">
        <f>IF(LEFT(Calculations[[#This Row],[Emission Factor]],7)="Σ.Ε. CH",Calculations[[#This Row],[Value]]*Calculations[[#This Row],[Τιμή]],"-")</f>
        <v>-</v>
      </c>
      <c r="T39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1" s="81" t="str">
        <f>IF(LEFT(Calculations[[#This Row],[Emission Factor]],3)="GWP",Calculations[[#This Row],[Τιμή]],"-")</f>
        <v>-</v>
      </c>
      <c r="V391" s="81">
        <f>IF(OR(Calculations[[#This Row],[Emission Factor]]="Σ.Ε. CO₂ eq",Calculations[[#This Row],[Emission Factor]]="CO₂ eq"),Calculations[[#This Row],[Value]]*Calculations[[#This Row],[Τιμή]],"-")</f>
        <v>55.945100250000003</v>
      </c>
      <c r="W391" s="81" t="str">
        <f>IF(Calculations[[#This Row],[Πηγή εκπομπών]]="Electricity consumed in office buildings and projects - market based",Calculations[[#This Row],[t CO2]],"")</f>
        <v/>
      </c>
      <c r="X39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55.945100250000003</v>
      </c>
    </row>
    <row r="392" spans="1:24" ht="29.4" hidden="1" thickTop="1">
      <c r="A392" s="15" t="s">
        <v>350</v>
      </c>
      <c r="B392" s="15" t="s">
        <v>351</v>
      </c>
      <c r="C392" s="16" t="s">
        <v>624</v>
      </c>
      <c r="D392" s="16" t="s">
        <v>895</v>
      </c>
      <c r="E392" s="16"/>
      <c r="F392" s="16" t="s">
        <v>319</v>
      </c>
      <c r="G392" s="16" t="s">
        <v>585</v>
      </c>
      <c r="H392" s="15" t="s">
        <v>347</v>
      </c>
      <c r="I392" s="89" t="s">
        <v>347</v>
      </c>
      <c r="J392" s="79">
        <v>156189.16999999998</v>
      </c>
      <c r="K392" s="18" t="s">
        <v>1157</v>
      </c>
      <c r="L392" s="94" t="s">
        <v>353</v>
      </c>
      <c r="M392" s="148" t="s">
        <v>464</v>
      </c>
      <c r="N392" s="81" t="str">
        <f>_xlfn.XLOOKUP(Calculations[[#This Row],[For XLOOKUP]],Factors[For XLOOKUP],Factors[Factor],"")</f>
        <v>Σ.Ε. CO₂ eq</v>
      </c>
      <c r="O392" s="81">
        <f>_xlfn.XLOOKUP(Calculations[[#This Row],[For XLOOKUP]],Factors[For XLOOKUP],Factors[Value],"")</f>
        <v>5.8538760000000007E-5</v>
      </c>
      <c r="P392" s="81" t="str">
        <f>_xlfn.XLOOKUP(Calculations[[#This Row],[For XLOOKUP]],Factors[For XLOOKUP],Factors[Units],"")</f>
        <v>tn CO2 eq/ €</v>
      </c>
      <c r="Q392" s="19" t="str">
        <f>_xlfn.XLOOKUP(Calculations[[#This Row],[For XLOOKUP]],Factors[For XLOOKUP],Factors[Source],"")</f>
        <v>BEIS 2021</v>
      </c>
      <c r="R39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2" s="81" t="str">
        <f>IF(LEFT(Calculations[[#This Row],[Emission Factor]],7)="Σ.Ε. CH",Calculations[[#This Row],[Value]]*Calculations[[#This Row],[Τιμή]],"-")</f>
        <v>-</v>
      </c>
      <c r="T39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2" s="81" t="str">
        <f>IF(LEFT(Calculations[[#This Row],[Emission Factor]],3)="GWP",Calculations[[#This Row],[Τιμή]],"-")</f>
        <v>-</v>
      </c>
      <c r="V392" s="81">
        <f>IF(OR(Calculations[[#This Row],[Emission Factor]]="Σ.Ε. CO₂ eq",Calculations[[#This Row],[Emission Factor]]="CO₂ eq"),Calculations[[#This Row],[Value]]*Calculations[[#This Row],[Τιμή]],"-")</f>
        <v>9.1431203372292007</v>
      </c>
      <c r="W392" s="81" t="str">
        <f>IF(Calculations[[#This Row],[Πηγή εκπομπών]]="Electricity consumed in office buildings and projects - market based",Calculations[[#This Row],[t CO2]],"")</f>
        <v/>
      </c>
      <c r="X39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9.1431203372292007</v>
      </c>
    </row>
    <row r="393" spans="1:24" ht="29.4" hidden="1" thickTop="1">
      <c r="A393" s="15" t="s">
        <v>350</v>
      </c>
      <c r="B393" s="15" t="s">
        <v>351</v>
      </c>
      <c r="C393" s="16" t="s">
        <v>624</v>
      </c>
      <c r="D393" s="16" t="s">
        <v>895</v>
      </c>
      <c r="E393" s="16"/>
      <c r="F393" s="16" t="s">
        <v>319</v>
      </c>
      <c r="G393" s="16" t="s">
        <v>585</v>
      </c>
      <c r="H393" s="15" t="s">
        <v>347</v>
      </c>
      <c r="I393" s="89" t="s">
        <v>347</v>
      </c>
      <c r="J393" s="79">
        <v>44905.109999999986</v>
      </c>
      <c r="K393" s="18" t="s">
        <v>1157</v>
      </c>
      <c r="L393" s="94" t="s">
        <v>354</v>
      </c>
      <c r="M393" s="148" t="s">
        <v>465</v>
      </c>
      <c r="N393" s="81" t="str">
        <f>_xlfn.XLOOKUP(Calculations[[#This Row],[For XLOOKUP]],Factors[For XLOOKUP],Factors[Factor],"")</f>
        <v>Σ.Ε. CO₂ eq</v>
      </c>
      <c r="O393" s="81">
        <f>_xlfn.XLOOKUP(Calculations[[#This Row],[For XLOOKUP]],Factors[For XLOOKUP],Factors[Value],"")</f>
        <v>9.6361160000000019E-5</v>
      </c>
      <c r="P393" s="81" t="str">
        <f>_xlfn.XLOOKUP(Calculations[[#This Row],[For XLOOKUP]],Factors[For XLOOKUP],Factors[Units],"")</f>
        <v>tn CO2 eq/ €</v>
      </c>
      <c r="Q393" s="19" t="str">
        <f>_xlfn.XLOOKUP(Calculations[[#This Row],[For XLOOKUP]],Factors[For XLOOKUP],Factors[Source],"")</f>
        <v>BEIS 2021</v>
      </c>
      <c r="R39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3" s="81" t="str">
        <f>IF(LEFT(Calculations[[#This Row],[Emission Factor]],7)="Σ.Ε. CH",Calculations[[#This Row],[Value]]*Calculations[[#This Row],[Τιμή]],"-")</f>
        <v>-</v>
      </c>
      <c r="T39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3" s="81" t="str">
        <f>IF(LEFT(Calculations[[#This Row],[Emission Factor]],3)="GWP",Calculations[[#This Row],[Τιμή]],"-")</f>
        <v>-</v>
      </c>
      <c r="V393" s="81">
        <f>IF(OR(Calculations[[#This Row],[Emission Factor]]="Σ.Ε. CO₂ eq",Calculations[[#This Row],[Emission Factor]]="CO₂ eq"),Calculations[[#This Row],[Value]]*Calculations[[#This Row],[Τιμή]],"-")</f>
        <v>4.3271084895275997</v>
      </c>
      <c r="W393" s="81" t="str">
        <f>IF(Calculations[[#This Row],[Πηγή εκπομπών]]="Electricity consumed in office buildings and projects - market based",Calculations[[#This Row],[t CO2]],"")</f>
        <v/>
      </c>
      <c r="X39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4.3271084895275997</v>
      </c>
    </row>
    <row r="394" spans="1:24" ht="29.4" hidden="1" thickTop="1">
      <c r="A394" s="15" t="s">
        <v>350</v>
      </c>
      <c r="B394" s="15" t="s">
        <v>351</v>
      </c>
      <c r="C394" s="16" t="s">
        <v>624</v>
      </c>
      <c r="D394" s="16" t="s">
        <v>895</v>
      </c>
      <c r="E394" s="16"/>
      <c r="F394" s="16" t="s">
        <v>319</v>
      </c>
      <c r="G394" s="16" t="s">
        <v>585</v>
      </c>
      <c r="H394" s="15" t="s">
        <v>347</v>
      </c>
      <c r="I394" s="89" t="s">
        <v>347</v>
      </c>
      <c r="J394" s="79">
        <v>9074.75</v>
      </c>
      <c r="K394" s="18" t="s">
        <v>1157</v>
      </c>
      <c r="L394" s="94" t="s">
        <v>357</v>
      </c>
      <c r="M394" s="148" t="s">
        <v>468</v>
      </c>
      <c r="N394" s="81" t="str">
        <f>_xlfn.XLOOKUP(Calculations[[#This Row],[For XLOOKUP]],Factors[For XLOOKUP],Factors[Factor],"")</f>
        <v>Σ.Ε. CO₂ eq</v>
      </c>
      <c r="O394" s="81">
        <f>_xlfn.XLOOKUP(Calculations[[#This Row],[For XLOOKUP]],Factors[For XLOOKUP],Factors[Value],"")</f>
        <v>3.7960000000000001E-4</v>
      </c>
      <c r="P394" s="81" t="str">
        <f>_xlfn.XLOOKUP(Calculations[[#This Row],[For XLOOKUP]],Factors[For XLOOKUP],Factors[Units],"")</f>
        <v>tn CO2 eq/ €</v>
      </c>
      <c r="Q394" s="19" t="str">
        <f>_xlfn.XLOOKUP(Calculations[[#This Row],[For XLOOKUP]],Factors[For XLOOKUP],Factors[Source],"")</f>
        <v>EXIOBASE 2019 - GR</v>
      </c>
      <c r="R39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4" s="81" t="str">
        <f>IF(LEFT(Calculations[[#This Row],[Emission Factor]],7)="Σ.Ε. CH",Calculations[[#This Row],[Value]]*Calculations[[#This Row],[Τιμή]],"-")</f>
        <v>-</v>
      </c>
      <c r="T39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4" s="81" t="str">
        <f>IF(LEFT(Calculations[[#This Row],[Emission Factor]],3)="GWP",Calculations[[#This Row],[Τιμή]],"-")</f>
        <v>-</v>
      </c>
      <c r="V394" s="81">
        <f>IF(OR(Calculations[[#This Row],[Emission Factor]]="Σ.Ε. CO₂ eq",Calculations[[#This Row],[Emission Factor]]="CO₂ eq"),Calculations[[#This Row],[Value]]*Calculations[[#This Row],[Τιμή]],"-")</f>
        <v>3.4447751000000002</v>
      </c>
      <c r="W394" s="81" t="str">
        <f>IF(Calculations[[#This Row],[Πηγή εκπομπών]]="Electricity consumed in office buildings and projects - market based",Calculations[[#This Row],[t CO2]],"")</f>
        <v/>
      </c>
      <c r="X39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3.4447751000000002</v>
      </c>
    </row>
    <row r="395" spans="1:24" ht="29.4" hidden="1" thickTop="1">
      <c r="A395" s="15" t="s">
        <v>350</v>
      </c>
      <c r="B395" s="15" t="s">
        <v>351</v>
      </c>
      <c r="C395" s="16" t="s">
        <v>624</v>
      </c>
      <c r="D395" s="16" t="s">
        <v>1144</v>
      </c>
      <c r="E395" s="16"/>
      <c r="F395" s="209" t="s">
        <v>647</v>
      </c>
      <c r="G395" s="16" t="s">
        <v>585</v>
      </c>
      <c r="H395" s="15" t="s">
        <v>347</v>
      </c>
      <c r="I395" s="89" t="s">
        <v>347</v>
      </c>
      <c r="J395" s="79">
        <v>23296.620000000003</v>
      </c>
      <c r="K395" s="18" t="s">
        <v>1157</v>
      </c>
      <c r="L395" s="94" t="s">
        <v>359</v>
      </c>
      <c r="M395" s="148" t="s">
        <v>470</v>
      </c>
      <c r="N395" s="81" t="str">
        <f>_xlfn.XLOOKUP(Calculations[[#This Row],[For XLOOKUP]],Factors[For XLOOKUP],Factors[Factor],"")</f>
        <v>Σ.Ε. CO₂ eq</v>
      </c>
      <c r="O395" s="81">
        <f>_xlfn.XLOOKUP(Calculations[[#This Row],[For XLOOKUP]],Factors[For XLOOKUP],Factors[Value],"")</f>
        <v>1.16883E-4</v>
      </c>
      <c r="P395" s="81" t="str">
        <f>_xlfn.XLOOKUP(Calculations[[#This Row],[For XLOOKUP]],Factors[For XLOOKUP],Factors[Units],"")</f>
        <v>tn CO2 eq/ €</v>
      </c>
      <c r="Q395" s="19" t="str">
        <f>_xlfn.XLOOKUP(Calculations[[#This Row],[For XLOOKUP]],Factors[For XLOOKUP],Factors[Source],"")</f>
        <v>EPA 2022</v>
      </c>
      <c r="R39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5" s="81" t="str">
        <f>IF(LEFT(Calculations[[#This Row],[Emission Factor]],7)="Σ.Ε. CH",Calculations[[#This Row],[Value]]*Calculations[[#This Row],[Τιμή]],"-")</f>
        <v>-</v>
      </c>
      <c r="T39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5" s="81" t="str">
        <f>IF(LEFT(Calculations[[#This Row],[Emission Factor]],3)="GWP",Calculations[[#This Row],[Τιμή]],"-")</f>
        <v>-</v>
      </c>
      <c r="V395" s="81">
        <f>IF(OR(Calculations[[#This Row],[Emission Factor]]="Σ.Ε. CO₂ eq",Calculations[[#This Row],[Emission Factor]]="CO₂ eq"),Calculations[[#This Row],[Value]]*Calculations[[#This Row],[Τιμή]],"-")</f>
        <v>2.7229788354600002</v>
      </c>
      <c r="W395" s="81" t="str">
        <f>IF(Calculations[[#This Row],[Πηγή εκπομπών]]="Electricity consumed in office buildings and projects - market based",Calculations[[#This Row],[t CO2]],"")</f>
        <v/>
      </c>
      <c r="X39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2.7229788354600002</v>
      </c>
    </row>
    <row r="396" spans="1:24" ht="29.4" hidden="1" thickTop="1">
      <c r="A396" s="15" t="s">
        <v>350</v>
      </c>
      <c r="B396" s="15" t="s">
        <v>351</v>
      </c>
      <c r="C396" s="16" t="s">
        <v>624</v>
      </c>
      <c r="D396" s="16" t="s">
        <v>1144</v>
      </c>
      <c r="E396" s="16"/>
      <c r="F396" s="209" t="s">
        <v>647</v>
      </c>
      <c r="G396" s="16" t="s">
        <v>585</v>
      </c>
      <c r="H396" s="15" t="s">
        <v>347</v>
      </c>
      <c r="I396" s="89" t="s">
        <v>347</v>
      </c>
      <c r="J396" s="79">
        <v>12475.49</v>
      </c>
      <c r="K396" s="18" t="s">
        <v>1157</v>
      </c>
      <c r="L396" s="94" t="s">
        <v>457</v>
      </c>
      <c r="M396" s="148" t="s">
        <v>568</v>
      </c>
      <c r="N396" s="81" t="str">
        <f>_xlfn.XLOOKUP(Calculations[[#This Row],[For XLOOKUP]],Factors[For XLOOKUP],Factors[Factor],"")</f>
        <v>Σ.Ε. CO₂ eq</v>
      </c>
      <c r="O396" s="81">
        <f>_xlfn.XLOOKUP(Calculations[[#This Row],[For XLOOKUP]],Factors[For XLOOKUP],Factors[Value],"")</f>
        <v>2.832E-4</v>
      </c>
      <c r="P396" s="81" t="str">
        <f>_xlfn.XLOOKUP(Calculations[[#This Row],[For XLOOKUP]],Factors[For XLOOKUP],Factors[Units],"")</f>
        <v>tn CO2 eq/ €</v>
      </c>
      <c r="Q396" s="19" t="str">
        <f>_xlfn.XLOOKUP(Calculations[[#This Row],[For XLOOKUP]],Factors[For XLOOKUP],Factors[Source],"")</f>
        <v>EXIOBASE 2019 - GR</v>
      </c>
      <c r="R39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6" s="81" t="str">
        <f>IF(LEFT(Calculations[[#This Row],[Emission Factor]],7)="Σ.Ε. CH",Calculations[[#This Row],[Value]]*Calculations[[#This Row],[Τιμή]],"-")</f>
        <v>-</v>
      </c>
      <c r="T39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6" s="81" t="str">
        <f>IF(LEFT(Calculations[[#This Row],[Emission Factor]],3)="GWP",Calculations[[#This Row],[Τιμή]],"-")</f>
        <v>-</v>
      </c>
      <c r="V396" s="81">
        <f>IF(OR(Calculations[[#This Row],[Emission Factor]]="Σ.Ε. CO₂ eq",Calculations[[#This Row],[Emission Factor]]="CO₂ eq"),Calculations[[#This Row],[Value]]*Calculations[[#This Row],[Τιμή]],"-")</f>
        <v>3.5330587680000001</v>
      </c>
      <c r="W396" s="81" t="str">
        <f>IF(Calculations[[#This Row],[Πηγή εκπομπών]]="Electricity consumed in office buildings and projects - market based",Calculations[[#This Row],[t CO2]],"")</f>
        <v/>
      </c>
      <c r="X39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3.5330587680000001</v>
      </c>
    </row>
    <row r="397" spans="1:24" ht="29.4" hidden="1" thickTop="1">
      <c r="A397" s="15" t="s">
        <v>350</v>
      </c>
      <c r="B397" s="15" t="s">
        <v>351</v>
      </c>
      <c r="C397" s="16" t="s">
        <v>624</v>
      </c>
      <c r="D397" s="16" t="s">
        <v>1144</v>
      </c>
      <c r="E397" s="16"/>
      <c r="F397" s="209" t="s">
        <v>647</v>
      </c>
      <c r="G397" s="16" t="s">
        <v>585</v>
      </c>
      <c r="H397" s="15" t="s">
        <v>347</v>
      </c>
      <c r="I397" s="89" t="s">
        <v>347</v>
      </c>
      <c r="J397" s="79">
        <v>8520.59</v>
      </c>
      <c r="K397" s="18" t="s">
        <v>1157</v>
      </c>
      <c r="L397" s="94" t="s">
        <v>385</v>
      </c>
      <c r="M397" s="148" t="s">
        <v>496</v>
      </c>
      <c r="N397" s="81" t="str">
        <f>_xlfn.XLOOKUP(Calculations[[#This Row],[For XLOOKUP]],Factors[For XLOOKUP],Factors[Factor],"")</f>
        <v>Σ.Ε. CO₂ eq</v>
      </c>
      <c r="O397" s="81">
        <f>_xlfn.XLOOKUP(Calculations[[#This Row],[For XLOOKUP]],Factors[For XLOOKUP],Factors[Value],"")</f>
        <v>7.1914136000000004E-4</v>
      </c>
      <c r="P397" s="81" t="str">
        <f>_xlfn.XLOOKUP(Calculations[[#This Row],[For XLOOKUP]],Factors[For XLOOKUP],Factors[Units],"")</f>
        <v>tn CO2 eq/ €</v>
      </c>
      <c r="Q397" s="19" t="str">
        <f>_xlfn.XLOOKUP(Calculations[[#This Row],[For XLOOKUP]],Factors[For XLOOKUP],Factors[Source],"")</f>
        <v>BEIS 2021</v>
      </c>
      <c r="R39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7" s="81" t="str">
        <f>IF(LEFT(Calculations[[#This Row],[Emission Factor]],7)="Σ.Ε. CH",Calculations[[#This Row],[Value]]*Calculations[[#This Row],[Τιμή]],"-")</f>
        <v>-</v>
      </c>
      <c r="T39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7" s="81" t="str">
        <f>IF(LEFT(Calculations[[#This Row],[Emission Factor]],3)="GWP",Calculations[[#This Row],[Τιμή]],"-")</f>
        <v>-</v>
      </c>
      <c r="V397" s="81">
        <f>IF(OR(Calculations[[#This Row],[Emission Factor]]="Σ.Ε. CO₂ eq",Calculations[[#This Row],[Emission Factor]]="CO₂ eq"),Calculations[[#This Row],[Value]]*Calculations[[#This Row],[Τιμή]],"-")</f>
        <v>6.1275086806024008</v>
      </c>
      <c r="W397" s="81" t="str">
        <f>IF(Calculations[[#This Row],[Πηγή εκπομπών]]="Electricity consumed in office buildings and projects - market based",Calculations[[#This Row],[t CO2]],"")</f>
        <v/>
      </c>
      <c r="X39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6.1275086806024008</v>
      </c>
    </row>
    <row r="398" spans="1:24" ht="29.4" hidden="1" thickTop="1">
      <c r="A398" s="15" t="s">
        <v>350</v>
      </c>
      <c r="B398" s="15" t="s">
        <v>351</v>
      </c>
      <c r="C398" s="16" t="s">
        <v>624</v>
      </c>
      <c r="D398" s="16" t="s">
        <v>1144</v>
      </c>
      <c r="E398" s="16"/>
      <c r="F398" s="209" t="s">
        <v>647</v>
      </c>
      <c r="G398" s="16" t="s">
        <v>585</v>
      </c>
      <c r="H398" s="15" t="s">
        <v>347</v>
      </c>
      <c r="I398" s="89" t="s">
        <v>347</v>
      </c>
      <c r="J398" s="79">
        <v>757.36</v>
      </c>
      <c r="K398" s="18" t="s">
        <v>1157</v>
      </c>
      <c r="L398" s="94" t="s">
        <v>412</v>
      </c>
      <c r="M398" s="148" t="s">
        <v>523</v>
      </c>
      <c r="N398" s="81" t="str">
        <f>_xlfn.XLOOKUP(Calculations[[#This Row],[For XLOOKUP]],Factors[For XLOOKUP],Factors[Factor],"")</f>
        <v>Σ.Ε. CO₂ eq</v>
      </c>
      <c r="O398" s="81">
        <f>_xlfn.XLOOKUP(Calculations[[#This Row],[For XLOOKUP]],Factors[For XLOOKUP],Factors[Value],"")</f>
        <v>1.3689E-4</v>
      </c>
      <c r="P398" s="81" t="str">
        <f>_xlfn.XLOOKUP(Calculations[[#This Row],[For XLOOKUP]],Factors[For XLOOKUP],Factors[Units],"")</f>
        <v>tn CO2 eq/ €</v>
      </c>
      <c r="Q398" s="19" t="str">
        <f>_xlfn.XLOOKUP(Calculations[[#This Row],[For XLOOKUP]],Factors[For XLOOKUP],Factors[Source],"")</f>
        <v>EPA 2022</v>
      </c>
      <c r="R39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8" s="81" t="str">
        <f>IF(LEFT(Calculations[[#This Row],[Emission Factor]],7)="Σ.Ε. CH",Calculations[[#This Row],[Value]]*Calculations[[#This Row],[Τιμή]],"-")</f>
        <v>-</v>
      </c>
      <c r="T39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8" s="81" t="str">
        <f>IF(LEFT(Calculations[[#This Row],[Emission Factor]],3)="GWP",Calculations[[#This Row],[Τιμή]],"-")</f>
        <v>-</v>
      </c>
      <c r="V398" s="81">
        <f>IF(OR(Calculations[[#This Row],[Emission Factor]]="Σ.Ε. CO₂ eq",Calculations[[#This Row],[Emission Factor]]="CO₂ eq"),Calculations[[#This Row],[Value]]*Calculations[[#This Row],[Τιμή]],"-")</f>
        <v>0.1036750104</v>
      </c>
      <c r="W398" s="81" t="str">
        <f>IF(Calculations[[#This Row],[Πηγή εκπομπών]]="Electricity consumed in office buildings and projects - market based",Calculations[[#This Row],[t CO2]],"")</f>
        <v/>
      </c>
      <c r="X39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0.1036750104</v>
      </c>
    </row>
    <row r="399" spans="1:24" ht="29.4" hidden="1" thickTop="1">
      <c r="A399" s="15" t="s">
        <v>350</v>
      </c>
      <c r="B399" s="15" t="s">
        <v>351</v>
      </c>
      <c r="C399" s="16" t="s">
        <v>624</v>
      </c>
      <c r="D399" s="16" t="s">
        <v>1144</v>
      </c>
      <c r="E399" s="16"/>
      <c r="F399" s="209" t="s">
        <v>647</v>
      </c>
      <c r="G399" s="16" t="s">
        <v>585</v>
      </c>
      <c r="H399" s="15" t="s">
        <v>347</v>
      </c>
      <c r="I399" s="89" t="s">
        <v>347</v>
      </c>
      <c r="J399" s="79">
        <v>282.41000000000003</v>
      </c>
      <c r="K399" s="18" t="s">
        <v>1157</v>
      </c>
      <c r="L399" s="94" t="s">
        <v>394</v>
      </c>
      <c r="M399" s="148" t="s">
        <v>505</v>
      </c>
      <c r="N399" s="81" t="str">
        <f>_xlfn.XLOOKUP(Calculations[[#This Row],[For XLOOKUP]],Factors[For XLOOKUP],Factors[Factor],"")</f>
        <v>Σ.Ε. CO₂ eq</v>
      </c>
      <c r="O399" s="81">
        <f>_xlfn.XLOOKUP(Calculations[[#This Row],[For XLOOKUP]],Factors[For XLOOKUP],Factors[Value],"")</f>
        <v>8.1360000000000004E-4</v>
      </c>
      <c r="P399" s="81" t="str">
        <f>_xlfn.XLOOKUP(Calculations[[#This Row],[For XLOOKUP]],Factors[For XLOOKUP],Factors[Units],"")</f>
        <v>tn CO2 eq/ €</v>
      </c>
      <c r="Q399" s="19" t="str">
        <f>_xlfn.XLOOKUP(Calculations[[#This Row],[For XLOOKUP]],Factors[For XLOOKUP],Factors[Source],"")</f>
        <v>EXIOBASE 2019 - GR</v>
      </c>
      <c r="R39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9" s="81" t="str">
        <f>IF(LEFT(Calculations[[#This Row],[Emission Factor]],7)="Σ.Ε. CH",Calculations[[#This Row],[Value]]*Calculations[[#This Row],[Τιμή]],"-")</f>
        <v>-</v>
      </c>
      <c r="T39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9" s="81" t="str">
        <f>IF(LEFT(Calculations[[#This Row],[Emission Factor]],3)="GWP",Calculations[[#This Row],[Τιμή]],"-")</f>
        <v>-</v>
      </c>
      <c r="V399" s="81">
        <f>IF(OR(Calculations[[#This Row],[Emission Factor]]="Σ.Ε. CO₂ eq",Calculations[[#This Row],[Emission Factor]]="CO₂ eq"),Calculations[[#This Row],[Value]]*Calculations[[#This Row],[Τιμή]],"-")</f>
        <v>0.22976877600000004</v>
      </c>
      <c r="W399" s="81" t="str">
        <f>IF(Calculations[[#This Row],[Πηγή εκπομπών]]="Electricity consumed in office buildings and projects - market based",Calculations[[#This Row],[t CO2]],"")</f>
        <v/>
      </c>
      <c r="X39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0.22976877600000004</v>
      </c>
    </row>
    <row r="400" spans="1:24" ht="29.4" hidden="1" thickTop="1">
      <c r="A400" s="15" t="s">
        <v>350</v>
      </c>
      <c r="B400" s="15" t="s">
        <v>351</v>
      </c>
      <c r="C400" s="16" t="s">
        <v>624</v>
      </c>
      <c r="D400" s="16" t="s">
        <v>1144</v>
      </c>
      <c r="E400" s="16"/>
      <c r="F400" s="209" t="s">
        <v>647</v>
      </c>
      <c r="G400" s="16" t="s">
        <v>585</v>
      </c>
      <c r="H400" s="15" t="s">
        <v>347</v>
      </c>
      <c r="I400" s="89" t="s">
        <v>347</v>
      </c>
      <c r="J400" s="79">
        <v>198442.00000000003</v>
      </c>
      <c r="K400" s="18" t="s">
        <v>1157</v>
      </c>
      <c r="L400" s="94" t="s">
        <v>361</v>
      </c>
      <c r="M400" s="148" t="s">
        <v>472</v>
      </c>
      <c r="N400" s="81" t="str">
        <f>_xlfn.XLOOKUP(Calculations[[#This Row],[For XLOOKUP]],Factors[For XLOOKUP],Factors[Factor],"")</f>
        <v>Σ.Ε. CO₂ eq</v>
      </c>
      <c r="O400" s="81">
        <f>_xlfn.XLOOKUP(Calculations[[#This Row],[For XLOOKUP]],Factors[For XLOOKUP],Factors[Value],"")</f>
        <v>4.2049999999999998E-4</v>
      </c>
      <c r="P400" s="81" t="str">
        <f>_xlfn.XLOOKUP(Calculations[[#This Row],[For XLOOKUP]],Factors[For XLOOKUP],Factors[Units],"")</f>
        <v>tn CO2 eq/ €</v>
      </c>
      <c r="Q400" s="19" t="str">
        <f>_xlfn.XLOOKUP(Calculations[[#This Row],[For XLOOKUP]],Factors[For XLOOKUP],Factors[Source],"")</f>
        <v>EXIOBASE 2019 - GR</v>
      </c>
      <c r="R40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0" s="81" t="str">
        <f>IF(LEFT(Calculations[[#This Row],[Emission Factor]],7)="Σ.Ε. CH",Calculations[[#This Row],[Value]]*Calculations[[#This Row],[Τιμή]],"-")</f>
        <v>-</v>
      </c>
      <c r="T40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0" s="81" t="str">
        <f>IF(LEFT(Calculations[[#This Row],[Emission Factor]],3)="GWP",Calculations[[#This Row],[Τιμή]],"-")</f>
        <v>-</v>
      </c>
      <c r="V400" s="81">
        <f>IF(OR(Calculations[[#This Row],[Emission Factor]]="Σ.Ε. CO₂ eq",Calculations[[#This Row],[Emission Factor]]="CO₂ eq"),Calculations[[#This Row],[Value]]*Calculations[[#This Row],[Τιμή]],"-")</f>
        <v>83.444861000000003</v>
      </c>
      <c r="W400" s="81" t="str">
        <f>IF(Calculations[[#This Row],[Πηγή εκπομπών]]="Electricity consumed in office buildings and projects - market based",Calculations[[#This Row],[t CO2]],"")</f>
        <v/>
      </c>
      <c r="X40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83.444861000000003</v>
      </c>
    </row>
    <row r="401" spans="1:24" ht="29.4" hidden="1" thickTop="1">
      <c r="A401" s="15" t="s">
        <v>350</v>
      </c>
      <c r="B401" s="15" t="s">
        <v>351</v>
      </c>
      <c r="C401" s="16" t="s">
        <v>624</v>
      </c>
      <c r="D401" s="16" t="s">
        <v>1144</v>
      </c>
      <c r="E401" s="16"/>
      <c r="F401" s="209" t="s">
        <v>647</v>
      </c>
      <c r="G401" s="16" t="s">
        <v>585</v>
      </c>
      <c r="H401" s="15" t="s">
        <v>347</v>
      </c>
      <c r="I401" s="89" t="s">
        <v>347</v>
      </c>
      <c r="J401" s="79">
        <v>403949.74</v>
      </c>
      <c r="K401" s="18" t="s">
        <v>1157</v>
      </c>
      <c r="L401" s="94" t="s">
        <v>353</v>
      </c>
      <c r="M401" s="148" t="s">
        <v>464</v>
      </c>
      <c r="N401" s="81" t="str">
        <f>_xlfn.XLOOKUP(Calculations[[#This Row],[For XLOOKUP]],Factors[For XLOOKUP],Factors[Factor],"")</f>
        <v>Σ.Ε. CO₂ eq</v>
      </c>
      <c r="O401" s="81">
        <f>_xlfn.XLOOKUP(Calculations[[#This Row],[For XLOOKUP]],Factors[For XLOOKUP],Factors[Value],"")</f>
        <v>5.8538760000000007E-5</v>
      </c>
      <c r="P401" s="81" t="str">
        <f>_xlfn.XLOOKUP(Calculations[[#This Row],[For XLOOKUP]],Factors[For XLOOKUP],Factors[Units],"")</f>
        <v>tn CO2 eq/ €</v>
      </c>
      <c r="Q401" s="19" t="str">
        <f>_xlfn.XLOOKUP(Calculations[[#This Row],[For XLOOKUP]],Factors[For XLOOKUP],Factors[Source],"")</f>
        <v>BEIS 2021</v>
      </c>
      <c r="R40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1" s="81" t="str">
        <f>IF(LEFT(Calculations[[#This Row],[Emission Factor]],7)="Σ.Ε. CH",Calculations[[#This Row],[Value]]*Calculations[[#This Row],[Τιμή]],"-")</f>
        <v>-</v>
      </c>
      <c r="T40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1" s="81" t="str">
        <f>IF(LEFT(Calculations[[#This Row],[Emission Factor]],3)="GWP",Calculations[[#This Row],[Τιμή]],"-")</f>
        <v>-</v>
      </c>
      <c r="V401" s="81">
        <f>IF(OR(Calculations[[#This Row],[Emission Factor]]="Σ.Ε. CO₂ eq",Calculations[[#This Row],[Emission Factor]]="CO₂ eq"),Calculations[[#This Row],[Value]]*Calculations[[#This Row],[Τιμή]],"-")</f>
        <v>23.646716881922401</v>
      </c>
      <c r="W401" s="81" t="str">
        <f>IF(Calculations[[#This Row],[Πηγή εκπομπών]]="Electricity consumed in office buildings and projects - market based",Calculations[[#This Row],[t CO2]],"")</f>
        <v/>
      </c>
      <c r="X40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23.646716881922401</v>
      </c>
    </row>
    <row r="402" spans="1:24" ht="29.4" hidden="1" thickTop="1">
      <c r="A402" s="15" t="s">
        <v>350</v>
      </c>
      <c r="B402" s="15" t="s">
        <v>351</v>
      </c>
      <c r="C402" s="16" t="s">
        <v>624</v>
      </c>
      <c r="D402" s="16" t="s">
        <v>1144</v>
      </c>
      <c r="E402" s="16"/>
      <c r="F402" s="209" t="s">
        <v>647</v>
      </c>
      <c r="G402" s="16" t="s">
        <v>585</v>
      </c>
      <c r="H402" s="15" t="s">
        <v>347</v>
      </c>
      <c r="I402" s="89" t="s">
        <v>347</v>
      </c>
      <c r="J402" s="79">
        <v>845481.03</v>
      </c>
      <c r="K402" s="18" t="s">
        <v>1157</v>
      </c>
      <c r="L402" s="94" t="s">
        <v>876</v>
      </c>
      <c r="M402" s="148" t="s">
        <v>881</v>
      </c>
      <c r="N402" s="81" t="str">
        <f>_xlfn.XLOOKUP(Calculations[[#This Row],[For XLOOKUP]],Factors[For XLOOKUP],Factors[Factor],"")</f>
        <v>Σ.Ε. CO₂ eq</v>
      </c>
      <c r="O402" s="81">
        <f>_xlfn.XLOOKUP(Calculations[[#This Row],[For XLOOKUP]],Factors[For XLOOKUP],Factors[Value],"")</f>
        <v>1.16883E-4</v>
      </c>
      <c r="P402" s="81" t="str">
        <f>_xlfn.XLOOKUP(Calculations[[#This Row],[For XLOOKUP]],Factors[For XLOOKUP],Factors[Units],"")</f>
        <v>tn CO2 eq/ €</v>
      </c>
      <c r="Q402" s="19" t="str">
        <f>_xlfn.XLOOKUP(Calculations[[#This Row],[For XLOOKUP]],Factors[For XLOOKUP],Factors[Source],"")</f>
        <v>EPA 2022</v>
      </c>
      <c r="R40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2" s="81" t="str">
        <f>IF(LEFT(Calculations[[#This Row],[Emission Factor]],7)="Σ.Ε. CH",Calculations[[#This Row],[Value]]*Calculations[[#This Row],[Τιμή]],"-")</f>
        <v>-</v>
      </c>
      <c r="T40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2" s="81" t="str">
        <f>IF(LEFT(Calculations[[#This Row],[Emission Factor]],3)="GWP",Calculations[[#This Row],[Τιμή]],"-")</f>
        <v>-</v>
      </c>
      <c r="V402" s="81">
        <f>IF(OR(Calculations[[#This Row],[Emission Factor]]="Σ.Ε. CO₂ eq",Calculations[[#This Row],[Emission Factor]]="CO₂ eq"),Calculations[[#This Row],[Value]]*Calculations[[#This Row],[Τιμή]],"-")</f>
        <v>98.822359229490004</v>
      </c>
      <c r="W402" s="81" t="str">
        <f>IF(Calculations[[#This Row],[Πηγή εκπομπών]]="Electricity consumed in office buildings and projects - market based",Calculations[[#This Row],[t CO2]],"")</f>
        <v/>
      </c>
      <c r="X40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98.822359229490004</v>
      </c>
    </row>
    <row r="403" spans="1:24" ht="29.4" hidden="1" thickTop="1">
      <c r="A403" s="15" t="s">
        <v>350</v>
      </c>
      <c r="B403" s="15" t="s">
        <v>351</v>
      </c>
      <c r="C403" s="16" t="s">
        <v>624</v>
      </c>
      <c r="D403" s="16" t="s">
        <v>1144</v>
      </c>
      <c r="E403" s="16"/>
      <c r="F403" s="209" t="s">
        <v>647</v>
      </c>
      <c r="G403" s="16" t="s">
        <v>585</v>
      </c>
      <c r="H403" s="15" t="s">
        <v>347</v>
      </c>
      <c r="I403" s="89" t="s">
        <v>347</v>
      </c>
      <c r="J403" s="79">
        <v>120693.56000000008</v>
      </c>
      <c r="K403" s="18" t="s">
        <v>1157</v>
      </c>
      <c r="L403" s="94" t="s">
        <v>355</v>
      </c>
      <c r="M403" s="148" t="s">
        <v>466</v>
      </c>
      <c r="N403" s="81" t="str">
        <f>_xlfn.XLOOKUP(Calculations[[#This Row],[For XLOOKUP]],Factors[For XLOOKUP],Factors[Factor],"")</f>
        <v>Σ.Ε. CO₂ eq</v>
      </c>
      <c r="O403" s="81">
        <f>_xlfn.XLOOKUP(Calculations[[#This Row],[For XLOOKUP]],Factors[For XLOOKUP],Factors[Value],"")</f>
        <v>2.2534199999999998E-4</v>
      </c>
      <c r="P403" s="81" t="str">
        <f>_xlfn.XLOOKUP(Calculations[[#This Row],[For XLOOKUP]],Factors[For XLOOKUP],Factors[Units],"")</f>
        <v>tn CO2 eq/ €</v>
      </c>
      <c r="Q403" s="19" t="str">
        <f>_xlfn.XLOOKUP(Calculations[[#This Row],[For XLOOKUP]],Factors[For XLOOKUP],Factors[Source],"")</f>
        <v>EPA 2022</v>
      </c>
      <c r="R40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3" s="81" t="str">
        <f>IF(LEFT(Calculations[[#This Row],[Emission Factor]],7)="Σ.Ε. CH",Calculations[[#This Row],[Value]]*Calculations[[#This Row],[Τιμή]],"-")</f>
        <v>-</v>
      </c>
      <c r="T40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3" s="81" t="str">
        <f>IF(LEFT(Calculations[[#This Row],[Emission Factor]],3)="GWP",Calculations[[#This Row],[Τιμή]],"-")</f>
        <v>-</v>
      </c>
      <c r="V403" s="81">
        <f>IF(OR(Calculations[[#This Row],[Emission Factor]]="Σ.Ε. CO₂ eq",Calculations[[#This Row],[Emission Factor]]="CO₂ eq"),Calculations[[#This Row],[Value]]*Calculations[[#This Row],[Τιμή]],"-")</f>
        <v>27.197328197520019</v>
      </c>
      <c r="W403" s="81" t="str">
        <f>IF(Calculations[[#This Row],[Πηγή εκπομπών]]="Electricity consumed in office buildings and projects - market based",Calculations[[#This Row],[t CO2]],"")</f>
        <v/>
      </c>
      <c r="X40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27.197328197520019</v>
      </c>
    </row>
    <row r="404" spans="1:24" ht="29.4" hidden="1" thickTop="1">
      <c r="A404" s="15" t="s">
        <v>350</v>
      </c>
      <c r="B404" s="15" t="s">
        <v>351</v>
      </c>
      <c r="C404" s="16" t="s">
        <v>624</v>
      </c>
      <c r="D404" s="16" t="s">
        <v>1144</v>
      </c>
      <c r="E404" s="16"/>
      <c r="F404" s="209" t="s">
        <v>647</v>
      </c>
      <c r="G404" s="16" t="s">
        <v>585</v>
      </c>
      <c r="H404" s="15" t="s">
        <v>347</v>
      </c>
      <c r="I404" s="89" t="s">
        <v>347</v>
      </c>
      <c r="J404" s="79">
        <v>1285027.0299999998</v>
      </c>
      <c r="K404" s="18" t="s">
        <v>1157</v>
      </c>
      <c r="L404" s="94" t="s">
        <v>377</v>
      </c>
      <c r="M404" s="148" t="s">
        <v>488</v>
      </c>
      <c r="N404" s="81" t="str">
        <f>_xlfn.XLOOKUP(Calculations[[#This Row],[For XLOOKUP]],Factors[For XLOOKUP],Factors[Factor],"")</f>
        <v>Σ.Ε. CO₂ eq</v>
      </c>
      <c r="O404" s="81">
        <f>_xlfn.XLOOKUP(Calculations[[#This Row],[For XLOOKUP]],Factors[For XLOOKUP],Factors[Value],"")</f>
        <v>2.2370000000000002E-4</v>
      </c>
      <c r="P404" s="81" t="str">
        <f>_xlfn.XLOOKUP(Calculations[[#This Row],[For XLOOKUP]],Factors[For XLOOKUP],Factors[Units],"")</f>
        <v>tn CO2 eq/ €</v>
      </c>
      <c r="Q404" s="19" t="str">
        <f>_xlfn.XLOOKUP(Calculations[[#This Row],[For XLOOKUP]],Factors[For XLOOKUP],Factors[Source],"")</f>
        <v>EXIOBASE 2019 - GR</v>
      </c>
      <c r="R40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4" s="81" t="str">
        <f>IF(LEFT(Calculations[[#This Row],[Emission Factor]],7)="Σ.Ε. CH",Calculations[[#This Row],[Value]]*Calculations[[#This Row],[Τιμή]],"-")</f>
        <v>-</v>
      </c>
      <c r="T40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4" s="81" t="str">
        <f>IF(LEFT(Calculations[[#This Row],[Emission Factor]],3)="GWP",Calculations[[#This Row],[Τιμή]],"-")</f>
        <v>-</v>
      </c>
      <c r="V404" s="81">
        <f>IF(OR(Calculations[[#This Row],[Emission Factor]]="Σ.Ε. CO₂ eq",Calculations[[#This Row],[Emission Factor]]="CO₂ eq"),Calculations[[#This Row],[Value]]*Calculations[[#This Row],[Τιμή]],"-")</f>
        <v>287.46054661099998</v>
      </c>
      <c r="W404" s="81" t="str">
        <f>IF(Calculations[[#This Row],[Πηγή εκπομπών]]="Electricity consumed in office buildings and projects - market based",Calculations[[#This Row],[t CO2]],"")</f>
        <v/>
      </c>
      <c r="X40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287.46054661099998</v>
      </c>
    </row>
    <row r="405" spans="1:24" ht="29.4" hidden="1" thickTop="1">
      <c r="A405" s="15" t="s">
        <v>350</v>
      </c>
      <c r="B405" s="15" t="s">
        <v>351</v>
      </c>
      <c r="C405" s="16" t="s">
        <v>624</v>
      </c>
      <c r="D405" s="16" t="s">
        <v>1144</v>
      </c>
      <c r="E405" s="16"/>
      <c r="F405" s="209" t="s">
        <v>647</v>
      </c>
      <c r="G405" s="16" t="s">
        <v>585</v>
      </c>
      <c r="H405" s="15" t="s">
        <v>347</v>
      </c>
      <c r="I405" s="89" t="s">
        <v>347</v>
      </c>
      <c r="J405" s="79">
        <v>456785.07</v>
      </c>
      <c r="K405" s="18" t="s">
        <v>1157</v>
      </c>
      <c r="L405" s="94" t="s">
        <v>360</v>
      </c>
      <c r="M405" s="148" t="s">
        <v>471</v>
      </c>
      <c r="N405" s="81" t="str">
        <f>_xlfn.XLOOKUP(Calculations[[#This Row],[For XLOOKUP]],Factors[For XLOOKUP],Factors[Factor],"")</f>
        <v>Σ.Ε. CO₂ eq</v>
      </c>
      <c r="O405" s="81">
        <f>_xlfn.XLOOKUP(Calculations[[#This Row],[For XLOOKUP]],Factors[For XLOOKUP],Factors[Value],"")</f>
        <v>8.9505000000000004E-5</v>
      </c>
      <c r="P405" s="81" t="str">
        <f>_xlfn.XLOOKUP(Calculations[[#This Row],[For XLOOKUP]],Factors[For XLOOKUP],Factors[Units],"")</f>
        <v>tn CO2 eq/ €</v>
      </c>
      <c r="Q405" s="19" t="str">
        <f>_xlfn.XLOOKUP(Calculations[[#This Row],[For XLOOKUP]],Factors[For XLOOKUP],Factors[Source],"")</f>
        <v>EPA 2022</v>
      </c>
      <c r="R40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5" s="81" t="str">
        <f>IF(LEFT(Calculations[[#This Row],[Emission Factor]],7)="Σ.Ε. CH",Calculations[[#This Row],[Value]]*Calculations[[#This Row],[Τιμή]],"-")</f>
        <v>-</v>
      </c>
      <c r="T40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5" s="81" t="str">
        <f>IF(LEFT(Calculations[[#This Row],[Emission Factor]],3)="GWP",Calculations[[#This Row],[Τιμή]],"-")</f>
        <v>-</v>
      </c>
      <c r="V405" s="81">
        <f>IF(OR(Calculations[[#This Row],[Emission Factor]]="Σ.Ε. CO₂ eq",Calculations[[#This Row],[Emission Factor]]="CO₂ eq"),Calculations[[#This Row],[Value]]*Calculations[[#This Row],[Τιμή]],"-")</f>
        <v>40.884547690350004</v>
      </c>
      <c r="W405" s="81" t="str">
        <f>IF(Calculations[[#This Row],[Πηγή εκπομπών]]="Electricity consumed in office buildings and projects - market based",Calculations[[#This Row],[t CO2]],"")</f>
        <v/>
      </c>
      <c r="X40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40.884547690350004</v>
      </c>
    </row>
    <row r="406" spans="1:24" ht="29.4" hidden="1" thickTop="1">
      <c r="A406" s="15" t="s">
        <v>350</v>
      </c>
      <c r="B406" s="15" t="s">
        <v>351</v>
      </c>
      <c r="C406" s="16" t="s">
        <v>624</v>
      </c>
      <c r="D406" s="16" t="s">
        <v>1144</v>
      </c>
      <c r="E406" s="16"/>
      <c r="F406" s="209" t="s">
        <v>647</v>
      </c>
      <c r="G406" s="16" t="s">
        <v>585</v>
      </c>
      <c r="H406" s="15" t="s">
        <v>347</v>
      </c>
      <c r="I406" s="89" t="s">
        <v>347</v>
      </c>
      <c r="J406" s="79">
        <v>5000</v>
      </c>
      <c r="K406" s="18" t="s">
        <v>1157</v>
      </c>
      <c r="L406" s="94" t="s">
        <v>363</v>
      </c>
      <c r="M406" s="148" t="s">
        <v>474</v>
      </c>
      <c r="N406" s="81" t="str">
        <f>_xlfn.XLOOKUP(Calculations[[#This Row],[For XLOOKUP]],Factors[For XLOOKUP],Factors[Factor],"")</f>
        <v>Σ.Ε. CO₂ eq</v>
      </c>
      <c r="O406" s="81">
        <f>_xlfn.XLOOKUP(Calculations[[#This Row],[For XLOOKUP]],Factors[For XLOOKUP],Factors[Value],"")</f>
        <v>1.1819500000000002E-4</v>
      </c>
      <c r="P406" s="81" t="str">
        <f>_xlfn.XLOOKUP(Calculations[[#This Row],[For XLOOKUP]],Factors[For XLOOKUP],Factors[Units],"")</f>
        <v>tn CO2 eq/ €</v>
      </c>
      <c r="Q406" s="19" t="str">
        <f>_xlfn.XLOOKUP(Calculations[[#This Row],[For XLOOKUP]],Factors[For XLOOKUP],Factors[Source],"")</f>
        <v>BEIS 2021</v>
      </c>
      <c r="R40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6" s="81" t="str">
        <f>IF(LEFT(Calculations[[#This Row],[Emission Factor]],7)="Σ.Ε. CH",Calculations[[#This Row],[Value]]*Calculations[[#This Row],[Τιμή]],"-")</f>
        <v>-</v>
      </c>
      <c r="T40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6" s="81" t="str">
        <f>IF(LEFT(Calculations[[#This Row],[Emission Factor]],3)="GWP",Calculations[[#This Row],[Τιμή]],"-")</f>
        <v>-</v>
      </c>
      <c r="V406" s="81">
        <f>IF(OR(Calculations[[#This Row],[Emission Factor]]="Σ.Ε. CO₂ eq",Calculations[[#This Row],[Emission Factor]]="CO₂ eq"),Calculations[[#This Row],[Value]]*Calculations[[#This Row],[Τιμή]],"-")</f>
        <v>0.59097500000000003</v>
      </c>
      <c r="W406" s="81" t="str">
        <f>IF(Calculations[[#This Row],[Πηγή εκπομπών]]="Electricity consumed in office buildings and projects - market based",Calculations[[#This Row],[t CO2]],"")</f>
        <v/>
      </c>
      <c r="X40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0.59097500000000003</v>
      </c>
    </row>
    <row r="407" spans="1:24" ht="29.4" hidden="1" thickTop="1">
      <c r="A407" s="15" t="s">
        <v>350</v>
      </c>
      <c r="B407" s="15" t="s">
        <v>351</v>
      </c>
      <c r="C407" s="16" t="s">
        <v>624</v>
      </c>
      <c r="D407" s="16" t="s">
        <v>1144</v>
      </c>
      <c r="E407" s="16"/>
      <c r="F407" s="209" t="s">
        <v>647</v>
      </c>
      <c r="G407" s="16" t="s">
        <v>585</v>
      </c>
      <c r="H407" s="15" t="s">
        <v>347</v>
      </c>
      <c r="I407" s="89" t="s">
        <v>347</v>
      </c>
      <c r="J407" s="79">
        <v>496200.46</v>
      </c>
      <c r="K407" s="18" t="s">
        <v>1157</v>
      </c>
      <c r="L407" s="94" t="s">
        <v>358</v>
      </c>
      <c r="M407" s="148" t="s">
        <v>469</v>
      </c>
      <c r="N407" s="81" t="str">
        <f>_xlfn.XLOOKUP(Calculations[[#This Row],[For XLOOKUP]],Factors[For XLOOKUP],Factors[Factor],"")</f>
        <v>Σ.Ε. CO₂ eq</v>
      </c>
      <c r="O407" s="81">
        <f>_xlfn.XLOOKUP(Calculations[[#This Row],[For XLOOKUP]],Factors[For XLOOKUP],Factors[Value],"")</f>
        <v>3.4749000000000002E-5</v>
      </c>
      <c r="P407" s="81" t="str">
        <f>_xlfn.XLOOKUP(Calculations[[#This Row],[For XLOOKUP]],Factors[For XLOOKUP],Factors[Units],"")</f>
        <v>tn CO2 eq/ €</v>
      </c>
      <c r="Q407" s="19" t="str">
        <f>_xlfn.XLOOKUP(Calculations[[#This Row],[For XLOOKUP]],Factors[For XLOOKUP],Factors[Source],"")</f>
        <v>EPA 2022</v>
      </c>
      <c r="R40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7" s="81" t="str">
        <f>IF(LEFT(Calculations[[#This Row],[Emission Factor]],7)="Σ.Ε. CH",Calculations[[#This Row],[Value]]*Calculations[[#This Row],[Τιμή]],"-")</f>
        <v>-</v>
      </c>
      <c r="T40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7" s="81" t="str">
        <f>IF(LEFT(Calculations[[#This Row],[Emission Factor]],3)="GWP",Calculations[[#This Row],[Τιμή]],"-")</f>
        <v>-</v>
      </c>
      <c r="V407" s="81">
        <f>IF(OR(Calculations[[#This Row],[Emission Factor]]="Σ.Ε. CO₂ eq",Calculations[[#This Row],[Emission Factor]]="CO₂ eq"),Calculations[[#This Row],[Value]]*Calculations[[#This Row],[Τιμή]],"-")</f>
        <v>17.242469784540003</v>
      </c>
      <c r="W407" s="81" t="str">
        <f>IF(Calculations[[#This Row],[Πηγή εκπομπών]]="Electricity consumed in office buildings and projects - market based",Calculations[[#This Row],[t CO2]],"")</f>
        <v/>
      </c>
      <c r="X40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17.242469784540003</v>
      </c>
    </row>
    <row r="408" spans="1:24" ht="29.4" hidden="1" thickTop="1">
      <c r="A408" s="15" t="s">
        <v>350</v>
      </c>
      <c r="B408" s="15" t="s">
        <v>351</v>
      </c>
      <c r="C408" s="16" t="s">
        <v>624</v>
      </c>
      <c r="D408" s="16" t="s">
        <v>1144</v>
      </c>
      <c r="E408" s="16"/>
      <c r="F408" s="209" t="s">
        <v>647</v>
      </c>
      <c r="G408" s="16" t="s">
        <v>585</v>
      </c>
      <c r="H408" s="15" t="s">
        <v>347</v>
      </c>
      <c r="I408" s="89" t="s">
        <v>347</v>
      </c>
      <c r="J408" s="79">
        <v>428.68000000000035</v>
      </c>
      <c r="K408" s="18" t="s">
        <v>1157</v>
      </c>
      <c r="L408" s="94" t="s">
        <v>872</v>
      </c>
      <c r="M408" s="148" t="s">
        <v>877</v>
      </c>
      <c r="N408" s="81" t="str">
        <f>_xlfn.XLOOKUP(Calculations[[#This Row],[For XLOOKUP]],Factors[For XLOOKUP],Factors[Factor],"")</f>
        <v>Σ.Ε. CO₂ eq</v>
      </c>
      <c r="O408" s="81">
        <f>_xlfn.XLOOKUP(Calculations[[#This Row],[For XLOOKUP]],Factors[For XLOOKUP],Factors[Value],"")</f>
        <v>5.3702999999999997E-5</v>
      </c>
      <c r="P408" s="81" t="str">
        <f>_xlfn.XLOOKUP(Calculations[[#This Row],[For XLOOKUP]],Factors[For XLOOKUP],Factors[Units],"")</f>
        <v>tn CO2 eq/ €</v>
      </c>
      <c r="Q408" s="19" t="str">
        <f>_xlfn.XLOOKUP(Calculations[[#This Row],[For XLOOKUP]],Factors[For XLOOKUP],Factors[Source],"")</f>
        <v>EPA 2022</v>
      </c>
      <c r="R40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8" s="81" t="str">
        <f>IF(LEFT(Calculations[[#This Row],[Emission Factor]],7)="Σ.Ε. CH",Calculations[[#This Row],[Value]]*Calculations[[#This Row],[Τιμή]],"-")</f>
        <v>-</v>
      </c>
      <c r="T40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8" s="81" t="str">
        <f>IF(LEFT(Calculations[[#This Row],[Emission Factor]],3)="GWP",Calculations[[#This Row],[Τιμή]],"-")</f>
        <v>-</v>
      </c>
      <c r="V408" s="81">
        <f>IF(OR(Calculations[[#This Row],[Emission Factor]]="Σ.Ε. CO₂ eq",Calculations[[#This Row],[Emission Factor]]="CO₂ eq"),Calculations[[#This Row],[Value]]*Calculations[[#This Row],[Τιμή]],"-")</f>
        <v>2.3021402040000017E-2</v>
      </c>
      <c r="W408" s="81" t="str">
        <f>IF(Calculations[[#This Row],[Πηγή εκπομπών]]="Electricity consumed in office buildings and projects - market based",Calculations[[#This Row],[t CO2]],"")</f>
        <v/>
      </c>
      <c r="X40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2.3021402040000017E-2</v>
      </c>
    </row>
    <row r="409" spans="1:24" ht="29.4" hidden="1" thickTop="1">
      <c r="A409" s="15" t="s">
        <v>350</v>
      </c>
      <c r="B409" s="15" t="s">
        <v>351</v>
      </c>
      <c r="C409" s="16" t="s">
        <v>624</v>
      </c>
      <c r="D409" s="16" t="s">
        <v>1144</v>
      </c>
      <c r="E409" s="16"/>
      <c r="F409" s="209" t="s">
        <v>647</v>
      </c>
      <c r="G409" s="16" t="s">
        <v>585</v>
      </c>
      <c r="H409" s="15" t="s">
        <v>347</v>
      </c>
      <c r="I409" s="89" t="s">
        <v>347</v>
      </c>
      <c r="J409" s="79">
        <v>853865.41999999993</v>
      </c>
      <c r="K409" s="18" t="s">
        <v>1157</v>
      </c>
      <c r="L409" s="94" t="s">
        <v>432</v>
      </c>
      <c r="M409" s="148" t="s">
        <v>543</v>
      </c>
      <c r="N409" s="81" t="str">
        <f>_xlfn.XLOOKUP(Calculations[[#This Row],[For XLOOKUP]],Factors[For XLOOKUP],Factors[Factor],"")</f>
        <v>Σ.Ε. CO₂ eq</v>
      </c>
      <c r="O409" s="81">
        <f>_xlfn.XLOOKUP(Calculations[[#This Row],[For XLOOKUP]],Factors[For XLOOKUP],Factors[Value],"")</f>
        <v>1.5249303999999999E-4</v>
      </c>
      <c r="P409" s="81" t="str">
        <f>_xlfn.XLOOKUP(Calculations[[#This Row],[For XLOOKUP]],Factors[For XLOOKUP],Factors[Units],"")</f>
        <v>tn CO2 eq/ €</v>
      </c>
      <c r="Q409" s="19" t="str">
        <f>_xlfn.XLOOKUP(Calculations[[#This Row],[For XLOOKUP]],Factors[For XLOOKUP],Factors[Source],"")</f>
        <v>BEIS 2021</v>
      </c>
      <c r="R40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9" s="81" t="str">
        <f>IF(LEFT(Calculations[[#This Row],[Emission Factor]],7)="Σ.Ε. CH",Calculations[[#This Row],[Value]]*Calculations[[#This Row],[Τιμή]],"-")</f>
        <v>-</v>
      </c>
      <c r="T40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9" s="81" t="str">
        <f>IF(LEFT(Calculations[[#This Row],[Emission Factor]],3)="GWP",Calculations[[#This Row],[Τιμή]],"-")</f>
        <v>-</v>
      </c>
      <c r="V409" s="81">
        <f>IF(OR(Calculations[[#This Row],[Emission Factor]]="Σ.Ε. CO₂ eq",Calculations[[#This Row],[Emission Factor]]="CO₂ eq"),Calculations[[#This Row],[Value]]*Calculations[[#This Row],[Τιμή]],"-")</f>
        <v>130.20853364667678</v>
      </c>
      <c r="W409" s="81" t="str">
        <f>IF(Calculations[[#This Row],[Πηγή εκπομπών]]="Electricity consumed in office buildings and projects - market based",Calculations[[#This Row],[t CO2]],"")</f>
        <v/>
      </c>
      <c r="X40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130.20853364667678</v>
      </c>
    </row>
    <row r="410" spans="1:24" ht="29.4" hidden="1" thickTop="1">
      <c r="A410" s="15" t="s">
        <v>350</v>
      </c>
      <c r="B410" s="15" t="s">
        <v>351</v>
      </c>
      <c r="C410" s="16" t="s">
        <v>624</v>
      </c>
      <c r="D410" s="16" t="s">
        <v>1144</v>
      </c>
      <c r="E410" s="16"/>
      <c r="F410" s="209" t="s">
        <v>647</v>
      </c>
      <c r="G410" s="16" t="s">
        <v>585</v>
      </c>
      <c r="H410" s="15" t="s">
        <v>347</v>
      </c>
      <c r="I410" s="89" t="s">
        <v>347</v>
      </c>
      <c r="J410" s="79">
        <v>12133.559999999998</v>
      </c>
      <c r="K410" s="18" t="s">
        <v>1157</v>
      </c>
      <c r="L410" s="94" t="s">
        <v>414</v>
      </c>
      <c r="M410" s="148" t="s">
        <v>525</v>
      </c>
      <c r="N410" s="81" t="str">
        <f>_xlfn.XLOOKUP(Calculations[[#This Row],[For XLOOKUP]],Factors[For XLOOKUP],Factors[Factor],"")</f>
        <v>Σ.Ε. CO₂ eq</v>
      </c>
      <c r="O410" s="81">
        <f>_xlfn.XLOOKUP(Calculations[[#This Row],[For XLOOKUP]],Factors[For XLOOKUP],Factors[Value],"")</f>
        <v>2.7470000000000001E-4</v>
      </c>
      <c r="P410" s="81" t="str">
        <f>_xlfn.XLOOKUP(Calculations[[#This Row],[For XLOOKUP]],Factors[For XLOOKUP],Factors[Units],"")</f>
        <v>tn CO2 eq/ €</v>
      </c>
      <c r="Q410" s="19" t="str">
        <f>_xlfn.XLOOKUP(Calculations[[#This Row],[For XLOOKUP]],Factors[For XLOOKUP],Factors[Source],"")</f>
        <v>EXIOBASE 2019 - CY</v>
      </c>
      <c r="R41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0" s="81" t="str">
        <f>IF(LEFT(Calculations[[#This Row],[Emission Factor]],7)="Σ.Ε. CH",Calculations[[#This Row],[Value]]*Calculations[[#This Row],[Τιμή]],"-")</f>
        <v>-</v>
      </c>
      <c r="T41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0" s="81" t="str">
        <f>IF(LEFT(Calculations[[#This Row],[Emission Factor]],3)="GWP",Calculations[[#This Row],[Τιμή]],"-")</f>
        <v>-</v>
      </c>
      <c r="V410" s="81">
        <f>IF(OR(Calculations[[#This Row],[Emission Factor]]="Σ.Ε. CO₂ eq",Calculations[[#This Row],[Emission Factor]]="CO₂ eq"),Calculations[[#This Row],[Value]]*Calculations[[#This Row],[Τιμή]],"-")</f>
        <v>3.3330889319999994</v>
      </c>
      <c r="W410" s="81" t="str">
        <f>IF(Calculations[[#This Row],[Πηγή εκπομπών]]="Electricity consumed in office buildings and projects - market based",Calculations[[#This Row],[t CO2]],"")</f>
        <v/>
      </c>
      <c r="X41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3.3330889319999994</v>
      </c>
    </row>
    <row r="411" spans="1:24" ht="29.4" hidden="1" thickTop="1">
      <c r="A411" s="15" t="s">
        <v>350</v>
      </c>
      <c r="B411" s="15" t="s">
        <v>351</v>
      </c>
      <c r="C411" s="16" t="s">
        <v>624</v>
      </c>
      <c r="D411" s="16" t="s">
        <v>1144</v>
      </c>
      <c r="E411" s="16"/>
      <c r="F411" s="209" t="s">
        <v>647</v>
      </c>
      <c r="G411" s="16" t="s">
        <v>585</v>
      </c>
      <c r="H411" s="15" t="s">
        <v>347</v>
      </c>
      <c r="I411" s="89" t="s">
        <v>347</v>
      </c>
      <c r="J411" s="79">
        <v>120928.43999999999</v>
      </c>
      <c r="K411" s="18" t="s">
        <v>1157</v>
      </c>
      <c r="L411" s="94" t="s">
        <v>357</v>
      </c>
      <c r="M411" s="148" t="s">
        <v>468</v>
      </c>
      <c r="N411" s="81" t="str">
        <f>_xlfn.XLOOKUP(Calculations[[#This Row],[For XLOOKUP]],Factors[For XLOOKUP],Factors[Factor],"")</f>
        <v>Σ.Ε. CO₂ eq</v>
      </c>
      <c r="O411" s="81">
        <f>_xlfn.XLOOKUP(Calculations[[#This Row],[For XLOOKUP]],Factors[For XLOOKUP],Factors[Value],"")</f>
        <v>3.7960000000000001E-4</v>
      </c>
      <c r="P411" s="81" t="str">
        <f>_xlfn.XLOOKUP(Calculations[[#This Row],[For XLOOKUP]],Factors[For XLOOKUP],Factors[Units],"")</f>
        <v>tn CO2 eq/ €</v>
      </c>
      <c r="Q411" s="19" t="str">
        <f>_xlfn.XLOOKUP(Calculations[[#This Row],[For XLOOKUP]],Factors[For XLOOKUP],Factors[Source],"")</f>
        <v>EXIOBASE 2019 - GR</v>
      </c>
      <c r="R41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1" s="81" t="str">
        <f>IF(LEFT(Calculations[[#This Row],[Emission Factor]],7)="Σ.Ε. CH",Calculations[[#This Row],[Value]]*Calculations[[#This Row],[Τιμή]],"-")</f>
        <v>-</v>
      </c>
      <c r="T41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1" s="81" t="str">
        <f>IF(LEFT(Calculations[[#This Row],[Emission Factor]],3)="GWP",Calculations[[#This Row],[Τιμή]],"-")</f>
        <v>-</v>
      </c>
      <c r="V411" s="81">
        <f>IF(OR(Calculations[[#This Row],[Emission Factor]]="Σ.Ε. CO₂ eq",Calculations[[#This Row],[Emission Factor]]="CO₂ eq"),Calculations[[#This Row],[Value]]*Calculations[[#This Row],[Τιμή]],"-")</f>
        <v>45.904435823999997</v>
      </c>
      <c r="W411" s="81" t="str">
        <f>IF(Calculations[[#This Row],[Πηγή εκπομπών]]="Electricity consumed in office buildings and projects - market based",Calculations[[#This Row],[t CO2]],"")</f>
        <v/>
      </c>
      <c r="X41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45.904435823999997</v>
      </c>
    </row>
    <row r="412" spans="1:24" ht="29.4" hidden="1" thickTop="1">
      <c r="A412" s="15" t="s">
        <v>350</v>
      </c>
      <c r="B412" s="15" t="s">
        <v>351</v>
      </c>
      <c r="C412" s="16" t="s">
        <v>624</v>
      </c>
      <c r="D412" s="16" t="s">
        <v>1144</v>
      </c>
      <c r="E412" s="16"/>
      <c r="F412" s="209" t="s">
        <v>647</v>
      </c>
      <c r="G412" s="16" t="s">
        <v>585</v>
      </c>
      <c r="H412" s="15" t="s">
        <v>347</v>
      </c>
      <c r="I412" s="89" t="s">
        <v>347</v>
      </c>
      <c r="J412" s="79">
        <v>0</v>
      </c>
      <c r="K412" s="18" t="s">
        <v>1157</v>
      </c>
      <c r="L412" s="94" t="s">
        <v>373</v>
      </c>
      <c r="M412" s="148" t="s">
        <v>484</v>
      </c>
      <c r="N412" s="81" t="str">
        <f>_xlfn.XLOOKUP(Calculations[[#This Row],[For XLOOKUP]],Factors[For XLOOKUP],Factors[Factor],"")</f>
        <v>Σ.Ε. CO₂ eq</v>
      </c>
      <c r="O412" s="81">
        <f>_xlfn.XLOOKUP(Calculations[[#This Row],[For XLOOKUP]],Factors[For XLOOKUP],Factors[Value],"")</f>
        <v>1.4320800000000003E-4</v>
      </c>
      <c r="P412" s="81" t="str">
        <f>_xlfn.XLOOKUP(Calculations[[#This Row],[For XLOOKUP]],Factors[For XLOOKUP],Factors[Units],"")</f>
        <v>tn CO2 eq/ €</v>
      </c>
      <c r="Q412" s="19" t="str">
        <f>_xlfn.XLOOKUP(Calculations[[#This Row],[For XLOOKUP]],Factors[For XLOOKUP],Factors[Source],"")</f>
        <v>EPA 2022</v>
      </c>
      <c r="R41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2" s="81" t="str">
        <f>IF(LEFT(Calculations[[#This Row],[Emission Factor]],7)="Σ.Ε. CH",Calculations[[#This Row],[Value]]*Calculations[[#This Row],[Τιμή]],"-")</f>
        <v>-</v>
      </c>
      <c r="T41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2" s="81" t="str">
        <f>IF(LEFT(Calculations[[#This Row],[Emission Factor]],3)="GWP",Calculations[[#This Row],[Τιμή]],"-")</f>
        <v>-</v>
      </c>
      <c r="V412" s="81">
        <f>IF(OR(Calculations[[#This Row],[Emission Factor]]="Σ.Ε. CO₂ eq",Calculations[[#This Row],[Emission Factor]]="CO₂ eq"),Calculations[[#This Row],[Value]]*Calculations[[#This Row],[Τιμή]],"-")</f>
        <v>0</v>
      </c>
      <c r="W412" s="81" t="str">
        <f>IF(Calculations[[#This Row],[Πηγή εκπομπών]]="Electricity consumed in office buildings and projects - market based",Calculations[[#This Row],[t CO2]],"")</f>
        <v/>
      </c>
      <c r="X41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413" spans="1:24" ht="29.4" hidden="1" thickTop="1">
      <c r="A413" s="15" t="s">
        <v>350</v>
      </c>
      <c r="B413" s="15" t="s">
        <v>351</v>
      </c>
      <c r="C413" s="16" t="s">
        <v>624</v>
      </c>
      <c r="D413" s="16" t="s">
        <v>1144</v>
      </c>
      <c r="E413" s="16"/>
      <c r="F413" s="209" t="s">
        <v>647</v>
      </c>
      <c r="G413" s="16" t="s">
        <v>585</v>
      </c>
      <c r="H413" s="15" t="s">
        <v>347</v>
      </c>
      <c r="I413" s="89" t="s">
        <v>347</v>
      </c>
      <c r="J413" s="79">
        <v>10612.36</v>
      </c>
      <c r="K413" s="18" t="s">
        <v>1157</v>
      </c>
      <c r="L413" s="94" t="s">
        <v>424</v>
      </c>
      <c r="M413" s="148" t="s">
        <v>535</v>
      </c>
      <c r="N413" s="81" t="str">
        <f>_xlfn.XLOOKUP(Calculations[[#This Row],[For XLOOKUP]],Factors[For XLOOKUP],Factors[Factor],"")</f>
        <v>Σ.Ε. CO₂ eq</v>
      </c>
      <c r="O413" s="81">
        <f>_xlfn.XLOOKUP(Calculations[[#This Row],[For XLOOKUP]],Factors[For XLOOKUP],Factors[Value],"")</f>
        <v>1.758E-3</v>
      </c>
      <c r="P413" s="81" t="str">
        <f>_xlfn.XLOOKUP(Calculations[[#This Row],[For XLOOKUP]],Factors[For XLOOKUP],Factors[Units],"")</f>
        <v>tn CO2 eq/ €</v>
      </c>
      <c r="Q413" s="19" t="str">
        <f>_xlfn.XLOOKUP(Calculations[[#This Row],[For XLOOKUP]],Factors[For XLOOKUP],Factors[Source],"")</f>
        <v>EXIOBASE 2019 - GR</v>
      </c>
      <c r="R41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3" s="81" t="str">
        <f>IF(LEFT(Calculations[[#This Row],[Emission Factor]],7)="Σ.Ε. CH",Calculations[[#This Row],[Value]]*Calculations[[#This Row],[Τιμή]],"-")</f>
        <v>-</v>
      </c>
      <c r="T41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3" s="81" t="str">
        <f>IF(LEFT(Calculations[[#This Row],[Emission Factor]],3)="GWP",Calculations[[#This Row],[Τιμή]],"-")</f>
        <v>-</v>
      </c>
      <c r="V413" s="81">
        <f>IF(OR(Calculations[[#This Row],[Emission Factor]]="Σ.Ε. CO₂ eq",Calculations[[#This Row],[Emission Factor]]="CO₂ eq"),Calculations[[#This Row],[Value]]*Calculations[[#This Row],[Τιμή]],"-")</f>
        <v>18.65652888</v>
      </c>
      <c r="W413" s="81" t="str">
        <f>IF(Calculations[[#This Row],[Πηγή εκπομπών]]="Electricity consumed in office buildings and projects - market based",Calculations[[#This Row],[t CO2]],"")</f>
        <v/>
      </c>
      <c r="X41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18.65652888</v>
      </c>
    </row>
    <row r="414" spans="1:24" ht="29.4" hidden="1" thickTop="1">
      <c r="A414" s="15" t="s">
        <v>350</v>
      </c>
      <c r="B414" s="15" t="s">
        <v>351</v>
      </c>
      <c r="C414" s="16" t="s">
        <v>624</v>
      </c>
      <c r="D414" s="16" t="s">
        <v>1144</v>
      </c>
      <c r="E414" s="16"/>
      <c r="F414" s="209" t="s">
        <v>647</v>
      </c>
      <c r="G414" s="16" t="s">
        <v>585</v>
      </c>
      <c r="H414" s="15" t="s">
        <v>347</v>
      </c>
      <c r="I414" s="89" t="s">
        <v>347</v>
      </c>
      <c r="J414" s="79">
        <v>5330.75</v>
      </c>
      <c r="K414" s="18" t="s">
        <v>1157</v>
      </c>
      <c r="L414" s="94" t="s">
        <v>374</v>
      </c>
      <c r="M414" s="148" t="s">
        <v>485</v>
      </c>
      <c r="N414" s="81" t="str">
        <f>_xlfn.XLOOKUP(Calculations[[#This Row],[For XLOOKUP]],Factors[For XLOOKUP],Factors[Factor],"")</f>
        <v>Σ.Ε. CO₂ eq</v>
      </c>
      <c r="O414" s="81">
        <f>_xlfn.XLOOKUP(Calculations[[#This Row],[For XLOOKUP]],Factors[For XLOOKUP],Factors[Value],"")</f>
        <v>8.6430000000000003E-4</v>
      </c>
      <c r="P414" s="81" t="str">
        <f>_xlfn.XLOOKUP(Calculations[[#This Row],[For XLOOKUP]],Factors[For XLOOKUP],Factors[Units],"")</f>
        <v>tn CO2 eq/ €</v>
      </c>
      <c r="Q414" s="19" t="str">
        <f>_xlfn.XLOOKUP(Calculations[[#This Row],[For XLOOKUP]],Factors[For XLOOKUP],Factors[Source],"")</f>
        <v>EXIOBASE 2019 - GR</v>
      </c>
      <c r="R41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4" s="81" t="str">
        <f>IF(LEFT(Calculations[[#This Row],[Emission Factor]],7)="Σ.Ε. CH",Calculations[[#This Row],[Value]]*Calculations[[#This Row],[Τιμή]],"-")</f>
        <v>-</v>
      </c>
      <c r="T41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4" s="81" t="str">
        <f>IF(LEFT(Calculations[[#This Row],[Emission Factor]],3)="GWP",Calculations[[#This Row],[Τιμή]],"-")</f>
        <v>-</v>
      </c>
      <c r="V414" s="81">
        <f>IF(OR(Calculations[[#This Row],[Emission Factor]]="Σ.Ε. CO₂ eq",Calculations[[#This Row],[Emission Factor]]="CO₂ eq"),Calculations[[#This Row],[Value]]*Calculations[[#This Row],[Τιμή]],"-")</f>
        <v>4.607367225</v>
      </c>
      <c r="W414" s="81" t="str">
        <f>IF(Calculations[[#This Row],[Πηγή εκπομπών]]="Electricity consumed in office buildings and projects - market based",Calculations[[#This Row],[t CO2]],"")</f>
        <v/>
      </c>
      <c r="X41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4.607367225</v>
      </c>
    </row>
    <row r="415" spans="1:24" ht="29.4" hidden="1" thickTop="1">
      <c r="A415" s="15" t="s">
        <v>350</v>
      </c>
      <c r="B415" s="15" t="s">
        <v>351</v>
      </c>
      <c r="C415" s="16" t="s">
        <v>624</v>
      </c>
      <c r="D415" s="16" t="s">
        <v>1144</v>
      </c>
      <c r="E415" s="16"/>
      <c r="F415" s="209" t="s">
        <v>647</v>
      </c>
      <c r="G415" s="16" t="s">
        <v>585</v>
      </c>
      <c r="H415" s="15" t="s">
        <v>347</v>
      </c>
      <c r="I415" s="89" t="s">
        <v>347</v>
      </c>
      <c r="J415" s="79">
        <v>91824</v>
      </c>
      <c r="K415" s="18" t="s">
        <v>1157</v>
      </c>
      <c r="L415" s="94" t="s">
        <v>461</v>
      </c>
      <c r="M415" s="148" t="s">
        <v>572</v>
      </c>
      <c r="N415" s="81" t="str">
        <f>_xlfn.XLOOKUP(Calculations[[#This Row],[For XLOOKUP]],Factors[For XLOOKUP],Factors[Factor],"")</f>
        <v>Σ.Ε. CO₂ eq</v>
      </c>
      <c r="O415" s="81">
        <f>_xlfn.XLOOKUP(Calculations[[#This Row],[For XLOOKUP]],Factors[For XLOOKUP],Factors[Value],"")</f>
        <v>6.2126999999999997E-5</v>
      </c>
      <c r="P415" s="81" t="str">
        <f>_xlfn.XLOOKUP(Calculations[[#This Row],[For XLOOKUP]],Factors[For XLOOKUP],Factors[Units],"")</f>
        <v>tn CO2 eq/ €</v>
      </c>
      <c r="Q415" s="19" t="str">
        <f>_xlfn.XLOOKUP(Calculations[[#This Row],[For XLOOKUP]],Factors[For XLOOKUP],Factors[Source],"")</f>
        <v>EPA 2022</v>
      </c>
      <c r="R41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5" s="81" t="str">
        <f>IF(LEFT(Calculations[[#This Row],[Emission Factor]],7)="Σ.Ε. CH",Calculations[[#This Row],[Value]]*Calculations[[#This Row],[Τιμή]],"-")</f>
        <v>-</v>
      </c>
      <c r="T41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5" s="81" t="str">
        <f>IF(LEFT(Calculations[[#This Row],[Emission Factor]],3)="GWP",Calculations[[#This Row],[Τιμή]],"-")</f>
        <v>-</v>
      </c>
      <c r="V415" s="81">
        <f>IF(OR(Calculations[[#This Row],[Emission Factor]]="Σ.Ε. CO₂ eq",Calculations[[#This Row],[Emission Factor]]="CO₂ eq"),Calculations[[#This Row],[Value]]*Calculations[[#This Row],[Τιμή]],"-")</f>
        <v>5.704749648</v>
      </c>
      <c r="W415" s="81" t="str">
        <f>IF(Calculations[[#This Row],[Πηγή εκπομπών]]="Electricity consumed in office buildings and projects - market based",Calculations[[#This Row],[t CO2]],"")</f>
        <v/>
      </c>
      <c r="X41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5.704749648</v>
      </c>
    </row>
    <row r="416" spans="1:24" ht="29.4" hidden="1" thickTop="1">
      <c r="A416" s="15" t="s">
        <v>350</v>
      </c>
      <c r="B416" s="15" t="s">
        <v>351</v>
      </c>
      <c r="C416" s="16" t="s">
        <v>624</v>
      </c>
      <c r="D416" s="16" t="s">
        <v>1144</v>
      </c>
      <c r="E416" s="16"/>
      <c r="F416" s="209" t="s">
        <v>647</v>
      </c>
      <c r="G416" s="16" t="s">
        <v>585</v>
      </c>
      <c r="H416" s="15" t="s">
        <v>347</v>
      </c>
      <c r="I416" s="89" t="s">
        <v>347</v>
      </c>
      <c r="J416" s="79">
        <v>56331.98</v>
      </c>
      <c r="K416" s="18" t="s">
        <v>1157</v>
      </c>
      <c r="L416" s="94" t="s">
        <v>873</v>
      </c>
      <c r="M416" s="174" t="s">
        <v>878</v>
      </c>
      <c r="N416" s="81" t="str">
        <f>_xlfn.XLOOKUP(Calculations[[#This Row],[For XLOOKUP]],Factors[For XLOOKUP],Factors[Factor],"")</f>
        <v>Σ.Ε. CO₂ eq</v>
      </c>
      <c r="O416" s="81">
        <f>_xlfn.XLOOKUP(Calculations[[#This Row],[For XLOOKUP]],Factors[For XLOOKUP],Factors[Value],"")</f>
        <v>1.4172000000000002E-4</v>
      </c>
      <c r="P416" s="81" t="str">
        <f>_xlfn.XLOOKUP(Calculations[[#This Row],[For XLOOKUP]],Factors[For XLOOKUP],Factors[Units],"")</f>
        <v>tn CO2 eq/ €</v>
      </c>
      <c r="Q416" s="19" t="str">
        <f>_xlfn.XLOOKUP(Calculations[[#This Row],[For XLOOKUP]],Factors[For XLOOKUP],Factors[Source],"")</f>
        <v>EPA 2018</v>
      </c>
      <c r="R41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6" s="81" t="str">
        <f>IF(LEFT(Calculations[[#This Row],[Emission Factor]],7)="Σ.Ε. CH",Calculations[[#This Row],[Value]]*Calculations[[#This Row],[Τιμή]],"-")</f>
        <v>-</v>
      </c>
      <c r="T41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6" s="81" t="str">
        <f>IF(LEFT(Calculations[[#This Row],[Emission Factor]],3)="GWP",Calculations[[#This Row],[Τιμή]],"-")</f>
        <v>-</v>
      </c>
      <c r="V416" s="81">
        <f>IF(OR(Calculations[[#This Row],[Emission Factor]]="Σ.Ε. CO₂ eq",Calculations[[#This Row],[Emission Factor]]="CO₂ eq"),Calculations[[#This Row],[Value]]*Calculations[[#This Row],[Τιμή]],"-")</f>
        <v>7.9833682056000015</v>
      </c>
      <c r="W416" s="81" t="str">
        <f>IF(Calculations[[#This Row],[Πηγή εκπομπών]]="Electricity consumed in office buildings and projects - market based",Calculations[[#This Row],[t CO2]],"")</f>
        <v/>
      </c>
      <c r="X41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7.9833682056000015</v>
      </c>
    </row>
    <row r="417" spans="1:24" ht="29.4" hidden="1" thickTop="1">
      <c r="A417" s="15" t="s">
        <v>350</v>
      </c>
      <c r="B417" s="15" t="s">
        <v>351</v>
      </c>
      <c r="C417" s="16" t="s">
        <v>624</v>
      </c>
      <c r="D417" s="16" t="s">
        <v>1144</v>
      </c>
      <c r="E417" s="16"/>
      <c r="F417" s="209" t="s">
        <v>647</v>
      </c>
      <c r="G417" s="16" t="s">
        <v>585</v>
      </c>
      <c r="H417" s="15" t="s">
        <v>347</v>
      </c>
      <c r="I417" s="89" t="s">
        <v>347</v>
      </c>
      <c r="J417" s="79">
        <v>259572.91999999998</v>
      </c>
      <c r="K417" s="18" t="s">
        <v>1157</v>
      </c>
      <c r="L417" s="94" t="s">
        <v>376</v>
      </c>
      <c r="M417" s="174" t="s">
        <v>487</v>
      </c>
      <c r="N417" s="81" t="str">
        <f>_xlfn.XLOOKUP(Calculations[[#This Row],[For XLOOKUP]],Factors[For XLOOKUP],Factors[Factor],"")</f>
        <v>Σ.Ε. CO₂ eq</v>
      </c>
      <c r="O417" s="81">
        <f>_xlfn.XLOOKUP(Calculations[[#This Row],[For XLOOKUP]],Factors[For XLOOKUP],Factors[Value],"")</f>
        <v>6.2126999999999997E-5</v>
      </c>
      <c r="P417" s="81" t="str">
        <f>_xlfn.XLOOKUP(Calculations[[#This Row],[For XLOOKUP]],Factors[For XLOOKUP],Factors[Units],"")</f>
        <v>tn CO2 eq/ €</v>
      </c>
      <c r="Q417" s="19" t="str">
        <f>_xlfn.XLOOKUP(Calculations[[#This Row],[For XLOOKUP]],Factors[For XLOOKUP],Factors[Source],"")</f>
        <v>EPA 2022</v>
      </c>
      <c r="R41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7" s="81" t="str">
        <f>IF(LEFT(Calculations[[#This Row],[Emission Factor]],7)="Σ.Ε. CH",Calculations[[#This Row],[Value]]*Calculations[[#This Row],[Τιμή]],"-")</f>
        <v>-</v>
      </c>
      <c r="T41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7" s="81" t="str">
        <f>IF(LEFT(Calculations[[#This Row],[Emission Factor]],3)="GWP",Calculations[[#This Row],[Τιμή]],"-")</f>
        <v>-</v>
      </c>
      <c r="V417" s="81">
        <f>IF(OR(Calculations[[#This Row],[Emission Factor]]="Σ.Ε. CO₂ eq",Calculations[[#This Row],[Emission Factor]]="CO₂ eq"),Calculations[[#This Row],[Value]]*Calculations[[#This Row],[Τιμή]],"-")</f>
        <v>16.126486800839999</v>
      </c>
      <c r="W417" s="81" t="str">
        <f>IF(Calculations[[#This Row],[Πηγή εκπομπών]]="Electricity consumed in office buildings and projects - market based",Calculations[[#This Row],[t CO2]],"")</f>
        <v/>
      </c>
      <c r="X41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16.126486800839999</v>
      </c>
    </row>
    <row r="418" spans="1:24" ht="29.4" hidden="1" thickTop="1">
      <c r="A418" s="15" t="s">
        <v>350</v>
      </c>
      <c r="B418" s="15" t="s">
        <v>351</v>
      </c>
      <c r="C418" s="16" t="s">
        <v>624</v>
      </c>
      <c r="D418" s="16" t="s">
        <v>1144</v>
      </c>
      <c r="E418" s="16"/>
      <c r="F418" s="209" t="s">
        <v>647</v>
      </c>
      <c r="G418" s="16" t="s">
        <v>585</v>
      </c>
      <c r="H418" s="15" t="s">
        <v>347</v>
      </c>
      <c r="I418" s="89" t="s">
        <v>347</v>
      </c>
      <c r="J418" s="79">
        <v>80736.670000000013</v>
      </c>
      <c r="K418" s="18" t="s">
        <v>1157</v>
      </c>
      <c r="L418" s="94" t="s">
        <v>875</v>
      </c>
      <c r="M418" s="148" t="s">
        <v>880</v>
      </c>
      <c r="N418" s="81" t="str">
        <f>_xlfn.XLOOKUP(Calculations[[#This Row],[For XLOOKUP]],Factors[For XLOOKUP],Factors[Factor],"")</f>
        <v>Σ.Ε. CO₂ eq</v>
      </c>
      <c r="O418" s="81">
        <f>_xlfn.XLOOKUP(Calculations[[#This Row],[For XLOOKUP]],Factors[For XLOOKUP],Factors[Value],"")</f>
        <v>1.33731E-4</v>
      </c>
      <c r="P418" s="81" t="str">
        <f>_xlfn.XLOOKUP(Calculations[[#This Row],[For XLOOKUP]],Factors[For XLOOKUP],Factors[Units],"")</f>
        <v>tn CO2 eq/ €</v>
      </c>
      <c r="Q418" s="19" t="str">
        <f>_xlfn.XLOOKUP(Calculations[[#This Row],[For XLOOKUP]],Factors[For XLOOKUP],Factors[Source],"")</f>
        <v>EPA 2022</v>
      </c>
      <c r="R41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8" s="81" t="str">
        <f>IF(LEFT(Calculations[[#This Row],[Emission Factor]],7)="Σ.Ε. CH",Calculations[[#This Row],[Value]]*Calculations[[#This Row],[Τιμή]],"-")</f>
        <v>-</v>
      </c>
      <c r="T41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8" s="81" t="str">
        <f>IF(LEFT(Calculations[[#This Row],[Emission Factor]],3)="GWP",Calculations[[#This Row],[Τιμή]],"-")</f>
        <v>-</v>
      </c>
      <c r="V418" s="81">
        <f>IF(OR(Calculations[[#This Row],[Emission Factor]]="Σ.Ε. CO₂ eq",Calculations[[#This Row],[Emission Factor]]="CO₂ eq"),Calculations[[#This Row],[Value]]*Calculations[[#This Row],[Τιμή]],"-")</f>
        <v>10.796995615770001</v>
      </c>
      <c r="W418" s="81" t="str">
        <f>IF(Calculations[[#This Row],[Πηγή εκπομπών]]="Electricity consumed in office buildings and projects - market based",Calculations[[#This Row],[t CO2]],"")</f>
        <v/>
      </c>
      <c r="X41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10.796995615770001</v>
      </c>
    </row>
    <row r="419" spans="1:24" ht="29.4" hidden="1" thickTop="1">
      <c r="A419" s="15" t="s">
        <v>350</v>
      </c>
      <c r="B419" s="15" t="s">
        <v>351</v>
      </c>
      <c r="C419" s="16" t="s">
        <v>624</v>
      </c>
      <c r="D419" s="16" t="s">
        <v>1144</v>
      </c>
      <c r="E419" s="16"/>
      <c r="F419" s="209" t="s">
        <v>647</v>
      </c>
      <c r="G419" s="16" t="s">
        <v>585</v>
      </c>
      <c r="H419" s="15" t="s">
        <v>347</v>
      </c>
      <c r="I419" s="89" t="s">
        <v>347</v>
      </c>
      <c r="J419" s="79">
        <v>63326.91</v>
      </c>
      <c r="K419" s="18" t="s">
        <v>1157</v>
      </c>
      <c r="L419" s="94" t="s">
        <v>448</v>
      </c>
      <c r="M419" s="148" t="s">
        <v>559</v>
      </c>
      <c r="N419" s="81" t="str">
        <f>_xlfn.XLOOKUP(Calculations[[#This Row],[For XLOOKUP]],Factors[For XLOOKUP],Factors[Factor],"")</f>
        <v>Σ.Ε. CO₂ eq</v>
      </c>
      <c r="O419" s="81">
        <f>_xlfn.XLOOKUP(Calculations[[#This Row],[For XLOOKUP]],Factors[For XLOOKUP],Factors[Value],"")</f>
        <v>2.2110000000000001E-4</v>
      </c>
      <c r="P419" s="81" t="str">
        <f>_xlfn.XLOOKUP(Calculations[[#This Row],[For XLOOKUP]],Factors[For XLOOKUP],Factors[Units],"")</f>
        <v>tn CO2 eq/ €</v>
      </c>
      <c r="Q419" s="19" t="str">
        <f>_xlfn.XLOOKUP(Calculations[[#This Row],[For XLOOKUP]],Factors[For XLOOKUP],Factors[Source],"")</f>
        <v>EXIOBASE 2019 - GR</v>
      </c>
      <c r="R41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9" s="81" t="str">
        <f>IF(LEFT(Calculations[[#This Row],[Emission Factor]],7)="Σ.Ε. CH",Calculations[[#This Row],[Value]]*Calculations[[#This Row],[Τιμή]],"-")</f>
        <v>-</v>
      </c>
      <c r="T41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9" s="81" t="str">
        <f>IF(LEFT(Calculations[[#This Row],[Emission Factor]],3)="GWP",Calculations[[#This Row],[Τιμή]],"-")</f>
        <v>-</v>
      </c>
      <c r="V419" s="81">
        <f>IF(OR(Calculations[[#This Row],[Emission Factor]]="Σ.Ε. CO₂ eq",Calculations[[#This Row],[Emission Factor]]="CO₂ eq"),Calculations[[#This Row],[Value]]*Calculations[[#This Row],[Τιμή]],"-")</f>
        <v>14.001579801000002</v>
      </c>
      <c r="W419" s="81" t="str">
        <f>IF(Calculations[[#This Row],[Πηγή εκπομπών]]="Electricity consumed in office buildings and projects - market based",Calculations[[#This Row],[t CO2]],"")</f>
        <v/>
      </c>
      <c r="X41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14.001579801000002</v>
      </c>
    </row>
    <row r="420" spans="1:24" ht="29.4" hidden="1" thickTop="1">
      <c r="A420" s="15" t="s">
        <v>350</v>
      </c>
      <c r="B420" s="15" t="s">
        <v>351</v>
      </c>
      <c r="C420" s="16" t="s">
        <v>624</v>
      </c>
      <c r="D420" s="16" t="s">
        <v>1144</v>
      </c>
      <c r="E420" s="16"/>
      <c r="F420" s="209" t="s">
        <v>647</v>
      </c>
      <c r="G420" s="16" t="s">
        <v>585</v>
      </c>
      <c r="H420" s="15" t="s">
        <v>347</v>
      </c>
      <c r="I420" s="89" t="s">
        <v>347</v>
      </c>
      <c r="J420" s="79">
        <v>160434.63999999996</v>
      </c>
      <c r="K420" s="18" t="s">
        <v>1157</v>
      </c>
      <c r="L420" s="94" t="s">
        <v>454</v>
      </c>
      <c r="M420" s="148" t="s">
        <v>565</v>
      </c>
      <c r="N420" s="81" t="str">
        <f>_xlfn.XLOOKUP(Calculations[[#This Row],[For XLOOKUP]],Factors[For XLOOKUP],Factors[Factor],"")</f>
        <v>Σ.Ε. CO₂ eq</v>
      </c>
      <c r="O420" s="81">
        <f>_xlfn.XLOOKUP(Calculations[[#This Row],[For XLOOKUP]],Factors[For XLOOKUP],Factors[Value],"")</f>
        <v>1.3478399999999999E-4</v>
      </c>
      <c r="P420" s="81" t="str">
        <f>_xlfn.XLOOKUP(Calculations[[#This Row],[For XLOOKUP]],Factors[For XLOOKUP],Factors[Units],"")</f>
        <v>tn CO2 eq/ €</v>
      </c>
      <c r="Q420" s="19" t="str">
        <f>_xlfn.XLOOKUP(Calculations[[#This Row],[For XLOOKUP]],Factors[For XLOOKUP],Factors[Source],"")</f>
        <v>EPA 2022</v>
      </c>
      <c r="R42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0" s="81" t="str">
        <f>IF(LEFT(Calculations[[#This Row],[Emission Factor]],7)="Σ.Ε. CH",Calculations[[#This Row],[Value]]*Calculations[[#This Row],[Τιμή]],"-")</f>
        <v>-</v>
      </c>
      <c r="T42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0" s="81" t="str">
        <f>IF(LEFT(Calculations[[#This Row],[Emission Factor]],3)="GWP",Calculations[[#This Row],[Τιμή]],"-")</f>
        <v>-</v>
      </c>
      <c r="V420" s="81">
        <f>IF(OR(Calculations[[#This Row],[Emission Factor]]="Σ.Ε. CO₂ eq",Calculations[[#This Row],[Emission Factor]]="CO₂ eq"),Calculations[[#This Row],[Value]]*Calculations[[#This Row],[Τιμή]],"-")</f>
        <v>21.624022517759993</v>
      </c>
      <c r="W420" s="81" t="str">
        <f>IF(Calculations[[#This Row],[Πηγή εκπομπών]]="Electricity consumed in office buildings and projects - market based",Calculations[[#This Row],[t CO2]],"")</f>
        <v/>
      </c>
      <c r="X42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21.624022517759993</v>
      </c>
    </row>
    <row r="421" spans="1:24" ht="29.4" hidden="1" thickTop="1">
      <c r="A421" s="15" t="s">
        <v>350</v>
      </c>
      <c r="B421" s="15" t="s">
        <v>351</v>
      </c>
      <c r="C421" s="16" t="s">
        <v>624</v>
      </c>
      <c r="D421" s="16" t="s">
        <v>1144</v>
      </c>
      <c r="E421" s="16"/>
      <c r="F421" s="209" t="s">
        <v>647</v>
      </c>
      <c r="G421" s="16" t="s">
        <v>585</v>
      </c>
      <c r="H421" s="15" t="s">
        <v>347</v>
      </c>
      <c r="I421" s="89" t="s">
        <v>347</v>
      </c>
      <c r="J421" s="79">
        <v>93</v>
      </c>
      <c r="K421" s="18" t="s">
        <v>1157</v>
      </c>
      <c r="L421" s="94" t="s">
        <v>389</v>
      </c>
      <c r="M421" s="148" t="s">
        <v>500</v>
      </c>
      <c r="N421" s="81" t="str">
        <f>_xlfn.XLOOKUP(Calculations[[#This Row],[For XLOOKUP]],Factors[For XLOOKUP],Factors[Factor],"")</f>
        <v>Σ.Ε. CO₂ eq</v>
      </c>
      <c r="O421" s="81">
        <f>_xlfn.XLOOKUP(Calculations[[#This Row],[For XLOOKUP]],Factors[For XLOOKUP],Factors[Value],"")</f>
        <v>4.3550000000000001E-4</v>
      </c>
      <c r="P421" s="81" t="str">
        <f>_xlfn.XLOOKUP(Calculations[[#This Row],[For XLOOKUP]],Factors[For XLOOKUP],Factors[Units],"")</f>
        <v>tn CO2 eq/ €</v>
      </c>
      <c r="Q421" s="19" t="str">
        <f>_xlfn.XLOOKUP(Calculations[[#This Row],[For XLOOKUP]],Factors[For XLOOKUP],Factors[Source],"")</f>
        <v>EXIOBASE 2019 - GR</v>
      </c>
      <c r="R42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1" s="81" t="str">
        <f>IF(LEFT(Calculations[[#This Row],[Emission Factor]],7)="Σ.Ε. CH",Calculations[[#This Row],[Value]]*Calculations[[#This Row],[Τιμή]],"-")</f>
        <v>-</v>
      </c>
      <c r="T42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1" s="81" t="str">
        <f>IF(LEFT(Calculations[[#This Row],[Emission Factor]],3)="GWP",Calculations[[#This Row],[Τιμή]],"-")</f>
        <v>-</v>
      </c>
      <c r="V421" s="81">
        <f>IF(OR(Calculations[[#This Row],[Emission Factor]]="Σ.Ε. CO₂ eq",Calculations[[#This Row],[Emission Factor]]="CO₂ eq"),Calculations[[#This Row],[Value]]*Calculations[[#This Row],[Τιμή]],"-")</f>
        <v>4.0501500000000003E-2</v>
      </c>
      <c r="W421" s="81" t="str">
        <f>IF(Calculations[[#This Row],[Πηγή εκπομπών]]="Electricity consumed in office buildings and projects - market based",Calculations[[#This Row],[t CO2]],"")</f>
        <v/>
      </c>
      <c r="X42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4.0501500000000003E-2</v>
      </c>
    </row>
    <row r="422" spans="1:24" ht="29.4" hidden="1" thickTop="1">
      <c r="A422" s="15" t="s">
        <v>350</v>
      </c>
      <c r="B422" s="15" t="s">
        <v>351</v>
      </c>
      <c r="C422" s="16" t="s">
        <v>624</v>
      </c>
      <c r="D422" s="16" t="s">
        <v>1144</v>
      </c>
      <c r="E422" s="16"/>
      <c r="F422" s="209" t="s">
        <v>647</v>
      </c>
      <c r="G422" s="16" t="s">
        <v>585</v>
      </c>
      <c r="H422" s="15" t="s">
        <v>347</v>
      </c>
      <c r="I422" s="89" t="s">
        <v>347</v>
      </c>
      <c r="J422" s="79">
        <v>2797.6300000000028</v>
      </c>
      <c r="K422" s="18" t="s">
        <v>1157</v>
      </c>
      <c r="L422" s="94" t="s">
        <v>887</v>
      </c>
      <c r="M422" s="148" t="s">
        <v>886</v>
      </c>
      <c r="N422" s="81" t="str">
        <f>_xlfn.XLOOKUP(Calculations[[#This Row],[For XLOOKUP]],Factors[For XLOOKUP],Factors[Factor],"")</f>
        <v>Σ.Ε. CO₂ eq</v>
      </c>
      <c r="O422" s="81">
        <f>_xlfn.XLOOKUP(Calculations[[#This Row],[For XLOOKUP]],Factors[For XLOOKUP],Factors[Value],"")</f>
        <v>2.8909999999999999E-3</v>
      </c>
      <c r="P422" s="81" t="str">
        <f>_xlfn.XLOOKUP(Calculations[[#This Row],[For XLOOKUP]],Factors[For XLOOKUP],Factors[Units],"")</f>
        <v>tn CO2 eq/ €</v>
      </c>
      <c r="Q422" s="19" t="str">
        <f>_xlfn.XLOOKUP(Calculations[[#This Row],[For XLOOKUP]],Factors[For XLOOKUP],Factors[Source],"")</f>
        <v>EXIOBASE 2019 - GR</v>
      </c>
      <c r="R42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2" s="81" t="str">
        <f>IF(LEFT(Calculations[[#This Row],[Emission Factor]],7)="Σ.Ε. CH",Calculations[[#This Row],[Value]]*Calculations[[#This Row],[Τιμή]],"-")</f>
        <v>-</v>
      </c>
      <c r="T42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2" s="81" t="str">
        <f>IF(LEFT(Calculations[[#This Row],[Emission Factor]],3)="GWP",Calculations[[#This Row],[Τιμή]],"-")</f>
        <v>-</v>
      </c>
      <c r="V422" s="81">
        <f>IF(OR(Calculations[[#This Row],[Emission Factor]]="Σ.Ε. CO₂ eq",Calculations[[#This Row],[Emission Factor]]="CO₂ eq"),Calculations[[#This Row],[Value]]*Calculations[[#This Row],[Τιμή]],"-")</f>
        <v>8.0879483300000086</v>
      </c>
      <c r="W422" s="81" t="str">
        <f>IF(Calculations[[#This Row],[Πηγή εκπομπών]]="Electricity consumed in office buildings and projects - market based",Calculations[[#This Row],[t CO2]],"")</f>
        <v/>
      </c>
      <c r="X42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8.0879483300000086</v>
      </c>
    </row>
    <row r="423" spans="1:24" ht="29.4" hidden="1" thickTop="1">
      <c r="A423" s="15" t="s">
        <v>350</v>
      </c>
      <c r="B423" s="15" t="s">
        <v>351</v>
      </c>
      <c r="C423" s="16" t="s">
        <v>624</v>
      </c>
      <c r="D423" s="16" t="s">
        <v>894</v>
      </c>
      <c r="E423" s="16"/>
      <c r="F423" s="16" t="s">
        <v>317</v>
      </c>
      <c r="G423" s="16" t="s">
        <v>585</v>
      </c>
      <c r="H423" s="15" t="s">
        <v>347</v>
      </c>
      <c r="I423" s="89" t="s">
        <v>347</v>
      </c>
      <c r="J423" s="79">
        <v>3191.72</v>
      </c>
      <c r="K423" s="18" t="s">
        <v>1157</v>
      </c>
      <c r="L423" s="94" t="s">
        <v>442</v>
      </c>
      <c r="M423" s="148" t="s">
        <v>553</v>
      </c>
      <c r="N423" s="81" t="str">
        <f>_xlfn.XLOOKUP(Calculations[[#This Row],[For XLOOKUP]],Factors[For XLOOKUP],Factors[Factor],"")</f>
        <v>Σ.Ε. CO₂ eq</v>
      </c>
      <c r="O423" s="81">
        <f>_xlfn.XLOOKUP(Calculations[[#This Row],[For XLOOKUP]],Factors[For XLOOKUP],Factors[Value],"")</f>
        <v>5.5914300000000001E-4</v>
      </c>
      <c r="P423" s="81" t="str">
        <f>_xlfn.XLOOKUP(Calculations[[#This Row],[For XLOOKUP]],Factors[For XLOOKUP],Factors[Units],"")</f>
        <v>tn CO2 eq/ €</v>
      </c>
      <c r="Q423" s="19" t="str">
        <f>_xlfn.XLOOKUP(Calculations[[#This Row],[For XLOOKUP]],Factors[For XLOOKUP],Factors[Source],"")</f>
        <v>EPA 2022</v>
      </c>
      <c r="R42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3" s="81" t="str">
        <f>IF(LEFT(Calculations[[#This Row],[Emission Factor]],7)="Σ.Ε. CH",Calculations[[#This Row],[Value]]*Calculations[[#This Row],[Τιμή]],"-")</f>
        <v>-</v>
      </c>
      <c r="T42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3" s="81" t="str">
        <f>IF(LEFT(Calculations[[#This Row],[Emission Factor]],3)="GWP",Calculations[[#This Row],[Τιμή]],"-")</f>
        <v>-</v>
      </c>
      <c r="V423" s="81">
        <f>IF(OR(Calculations[[#This Row],[Emission Factor]]="Σ.Ε. CO₂ eq",Calculations[[#This Row],[Emission Factor]]="CO₂ eq"),Calculations[[#This Row],[Value]]*Calculations[[#This Row],[Τιμή]],"-")</f>
        <v>1.7846278959599999</v>
      </c>
      <c r="W423" s="81" t="str">
        <f>IF(Calculations[[#This Row],[Πηγή εκπομπών]]="Electricity consumed in office buildings and projects - market based",Calculations[[#This Row],[t CO2]],"")</f>
        <v/>
      </c>
      <c r="X42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1.7846278959599999</v>
      </c>
    </row>
    <row r="424" spans="1:24" ht="29.4" hidden="1" thickTop="1">
      <c r="A424" s="15" t="s">
        <v>350</v>
      </c>
      <c r="B424" s="15" t="s">
        <v>351</v>
      </c>
      <c r="C424" s="16" t="s">
        <v>624</v>
      </c>
      <c r="D424" s="16" t="s">
        <v>894</v>
      </c>
      <c r="E424" s="16"/>
      <c r="F424" s="16" t="s">
        <v>317</v>
      </c>
      <c r="G424" s="16" t="s">
        <v>585</v>
      </c>
      <c r="H424" s="15" t="s">
        <v>347</v>
      </c>
      <c r="I424" s="89" t="s">
        <v>347</v>
      </c>
      <c r="J424" s="79">
        <v>15317.09</v>
      </c>
      <c r="K424" s="18" t="s">
        <v>1157</v>
      </c>
      <c r="L424" s="94" t="s">
        <v>400</v>
      </c>
      <c r="M424" s="148" t="s">
        <v>511</v>
      </c>
      <c r="N424" s="81" t="str">
        <f>_xlfn.XLOOKUP(Calculations[[#This Row],[For XLOOKUP]],Factors[For XLOOKUP],Factors[Factor],"")</f>
        <v>Σ.Ε. CO₂ eq</v>
      </c>
      <c r="O424" s="81">
        <f>_xlfn.XLOOKUP(Calculations[[#This Row],[For XLOOKUP]],Factors[For XLOOKUP],Factors[Value],"")</f>
        <v>1.8638099999999998E-4</v>
      </c>
      <c r="P424" s="81" t="str">
        <f>_xlfn.XLOOKUP(Calculations[[#This Row],[For XLOOKUP]],Factors[For XLOOKUP],Factors[Units],"")</f>
        <v>tn CO2 eq/ €</v>
      </c>
      <c r="Q424" s="19" t="str">
        <f>_xlfn.XLOOKUP(Calculations[[#This Row],[For XLOOKUP]],Factors[For XLOOKUP],Factors[Source],"")</f>
        <v>EPA 2022</v>
      </c>
      <c r="R42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4" s="81" t="str">
        <f>IF(LEFT(Calculations[[#This Row],[Emission Factor]],7)="Σ.Ε. CH",Calculations[[#This Row],[Value]]*Calculations[[#This Row],[Τιμή]],"-")</f>
        <v>-</v>
      </c>
      <c r="T42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4" s="81" t="str">
        <f>IF(LEFT(Calculations[[#This Row],[Emission Factor]],3)="GWP",Calculations[[#This Row],[Τιμή]],"-")</f>
        <v>-</v>
      </c>
      <c r="V424" s="81">
        <f>IF(OR(Calculations[[#This Row],[Emission Factor]]="Σ.Ε. CO₂ eq",Calculations[[#This Row],[Emission Factor]]="CO₂ eq"),Calculations[[#This Row],[Value]]*Calculations[[#This Row],[Τιμή]],"-")</f>
        <v>2.8548145512899996</v>
      </c>
      <c r="W424" s="81" t="str">
        <f>IF(Calculations[[#This Row],[Πηγή εκπομπών]]="Electricity consumed in office buildings and projects - market based",Calculations[[#This Row],[t CO2]],"")</f>
        <v/>
      </c>
      <c r="X42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2.8548145512899996</v>
      </c>
    </row>
    <row r="425" spans="1:24" ht="29.4" hidden="1" thickTop="1">
      <c r="A425" s="15" t="s">
        <v>350</v>
      </c>
      <c r="B425" s="15" t="s">
        <v>351</v>
      </c>
      <c r="C425" s="16" t="s">
        <v>624</v>
      </c>
      <c r="D425" s="16" t="s">
        <v>894</v>
      </c>
      <c r="E425" s="16"/>
      <c r="F425" s="16" t="s">
        <v>317</v>
      </c>
      <c r="G425" s="16" t="s">
        <v>585</v>
      </c>
      <c r="H425" s="15" t="s">
        <v>347</v>
      </c>
      <c r="I425" s="89" t="s">
        <v>347</v>
      </c>
      <c r="J425" s="79">
        <v>63924.249999999993</v>
      </c>
      <c r="K425" s="18" t="s">
        <v>1157</v>
      </c>
      <c r="L425" s="94" t="s">
        <v>365</v>
      </c>
      <c r="M425" s="148" t="s">
        <v>476</v>
      </c>
      <c r="N425" s="81" t="str">
        <f>_xlfn.XLOOKUP(Calculations[[#This Row],[For XLOOKUP]],Factors[For XLOOKUP],Factors[Factor],"")</f>
        <v>Σ.Ε. CO₂ eq</v>
      </c>
      <c r="O425" s="81">
        <f>_xlfn.XLOOKUP(Calculations[[#This Row],[For XLOOKUP]],Factors[For XLOOKUP],Factors[Value],"")</f>
        <v>1.93752E-4</v>
      </c>
      <c r="P425" s="81" t="str">
        <f>_xlfn.XLOOKUP(Calculations[[#This Row],[For XLOOKUP]],Factors[For XLOOKUP],Factors[Units],"")</f>
        <v>tn CO2 eq/ €</v>
      </c>
      <c r="Q425" s="19" t="str">
        <f>_xlfn.XLOOKUP(Calculations[[#This Row],[For XLOOKUP]],Factors[For XLOOKUP],Factors[Source],"")</f>
        <v>EPA 2022</v>
      </c>
      <c r="R42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5" s="81" t="str">
        <f>IF(LEFT(Calculations[[#This Row],[Emission Factor]],7)="Σ.Ε. CH",Calculations[[#This Row],[Value]]*Calculations[[#This Row],[Τιμή]],"-")</f>
        <v>-</v>
      </c>
      <c r="T42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5" s="81" t="str">
        <f>IF(LEFT(Calculations[[#This Row],[Emission Factor]],3)="GWP",Calculations[[#This Row],[Τιμή]],"-")</f>
        <v>-</v>
      </c>
      <c r="V425" s="81">
        <f>IF(OR(Calculations[[#This Row],[Emission Factor]]="Σ.Ε. CO₂ eq",Calculations[[#This Row],[Emission Factor]]="CO₂ eq"),Calculations[[#This Row],[Value]]*Calculations[[#This Row],[Τιμή]],"-")</f>
        <v>12.385451285999999</v>
      </c>
      <c r="W425" s="81" t="str">
        <f>IF(Calculations[[#This Row],[Πηγή εκπομπών]]="Electricity consumed in office buildings and projects - market based",Calculations[[#This Row],[t CO2]],"")</f>
        <v/>
      </c>
      <c r="X42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12.385451285999999</v>
      </c>
    </row>
    <row r="426" spans="1:24" ht="29.4" hidden="1" thickTop="1">
      <c r="A426" s="15" t="s">
        <v>350</v>
      </c>
      <c r="B426" s="15" t="s">
        <v>351</v>
      </c>
      <c r="C426" s="16" t="s">
        <v>624</v>
      </c>
      <c r="D426" s="16" t="s">
        <v>894</v>
      </c>
      <c r="E426" s="16"/>
      <c r="F426" s="16" t="s">
        <v>317</v>
      </c>
      <c r="G426" s="16" t="s">
        <v>585</v>
      </c>
      <c r="H426" s="15" t="s">
        <v>347</v>
      </c>
      <c r="I426" s="89" t="s">
        <v>347</v>
      </c>
      <c r="J426" s="79">
        <v>17345.980000000003</v>
      </c>
      <c r="K426" s="18" t="s">
        <v>1157</v>
      </c>
      <c r="L426" s="94" t="s">
        <v>402</v>
      </c>
      <c r="M426" s="148" t="s">
        <v>513</v>
      </c>
      <c r="N426" s="81" t="str">
        <f>_xlfn.XLOOKUP(Calculations[[#This Row],[For XLOOKUP]],Factors[For XLOOKUP],Factors[Factor],"")</f>
        <v>Σ.Ε. CO₂ eq</v>
      </c>
      <c r="O426" s="81">
        <f>_xlfn.XLOOKUP(Calculations[[#This Row],[For XLOOKUP]],Factors[For XLOOKUP],Factors[Value],"")</f>
        <v>1.2350000000000002E-3</v>
      </c>
      <c r="P426" s="81" t="str">
        <f>_xlfn.XLOOKUP(Calculations[[#This Row],[For XLOOKUP]],Factors[For XLOOKUP],Factors[Units],"")</f>
        <v>tn CO2 eq/ €</v>
      </c>
      <c r="Q426" s="19" t="str">
        <f>_xlfn.XLOOKUP(Calculations[[#This Row],[For XLOOKUP]],Factors[For XLOOKUP],Factors[Source],"")</f>
        <v>EXIOBASE 2019 - GR</v>
      </c>
      <c r="R42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6" s="81" t="str">
        <f>IF(LEFT(Calculations[[#This Row],[Emission Factor]],7)="Σ.Ε. CH",Calculations[[#This Row],[Value]]*Calculations[[#This Row],[Τιμή]],"-")</f>
        <v>-</v>
      </c>
      <c r="T42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6" s="81" t="str">
        <f>IF(LEFT(Calculations[[#This Row],[Emission Factor]],3)="GWP",Calculations[[#This Row],[Τιμή]],"-")</f>
        <v>-</v>
      </c>
      <c r="V426" s="81">
        <f>IF(OR(Calculations[[#This Row],[Emission Factor]]="Σ.Ε. CO₂ eq",Calculations[[#This Row],[Emission Factor]]="CO₂ eq"),Calculations[[#This Row],[Value]]*Calculations[[#This Row],[Τιμή]],"-")</f>
        <v>21.422285300000006</v>
      </c>
      <c r="W426" s="81" t="str">
        <f>IF(Calculations[[#This Row],[Πηγή εκπομπών]]="Electricity consumed in office buildings and projects - market based",Calculations[[#This Row],[t CO2]],"")</f>
        <v/>
      </c>
      <c r="X42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21.422285300000006</v>
      </c>
    </row>
    <row r="427" spans="1:24" ht="29.4" hidden="1" thickTop="1">
      <c r="A427" s="15" t="s">
        <v>350</v>
      </c>
      <c r="B427" s="15" t="s">
        <v>351</v>
      </c>
      <c r="C427" s="16" t="s">
        <v>624</v>
      </c>
      <c r="D427" s="16" t="s">
        <v>894</v>
      </c>
      <c r="E427" s="16"/>
      <c r="F427" s="16" t="s">
        <v>317</v>
      </c>
      <c r="G427" s="16" t="s">
        <v>585</v>
      </c>
      <c r="H427" s="15" t="s">
        <v>347</v>
      </c>
      <c r="I427" s="89" t="s">
        <v>347</v>
      </c>
      <c r="J427" s="79">
        <v>69585.84</v>
      </c>
      <c r="K427" s="18" t="s">
        <v>1157</v>
      </c>
      <c r="L427" s="94" t="s">
        <v>356</v>
      </c>
      <c r="M427" s="148" t="s">
        <v>467</v>
      </c>
      <c r="N427" s="81" t="str">
        <f>_xlfn.XLOOKUP(Calculations[[#This Row],[For XLOOKUP]],Factors[For XLOOKUP],Factors[Factor],"")</f>
        <v>Σ.Ε. CO₂ eq</v>
      </c>
      <c r="O427" s="81">
        <f>_xlfn.XLOOKUP(Calculations[[#This Row],[For XLOOKUP]],Factors[For XLOOKUP],Factors[Value],"")</f>
        <v>1.6994291999999998E-4</v>
      </c>
      <c r="P427" s="81" t="str">
        <f>_xlfn.XLOOKUP(Calculations[[#This Row],[For XLOOKUP]],Factors[For XLOOKUP],Factors[Units],"")</f>
        <v>tn CO2 eq/ €</v>
      </c>
      <c r="Q427" s="19" t="str">
        <f>_xlfn.XLOOKUP(Calculations[[#This Row],[For XLOOKUP]],Factors[For XLOOKUP],Factors[Source],"")</f>
        <v>BEIS 2021</v>
      </c>
      <c r="R42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7" s="81" t="str">
        <f>IF(LEFT(Calculations[[#This Row],[Emission Factor]],7)="Σ.Ε. CH",Calculations[[#This Row],[Value]]*Calculations[[#This Row],[Τιμή]],"-")</f>
        <v>-</v>
      </c>
      <c r="T42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7" s="81" t="str">
        <f>IF(LEFT(Calculations[[#This Row],[Emission Factor]],3)="GWP",Calculations[[#This Row],[Τιμή]],"-")</f>
        <v>-</v>
      </c>
      <c r="V427" s="81">
        <f>IF(OR(Calculations[[#This Row],[Emission Factor]]="Σ.Ε. CO₂ eq",Calculations[[#This Row],[Emission Factor]]="CO₂ eq"),Calculations[[#This Row],[Value]]*Calculations[[#This Row],[Τιμή]],"-")</f>
        <v>11.825620840252798</v>
      </c>
      <c r="W427" s="81" t="str">
        <f>IF(Calculations[[#This Row],[Πηγή εκπομπών]]="Electricity consumed in office buildings and projects - market based",Calculations[[#This Row],[t CO2]],"")</f>
        <v/>
      </c>
      <c r="X42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11.825620840252798</v>
      </c>
    </row>
    <row r="428" spans="1:24" ht="29.4" hidden="1" thickTop="1">
      <c r="A428" s="15" t="s">
        <v>350</v>
      </c>
      <c r="B428" s="15" t="s">
        <v>351</v>
      </c>
      <c r="C428" s="16" t="s">
        <v>624</v>
      </c>
      <c r="D428" s="16" t="s">
        <v>894</v>
      </c>
      <c r="E428" s="16"/>
      <c r="F428" s="16" t="s">
        <v>317</v>
      </c>
      <c r="G428" s="16" t="s">
        <v>585</v>
      </c>
      <c r="H428" s="15" t="s">
        <v>347</v>
      </c>
      <c r="I428" s="89" t="s">
        <v>347</v>
      </c>
      <c r="J428" s="79">
        <v>463863.99</v>
      </c>
      <c r="K428" s="18" t="s">
        <v>1157</v>
      </c>
      <c r="L428" s="94" t="s">
        <v>423</v>
      </c>
      <c r="M428" s="148" t="s">
        <v>534</v>
      </c>
      <c r="N428" s="81" t="str">
        <f>_xlfn.XLOOKUP(Calculations[[#This Row],[For XLOOKUP]],Factors[For XLOOKUP],Factors[Factor],"")</f>
        <v>Σ.Ε. CO₂ eq</v>
      </c>
      <c r="O428" s="81">
        <f>_xlfn.XLOOKUP(Calculations[[#This Row],[For XLOOKUP]],Factors[For XLOOKUP],Factors[Value],"")</f>
        <v>9.4980599999999998E-4</v>
      </c>
      <c r="P428" s="81" t="str">
        <f>_xlfn.XLOOKUP(Calculations[[#This Row],[For XLOOKUP]],Factors[For XLOOKUP],Factors[Units],"")</f>
        <v>tn CO2 eq/ €</v>
      </c>
      <c r="Q428" s="19" t="str">
        <f>_xlfn.XLOOKUP(Calculations[[#This Row],[For XLOOKUP]],Factors[For XLOOKUP],Factors[Source],"")</f>
        <v>EPA 2022</v>
      </c>
      <c r="R42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8" s="81" t="str">
        <f>IF(LEFT(Calculations[[#This Row],[Emission Factor]],7)="Σ.Ε. CH",Calculations[[#This Row],[Value]]*Calculations[[#This Row],[Τιμή]],"-")</f>
        <v>-</v>
      </c>
      <c r="T42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8" s="81" t="str">
        <f>IF(LEFT(Calculations[[#This Row],[Emission Factor]],3)="GWP",Calculations[[#This Row],[Τιμή]],"-")</f>
        <v>-</v>
      </c>
      <c r="V428" s="81">
        <f>IF(OR(Calculations[[#This Row],[Emission Factor]]="Σ.Ε. CO₂ eq",Calculations[[#This Row],[Emission Factor]]="CO₂ eq"),Calculations[[#This Row],[Value]]*Calculations[[#This Row],[Τιμή]],"-")</f>
        <v>440.58080088593999</v>
      </c>
      <c r="W428" s="81" t="str">
        <f>IF(Calculations[[#This Row],[Πηγή εκπομπών]]="Electricity consumed in office buildings and projects - market based",Calculations[[#This Row],[t CO2]],"")</f>
        <v/>
      </c>
      <c r="X42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440.58080088593999</v>
      </c>
    </row>
    <row r="429" spans="1:24" ht="29.4" hidden="1" thickTop="1">
      <c r="A429" s="15" t="s">
        <v>350</v>
      </c>
      <c r="B429" s="15" t="s">
        <v>351</v>
      </c>
      <c r="C429" s="16" t="s">
        <v>624</v>
      </c>
      <c r="D429" s="16" t="s">
        <v>894</v>
      </c>
      <c r="E429" s="16"/>
      <c r="F429" s="16" t="s">
        <v>317</v>
      </c>
      <c r="G429" s="16" t="s">
        <v>585</v>
      </c>
      <c r="H429" s="15" t="s">
        <v>347</v>
      </c>
      <c r="I429" s="89" t="s">
        <v>347</v>
      </c>
      <c r="J429" s="79">
        <v>47698.240000000005</v>
      </c>
      <c r="K429" s="18" t="s">
        <v>1157</v>
      </c>
      <c r="L429" s="94" t="s">
        <v>439</v>
      </c>
      <c r="M429" s="148" t="s">
        <v>550</v>
      </c>
      <c r="N429" s="81" t="str">
        <f>_xlfn.XLOOKUP(Calculations[[#This Row],[For XLOOKUP]],Factors[For XLOOKUP],Factors[Factor],"")</f>
        <v>Σ.Ε. CO₂ eq</v>
      </c>
      <c r="O429" s="81">
        <f>_xlfn.XLOOKUP(Calculations[[#This Row],[For XLOOKUP]],Factors[For XLOOKUP],Factors[Value],"")</f>
        <v>8.1689999999999996E-4</v>
      </c>
      <c r="P429" s="81" t="str">
        <f>_xlfn.XLOOKUP(Calculations[[#This Row],[For XLOOKUP]],Factors[For XLOOKUP],Factors[Units],"")</f>
        <v>tn CO2 eq/ €</v>
      </c>
      <c r="Q429" s="19" t="str">
        <f>_xlfn.XLOOKUP(Calculations[[#This Row],[For XLOOKUP]],Factors[For XLOOKUP],Factors[Source],"")</f>
        <v>EXIOBASE 2019 - GR</v>
      </c>
      <c r="R42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9" s="81" t="str">
        <f>IF(LEFT(Calculations[[#This Row],[Emission Factor]],7)="Σ.Ε. CH",Calculations[[#This Row],[Value]]*Calculations[[#This Row],[Τιμή]],"-")</f>
        <v>-</v>
      </c>
      <c r="T42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9" s="81" t="str">
        <f>IF(LEFT(Calculations[[#This Row],[Emission Factor]],3)="GWP",Calculations[[#This Row],[Τιμή]],"-")</f>
        <v>-</v>
      </c>
      <c r="V429" s="81">
        <f>IF(OR(Calculations[[#This Row],[Emission Factor]]="Σ.Ε. CO₂ eq",Calculations[[#This Row],[Emission Factor]]="CO₂ eq"),Calculations[[#This Row],[Value]]*Calculations[[#This Row],[Τιμή]],"-")</f>
        <v>38.964692255999999</v>
      </c>
      <c r="W429" s="81" t="str">
        <f>IF(Calculations[[#This Row],[Πηγή εκπομπών]]="Electricity consumed in office buildings and projects - market based",Calculations[[#This Row],[t CO2]],"")</f>
        <v/>
      </c>
      <c r="X42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38.964692255999999</v>
      </c>
    </row>
    <row r="430" spans="1:24" ht="29.4" hidden="1" thickTop="1">
      <c r="A430" s="15" t="s">
        <v>350</v>
      </c>
      <c r="B430" s="15" t="s">
        <v>351</v>
      </c>
      <c r="C430" s="16" t="s">
        <v>624</v>
      </c>
      <c r="D430" s="16" t="s">
        <v>894</v>
      </c>
      <c r="E430" s="16"/>
      <c r="F430" s="16" t="s">
        <v>317</v>
      </c>
      <c r="G430" s="16" t="s">
        <v>585</v>
      </c>
      <c r="H430" s="15" t="s">
        <v>347</v>
      </c>
      <c r="I430" s="89" t="s">
        <v>347</v>
      </c>
      <c r="J430" s="79">
        <v>460177.16000000003</v>
      </c>
      <c r="K430" s="18" t="s">
        <v>1157</v>
      </c>
      <c r="L430" s="94" t="s">
        <v>418</v>
      </c>
      <c r="M430" s="148" t="s">
        <v>529</v>
      </c>
      <c r="N430" s="81" t="str">
        <f>_xlfn.XLOOKUP(Calculations[[#This Row],[For XLOOKUP]],Factors[For XLOOKUP],Factors[Factor],"")</f>
        <v>Σ.Ε. CO₂ eq</v>
      </c>
      <c r="O430" s="81">
        <f>_xlfn.XLOOKUP(Calculations[[#This Row],[For XLOOKUP]],Factors[For XLOOKUP],Factors[Value],"")</f>
        <v>1.655E-3</v>
      </c>
      <c r="P430" s="81" t="str">
        <f>_xlfn.XLOOKUP(Calculations[[#This Row],[For XLOOKUP]],Factors[For XLOOKUP],Factors[Units],"")</f>
        <v>tn CO2 eq/ €</v>
      </c>
      <c r="Q430" s="19" t="str">
        <f>_xlfn.XLOOKUP(Calculations[[#This Row],[For XLOOKUP]],Factors[For XLOOKUP],Factors[Source],"")</f>
        <v>EXIOBASE 2019 - GR</v>
      </c>
      <c r="R43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0" s="81" t="str">
        <f>IF(LEFT(Calculations[[#This Row],[Emission Factor]],7)="Σ.Ε. CH",Calculations[[#This Row],[Value]]*Calculations[[#This Row],[Τιμή]],"-")</f>
        <v>-</v>
      </c>
      <c r="T43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0" s="81" t="str">
        <f>IF(LEFT(Calculations[[#This Row],[Emission Factor]],3)="GWP",Calculations[[#This Row],[Τιμή]],"-")</f>
        <v>-</v>
      </c>
      <c r="V430" s="81">
        <f>IF(OR(Calculations[[#This Row],[Emission Factor]]="Σ.Ε. CO₂ eq",Calculations[[#This Row],[Emission Factor]]="CO₂ eq"),Calculations[[#This Row],[Value]]*Calculations[[#This Row],[Τιμή]],"-")</f>
        <v>761.59319980000009</v>
      </c>
      <c r="W430" s="81" t="str">
        <f>IF(Calculations[[#This Row],[Πηγή εκπομπών]]="Electricity consumed in office buildings and projects - market based",Calculations[[#This Row],[t CO2]],"")</f>
        <v/>
      </c>
      <c r="X43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761.59319980000009</v>
      </c>
    </row>
    <row r="431" spans="1:24" ht="29.4" hidden="1" thickTop="1">
      <c r="A431" s="15" t="s">
        <v>350</v>
      </c>
      <c r="B431" s="15" t="s">
        <v>351</v>
      </c>
      <c r="C431" s="16" t="s">
        <v>624</v>
      </c>
      <c r="D431" s="16" t="s">
        <v>894</v>
      </c>
      <c r="E431" s="16"/>
      <c r="F431" s="16" t="s">
        <v>317</v>
      </c>
      <c r="G431" s="16" t="s">
        <v>585</v>
      </c>
      <c r="H431" s="15" t="s">
        <v>347</v>
      </c>
      <c r="I431" s="89" t="s">
        <v>347</v>
      </c>
      <c r="J431" s="79">
        <v>39975.080000000009</v>
      </c>
      <c r="K431" s="18" t="s">
        <v>1157</v>
      </c>
      <c r="L431" s="94" t="s">
        <v>419</v>
      </c>
      <c r="M431" s="148" t="s">
        <v>530</v>
      </c>
      <c r="N431" s="81" t="str">
        <f>_xlfn.XLOOKUP(Calculations[[#This Row],[For XLOOKUP]],Factors[For XLOOKUP],Factors[Factor],"")</f>
        <v>Σ.Ε. CO₂ eq</v>
      </c>
      <c r="O431" s="81">
        <f>_xlfn.XLOOKUP(Calculations[[#This Row],[For XLOOKUP]],Factors[For XLOOKUP],Factors[Value],"")</f>
        <v>2.6114399999999999E-4</v>
      </c>
      <c r="P431" s="81" t="str">
        <f>_xlfn.XLOOKUP(Calculations[[#This Row],[For XLOOKUP]],Factors[For XLOOKUP],Factors[Units],"")</f>
        <v>tn CO2 eq/ €</v>
      </c>
      <c r="Q431" s="19" t="str">
        <f>_xlfn.XLOOKUP(Calculations[[#This Row],[For XLOOKUP]],Factors[For XLOOKUP],Factors[Source],"")</f>
        <v>EPA 2022</v>
      </c>
      <c r="R43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1" s="81" t="str">
        <f>IF(LEFT(Calculations[[#This Row],[Emission Factor]],7)="Σ.Ε. CH",Calculations[[#This Row],[Value]]*Calculations[[#This Row],[Τιμή]],"-")</f>
        <v>-</v>
      </c>
      <c r="T43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1" s="81" t="str">
        <f>IF(LEFT(Calculations[[#This Row],[Emission Factor]],3)="GWP",Calculations[[#This Row],[Τιμή]],"-")</f>
        <v>-</v>
      </c>
      <c r="V431" s="81">
        <f>IF(OR(Calculations[[#This Row],[Emission Factor]]="Σ.Ε. CO₂ eq",Calculations[[#This Row],[Emission Factor]]="CO₂ eq"),Calculations[[#This Row],[Value]]*Calculations[[#This Row],[Τιμή]],"-")</f>
        <v>10.439252291520003</v>
      </c>
      <c r="W431" s="81" t="str">
        <f>IF(Calculations[[#This Row],[Πηγή εκπομπών]]="Electricity consumed in office buildings and projects - market based",Calculations[[#This Row],[t CO2]],"")</f>
        <v/>
      </c>
      <c r="X43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10.439252291520003</v>
      </c>
    </row>
    <row r="432" spans="1:24" ht="29.4" hidden="1" thickTop="1">
      <c r="A432" s="15" t="s">
        <v>350</v>
      </c>
      <c r="B432" s="15" t="s">
        <v>351</v>
      </c>
      <c r="C432" s="16" t="s">
        <v>624</v>
      </c>
      <c r="D432" s="16" t="s">
        <v>894</v>
      </c>
      <c r="E432" s="16"/>
      <c r="F432" s="16" t="s">
        <v>317</v>
      </c>
      <c r="G432" s="16" t="s">
        <v>585</v>
      </c>
      <c r="H432" s="15" t="s">
        <v>347</v>
      </c>
      <c r="I432" s="89" t="s">
        <v>347</v>
      </c>
      <c r="J432" s="79">
        <v>915.12</v>
      </c>
      <c r="K432" s="18" t="s">
        <v>1157</v>
      </c>
      <c r="L432" s="94" t="s">
        <v>1163</v>
      </c>
      <c r="M432" s="148" t="s">
        <v>1160</v>
      </c>
      <c r="N432" s="81" t="str">
        <f>_xlfn.XLOOKUP(Calculations[[#This Row],[For XLOOKUP]],Factors[For XLOOKUP],Factors[Factor],"")</f>
        <v>Σ.Ε. CO₂ eq</v>
      </c>
      <c r="O432" s="81">
        <f>_xlfn.XLOOKUP(Calculations[[#This Row],[For XLOOKUP]],Factors[For XLOOKUP],Factors[Value],"")</f>
        <v>2.2534199999999998E-4</v>
      </c>
      <c r="P432" s="81" t="str">
        <f>_xlfn.XLOOKUP(Calculations[[#This Row],[For XLOOKUP]],Factors[For XLOOKUP],Factors[Units],"")</f>
        <v>tn CO2 eq/ €</v>
      </c>
      <c r="Q432" s="19" t="str">
        <f>_xlfn.XLOOKUP(Calculations[[#This Row],[For XLOOKUP]],Factors[For XLOOKUP],Factors[Source],"")</f>
        <v>EPA 2022</v>
      </c>
      <c r="R43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2" s="81" t="str">
        <f>IF(LEFT(Calculations[[#This Row],[Emission Factor]],7)="Σ.Ε. CH",Calculations[[#This Row],[Value]]*Calculations[[#This Row],[Τιμή]],"-")</f>
        <v>-</v>
      </c>
      <c r="T43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2" s="81" t="str">
        <f>IF(LEFT(Calculations[[#This Row],[Emission Factor]],3)="GWP",Calculations[[#This Row],[Τιμή]],"-")</f>
        <v>-</v>
      </c>
      <c r="V432" s="81">
        <f>IF(OR(Calculations[[#This Row],[Emission Factor]]="Σ.Ε. CO₂ eq",Calculations[[#This Row],[Emission Factor]]="CO₂ eq"),Calculations[[#This Row],[Value]]*Calculations[[#This Row],[Τιμή]],"-")</f>
        <v>0.20621497104</v>
      </c>
      <c r="W432" s="81" t="str">
        <f>IF(Calculations[[#This Row],[Πηγή εκπομπών]]="Electricity consumed in office buildings and projects - market based",Calculations[[#This Row],[t CO2]],"")</f>
        <v/>
      </c>
      <c r="X43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0.20621497104</v>
      </c>
    </row>
    <row r="433" spans="1:24" ht="29.4" hidden="1" thickTop="1">
      <c r="A433" s="15" t="s">
        <v>350</v>
      </c>
      <c r="B433" s="15" t="s">
        <v>351</v>
      </c>
      <c r="C433" s="16" t="s">
        <v>624</v>
      </c>
      <c r="D433" s="16" t="s">
        <v>894</v>
      </c>
      <c r="E433" s="16"/>
      <c r="F433" s="16" t="s">
        <v>317</v>
      </c>
      <c r="G433" s="16" t="s">
        <v>585</v>
      </c>
      <c r="H433" s="15" t="s">
        <v>347</v>
      </c>
      <c r="I433" s="89" t="s">
        <v>347</v>
      </c>
      <c r="J433" s="79">
        <v>34260.44</v>
      </c>
      <c r="K433" s="18" t="s">
        <v>1157</v>
      </c>
      <c r="L433" s="94" t="s">
        <v>369</v>
      </c>
      <c r="M433" s="148" t="s">
        <v>480</v>
      </c>
      <c r="N433" s="81" t="str">
        <f>_xlfn.XLOOKUP(Calculations[[#This Row],[For XLOOKUP]],Factors[For XLOOKUP],Factors[Factor],"")</f>
        <v>Σ.Ε. CO₂ eq</v>
      </c>
      <c r="O433" s="81">
        <f>_xlfn.XLOOKUP(Calculations[[#This Row],[For XLOOKUP]],Factors[For XLOOKUP],Factors[Value],"")</f>
        <v>1.1372399999999998E-4</v>
      </c>
      <c r="P433" s="81" t="str">
        <f>_xlfn.XLOOKUP(Calculations[[#This Row],[For XLOOKUP]],Factors[For XLOOKUP],Factors[Units],"")</f>
        <v>tn CO2 eq/ €</v>
      </c>
      <c r="Q433" s="19" t="str">
        <f>_xlfn.XLOOKUP(Calculations[[#This Row],[For XLOOKUP]],Factors[For XLOOKUP],Factors[Source],"")</f>
        <v>EPA 2022</v>
      </c>
      <c r="R43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3" s="81" t="str">
        <f>IF(LEFT(Calculations[[#This Row],[Emission Factor]],7)="Σ.Ε. CH",Calculations[[#This Row],[Value]]*Calculations[[#This Row],[Τιμή]],"-")</f>
        <v>-</v>
      </c>
      <c r="T43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3" s="81" t="str">
        <f>IF(LEFT(Calculations[[#This Row],[Emission Factor]],3)="GWP",Calculations[[#This Row],[Τιμή]],"-")</f>
        <v>-</v>
      </c>
      <c r="V433" s="81">
        <f>IF(OR(Calculations[[#This Row],[Emission Factor]]="Σ.Ε. CO₂ eq",Calculations[[#This Row],[Emission Factor]]="CO₂ eq"),Calculations[[#This Row],[Value]]*Calculations[[#This Row],[Τιμή]],"-")</f>
        <v>3.8962342785599997</v>
      </c>
      <c r="W433" s="81" t="str">
        <f>IF(Calculations[[#This Row],[Πηγή εκπομπών]]="Electricity consumed in office buildings and projects - market based",Calculations[[#This Row],[t CO2]],"")</f>
        <v/>
      </c>
      <c r="X43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3.8962342785599997</v>
      </c>
    </row>
    <row r="434" spans="1:24" ht="29.4" hidden="1" thickTop="1">
      <c r="A434" s="15" t="s">
        <v>350</v>
      </c>
      <c r="B434" s="15" t="s">
        <v>351</v>
      </c>
      <c r="C434" s="16" t="s">
        <v>624</v>
      </c>
      <c r="D434" s="16" t="s">
        <v>894</v>
      </c>
      <c r="E434" s="16"/>
      <c r="F434" s="16" t="s">
        <v>317</v>
      </c>
      <c r="G434" s="16" t="s">
        <v>585</v>
      </c>
      <c r="H434" s="15" t="s">
        <v>347</v>
      </c>
      <c r="I434" s="89" t="s">
        <v>347</v>
      </c>
      <c r="J434" s="79">
        <v>65747.260000000009</v>
      </c>
      <c r="K434" s="18" t="s">
        <v>1157</v>
      </c>
      <c r="L434" s="94" t="s">
        <v>413</v>
      </c>
      <c r="M434" s="148" t="s">
        <v>524</v>
      </c>
      <c r="N434" s="81" t="str">
        <f>_xlfn.XLOOKUP(Calculations[[#This Row],[For XLOOKUP]],Factors[For XLOOKUP],Factors[Factor],"")</f>
        <v>Σ.Ε. CO₂ eq</v>
      </c>
      <c r="O434" s="81">
        <f>_xlfn.XLOOKUP(Calculations[[#This Row],[For XLOOKUP]],Factors[For XLOOKUP],Factors[Value],"")</f>
        <v>1.03194E-4</v>
      </c>
      <c r="P434" s="81" t="str">
        <f>_xlfn.XLOOKUP(Calculations[[#This Row],[For XLOOKUP]],Factors[For XLOOKUP],Factors[Units],"")</f>
        <v>tn CO2 eq/ €</v>
      </c>
      <c r="Q434" s="19" t="str">
        <f>_xlfn.XLOOKUP(Calculations[[#This Row],[For XLOOKUP]],Factors[For XLOOKUP],Factors[Source],"")</f>
        <v>EPA 2022</v>
      </c>
      <c r="R43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4" s="81" t="str">
        <f>IF(LEFT(Calculations[[#This Row],[Emission Factor]],7)="Σ.Ε. CH",Calculations[[#This Row],[Value]]*Calculations[[#This Row],[Τιμή]],"-")</f>
        <v>-</v>
      </c>
      <c r="T43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4" s="81" t="str">
        <f>IF(LEFT(Calculations[[#This Row],[Emission Factor]],3)="GWP",Calculations[[#This Row],[Τιμή]],"-")</f>
        <v>-</v>
      </c>
      <c r="V434" s="81">
        <f>IF(OR(Calculations[[#This Row],[Emission Factor]]="Σ.Ε. CO₂ eq",Calculations[[#This Row],[Emission Factor]]="CO₂ eq"),Calculations[[#This Row],[Value]]*Calculations[[#This Row],[Τιμή]],"-")</f>
        <v>6.784722748440001</v>
      </c>
      <c r="W434" s="81" t="str">
        <f>IF(Calculations[[#This Row],[Πηγή εκπομπών]]="Electricity consumed in office buildings and projects - market based",Calculations[[#This Row],[t CO2]],"")</f>
        <v/>
      </c>
      <c r="X43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6.784722748440001</v>
      </c>
    </row>
    <row r="435" spans="1:24" ht="29.4" hidden="1" thickTop="1">
      <c r="A435" s="15" t="s">
        <v>350</v>
      </c>
      <c r="B435" s="15" t="s">
        <v>351</v>
      </c>
      <c r="C435" s="16" t="s">
        <v>624</v>
      </c>
      <c r="D435" s="16" t="s">
        <v>894</v>
      </c>
      <c r="E435" s="16"/>
      <c r="F435" s="16" t="s">
        <v>317</v>
      </c>
      <c r="G435" s="16" t="s">
        <v>585</v>
      </c>
      <c r="H435" s="15" t="s">
        <v>347</v>
      </c>
      <c r="I435" s="89" t="s">
        <v>347</v>
      </c>
      <c r="J435" s="79">
        <v>693722.55999999982</v>
      </c>
      <c r="K435" s="18" t="s">
        <v>1157</v>
      </c>
      <c r="L435" s="94" t="s">
        <v>384</v>
      </c>
      <c r="M435" s="148" t="s">
        <v>495</v>
      </c>
      <c r="N435" s="81" t="str">
        <f>_xlfn.XLOOKUP(Calculations[[#This Row],[For XLOOKUP]],Factors[For XLOOKUP],Factors[Factor],"")</f>
        <v>Σ.Ε. CO₂ eq</v>
      </c>
      <c r="O435" s="81">
        <f>_xlfn.XLOOKUP(Calculations[[#This Row],[For XLOOKUP]],Factors[For XLOOKUP],Factors[Value],"")</f>
        <v>8.4404124000000004E-4</v>
      </c>
      <c r="P435" s="81" t="str">
        <f>_xlfn.XLOOKUP(Calculations[[#This Row],[For XLOOKUP]],Factors[For XLOOKUP],Factors[Units],"")</f>
        <v>tn CO2 eq/ €</v>
      </c>
      <c r="Q435" s="19" t="str">
        <f>_xlfn.XLOOKUP(Calculations[[#This Row],[For XLOOKUP]],Factors[For XLOOKUP],Factors[Source],"")</f>
        <v>BEIS 2021</v>
      </c>
      <c r="R43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5" s="81" t="str">
        <f>IF(LEFT(Calculations[[#This Row],[Emission Factor]],7)="Σ.Ε. CH",Calculations[[#This Row],[Value]]*Calculations[[#This Row],[Τιμή]],"-")</f>
        <v>-</v>
      </c>
      <c r="T43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5" s="81" t="str">
        <f>IF(LEFT(Calculations[[#This Row],[Emission Factor]],3)="GWP",Calculations[[#This Row],[Τιμή]],"-")</f>
        <v>-</v>
      </c>
      <c r="V435" s="81">
        <f>IF(OR(Calculations[[#This Row],[Emission Factor]]="Σ.Ε. CO₂ eq",Calculations[[#This Row],[Emission Factor]]="CO₂ eq"),Calculations[[#This Row],[Value]]*Calculations[[#This Row],[Τιμή]],"-")</f>
        <v>585.53044975837429</v>
      </c>
      <c r="W435" s="81" t="str">
        <f>IF(Calculations[[#This Row],[Πηγή εκπομπών]]="Electricity consumed in office buildings and projects - market based",Calculations[[#This Row],[t CO2]],"")</f>
        <v/>
      </c>
      <c r="X43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585.53044975837429</v>
      </c>
    </row>
    <row r="436" spans="1:24" ht="29.4" hidden="1" thickTop="1">
      <c r="A436" s="15" t="s">
        <v>350</v>
      </c>
      <c r="B436" s="15" t="s">
        <v>351</v>
      </c>
      <c r="C436" s="16" t="s">
        <v>624</v>
      </c>
      <c r="D436" s="16" t="s">
        <v>894</v>
      </c>
      <c r="E436" s="16"/>
      <c r="F436" s="16" t="s">
        <v>317</v>
      </c>
      <c r="G436" s="16" t="s">
        <v>585</v>
      </c>
      <c r="H436" s="15" t="s">
        <v>347</v>
      </c>
      <c r="I436" s="89" t="s">
        <v>347</v>
      </c>
      <c r="J436" s="79">
        <v>2167.92</v>
      </c>
      <c r="K436" s="18" t="s">
        <v>1157</v>
      </c>
      <c r="L436" s="94" t="s">
        <v>404</v>
      </c>
      <c r="M436" s="148" t="s">
        <v>515</v>
      </c>
      <c r="N436" s="81" t="str">
        <f>_xlfn.XLOOKUP(Calculations[[#This Row],[For XLOOKUP]],Factors[For XLOOKUP],Factors[Factor],"")</f>
        <v>Σ.Ε. CO₂ eq</v>
      </c>
      <c r="O436" s="81">
        <f>_xlfn.XLOOKUP(Calculations[[#This Row],[For XLOOKUP]],Factors[For XLOOKUP],Factors[Value],"")</f>
        <v>2.1090000000000002E-3</v>
      </c>
      <c r="P436" s="81" t="str">
        <f>_xlfn.XLOOKUP(Calculations[[#This Row],[For XLOOKUP]],Factors[For XLOOKUP],Factors[Units],"")</f>
        <v>tn CO2 eq/ €</v>
      </c>
      <c r="Q436" s="19" t="str">
        <f>_xlfn.XLOOKUP(Calculations[[#This Row],[For XLOOKUP]],Factors[For XLOOKUP],Factors[Source],"")</f>
        <v>EXIOBASE 2019 - GR</v>
      </c>
      <c r="R43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6" s="81" t="str">
        <f>IF(LEFT(Calculations[[#This Row],[Emission Factor]],7)="Σ.Ε. CH",Calculations[[#This Row],[Value]]*Calculations[[#This Row],[Τιμή]],"-")</f>
        <v>-</v>
      </c>
      <c r="T43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6" s="81" t="str">
        <f>IF(LEFT(Calculations[[#This Row],[Emission Factor]],3)="GWP",Calculations[[#This Row],[Τιμή]],"-")</f>
        <v>-</v>
      </c>
      <c r="V436" s="81">
        <f>IF(OR(Calculations[[#This Row],[Emission Factor]]="Σ.Ε. CO₂ eq",Calculations[[#This Row],[Emission Factor]]="CO₂ eq"),Calculations[[#This Row],[Value]]*Calculations[[#This Row],[Τιμή]],"-")</f>
        <v>4.5721432800000006</v>
      </c>
      <c r="W436" s="81" t="str">
        <f>IF(Calculations[[#This Row],[Πηγή εκπομπών]]="Electricity consumed in office buildings and projects - market based",Calculations[[#This Row],[t CO2]],"")</f>
        <v/>
      </c>
      <c r="X43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4.5721432800000006</v>
      </c>
    </row>
    <row r="437" spans="1:24" ht="29.4" hidden="1" thickTop="1">
      <c r="A437" s="15" t="s">
        <v>350</v>
      </c>
      <c r="B437" s="15" t="s">
        <v>351</v>
      </c>
      <c r="C437" s="16" t="s">
        <v>624</v>
      </c>
      <c r="D437" s="16" t="s">
        <v>894</v>
      </c>
      <c r="E437" s="16"/>
      <c r="F437" s="16" t="s">
        <v>317</v>
      </c>
      <c r="G437" s="16" t="s">
        <v>585</v>
      </c>
      <c r="H437" s="15" t="s">
        <v>347</v>
      </c>
      <c r="I437" s="89" t="s">
        <v>347</v>
      </c>
      <c r="J437" s="79">
        <v>140302.94</v>
      </c>
      <c r="K437" s="18" t="s">
        <v>1157</v>
      </c>
      <c r="L437" s="94" t="s">
        <v>379</v>
      </c>
      <c r="M437" s="148" t="s">
        <v>490</v>
      </c>
      <c r="N437" s="81" t="str">
        <f>_xlfn.XLOOKUP(Calculations[[#This Row],[For XLOOKUP]],Factors[For XLOOKUP],Factors[Factor],"")</f>
        <v>Σ.Ε. CO₂ eq</v>
      </c>
      <c r="O437" s="81">
        <f>_xlfn.XLOOKUP(Calculations[[#This Row],[For XLOOKUP]],Factors[For XLOOKUP],Factors[Value],"")</f>
        <v>6.8300000000000001E-4</v>
      </c>
      <c r="P437" s="81" t="str">
        <f>_xlfn.XLOOKUP(Calculations[[#This Row],[For XLOOKUP]],Factors[For XLOOKUP],Factors[Units],"")</f>
        <v>tn CO2 eq/ €</v>
      </c>
      <c r="Q437" s="19" t="str">
        <f>_xlfn.XLOOKUP(Calculations[[#This Row],[For XLOOKUP]],Factors[For XLOOKUP],Factors[Source],"")</f>
        <v>EXIOBASE 2019 - GR</v>
      </c>
      <c r="R43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7" s="81" t="str">
        <f>IF(LEFT(Calculations[[#This Row],[Emission Factor]],7)="Σ.Ε. CH",Calculations[[#This Row],[Value]]*Calculations[[#This Row],[Τιμή]],"-")</f>
        <v>-</v>
      </c>
      <c r="T43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7" s="81" t="str">
        <f>IF(LEFT(Calculations[[#This Row],[Emission Factor]],3)="GWP",Calculations[[#This Row],[Τιμή]],"-")</f>
        <v>-</v>
      </c>
      <c r="V437" s="81">
        <f>IF(OR(Calculations[[#This Row],[Emission Factor]]="Σ.Ε. CO₂ eq",Calculations[[#This Row],[Emission Factor]]="CO₂ eq"),Calculations[[#This Row],[Value]]*Calculations[[#This Row],[Τιμή]],"-")</f>
        <v>95.826908020000005</v>
      </c>
      <c r="W437" s="81" t="str">
        <f>IF(Calculations[[#This Row],[Πηγή εκπομπών]]="Electricity consumed in office buildings and projects - market based",Calculations[[#This Row],[t CO2]],"")</f>
        <v/>
      </c>
      <c r="X43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95.826908020000005</v>
      </c>
    </row>
    <row r="438" spans="1:24" ht="29.4" hidden="1" thickTop="1">
      <c r="A438" s="15" t="s">
        <v>350</v>
      </c>
      <c r="B438" s="15" t="s">
        <v>351</v>
      </c>
      <c r="C438" s="16" t="s">
        <v>624</v>
      </c>
      <c r="D438" s="16" t="s">
        <v>894</v>
      </c>
      <c r="E438" s="16"/>
      <c r="F438" s="16" t="s">
        <v>317</v>
      </c>
      <c r="G438" s="16" t="s">
        <v>585</v>
      </c>
      <c r="H438" s="15" t="s">
        <v>347</v>
      </c>
      <c r="I438" s="89" t="s">
        <v>347</v>
      </c>
      <c r="J438" s="79">
        <v>3760.2</v>
      </c>
      <c r="K438" s="18" t="s">
        <v>1157</v>
      </c>
      <c r="L438" s="94" t="s">
        <v>440</v>
      </c>
      <c r="M438" s="148" t="s">
        <v>551</v>
      </c>
      <c r="N438" s="81" t="str">
        <f>_xlfn.XLOOKUP(Calculations[[#This Row],[For XLOOKUP]],Factors[For XLOOKUP],Factors[Factor],"")</f>
        <v>Σ.Ε. CO₂ eq</v>
      </c>
      <c r="O438" s="81">
        <f>_xlfn.XLOOKUP(Calculations[[#This Row],[For XLOOKUP]],Factors[For XLOOKUP],Factors[Value],"")</f>
        <v>3.7170899999999996E-4</v>
      </c>
      <c r="P438" s="81" t="str">
        <f>_xlfn.XLOOKUP(Calculations[[#This Row],[For XLOOKUP]],Factors[For XLOOKUP],Factors[Units],"")</f>
        <v>tn CO2 eq/ €</v>
      </c>
      <c r="Q438" s="19" t="str">
        <f>_xlfn.XLOOKUP(Calculations[[#This Row],[For XLOOKUP]],Factors[For XLOOKUP],Factors[Source],"")</f>
        <v>EPA 2022</v>
      </c>
      <c r="R43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8" s="81" t="str">
        <f>IF(LEFT(Calculations[[#This Row],[Emission Factor]],7)="Σ.Ε. CH",Calculations[[#This Row],[Value]]*Calculations[[#This Row],[Τιμή]],"-")</f>
        <v>-</v>
      </c>
      <c r="T43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8" s="81" t="str">
        <f>IF(LEFT(Calculations[[#This Row],[Emission Factor]],3)="GWP",Calculations[[#This Row],[Τιμή]],"-")</f>
        <v>-</v>
      </c>
      <c r="V438" s="81">
        <f>IF(OR(Calculations[[#This Row],[Emission Factor]]="Σ.Ε. CO₂ eq",Calculations[[#This Row],[Emission Factor]]="CO₂ eq"),Calculations[[#This Row],[Value]]*Calculations[[#This Row],[Τιμή]],"-")</f>
        <v>1.3977001817999999</v>
      </c>
      <c r="W438" s="81" t="str">
        <f>IF(Calculations[[#This Row],[Πηγή εκπομπών]]="Electricity consumed in office buildings and projects - market based",Calculations[[#This Row],[t CO2]],"")</f>
        <v/>
      </c>
      <c r="X43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1.3977001817999999</v>
      </c>
    </row>
    <row r="439" spans="1:24" ht="29.4" hidden="1" thickTop="1">
      <c r="A439" s="15" t="s">
        <v>350</v>
      </c>
      <c r="B439" s="15" t="s">
        <v>351</v>
      </c>
      <c r="C439" s="16" t="s">
        <v>624</v>
      </c>
      <c r="D439" s="16" t="s">
        <v>894</v>
      </c>
      <c r="E439" s="16"/>
      <c r="F439" s="16" t="s">
        <v>317</v>
      </c>
      <c r="G439" s="16" t="s">
        <v>585</v>
      </c>
      <c r="H439" s="15" t="s">
        <v>347</v>
      </c>
      <c r="I439" s="89" t="s">
        <v>347</v>
      </c>
      <c r="J439" s="79">
        <v>1092467.07</v>
      </c>
      <c r="K439" s="18" t="s">
        <v>1157</v>
      </c>
      <c r="L439" s="94" t="s">
        <v>373</v>
      </c>
      <c r="M439" s="148" t="s">
        <v>484</v>
      </c>
      <c r="N439" s="81" t="str">
        <f>_xlfn.XLOOKUP(Calculations[[#This Row],[For XLOOKUP]],Factors[For XLOOKUP],Factors[Factor],"")</f>
        <v>Σ.Ε. CO₂ eq</v>
      </c>
      <c r="O439" s="81">
        <f>_xlfn.XLOOKUP(Calculations[[#This Row],[For XLOOKUP]],Factors[For XLOOKUP],Factors[Value],"")</f>
        <v>1.4320800000000003E-4</v>
      </c>
      <c r="P439" s="81" t="str">
        <f>_xlfn.XLOOKUP(Calculations[[#This Row],[For XLOOKUP]],Factors[For XLOOKUP],Factors[Units],"")</f>
        <v>tn CO2 eq/ €</v>
      </c>
      <c r="Q439" s="19" t="str">
        <f>_xlfn.XLOOKUP(Calculations[[#This Row],[For XLOOKUP]],Factors[For XLOOKUP],Factors[Source],"")</f>
        <v>EPA 2022</v>
      </c>
      <c r="R43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9" s="81" t="str">
        <f>IF(LEFT(Calculations[[#This Row],[Emission Factor]],7)="Σ.Ε. CH",Calculations[[#This Row],[Value]]*Calculations[[#This Row],[Τιμή]],"-")</f>
        <v>-</v>
      </c>
      <c r="T43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9" s="81" t="str">
        <f>IF(LEFT(Calculations[[#This Row],[Emission Factor]],3)="GWP",Calculations[[#This Row],[Τιμή]],"-")</f>
        <v>-</v>
      </c>
      <c r="V439" s="81">
        <f>IF(OR(Calculations[[#This Row],[Emission Factor]]="Σ.Ε. CO₂ eq",Calculations[[#This Row],[Emission Factor]]="CO₂ eq"),Calculations[[#This Row],[Value]]*Calculations[[#This Row],[Τιμή]],"-")</f>
        <v>156.45002416056005</v>
      </c>
      <c r="W439" s="81" t="str">
        <f>IF(Calculations[[#This Row],[Πηγή εκπομπών]]="Electricity consumed in office buildings and projects - market based",Calculations[[#This Row],[t CO2]],"")</f>
        <v/>
      </c>
      <c r="X43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156.45002416056005</v>
      </c>
    </row>
    <row r="440" spans="1:24" ht="29.4" hidden="1" thickTop="1">
      <c r="A440" s="15" t="s">
        <v>350</v>
      </c>
      <c r="B440" s="15" t="s">
        <v>351</v>
      </c>
      <c r="C440" s="16" t="s">
        <v>624</v>
      </c>
      <c r="D440" s="16" t="s">
        <v>894</v>
      </c>
      <c r="E440" s="16"/>
      <c r="F440" s="16" t="s">
        <v>317</v>
      </c>
      <c r="G440" s="16" t="s">
        <v>585</v>
      </c>
      <c r="H440" s="15" t="s">
        <v>347</v>
      </c>
      <c r="I440" s="89" t="s">
        <v>347</v>
      </c>
      <c r="J440" s="79">
        <v>63419.3</v>
      </c>
      <c r="K440" s="18" t="s">
        <v>1157</v>
      </c>
      <c r="L440" s="94" t="s">
        <v>390</v>
      </c>
      <c r="M440" s="148" t="s">
        <v>501</v>
      </c>
      <c r="N440" s="81" t="str">
        <f>_xlfn.XLOOKUP(Calculations[[#This Row],[For XLOOKUP]],Factors[For XLOOKUP],Factors[Factor],"")</f>
        <v>Σ.Ε. CO₂ eq</v>
      </c>
      <c r="O440" s="81">
        <f>_xlfn.XLOOKUP(Calculations[[#This Row],[For XLOOKUP]],Factors[For XLOOKUP],Factors[Value],"")</f>
        <v>1.9480499999999999E-4</v>
      </c>
      <c r="P440" s="81" t="str">
        <f>_xlfn.XLOOKUP(Calculations[[#This Row],[For XLOOKUP]],Factors[For XLOOKUP],Factors[Units],"")</f>
        <v>tn CO2 eq/ €</v>
      </c>
      <c r="Q440" s="19" t="str">
        <f>_xlfn.XLOOKUP(Calculations[[#This Row],[For XLOOKUP]],Factors[For XLOOKUP],Factors[Source],"")</f>
        <v>EPA 2022</v>
      </c>
      <c r="R44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0" s="81" t="str">
        <f>IF(LEFT(Calculations[[#This Row],[Emission Factor]],7)="Σ.Ε. CH",Calculations[[#This Row],[Value]]*Calculations[[#This Row],[Τιμή]],"-")</f>
        <v>-</v>
      </c>
      <c r="T44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0" s="81" t="str">
        <f>IF(LEFT(Calculations[[#This Row],[Emission Factor]],3)="GWP",Calculations[[#This Row],[Τιμή]],"-")</f>
        <v>-</v>
      </c>
      <c r="V440" s="81">
        <f>IF(OR(Calculations[[#This Row],[Emission Factor]]="Σ.Ε. CO₂ eq",Calculations[[#This Row],[Emission Factor]]="CO₂ eq"),Calculations[[#This Row],[Value]]*Calculations[[#This Row],[Τιμή]],"-")</f>
        <v>12.3543967365</v>
      </c>
      <c r="W440" s="81" t="str">
        <f>IF(Calculations[[#This Row],[Πηγή εκπομπών]]="Electricity consumed in office buildings and projects - market based",Calculations[[#This Row],[t CO2]],"")</f>
        <v/>
      </c>
      <c r="X44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12.3543967365</v>
      </c>
    </row>
    <row r="441" spans="1:24" ht="29.4" hidden="1" thickTop="1">
      <c r="A441" s="15" t="s">
        <v>350</v>
      </c>
      <c r="B441" s="15" t="s">
        <v>351</v>
      </c>
      <c r="C441" s="16" t="s">
        <v>624</v>
      </c>
      <c r="D441" s="16" t="s">
        <v>894</v>
      </c>
      <c r="E441" s="16"/>
      <c r="F441" s="16" t="s">
        <v>317</v>
      </c>
      <c r="G441" s="16" t="s">
        <v>585</v>
      </c>
      <c r="H441" s="15" t="s">
        <v>347</v>
      </c>
      <c r="I441" s="89" t="s">
        <v>347</v>
      </c>
      <c r="J441" s="79">
        <v>32676.510000000002</v>
      </c>
      <c r="K441" s="18" t="s">
        <v>1157</v>
      </c>
      <c r="L441" s="94" t="s">
        <v>377</v>
      </c>
      <c r="M441" s="148" t="s">
        <v>488</v>
      </c>
      <c r="N441" s="81" t="str">
        <f>_xlfn.XLOOKUP(Calculations[[#This Row],[For XLOOKUP]],Factors[For XLOOKUP],Factors[Factor],"")</f>
        <v>Σ.Ε. CO₂ eq</v>
      </c>
      <c r="O441" s="81">
        <f>_xlfn.XLOOKUP(Calculations[[#This Row],[For XLOOKUP]],Factors[For XLOOKUP],Factors[Value],"")</f>
        <v>2.2370000000000002E-4</v>
      </c>
      <c r="P441" s="81" t="str">
        <f>_xlfn.XLOOKUP(Calculations[[#This Row],[For XLOOKUP]],Factors[For XLOOKUP],Factors[Units],"")</f>
        <v>tn CO2 eq/ €</v>
      </c>
      <c r="Q441" s="19" t="str">
        <f>_xlfn.XLOOKUP(Calculations[[#This Row],[For XLOOKUP]],Factors[For XLOOKUP],Factors[Source],"")</f>
        <v>EXIOBASE 2019 - GR</v>
      </c>
      <c r="R44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1" s="81" t="str">
        <f>IF(LEFT(Calculations[[#This Row],[Emission Factor]],7)="Σ.Ε. CH",Calculations[[#This Row],[Value]]*Calculations[[#This Row],[Τιμή]],"-")</f>
        <v>-</v>
      </c>
      <c r="T44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1" s="81" t="str">
        <f>IF(LEFT(Calculations[[#This Row],[Emission Factor]],3)="GWP",Calculations[[#This Row],[Τιμή]],"-")</f>
        <v>-</v>
      </c>
      <c r="V441" s="81">
        <f>IF(OR(Calculations[[#This Row],[Emission Factor]]="Σ.Ε. CO₂ eq",Calculations[[#This Row],[Emission Factor]]="CO₂ eq"),Calculations[[#This Row],[Value]]*Calculations[[#This Row],[Τιμή]],"-")</f>
        <v>7.3097352870000014</v>
      </c>
      <c r="W441" s="81" t="str">
        <f>IF(Calculations[[#This Row],[Πηγή εκπομπών]]="Electricity consumed in office buildings and projects - market based",Calculations[[#This Row],[t CO2]],"")</f>
        <v/>
      </c>
      <c r="X44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7.3097352870000014</v>
      </c>
    </row>
    <row r="442" spans="1:24" ht="29.4" hidden="1" thickTop="1">
      <c r="A442" s="15" t="s">
        <v>350</v>
      </c>
      <c r="B442" s="15" t="s">
        <v>351</v>
      </c>
      <c r="C442" s="16" t="s">
        <v>624</v>
      </c>
      <c r="D442" s="16" t="s">
        <v>894</v>
      </c>
      <c r="E442" s="16"/>
      <c r="F442" s="16" t="s">
        <v>317</v>
      </c>
      <c r="G442" s="16" t="s">
        <v>585</v>
      </c>
      <c r="H442" s="15" t="s">
        <v>347</v>
      </c>
      <c r="I442" s="89" t="s">
        <v>347</v>
      </c>
      <c r="J442" s="79">
        <v>49047.619999999995</v>
      </c>
      <c r="K442" s="18" t="s">
        <v>1157</v>
      </c>
      <c r="L442" s="94" t="s">
        <v>378</v>
      </c>
      <c r="M442" s="148" t="s">
        <v>489</v>
      </c>
      <c r="N442" s="81" t="str">
        <f>_xlfn.XLOOKUP(Calculations[[#This Row],[For XLOOKUP]],Factors[For XLOOKUP],Factors[Factor],"")</f>
        <v>Σ.Ε. CO₂ eq</v>
      </c>
      <c r="O442" s="81">
        <f>_xlfn.XLOOKUP(Calculations[[#This Row],[For XLOOKUP]],Factors[For XLOOKUP],Factors[Value],"")</f>
        <v>3.4710648E-4</v>
      </c>
      <c r="P442" s="81" t="str">
        <f>_xlfn.XLOOKUP(Calculations[[#This Row],[For XLOOKUP]],Factors[For XLOOKUP],Factors[Units],"")</f>
        <v>tn CO2 eq/ €</v>
      </c>
      <c r="Q442" s="19" t="str">
        <f>_xlfn.XLOOKUP(Calculations[[#This Row],[For XLOOKUP]],Factors[For XLOOKUP],Factors[Source],"")</f>
        <v>BEIS 2021</v>
      </c>
      <c r="R44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2" s="81" t="str">
        <f>IF(LEFT(Calculations[[#This Row],[Emission Factor]],7)="Σ.Ε. CH",Calculations[[#This Row],[Value]]*Calculations[[#This Row],[Τιμή]],"-")</f>
        <v>-</v>
      </c>
      <c r="T44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2" s="81" t="str">
        <f>IF(LEFT(Calculations[[#This Row],[Emission Factor]],3)="GWP",Calculations[[#This Row],[Τιμή]],"-")</f>
        <v>-</v>
      </c>
      <c r="V442" s="81">
        <f>IF(OR(Calculations[[#This Row],[Emission Factor]]="Σ.Ε. CO₂ eq",Calculations[[#This Row],[Emission Factor]]="CO₂ eq"),Calculations[[#This Row],[Value]]*Calculations[[#This Row],[Τιμή]],"-")</f>
        <v>17.024746730577597</v>
      </c>
      <c r="W442" s="81" t="str">
        <f>IF(Calculations[[#This Row],[Πηγή εκπομπών]]="Electricity consumed in office buildings and projects - market based",Calculations[[#This Row],[t CO2]],"")</f>
        <v/>
      </c>
      <c r="X44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17.024746730577597</v>
      </c>
    </row>
    <row r="443" spans="1:24" ht="29.4" hidden="1" thickTop="1">
      <c r="A443" s="15" t="s">
        <v>350</v>
      </c>
      <c r="B443" s="15" t="s">
        <v>351</v>
      </c>
      <c r="C443" s="16" t="s">
        <v>624</v>
      </c>
      <c r="D443" s="16" t="s">
        <v>894</v>
      </c>
      <c r="E443" s="16"/>
      <c r="F443" s="16" t="s">
        <v>317</v>
      </c>
      <c r="G443" s="16" t="s">
        <v>585</v>
      </c>
      <c r="H443" s="15" t="s">
        <v>347</v>
      </c>
      <c r="I443" s="89" t="s">
        <v>347</v>
      </c>
      <c r="J443" s="79">
        <v>244815.51</v>
      </c>
      <c r="K443" s="18" t="s">
        <v>1157</v>
      </c>
      <c r="L443" s="94" t="s">
        <v>370</v>
      </c>
      <c r="M443" s="148" t="s">
        <v>481</v>
      </c>
      <c r="N443" s="81" t="str">
        <f>_xlfn.XLOOKUP(Calculations[[#This Row],[For XLOOKUP]],Factors[For XLOOKUP],Factors[Factor],"")</f>
        <v>Σ.Ε. CO₂ eq</v>
      </c>
      <c r="O443" s="81">
        <f>_xlfn.XLOOKUP(Calculations[[#This Row],[For XLOOKUP]],Factors[For XLOOKUP],Factors[Value],"")</f>
        <v>7.6829999999999997E-4</v>
      </c>
      <c r="P443" s="81" t="str">
        <f>_xlfn.XLOOKUP(Calculations[[#This Row],[For XLOOKUP]],Factors[For XLOOKUP],Factors[Units],"")</f>
        <v>tn CO2 eq/ €</v>
      </c>
      <c r="Q443" s="19" t="str">
        <f>_xlfn.XLOOKUP(Calculations[[#This Row],[For XLOOKUP]],Factors[For XLOOKUP],Factors[Source],"")</f>
        <v>EXIOBASE 2019 - GR</v>
      </c>
      <c r="R44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3" s="81" t="str">
        <f>IF(LEFT(Calculations[[#This Row],[Emission Factor]],7)="Σ.Ε. CH",Calculations[[#This Row],[Value]]*Calculations[[#This Row],[Τιμή]],"-")</f>
        <v>-</v>
      </c>
      <c r="T44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3" s="81" t="str">
        <f>IF(LEFT(Calculations[[#This Row],[Emission Factor]],3)="GWP",Calculations[[#This Row],[Τιμή]],"-")</f>
        <v>-</v>
      </c>
      <c r="V443" s="81">
        <f>IF(OR(Calculations[[#This Row],[Emission Factor]]="Σ.Ε. CO₂ eq",Calculations[[#This Row],[Emission Factor]]="CO₂ eq"),Calculations[[#This Row],[Value]]*Calculations[[#This Row],[Τιμή]],"-")</f>
        <v>188.09175633300001</v>
      </c>
      <c r="W443" s="81" t="str">
        <f>IF(Calculations[[#This Row],[Πηγή εκπομπών]]="Electricity consumed in office buildings and projects - market based",Calculations[[#This Row],[t CO2]],"")</f>
        <v/>
      </c>
      <c r="X44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188.09175633300001</v>
      </c>
    </row>
    <row r="444" spans="1:24" ht="29.4" hidden="1" thickTop="1">
      <c r="A444" s="15" t="s">
        <v>350</v>
      </c>
      <c r="B444" s="15" t="s">
        <v>351</v>
      </c>
      <c r="C444" s="16" t="s">
        <v>624</v>
      </c>
      <c r="D444" s="16" t="s">
        <v>894</v>
      </c>
      <c r="E444" s="16"/>
      <c r="F444" s="16" t="s">
        <v>317</v>
      </c>
      <c r="G444" s="16" t="s">
        <v>585</v>
      </c>
      <c r="H444" s="15" t="s">
        <v>347</v>
      </c>
      <c r="I444" s="89" t="s">
        <v>347</v>
      </c>
      <c r="J444" s="79">
        <v>6420.880000000001</v>
      </c>
      <c r="K444" s="18" t="s">
        <v>1157</v>
      </c>
      <c r="L444" s="94" t="s">
        <v>403</v>
      </c>
      <c r="M444" s="148" t="s">
        <v>514</v>
      </c>
      <c r="N444" s="81" t="str">
        <f>_xlfn.XLOOKUP(Calculations[[#This Row],[For XLOOKUP]],Factors[For XLOOKUP],Factors[Factor],"")</f>
        <v>Σ.Ε. CO₂ eq</v>
      </c>
      <c r="O444" s="81">
        <f>_xlfn.XLOOKUP(Calculations[[#This Row],[For XLOOKUP]],Factors[For XLOOKUP],Factors[Value],"")</f>
        <v>1.5329999999999999E-3</v>
      </c>
      <c r="P444" s="81" t="str">
        <f>_xlfn.XLOOKUP(Calculations[[#This Row],[For XLOOKUP]],Factors[For XLOOKUP],Factors[Units],"")</f>
        <v>tn CO2 eq/ €</v>
      </c>
      <c r="Q444" s="19" t="str">
        <f>_xlfn.XLOOKUP(Calculations[[#This Row],[For XLOOKUP]],Factors[For XLOOKUP],Factors[Source],"")</f>
        <v>EXIOBASE 2019 - GR</v>
      </c>
      <c r="R44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4" s="81" t="str">
        <f>IF(LEFT(Calculations[[#This Row],[Emission Factor]],7)="Σ.Ε. CH",Calculations[[#This Row],[Value]]*Calculations[[#This Row],[Τιμή]],"-")</f>
        <v>-</v>
      </c>
      <c r="T44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4" s="81" t="str">
        <f>IF(LEFT(Calculations[[#This Row],[Emission Factor]],3)="GWP",Calculations[[#This Row],[Τιμή]],"-")</f>
        <v>-</v>
      </c>
      <c r="V444" s="81">
        <f>IF(OR(Calculations[[#This Row],[Emission Factor]]="Σ.Ε. CO₂ eq",Calculations[[#This Row],[Emission Factor]]="CO₂ eq"),Calculations[[#This Row],[Value]]*Calculations[[#This Row],[Τιμή]],"-")</f>
        <v>9.8432090400000014</v>
      </c>
      <c r="W444" s="81" t="str">
        <f>IF(Calculations[[#This Row],[Πηγή εκπομπών]]="Electricity consumed in office buildings and projects - market based",Calculations[[#This Row],[t CO2]],"")</f>
        <v/>
      </c>
      <c r="X44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9.8432090400000014</v>
      </c>
    </row>
    <row r="445" spans="1:24" ht="29.4" hidden="1" thickTop="1">
      <c r="A445" s="15" t="s">
        <v>350</v>
      </c>
      <c r="B445" s="15" t="s">
        <v>351</v>
      </c>
      <c r="C445" s="16" t="s">
        <v>624</v>
      </c>
      <c r="D445" s="16" t="s">
        <v>894</v>
      </c>
      <c r="E445" s="16"/>
      <c r="F445" s="16" t="s">
        <v>317</v>
      </c>
      <c r="G445" s="16" t="s">
        <v>585</v>
      </c>
      <c r="H445" s="15" t="s">
        <v>347</v>
      </c>
      <c r="I445" s="89" t="s">
        <v>347</v>
      </c>
      <c r="J445" s="79">
        <v>15174.720000000001</v>
      </c>
      <c r="K445" s="18" t="s">
        <v>1157</v>
      </c>
      <c r="L445" s="94" t="s">
        <v>450</v>
      </c>
      <c r="M445" s="148" t="s">
        <v>561</v>
      </c>
      <c r="N445" s="81" t="str">
        <f>_xlfn.XLOOKUP(Calculations[[#This Row],[For XLOOKUP]],Factors[For XLOOKUP],Factors[Factor],"")</f>
        <v>Σ.Ε. CO₂ eq</v>
      </c>
      <c r="O445" s="81">
        <f>_xlfn.XLOOKUP(Calculations[[#This Row],[For XLOOKUP]],Factors[For XLOOKUP],Factors[Value],"")</f>
        <v>5.2500000000000002E-5</v>
      </c>
      <c r="P445" s="81" t="str">
        <f>_xlfn.XLOOKUP(Calculations[[#This Row],[For XLOOKUP]],Factors[For XLOOKUP],Factors[Units],"")</f>
        <v>tn CO2 eq/ €</v>
      </c>
      <c r="Q445" s="19" t="str">
        <f>_xlfn.XLOOKUP(Calculations[[#This Row],[For XLOOKUP]],Factors[For XLOOKUP],Factors[Source],"")</f>
        <v>EXIOBASE 2019 - GR</v>
      </c>
      <c r="R44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5" s="81" t="str">
        <f>IF(LEFT(Calculations[[#This Row],[Emission Factor]],7)="Σ.Ε. CH",Calculations[[#This Row],[Value]]*Calculations[[#This Row],[Τιμή]],"-")</f>
        <v>-</v>
      </c>
      <c r="T44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5" s="81" t="str">
        <f>IF(LEFT(Calculations[[#This Row],[Emission Factor]],3)="GWP",Calculations[[#This Row],[Τιμή]],"-")</f>
        <v>-</v>
      </c>
      <c r="V445" s="81">
        <f>IF(OR(Calculations[[#This Row],[Emission Factor]]="Σ.Ε. CO₂ eq",Calculations[[#This Row],[Emission Factor]]="CO₂ eq"),Calculations[[#This Row],[Value]]*Calculations[[#This Row],[Τιμή]],"-")</f>
        <v>0.79667280000000007</v>
      </c>
      <c r="W445" s="81" t="str">
        <f>IF(Calculations[[#This Row],[Πηγή εκπομπών]]="Electricity consumed in office buildings and projects - market based",Calculations[[#This Row],[t CO2]],"")</f>
        <v/>
      </c>
      <c r="X44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0.79667280000000007</v>
      </c>
    </row>
    <row r="446" spans="1:24" ht="29.4" hidden="1" thickTop="1">
      <c r="A446" s="15" t="s">
        <v>350</v>
      </c>
      <c r="B446" s="15" t="s">
        <v>351</v>
      </c>
      <c r="C446" s="16" t="s">
        <v>624</v>
      </c>
      <c r="D446" s="16" t="s">
        <v>894</v>
      </c>
      <c r="E446" s="16"/>
      <c r="F446" s="16" t="s">
        <v>317</v>
      </c>
      <c r="G446" s="16" t="s">
        <v>585</v>
      </c>
      <c r="H446" s="15" t="s">
        <v>347</v>
      </c>
      <c r="I446" s="89" t="s">
        <v>347</v>
      </c>
      <c r="J446" s="79">
        <v>52292.509999999995</v>
      </c>
      <c r="K446" s="18" t="s">
        <v>1157</v>
      </c>
      <c r="L446" s="94" t="s">
        <v>372</v>
      </c>
      <c r="M446" s="148" t="s">
        <v>483</v>
      </c>
      <c r="N446" s="81" t="str">
        <f>_xlfn.XLOOKUP(Calculations[[#This Row],[For XLOOKUP]],Factors[For XLOOKUP],Factors[Factor],"")</f>
        <v>Σ.Ε. CO₂ eq</v>
      </c>
      <c r="O446" s="81">
        <f>_xlfn.XLOOKUP(Calculations[[#This Row],[For XLOOKUP]],Factors[For XLOOKUP],Factors[Value],"")</f>
        <v>8.7399000000000008E-5</v>
      </c>
      <c r="P446" s="81" t="str">
        <f>_xlfn.XLOOKUP(Calculations[[#This Row],[For XLOOKUP]],Factors[For XLOOKUP],Factors[Units],"")</f>
        <v>tn CO2 eq/ €</v>
      </c>
      <c r="Q446" s="19" t="str">
        <f>_xlfn.XLOOKUP(Calculations[[#This Row],[For XLOOKUP]],Factors[For XLOOKUP],Factors[Source],"")</f>
        <v>EPA 2022</v>
      </c>
      <c r="R44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6" s="81" t="str">
        <f>IF(LEFT(Calculations[[#This Row],[Emission Factor]],7)="Σ.Ε. CH",Calculations[[#This Row],[Value]]*Calculations[[#This Row],[Τιμή]],"-")</f>
        <v>-</v>
      </c>
      <c r="T44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6" s="81" t="str">
        <f>IF(LEFT(Calculations[[#This Row],[Emission Factor]],3)="GWP",Calculations[[#This Row],[Τιμή]],"-")</f>
        <v>-</v>
      </c>
      <c r="V446" s="81">
        <f>IF(OR(Calculations[[#This Row],[Emission Factor]]="Σ.Ε. CO₂ eq",Calculations[[#This Row],[Emission Factor]]="CO₂ eq"),Calculations[[#This Row],[Value]]*Calculations[[#This Row],[Τιμή]],"-")</f>
        <v>4.5703130814900002</v>
      </c>
      <c r="W446" s="81" t="str">
        <f>IF(Calculations[[#This Row],[Πηγή εκπομπών]]="Electricity consumed in office buildings and projects - market based",Calculations[[#This Row],[t CO2]],"")</f>
        <v/>
      </c>
      <c r="X44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4.5703130814900002</v>
      </c>
    </row>
    <row r="447" spans="1:24" ht="29.4" hidden="1" thickTop="1">
      <c r="A447" s="15" t="s">
        <v>350</v>
      </c>
      <c r="B447" s="15" t="s">
        <v>351</v>
      </c>
      <c r="C447" s="16" t="s">
        <v>624</v>
      </c>
      <c r="D447" s="16" t="s">
        <v>894</v>
      </c>
      <c r="E447" s="16"/>
      <c r="F447" s="16" t="s">
        <v>317</v>
      </c>
      <c r="G447" s="16" t="s">
        <v>585</v>
      </c>
      <c r="H447" s="15" t="s">
        <v>347</v>
      </c>
      <c r="I447" s="89" t="s">
        <v>347</v>
      </c>
      <c r="J447" s="79">
        <v>32251.41</v>
      </c>
      <c r="K447" s="18" t="s">
        <v>1157</v>
      </c>
      <c r="L447" s="94" t="s">
        <v>437</v>
      </c>
      <c r="M447" s="148" t="s">
        <v>548</v>
      </c>
      <c r="N447" s="81" t="str">
        <f>_xlfn.XLOOKUP(Calculations[[#This Row],[For XLOOKUP]],Factors[For XLOOKUP],Factors[Factor],"")</f>
        <v>Σ.Ε. CO₂ eq</v>
      </c>
      <c r="O447" s="81">
        <f>_xlfn.XLOOKUP(Calculations[[#This Row],[For XLOOKUP]],Factors[For XLOOKUP],Factors[Value],"")</f>
        <v>2.3271299999999998E-4</v>
      </c>
      <c r="P447" s="81" t="str">
        <f>_xlfn.XLOOKUP(Calculations[[#This Row],[For XLOOKUP]],Factors[For XLOOKUP],Factors[Units],"")</f>
        <v>tn CO2 eq/ €</v>
      </c>
      <c r="Q447" s="19" t="str">
        <f>_xlfn.XLOOKUP(Calculations[[#This Row],[For XLOOKUP]],Factors[For XLOOKUP],Factors[Source],"")</f>
        <v>EPA 2022</v>
      </c>
      <c r="R44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7" s="81" t="str">
        <f>IF(LEFT(Calculations[[#This Row],[Emission Factor]],7)="Σ.Ε. CH",Calculations[[#This Row],[Value]]*Calculations[[#This Row],[Τιμή]],"-")</f>
        <v>-</v>
      </c>
      <c r="T44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7" s="81" t="str">
        <f>IF(LEFT(Calculations[[#This Row],[Emission Factor]],3)="GWP",Calculations[[#This Row],[Τιμή]],"-")</f>
        <v>-</v>
      </c>
      <c r="V447" s="81">
        <f>IF(OR(Calculations[[#This Row],[Emission Factor]]="Σ.Ε. CO₂ eq",Calculations[[#This Row],[Emission Factor]]="CO₂ eq"),Calculations[[#This Row],[Value]]*Calculations[[#This Row],[Τιμή]],"-")</f>
        <v>7.5053223753299996</v>
      </c>
      <c r="W447" s="81" t="str">
        <f>IF(Calculations[[#This Row],[Πηγή εκπομπών]]="Electricity consumed in office buildings and projects - market based",Calculations[[#This Row],[t CO2]],"")</f>
        <v/>
      </c>
      <c r="X44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7.5053223753299996</v>
      </c>
    </row>
    <row r="448" spans="1:24" ht="29.4" hidden="1" thickTop="1">
      <c r="A448" s="15" t="s">
        <v>350</v>
      </c>
      <c r="B448" s="15" t="s">
        <v>351</v>
      </c>
      <c r="C448" s="16" t="s">
        <v>624</v>
      </c>
      <c r="D448" s="16" t="s">
        <v>894</v>
      </c>
      <c r="E448" s="16"/>
      <c r="F448" s="16" t="s">
        <v>317</v>
      </c>
      <c r="G448" s="16" t="s">
        <v>585</v>
      </c>
      <c r="H448" s="15" t="s">
        <v>347</v>
      </c>
      <c r="I448" s="89" t="s">
        <v>347</v>
      </c>
      <c r="J448" s="79">
        <v>1690887.3800000001</v>
      </c>
      <c r="K448" s="18" t="s">
        <v>1157</v>
      </c>
      <c r="L448" s="94" t="s">
        <v>383</v>
      </c>
      <c r="M448" s="148" t="s">
        <v>494</v>
      </c>
      <c r="N448" s="81" t="str">
        <f>_xlfn.XLOOKUP(Calculations[[#This Row],[For XLOOKUP]],Factors[For XLOOKUP],Factors[Factor],"")</f>
        <v>Σ.Ε. CO₂ eq</v>
      </c>
      <c r="O448" s="81">
        <f>_xlfn.XLOOKUP(Calculations[[#This Row],[For XLOOKUP]],Factors[For XLOOKUP],Factors[Value],"")</f>
        <v>1.3630000000000001E-3</v>
      </c>
      <c r="P448" s="81" t="str">
        <f>_xlfn.XLOOKUP(Calculations[[#This Row],[For XLOOKUP]],Factors[For XLOOKUP],Factors[Units],"")</f>
        <v>tn CO2 eq/ €</v>
      </c>
      <c r="Q448" s="19" t="str">
        <f>_xlfn.XLOOKUP(Calculations[[#This Row],[For XLOOKUP]],Factors[For XLOOKUP],Factors[Source],"")</f>
        <v>EXIOBASE 2019 - GR</v>
      </c>
      <c r="R44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8" s="81" t="str">
        <f>IF(LEFT(Calculations[[#This Row],[Emission Factor]],7)="Σ.Ε. CH",Calculations[[#This Row],[Value]]*Calculations[[#This Row],[Τιμή]],"-")</f>
        <v>-</v>
      </c>
      <c r="T44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8" s="81" t="str">
        <f>IF(LEFT(Calculations[[#This Row],[Emission Factor]],3)="GWP",Calculations[[#This Row],[Τιμή]],"-")</f>
        <v>-</v>
      </c>
      <c r="V448" s="81">
        <f>IF(OR(Calculations[[#This Row],[Emission Factor]]="Σ.Ε. CO₂ eq",Calculations[[#This Row],[Emission Factor]]="CO₂ eq"),Calculations[[#This Row],[Value]]*Calculations[[#This Row],[Τιμή]],"-")</f>
        <v>2304.6794989400005</v>
      </c>
      <c r="W448" s="81" t="str">
        <f>IF(Calculations[[#This Row],[Πηγή εκπομπών]]="Electricity consumed in office buildings and projects - market based",Calculations[[#This Row],[t CO2]],"")</f>
        <v/>
      </c>
      <c r="X44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2304.6794989400005</v>
      </c>
    </row>
    <row r="449" spans="1:24" ht="29.4" hidden="1" thickTop="1">
      <c r="A449" s="15" t="s">
        <v>350</v>
      </c>
      <c r="B449" s="15" t="s">
        <v>351</v>
      </c>
      <c r="C449" s="16" t="s">
        <v>624</v>
      </c>
      <c r="D449" s="16" t="s">
        <v>894</v>
      </c>
      <c r="E449" s="16"/>
      <c r="F449" s="16" t="s">
        <v>317</v>
      </c>
      <c r="G449" s="16" t="s">
        <v>585</v>
      </c>
      <c r="H449" s="15" t="s">
        <v>347</v>
      </c>
      <c r="I449" s="89" t="s">
        <v>347</v>
      </c>
      <c r="J449" s="79">
        <v>19850.11</v>
      </c>
      <c r="K449" s="18" t="s">
        <v>1157</v>
      </c>
      <c r="L449" s="94" t="s">
        <v>392</v>
      </c>
      <c r="M449" s="148" t="s">
        <v>503</v>
      </c>
      <c r="N449" s="81" t="str">
        <f>_xlfn.XLOOKUP(Calculations[[#This Row],[For XLOOKUP]],Factors[For XLOOKUP],Factors[Factor],"")</f>
        <v>Σ.Ε. CO₂ eq</v>
      </c>
      <c r="O449" s="81">
        <f>_xlfn.XLOOKUP(Calculations[[#This Row],[For XLOOKUP]],Factors[For XLOOKUP],Factors[Value],"")</f>
        <v>1.03194E-4</v>
      </c>
      <c r="P449" s="81" t="str">
        <f>_xlfn.XLOOKUP(Calculations[[#This Row],[For XLOOKUP]],Factors[For XLOOKUP],Factors[Units],"")</f>
        <v>tn CO2 eq/ €</v>
      </c>
      <c r="Q449" s="19" t="str">
        <f>_xlfn.XLOOKUP(Calculations[[#This Row],[For XLOOKUP]],Factors[For XLOOKUP],Factors[Source],"")</f>
        <v>EPA 2022</v>
      </c>
      <c r="R44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9" s="81" t="str">
        <f>IF(LEFT(Calculations[[#This Row],[Emission Factor]],7)="Σ.Ε. CH",Calculations[[#This Row],[Value]]*Calculations[[#This Row],[Τιμή]],"-")</f>
        <v>-</v>
      </c>
      <c r="T44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9" s="81" t="str">
        <f>IF(LEFT(Calculations[[#This Row],[Emission Factor]],3)="GWP",Calculations[[#This Row],[Τιμή]],"-")</f>
        <v>-</v>
      </c>
      <c r="V449" s="81">
        <f>IF(OR(Calculations[[#This Row],[Emission Factor]]="Σ.Ε. CO₂ eq",Calculations[[#This Row],[Emission Factor]]="CO₂ eq"),Calculations[[#This Row],[Value]]*Calculations[[#This Row],[Τιμή]],"-")</f>
        <v>2.0484122513400003</v>
      </c>
      <c r="W449" s="81" t="str">
        <f>IF(Calculations[[#This Row],[Πηγή εκπομπών]]="Electricity consumed in office buildings and projects - market based",Calculations[[#This Row],[t CO2]],"")</f>
        <v/>
      </c>
      <c r="X44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2.0484122513400003</v>
      </c>
    </row>
    <row r="450" spans="1:24" ht="29.4" hidden="1" thickTop="1">
      <c r="A450" s="15" t="s">
        <v>350</v>
      </c>
      <c r="B450" s="15" t="s">
        <v>351</v>
      </c>
      <c r="C450" s="16" t="s">
        <v>624</v>
      </c>
      <c r="D450" s="16" t="s">
        <v>894</v>
      </c>
      <c r="E450" s="16"/>
      <c r="F450" s="16" t="s">
        <v>317</v>
      </c>
      <c r="G450" s="16" t="s">
        <v>585</v>
      </c>
      <c r="H450" s="15" t="s">
        <v>347</v>
      </c>
      <c r="I450" s="89" t="s">
        <v>347</v>
      </c>
      <c r="J450" s="79">
        <v>88732.4</v>
      </c>
      <c r="K450" s="18" t="s">
        <v>1157</v>
      </c>
      <c r="L450" s="94" t="s">
        <v>375</v>
      </c>
      <c r="M450" s="148" t="s">
        <v>486</v>
      </c>
      <c r="N450" s="81" t="str">
        <f>_xlfn.XLOOKUP(Calculations[[#This Row],[For XLOOKUP]],Factors[For XLOOKUP],Factors[Factor],"")</f>
        <v>Σ.Ε. CO₂ eq</v>
      </c>
      <c r="O450" s="81">
        <f>_xlfn.XLOOKUP(Calculations[[#This Row],[For XLOOKUP]],Factors[For XLOOKUP],Factors[Value],"")</f>
        <v>9.4769999999999989E-5</v>
      </c>
      <c r="P450" s="81" t="str">
        <f>_xlfn.XLOOKUP(Calculations[[#This Row],[For XLOOKUP]],Factors[For XLOOKUP],Factors[Units],"")</f>
        <v>tn CO2 eq/ €</v>
      </c>
      <c r="Q450" s="19" t="str">
        <f>_xlfn.XLOOKUP(Calculations[[#This Row],[For XLOOKUP]],Factors[For XLOOKUP],Factors[Source],"")</f>
        <v>EPA 2022</v>
      </c>
      <c r="R45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0" s="81" t="str">
        <f>IF(LEFT(Calculations[[#This Row],[Emission Factor]],7)="Σ.Ε. CH",Calculations[[#This Row],[Value]]*Calculations[[#This Row],[Τιμή]],"-")</f>
        <v>-</v>
      </c>
      <c r="T45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0" s="81" t="str">
        <f>IF(LEFT(Calculations[[#This Row],[Emission Factor]],3)="GWP",Calculations[[#This Row],[Τιμή]],"-")</f>
        <v>-</v>
      </c>
      <c r="V450" s="81">
        <f>IF(OR(Calculations[[#This Row],[Emission Factor]]="Σ.Ε. CO₂ eq",Calculations[[#This Row],[Emission Factor]]="CO₂ eq"),Calculations[[#This Row],[Value]]*Calculations[[#This Row],[Τιμή]],"-")</f>
        <v>8.4091695479999977</v>
      </c>
      <c r="W450" s="81" t="str">
        <f>IF(Calculations[[#This Row],[Πηγή εκπομπών]]="Electricity consumed in office buildings and projects - market based",Calculations[[#This Row],[t CO2]],"")</f>
        <v/>
      </c>
      <c r="X45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8.4091695479999977</v>
      </c>
    </row>
    <row r="451" spans="1:24" ht="29.4" hidden="1" thickTop="1">
      <c r="A451" s="15" t="s">
        <v>350</v>
      </c>
      <c r="B451" s="15" t="s">
        <v>351</v>
      </c>
      <c r="C451" s="16" t="s">
        <v>624</v>
      </c>
      <c r="D451" s="16" t="s">
        <v>894</v>
      </c>
      <c r="E451" s="16"/>
      <c r="F451" s="16" t="s">
        <v>317</v>
      </c>
      <c r="G451" s="16" t="s">
        <v>585</v>
      </c>
      <c r="H451" s="15" t="s">
        <v>347</v>
      </c>
      <c r="I451" s="89" t="s">
        <v>347</v>
      </c>
      <c r="J451" s="79">
        <v>489271.47</v>
      </c>
      <c r="K451" s="18" t="s">
        <v>1157</v>
      </c>
      <c r="L451" s="94" t="s">
        <v>396</v>
      </c>
      <c r="M451" s="148" t="s">
        <v>507</v>
      </c>
      <c r="N451" s="81" t="str">
        <f>_xlfn.XLOOKUP(Calculations[[#This Row],[For XLOOKUP]],Factors[For XLOOKUP],Factors[Factor],"")</f>
        <v>Σ.Ε. CO₂ eq</v>
      </c>
      <c r="O451" s="81">
        <f>_xlfn.XLOOKUP(Calculations[[#This Row],[For XLOOKUP]],Factors[For XLOOKUP],Factors[Value],"")</f>
        <v>7.6880000000000004E-4</v>
      </c>
      <c r="P451" s="81" t="str">
        <f>_xlfn.XLOOKUP(Calculations[[#This Row],[For XLOOKUP]],Factors[For XLOOKUP],Factors[Units],"")</f>
        <v>tn CO2 eq/ €</v>
      </c>
      <c r="Q451" s="19" t="str">
        <f>_xlfn.XLOOKUP(Calculations[[#This Row],[For XLOOKUP]],Factors[For XLOOKUP],Factors[Source],"")</f>
        <v>EXIOBASE 2019 - GR</v>
      </c>
      <c r="R45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1" s="81" t="str">
        <f>IF(LEFT(Calculations[[#This Row],[Emission Factor]],7)="Σ.Ε. CH",Calculations[[#This Row],[Value]]*Calculations[[#This Row],[Τιμή]],"-")</f>
        <v>-</v>
      </c>
      <c r="T45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1" s="81" t="str">
        <f>IF(LEFT(Calculations[[#This Row],[Emission Factor]],3)="GWP",Calculations[[#This Row],[Τιμή]],"-")</f>
        <v>-</v>
      </c>
      <c r="V451" s="81">
        <f>IF(OR(Calculations[[#This Row],[Emission Factor]]="Σ.Ε. CO₂ eq",Calculations[[#This Row],[Emission Factor]]="CO₂ eq"),Calculations[[#This Row],[Value]]*Calculations[[#This Row],[Τιμή]],"-")</f>
        <v>376.15190613599998</v>
      </c>
      <c r="W451" s="81" t="str">
        <f>IF(Calculations[[#This Row],[Πηγή εκπομπών]]="Electricity consumed in office buildings and projects - market based",Calculations[[#This Row],[t CO2]],"")</f>
        <v/>
      </c>
      <c r="X45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376.15190613599998</v>
      </c>
    </row>
    <row r="452" spans="1:24" ht="29.4" hidden="1" thickTop="1">
      <c r="A452" s="15" t="s">
        <v>350</v>
      </c>
      <c r="B452" s="15" t="s">
        <v>351</v>
      </c>
      <c r="C452" s="16" t="s">
        <v>624</v>
      </c>
      <c r="D452" s="16" t="s">
        <v>894</v>
      </c>
      <c r="E452" s="16"/>
      <c r="F452" s="16" t="s">
        <v>317</v>
      </c>
      <c r="G452" s="16" t="s">
        <v>585</v>
      </c>
      <c r="H452" s="15" t="s">
        <v>347</v>
      </c>
      <c r="I452" s="89" t="s">
        <v>347</v>
      </c>
      <c r="J452" s="79">
        <v>948297.17</v>
      </c>
      <c r="K452" s="18" t="s">
        <v>1157</v>
      </c>
      <c r="L452" s="94" t="s">
        <v>425</v>
      </c>
      <c r="M452" s="148" t="s">
        <v>536</v>
      </c>
      <c r="N452" s="81" t="str">
        <f>_xlfn.XLOOKUP(Calculations[[#This Row],[For XLOOKUP]],Factors[For XLOOKUP],Factors[Factor],"")</f>
        <v>Σ.Ε. CO₂ eq</v>
      </c>
      <c r="O452" s="81">
        <f>_xlfn.XLOOKUP(Calculations[[#This Row],[For XLOOKUP]],Factors[For XLOOKUP],Factors[Value],"")</f>
        <v>2.5061399999999997E-4</v>
      </c>
      <c r="P452" s="81" t="str">
        <f>_xlfn.XLOOKUP(Calculations[[#This Row],[For XLOOKUP]],Factors[For XLOOKUP],Factors[Units],"")</f>
        <v>tn CO2 eq/ €</v>
      </c>
      <c r="Q452" s="19" t="str">
        <f>_xlfn.XLOOKUP(Calculations[[#This Row],[For XLOOKUP]],Factors[For XLOOKUP],Factors[Source],"")</f>
        <v>EPA 2022</v>
      </c>
      <c r="R45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2" s="81" t="str">
        <f>IF(LEFT(Calculations[[#This Row],[Emission Factor]],7)="Σ.Ε. CH",Calculations[[#This Row],[Value]]*Calculations[[#This Row],[Τιμή]],"-")</f>
        <v>-</v>
      </c>
      <c r="T45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2" s="81" t="str">
        <f>IF(LEFT(Calculations[[#This Row],[Emission Factor]],3)="GWP",Calculations[[#This Row],[Τιμή]],"-")</f>
        <v>-</v>
      </c>
      <c r="V452" s="81">
        <f>IF(OR(Calculations[[#This Row],[Emission Factor]]="Σ.Ε. CO₂ eq",Calculations[[#This Row],[Emission Factor]]="CO₂ eq"),Calculations[[#This Row],[Value]]*Calculations[[#This Row],[Τιμή]],"-")</f>
        <v>237.65654696237999</v>
      </c>
      <c r="W452" s="81" t="str">
        <f>IF(Calculations[[#This Row],[Πηγή εκπομπών]]="Electricity consumed in office buildings and projects - market based",Calculations[[#This Row],[t CO2]],"")</f>
        <v/>
      </c>
      <c r="X45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237.65654696237999</v>
      </c>
    </row>
    <row r="453" spans="1:24" ht="29.4" hidden="1" thickTop="1">
      <c r="A453" s="15" t="s">
        <v>350</v>
      </c>
      <c r="B453" s="15" t="s">
        <v>351</v>
      </c>
      <c r="C453" s="16" t="s">
        <v>624</v>
      </c>
      <c r="D453" s="16" t="s">
        <v>894</v>
      </c>
      <c r="E453" s="16"/>
      <c r="F453" s="16" t="s">
        <v>317</v>
      </c>
      <c r="G453" s="16" t="s">
        <v>585</v>
      </c>
      <c r="H453" s="15" t="s">
        <v>347</v>
      </c>
      <c r="I453" s="89" t="s">
        <v>347</v>
      </c>
      <c r="J453" s="79">
        <v>18668.919999999998</v>
      </c>
      <c r="K453" s="18" t="s">
        <v>1157</v>
      </c>
      <c r="L453" s="94" t="s">
        <v>424</v>
      </c>
      <c r="M453" s="174" t="s">
        <v>535</v>
      </c>
      <c r="N453" s="81" t="str">
        <f>_xlfn.XLOOKUP(Calculations[[#This Row],[For XLOOKUP]],Factors[For XLOOKUP],Factors[Factor],"")</f>
        <v>Σ.Ε. CO₂ eq</v>
      </c>
      <c r="O453" s="81">
        <f>_xlfn.XLOOKUP(Calculations[[#This Row],[For XLOOKUP]],Factors[For XLOOKUP],Factors[Value],"")</f>
        <v>1.758E-3</v>
      </c>
      <c r="P453" s="81" t="str">
        <f>_xlfn.XLOOKUP(Calculations[[#This Row],[For XLOOKUP]],Factors[For XLOOKUP],Factors[Units],"")</f>
        <v>tn CO2 eq/ €</v>
      </c>
      <c r="Q453" s="19" t="str">
        <f>_xlfn.XLOOKUP(Calculations[[#This Row],[For XLOOKUP]],Factors[For XLOOKUP],Factors[Source],"")</f>
        <v>EXIOBASE 2019 - GR</v>
      </c>
      <c r="R45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3" s="81" t="str">
        <f>IF(LEFT(Calculations[[#This Row],[Emission Factor]],7)="Σ.Ε. CH",Calculations[[#This Row],[Value]]*Calculations[[#This Row],[Τιμή]],"-")</f>
        <v>-</v>
      </c>
      <c r="T45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3" s="81" t="str">
        <f>IF(LEFT(Calculations[[#This Row],[Emission Factor]],3)="GWP",Calculations[[#This Row],[Τιμή]],"-")</f>
        <v>-</v>
      </c>
      <c r="V453" s="81">
        <f>IF(OR(Calculations[[#This Row],[Emission Factor]]="Σ.Ε. CO₂ eq",Calculations[[#This Row],[Emission Factor]]="CO₂ eq"),Calculations[[#This Row],[Value]]*Calculations[[#This Row],[Τιμή]],"-")</f>
        <v>32.819961360000001</v>
      </c>
      <c r="W453" s="81" t="str">
        <f>IF(Calculations[[#This Row],[Πηγή εκπομπών]]="Electricity consumed in office buildings and projects - market based",Calculations[[#This Row],[t CO2]],"")</f>
        <v/>
      </c>
      <c r="X45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32.819961360000001</v>
      </c>
    </row>
    <row r="454" spans="1:24" ht="29.4" hidden="1" thickTop="1">
      <c r="A454" s="15" t="s">
        <v>350</v>
      </c>
      <c r="B454" s="15" t="s">
        <v>351</v>
      </c>
      <c r="C454" s="16" t="s">
        <v>624</v>
      </c>
      <c r="D454" s="16" t="s">
        <v>894</v>
      </c>
      <c r="E454" s="16"/>
      <c r="F454" s="16" t="s">
        <v>317</v>
      </c>
      <c r="G454" s="16" t="s">
        <v>585</v>
      </c>
      <c r="H454" s="15" t="s">
        <v>347</v>
      </c>
      <c r="I454" s="89" t="s">
        <v>347</v>
      </c>
      <c r="J454" s="79">
        <v>2547.0500000000002</v>
      </c>
      <c r="K454" s="18" t="s">
        <v>1157</v>
      </c>
      <c r="L454" s="94" t="s">
        <v>380</v>
      </c>
      <c r="M454" s="174" t="s">
        <v>491</v>
      </c>
      <c r="N454" s="81" t="str">
        <f>_xlfn.XLOOKUP(Calculations[[#This Row],[For XLOOKUP]],Factors[For XLOOKUP],Factors[Factor],"")</f>
        <v>Σ.Ε. CO₂ eq</v>
      </c>
      <c r="O454" s="81">
        <f>_xlfn.XLOOKUP(Calculations[[#This Row],[For XLOOKUP]],Factors[For XLOOKUP],Factors[Value],"")</f>
        <v>1.3813771999999999E-3</v>
      </c>
      <c r="P454" s="81" t="str">
        <f>_xlfn.XLOOKUP(Calculations[[#This Row],[For XLOOKUP]],Factors[For XLOOKUP],Factors[Units],"")</f>
        <v>tn CO2 eq/ €</v>
      </c>
      <c r="Q454" s="19" t="str">
        <f>_xlfn.XLOOKUP(Calculations[[#This Row],[For XLOOKUP]],Factors[For XLOOKUP],Factors[Source],"")</f>
        <v>BEIS 2021</v>
      </c>
      <c r="R45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4" s="81" t="str">
        <f>IF(LEFT(Calculations[[#This Row],[Emission Factor]],7)="Σ.Ε. CH",Calculations[[#This Row],[Value]]*Calculations[[#This Row],[Τιμή]],"-")</f>
        <v>-</v>
      </c>
      <c r="T45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4" s="81" t="str">
        <f>IF(LEFT(Calculations[[#This Row],[Emission Factor]],3)="GWP",Calculations[[#This Row],[Τιμή]],"-")</f>
        <v>-</v>
      </c>
      <c r="V454" s="81">
        <f>IF(OR(Calculations[[#This Row],[Emission Factor]]="Σ.Ε. CO₂ eq",Calculations[[#This Row],[Emission Factor]]="CO₂ eq"),Calculations[[#This Row],[Value]]*Calculations[[#This Row],[Τιμή]],"-")</f>
        <v>3.5184367972600001</v>
      </c>
      <c r="W454" s="81" t="str">
        <f>IF(Calculations[[#This Row],[Πηγή εκπομπών]]="Electricity consumed in office buildings and projects - market based",Calculations[[#This Row],[t CO2]],"")</f>
        <v/>
      </c>
      <c r="X45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3.5184367972600001</v>
      </c>
    </row>
    <row r="455" spans="1:24" ht="29.4" hidden="1" thickTop="1">
      <c r="A455" s="15" t="s">
        <v>350</v>
      </c>
      <c r="B455" s="15" t="s">
        <v>351</v>
      </c>
      <c r="C455" s="16" t="s">
        <v>624</v>
      </c>
      <c r="D455" s="16" t="s">
        <v>894</v>
      </c>
      <c r="E455" s="16"/>
      <c r="F455" s="16" t="s">
        <v>317</v>
      </c>
      <c r="G455" s="16" t="s">
        <v>585</v>
      </c>
      <c r="H455" s="15" t="s">
        <v>347</v>
      </c>
      <c r="I455" s="89" t="s">
        <v>347</v>
      </c>
      <c r="J455" s="79">
        <v>182653.2</v>
      </c>
      <c r="K455" s="18" t="s">
        <v>1157</v>
      </c>
      <c r="L455" s="94" t="s">
        <v>433</v>
      </c>
      <c r="M455" s="148" t="s">
        <v>544</v>
      </c>
      <c r="N455" s="81" t="str">
        <f>_xlfn.XLOOKUP(Calculations[[#This Row],[For XLOOKUP]],Factors[For XLOOKUP],Factors[Factor],"")</f>
        <v>Σ.Ε. CO₂ eq</v>
      </c>
      <c r="O455" s="81">
        <f>_xlfn.XLOOKUP(Calculations[[#This Row],[For XLOOKUP]],Factors[For XLOOKUP],Factors[Value],"")</f>
        <v>2.5693199999999997E-4</v>
      </c>
      <c r="P455" s="81" t="str">
        <f>_xlfn.XLOOKUP(Calculations[[#This Row],[For XLOOKUP]],Factors[For XLOOKUP],Factors[Units],"")</f>
        <v>tn CO2 eq/ €</v>
      </c>
      <c r="Q455" s="19" t="str">
        <f>_xlfn.XLOOKUP(Calculations[[#This Row],[For XLOOKUP]],Factors[For XLOOKUP],Factors[Source],"")</f>
        <v>EPA 2022</v>
      </c>
      <c r="R45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5" s="81" t="str">
        <f>IF(LEFT(Calculations[[#This Row],[Emission Factor]],7)="Σ.Ε. CH",Calculations[[#This Row],[Value]]*Calculations[[#This Row],[Τιμή]],"-")</f>
        <v>-</v>
      </c>
      <c r="T45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5" s="81" t="str">
        <f>IF(LEFT(Calculations[[#This Row],[Emission Factor]],3)="GWP",Calculations[[#This Row],[Τιμή]],"-")</f>
        <v>-</v>
      </c>
      <c r="V455" s="81">
        <f>IF(OR(Calculations[[#This Row],[Emission Factor]]="Σ.Ε. CO₂ eq",Calculations[[#This Row],[Emission Factor]]="CO₂ eq"),Calculations[[#This Row],[Value]]*Calculations[[#This Row],[Τιμή]],"-")</f>
        <v>46.929451982399996</v>
      </c>
      <c r="W455" s="81" t="str">
        <f>IF(Calculations[[#This Row],[Πηγή εκπομπών]]="Electricity consumed in office buildings and projects - market based",Calculations[[#This Row],[t CO2]],"")</f>
        <v/>
      </c>
      <c r="X45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46.929451982399996</v>
      </c>
    </row>
    <row r="456" spans="1:24" ht="29.4" hidden="1" thickTop="1">
      <c r="A456" s="15" t="s">
        <v>350</v>
      </c>
      <c r="B456" s="15" t="s">
        <v>351</v>
      </c>
      <c r="C456" s="16" t="s">
        <v>624</v>
      </c>
      <c r="D456" s="16" t="s">
        <v>894</v>
      </c>
      <c r="E456" s="16"/>
      <c r="F456" s="16" t="s">
        <v>317</v>
      </c>
      <c r="G456" s="16" t="s">
        <v>585</v>
      </c>
      <c r="H456" s="15" t="s">
        <v>347</v>
      </c>
      <c r="I456" s="89" t="s">
        <v>347</v>
      </c>
      <c r="J456" s="79">
        <v>6045.7999999999993</v>
      </c>
      <c r="K456" s="18" t="s">
        <v>1157</v>
      </c>
      <c r="L456" s="94" t="s">
        <v>393</v>
      </c>
      <c r="M456" s="148" t="s">
        <v>504</v>
      </c>
      <c r="N456" s="81" t="str">
        <f>_xlfn.XLOOKUP(Calculations[[#This Row],[For XLOOKUP]],Factors[For XLOOKUP],Factors[Factor],"")</f>
        <v>Σ.Ε. CO₂ eq</v>
      </c>
      <c r="O456" s="81">
        <f>_xlfn.XLOOKUP(Calculations[[#This Row],[For XLOOKUP]],Factors[For XLOOKUP],Factors[Value],"")</f>
        <v>8.1669999999999996E-4</v>
      </c>
      <c r="P456" s="81" t="str">
        <f>_xlfn.XLOOKUP(Calculations[[#This Row],[For XLOOKUP]],Factors[For XLOOKUP],Factors[Units],"")</f>
        <v>tn CO2 eq/ €</v>
      </c>
      <c r="Q456" s="19" t="str">
        <f>_xlfn.XLOOKUP(Calculations[[#This Row],[For XLOOKUP]],Factors[For XLOOKUP],Factors[Source],"")</f>
        <v>EXIOBASE 2019 - GR</v>
      </c>
      <c r="R45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6" s="81" t="str">
        <f>IF(LEFT(Calculations[[#This Row],[Emission Factor]],7)="Σ.Ε. CH",Calculations[[#This Row],[Value]]*Calculations[[#This Row],[Τιμή]],"-")</f>
        <v>-</v>
      </c>
      <c r="T45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6" s="81" t="str">
        <f>IF(LEFT(Calculations[[#This Row],[Emission Factor]],3)="GWP",Calculations[[#This Row],[Τιμή]],"-")</f>
        <v>-</v>
      </c>
      <c r="V456" s="81">
        <f>IF(OR(Calculations[[#This Row],[Emission Factor]]="Σ.Ε. CO₂ eq",Calculations[[#This Row],[Emission Factor]]="CO₂ eq"),Calculations[[#This Row],[Value]]*Calculations[[#This Row],[Τιμή]],"-")</f>
        <v>4.9376048599999995</v>
      </c>
      <c r="W456" s="81" t="str">
        <f>IF(Calculations[[#This Row],[Πηγή εκπομπών]]="Electricity consumed in office buildings and projects - market based",Calculations[[#This Row],[t CO2]],"")</f>
        <v/>
      </c>
      <c r="X45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4.9376048599999995</v>
      </c>
    </row>
    <row r="457" spans="1:24" ht="29.4" hidden="1" thickTop="1">
      <c r="A457" s="15" t="s">
        <v>350</v>
      </c>
      <c r="B457" s="15" t="s">
        <v>351</v>
      </c>
      <c r="C457" s="16" t="s">
        <v>624</v>
      </c>
      <c r="D457" s="16" t="s">
        <v>894</v>
      </c>
      <c r="E457" s="16"/>
      <c r="F457" s="16" t="s">
        <v>317</v>
      </c>
      <c r="G457" s="16" t="s">
        <v>585</v>
      </c>
      <c r="H457" s="15" t="s">
        <v>347</v>
      </c>
      <c r="I457" s="89" t="s">
        <v>347</v>
      </c>
      <c r="J457" s="79">
        <v>139228.04</v>
      </c>
      <c r="K457" s="18" t="s">
        <v>1157</v>
      </c>
      <c r="L457" s="94" t="s">
        <v>352</v>
      </c>
      <c r="M457" s="148" t="s">
        <v>463</v>
      </c>
      <c r="N457" s="81" t="str">
        <f>_xlfn.XLOOKUP(Calculations[[#This Row],[For XLOOKUP]],Factors[For XLOOKUP],Factors[Factor],"")</f>
        <v>Σ.Ε. CO₂ eq</v>
      </c>
      <c r="O457" s="81">
        <f>_xlfn.XLOOKUP(Calculations[[#This Row],[For XLOOKUP]],Factors[For XLOOKUP],Factors[Value],"")</f>
        <v>2.6851499999999999E-4</v>
      </c>
      <c r="P457" s="81" t="str">
        <f>_xlfn.XLOOKUP(Calculations[[#This Row],[For XLOOKUP]],Factors[For XLOOKUP],Factors[Units],"")</f>
        <v>tn CO2 eq/ €</v>
      </c>
      <c r="Q457" s="19" t="str">
        <f>_xlfn.XLOOKUP(Calculations[[#This Row],[For XLOOKUP]],Factors[For XLOOKUP],Factors[Source],"")</f>
        <v>EPA 2022</v>
      </c>
      <c r="R45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7" s="81" t="str">
        <f>IF(LEFT(Calculations[[#This Row],[Emission Factor]],7)="Σ.Ε. CH",Calculations[[#This Row],[Value]]*Calculations[[#This Row],[Τιμή]],"-")</f>
        <v>-</v>
      </c>
      <c r="T45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7" s="81" t="str">
        <f>IF(LEFT(Calculations[[#This Row],[Emission Factor]],3)="GWP",Calculations[[#This Row],[Τιμή]],"-")</f>
        <v>-</v>
      </c>
      <c r="V457" s="81">
        <f>IF(OR(Calculations[[#This Row],[Emission Factor]]="Σ.Ε. CO₂ eq",Calculations[[#This Row],[Emission Factor]]="CO₂ eq"),Calculations[[#This Row],[Value]]*Calculations[[#This Row],[Τιμή]],"-")</f>
        <v>37.384817160600001</v>
      </c>
      <c r="W457" s="81" t="str">
        <f>IF(Calculations[[#This Row],[Πηγή εκπομπών]]="Electricity consumed in office buildings and projects - market based",Calculations[[#This Row],[t CO2]],"")</f>
        <v/>
      </c>
      <c r="X45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37.384817160600001</v>
      </c>
    </row>
    <row r="458" spans="1:24" ht="29.4" hidden="1" thickTop="1">
      <c r="A458" s="15" t="s">
        <v>350</v>
      </c>
      <c r="B458" s="15" t="s">
        <v>351</v>
      </c>
      <c r="C458" s="16" t="s">
        <v>624</v>
      </c>
      <c r="D458" s="16" t="s">
        <v>894</v>
      </c>
      <c r="E458" s="16"/>
      <c r="F458" s="16" t="s">
        <v>317</v>
      </c>
      <c r="G458" s="16" t="s">
        <v>585</v>
      </c>
      <c r="H458" s="15" t="s">
        <v>347</v>
      </c>
      <c r="I458" s="89" t="s">
        <v>347</v>
      </c>
      <c r="J458" s="79">
        <v>641829.87999999989</v>
      </c>
      <c r="K458" s="18" t="s">
        <v>1157</v>
      </c>
      <c r="L458" s="94" t="s">
        <v>408</v>
      </c>
      <c r="M458" s="148" t="s">
        <v>519</v>
      </c>
      <c r="N458" s="81" t="str">
        <f>_xlfn.XLOOKUP(Calculations[[#This Row],[For XLOOKUP]],Factors[For XLOOKUP],Factors[Factor],"")</f>
        <v>Σ.Ε. CO₂ eq</v>
      </c>
      <c r="O458" s="81">
        <f>_xlfn.XLOOKUP(Calculations[[#This Row],[For XLOOKUP]],Factors[For XLOOKUP],Factors[Value],"")</f>
        <v>3.2831800000000008E-4</v>
      </c>
      <c r="P458" s="81" t="str">
        <f>_xlfn.XLOOKUP(Calculations[[#This Row],[For XLOOKUP]],Factors[For XLOOKUP],Factors[Units],"")</f>
        <v>tn CO2 eq/ €</v>
      </c>
      <c r="Q458" s="19" t="str">
        <f>_xlfn.XLOOKUP(Calculations[[#This Row],[For XLOOKUP]],Factors[For XLOOKUP],Factors[Source],"")</f>
        <v>EPA 2018</v>
      </c>
      <c r="R45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8" s="81" t="str">
        <f>IF(LEFT(Calculations[[#This Row],[Emission Factor]],7)="Σ.Ε. CH",Calculations[[#This Row],[Value]]*Calculations[[#This Row],[Τιμή]],"-")</f>
        <v>-</v>
      </c>
      <c r="T45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8" s="81" t="str">
        <f>IF(LEFT(Calculations[[#This Row],[Emission Factor]],3)="GWP",Calculations[[#This Row],[Τιμή]],"-")</f>
        <v>-</v>
      </c>
      <c r="V458" s="81">
        <f>IF(OR(Calculations[[#This Row],[Emission Factor]]="Σ.Ε. CO₂ eq",Calculations[[#This Row],[Emission Factor]]="CO₂ eq"),Calculations[[#This Row],[Value]]*Calculations[[#This Row],[Τιμή]],"-")</f>
        <v>210.72430254184002</v>
      </c>
      <c r="W458" s="81" t="str">
        <f>IF(Calculations[[#This Row],[Πηγή εκπομπών]]="Electricity consumed in office buildings and projects - market based",Calculations[[#This Row],[t CO2]],"")</f>
        <v/>
      </c>
      <c r="X45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210.72430254184002</v>
      </c>
    </row>
    <row r="459" spans="1:24" ht="29.4" hidden="1" thickTop="1">
      <c r="A459" s="15" t="s">
        <v>350</v>
      </c>
      <c r="B459" s="15" t="s">
        <v>351</v>
      </c>
      <c r="C459" s="16" t="s">
        <v>624</v>
      </c>
      <c r="D459" s="16" t="s">
        <v>894</v>
      </c>
      <c r="E459" s="16"/>
      <c r="F459" s="16" t="s">
        <v>317</v>
      </c>
      <c r="G459" s="16" t="s">
        <v>585</v>
      </c>
      <c r="H459" s="15" t="s">
        <v>347</v>
      </c>
      <c r="I459" s="89" t="s">
        <v>347</v>
      </c>
      <c r="J459" s="79">
        <v>204084.07</v>
      </c>
      <c r="K459" s="18" t="s">
        <v>1157</v>
      </c>
      <c r="L459" s="94" t="s">
        <v>399</v>
      </c>
      <c r="M459" s="148" t="s">
        <v>510</v>
      </c>
      <c r="N459" s="81" t="str">
        <f>_xlfn.XLOOKUP(Calculations[[#This Row],[For XLOOKUP]],Factors[For XLOOKUP],Factors[Factor],"")</f>
        <v>Σ.Ε. CO₂ eq</v>
      </c>
      <c r="O459" s="81">
        <f>_xlfn.XLOOKUP(Calculations[[#This Row],[For XLOOKUP]],Factors[For XLOOKUP],Factors[Value],"")</f>
        <v>2.2112999999999999E-4</v>
      </c>
      <c r="P459" s="81" t="str">
        <f>_xlfn.XLOOKUP(Calculations[[#This Row],[For XLOOKUP]],Factors[For XLOOKUP],Factors[Units],"")</f>
        <v>tn CO2 eq/ €</v>
      </c>
      <c r="Q459" s="19" t="str">
        <f>_xlfn.XLOOKUP(Calculations[[#This Row],[For XLOOKUP]],Factors[For XLOOKUP],Factors[Source],"")</f>
        <v>EPA 2022</v>
      </c>
      <c r="R45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9" s="81" t="str">
        <f>IF(LEFT(Calculations[[#This Row],[Emission Factor]],7)="Σ.Ε. CH",Calculations[[#This Row],[Value]]*Calculations[[#This Row],[Τιμή]],"-")</f>
        <v>-</v>
      </c>
      <c r="T45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9" s="81" t="str">
        <f>IF(LEFT(Calculations[[#This Row],[Emission Factor]],3)="GWP",Calculations[[#This Row],[Τιμή]],"-")</f>
        <v>-</v>
      </c>
      <c r="V459" s="81">
        <f>IF(OR(Calculations[[#This Row],[Emission Factor]]="Σ.Ε. CO₂ eq",Calculations[[#This Row],[Emission Factor]]="CO₂ eq"),Calculations[[#This Row],[Value]]*Calculations[[#This Row],[Τιμή]],"-")</f>
        <v>45.1291103991</v>
      </c>
      <c r="W459" s="81" t="str">
        <f>IF(Calculations[[#This Row],[Πηγή εκπομπών]]="Electricity consumed in office buildings and projects - market based",Calculations[[#This Row],[t CO2]],"")</f>
        <v/>
      </c>
      <c r="X45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45.1291103991</v>
      </c>
    </row>
    <row r="460" spans="1:24" ht="29.4" hidden="1" thickTop="1">
      <c r="A460" s="15" t="s">
        <v>350</v>
      </c>
      <c r="B460" s="15" t="s">
        <v>351</v>
      </c>
      <c r="C460" s="16" t="s">
        <v>624</v>
      </c>
      <c r="D460" s="16" t="s">
        <v>894</v>
      </c>
      <c r="E460" s="16"/>
      <c r="F460" s="16" t="s">
        <v>317</v>
      </c>
      <c r="G460" s="16" t="s">
        <v>585</v>
      </c>
      <c r="H460" s="15" t="s">
        <v>347</v>
      </c>
      <c r="I460" s="89" t="s">
        <v>347</v>
      </c>
      <c r="J460" s="79">
        <v>17050.73</v>
      </c>
      <c r="K460" s="18" t="s">
        <v>1157</v>
      </c>
      <c r="L460" s="94" t="s">
        <v>398</v>
      </c>
      <c r="M460" s="148" t="s">
        <v>509</v>
      </c>
      <c r="N460" s="81" t="str">
        <f>_xlfn.XLOOKUP(Calculations[[#This Row],[For XLOOKUP]],Factors[For XLOOKUP],Factors[Factor],"")</f>
        <v>Σ.Ε. CO₂ eq</v>
      </c>
      <c r="O460" s="81">
        <f>_xlfn.XLOOKUP(Calculations[[#This Row],[For XLOOKUP]],Factors[For XLOOKUP],Factors[Value],"")</f>
        <v>1.275183E-3</v>
      </c>
      <c r="P460" s="81" t="str">
        <f>_xlfn.XLOOKUP(Calculations[[#This Row],[For XLOOKUP]],Factors[For XLOOKUP],Factors[Units],"")</f>
        <v>tn CO2 eq/ €</v>
      </c>
      <c r="Q460" s="19" t="str">
        <f>_xlfn.XLOOKUP(Calculations[[#This Row],[For XLOOKUP]],Factors[For XLOOKUP],Factors[Source],"")</f>
        <v>EPA 2022</v>
      </c>
      <c r="R46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0" s="81" t="str">
        <f>IF(LEFT(Calculations[[#This Row],[Emission Factor]],7)="Σ.Ε. CH",Calculations[[#This Row],[Value]]*Calculations[[#This Row],[Τιμή]],"-")</f>
        <v>-</v>
      </c>
      <c r="T46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0" s="81" t="str">
        <f>IF(LEFT(Calculations[[#This Row],[Emission Factor]],3)="GWP",Calculations[[#This Row],[Τιμή]],"-")</f>
        <v>-</v>
      </c>
      <c r="V460" s="81">
        <f>IF(OR(Calculations[[#This Row],[Emission Factor]]="Σ.Ε. CO₂ eq",Calculations[[#This Row],[Emission Factor]]="CO₂ eq"),Calculations[[#This Row],[Value]]*Calculations[[#This Row],[Τιμή]],"-")</f>
        <v>21.742801033590002</v>
      </c>
      <c r="W460" s="81" t="str">
        <f>IF(Calculations[[#This Row],[Πηγή εκπομπών]]="Electricity consumed in office buildings and projects - market based",Calculations[[#This Row],[t CO2]],"")</f>
        <v/>
      </c>
      <c r="X46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21.742801033590002</v>
      </c>
    </row>
    <row r="461" spans="1:24" ht="29.4" hidden="1" thickTop="1">
      <c r="A461" s="15" t="s">
        <v>350</v>
      </c>
      <c r="B461" s="15" t="s">
        <v>351</v>
      </c>
      <c r="C461" s="16" t="s">
        <v>624</v>
      </c>
      <c r="D461" s="16" t="s">
        <v>894</v>
      </c>
      <c r="E461" s="16"/>
      <c r="F461" s="16" t="s">
        <v>317</v>
      </c>
      <c r="G461" s="16" t="s">
        <v>585</v>
      </c>
      <c r="H461" s="15" t="s">
        <v>347</v>
      </c>
      <c r="I461" s="89" t="s">
        <v>347</v>
      </c>
      <c r="J461" s="79">
        <v>74073.289999999994</v>
      </c>
      <c r="K461" s="18" t="s">
        <v>1157</v>
      </c>
      <c r="L461" s="94" t="s">
        <v>395</v>
      </c>
      <c r="M461" s="148" t="s">
        <v>506</v>
      </c>
      <c r="N461" s="81" t="str">
        <f>_xlfn.XLOOKUP(Calculations[[#This Row],[For XLOOKUP]],Factors[For XLOOKUP],Factors[Factor],"")</f>
        <v>Σ.Ε. CO₂ eq</v>
      </c>
      <c r="O461" s="81">
        <f>_xlfn.XLOOKUP(Calculations[[#This Row],[For XLOOKUP]],Factors[For XLOOKUP],Factors[Value],"")</f>
        <v>1.8216899999999998E-4</v>
      </c>
      <c r="P461" s="81" t="str">
        <f>_xlfn.XLOOKUP(Calculations[[#This Row],[For XLOOKUP]],Factors[For XLOOKUP],Factors[Units],"")</f>
        <v>tn CO2 eq/ €</v>
      </c>
      <c r="Q461" s="19" t="str">
        <f>_xlfn.XLOOKUP(Calculations[[#This Row],[For XLOOKUP]],Factors[For XLOOKUP],Factors[Source],"")</f>
        <v>EPA 2022</v>
      </c>
      <c r="R46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1" s="81" t="str">
        <f>IF(LEFT(Calculations[[#This Row],[Emission Factor]],7)="Σ.Ε. CH",Calculations[[#This Row],[Value]]*Calculations[[#This Row],[Τιμή]],"-")</f>
        <v>-</v>
      </c>
      <c r="T46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1" s="81" t="str">
        <f>IF(LEFT(Calculations[[#This Row],[Emission Factor]],3)="GWP",Calculations[[#This Row],[Τιμή]],"-")</f>
        <v>-</v>
      </c>
      <c r="V461" s="81">
        <f>IF(OR(Calculations[[#This Row],[Emission Factor]]="Σ.Ε. CO₂ eq",Calculations[[#This Row],[Emission Factor]]="CO₂ eq"),Calculations[[#This Row],[Value]]*Calculations[[#This Row],[Τιμή]],"-")</f>
        <v>13.493857166009997</v>
      </c>
      <c r="W461" s="81" t="str">
        <f>IF(Calculations[[#This Row],[Πηγή εκπομπών]]="Electricity consumed in office buildings and projects - market based",Calculations[[#This Row],[t CO2]],"")</f>
        <v/>
      </c>
      <c r="X46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13.493857166009997</v>
      </c>
    </row>
    <row r="462" spans="1:24" ht="29.4" hidden="1" thickTop="1">
      <c r="A462" s="15" t="s">
        <v>350</v>
      </c>
      <c r="B462" s="15" t="s">
        <v>351</v>
      </c>
      <c r="C462" s="16" t="s">
        <v>624</v>
      </c>
      <c r="D462" s="16" t="s">
        <v>894</v>
      </c>
      <c r="E462" s="16"/>
      <c r="F462" s="16" t="s">
        <v>317</v>
      </c>
      <c r="G462" s="16" t="s">
        <v>585</v>
      </c>
      <c r="H462" s="15" t="s">
        <v>347</v>
      </c>
      <c r="I462" s="89" t="s">
        <v>347</v>
      </c>
      <c r="J462" s="79">
        <v>39908.040000000008</v>
      </c>
      <c r="K462" s="18" t="s">
        <v>1157</v>
      </c>
      <c r="L462" s="94" t="s">
        <v>355</v>
      </c>
      <c r="M462" s="148" t="s">
        <v>466</v>
      </c>
      <c r="N462" s="81" t="str">
        <f>_xlfn.XLOOKUP(Calculations[[#This Row],[For XLOOKUP]],Factors[For XLOOKUP],Factors[Factor],"")</f>
        <v>Σ.Ε. CO₂ eq</v>
      </c>
      <c r="O462" s="81">
        <f>_xlfn.XLOOKUP(Calculations[[#This Row],[For XLOOKUP]],Factors[For XLOOKUP],Factors[Value],"")</f>
        <v>2.2534199999999998E-4</v>
      </c>
      <c r="P462" s="81" t="str">
        <f>_xlfn.XLOOKUP(Calculations[[#This Row],[For XLOOKUP]],Factors[For XLOOKUP],Factors[Units],"")</f>
        <v>tn CO2 eq/ €</v>
      </c>
      <c r="Q462" s="19" t="str">
        <f>_xlfn.XLOOKUP(Calculations[[#This Row],[For XLOOKUP]],Factors[For XLOOKUP],Factors[Source],"")</f>
        <v>EPA 2022</v>
      </c>
      <c r="R46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2" s="81" t="str">
        <f>IF(LEFT(Calculations[[#This Row],[Emission Factor]],7)="Σ.Ε. CH",Calculations[[#This Row],[Value]]*Calculations[[#This Row],[Τιμή]],"-")</f>
        <v>-</v>
      </c>
      <c r="T46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2" s="81" t="str">
        <f>IF(LEFT(Calculations[[#This Row],[Emission Factor]],3)="GWP",Calculations[[#This Row],[Τιμή]],"-")</f>
        <v>-</v>
      </c>
      <c r="V462" s="81">
        <f>IF(OR(Calculations[[#This Row],[Emission Factor]]="Σ.Ε. CO₂ eq",Calculations[[#This Row],[Emission Factor]]="CO₂ eq"),Calculations[[#This Row],[Value]]*Calculations[[#This Row],[Τιμή]],"-")</f>
        <v>8.9929575496800016</v>
      </c>
      <c r="W462" s="81" t="str">
        <f>IF(Calculations[[#This Row],[Πηγή εκπομπών]]="Electricity consumed in office buildings and projects - market based",Calculations[[#This Row],[t CO2]],"")</f>
        <v/>
      </c>
      <c r="X46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8.9929575496800016</v>
      </c>
    </row>
    <row r="463" spans="1:24" ht="29.4" hidden="1" thickTop="1">
      <c r="A463" s="15" t="s">
        <v>350</v>
      </c>
      <c r="B463" s="15" t="s">
        <v>351</v>
      </c>
      <c r="C463" s="16" t="s">
        <v>624</v>
      </c>
      <c r="D463" s="16" t="s">
        <v>894</v>
      </c>
      <c r="E463" s="16"/>
      <c r="F463" s="16" t="s">
        <v>317</v>
      </c>
      <c r="G463" s="16" t="s">
        <v>585</v>
      </c>
      <c r="H463" s="15" t="s">
        <v>347</v>
      </c>
      <c r="I463" s="89" t="s">
        <v>347</v>
      </c>
      <c r="J463" s="79">
        <v>3200.58</v>
      </c>
      <c r="K463" s="18" t="s">
        <v>1157</v>
      </c>
      <c r="L463" s="94" t="s">
        <v>451</v>
      </c>
      <c r="M463" s="148" t="s">
        <v>562</v>
      </c>
      <c r="N463" s="81" t="str">
        <f>_xlfn.XLOOKUP(Calculations[[#This Row],[For XLOOKUP]],Factors[For XLOOKUP],Factors[Factor],"")</f>
        <v>Σ.Ε. CO₂ eq</v>
      </c>
      <c r="O463" s="81">
        <f>_xlfn.XLOOKUP(Calculations[[#This Row],[For XLOOKUP]],Factors[For XLOOKUP],Factors[Value],"")</f>
        <v>1.2636E-4</v>
      </c>
      <c r="P463" s="81" t="str">
        <f>_xlfn.XLOOKUP(Calculations[[#This Row],[For XLOOKUP]],Factors[For XLOOKUP],Factors[Units],"")</f>
        <v>tn CO2 eq/ €</v>
      </c>
      <c r="Q463" s="19" t="str">
        <f>_xlfn.XLOOKUP(Calculations[[#This Row],[For XLOOKUP]],Factors[For XLOOKUP],Factors[Source],"")</f>
        <v>EPA 2022</v>
      </c>
      <c r="R46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3" s="81" t="str">
        <f>IF(LEFT(Calculations[[#This Row],[Emission Factor]],7)="Σ.Ε. CH",Calculations[[#This Row],[Value]]*Calculations[[#This Row],[Τιμή]],"-")</f>
        <v>-</v>
      </c>
      <c r="T46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3" s="81" t="str">
        <f>IF(LEFT(Calculations[[#This Row],[Emission Factor]],3)="GWP",Calculations[[#This Row],[Τιμή]],"-")</f>
        <v>-</v>
      </c>
      <c r="V463" s="81">
        <f>IF(OR(Calculations[[#This Row],[Emission Factor]]="Σ.Ε. CO₂ eq",Calculations[[#This Row],[Emission Factor]]="CO₂ eq"),Calculations[[#This Row],[Value]]*Calculations[[#This Row],[Τιμή]],"-")</f>
        <v>0.4044252888</v>
      </c>
      <c r="W463" s="81" t="str">
        <f>IF(Calculations[[#This Row],[Πηγή εκπομπών]]="Electricity consumed in office buildings and projects - market based",Calculations[[#This Row],[t CO2]],"")</f>
        <v/>
      </c>
      <c r="X46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0.4044252888</v>
      </c>
    </row>
    <row r="464" spans="1:24" ht="29.4" hidden="1" thickTop="1">
      <c r="A464" s="15" t="s">
        <v>350</v>
      </c>
      <c r="B464" s="15" t="s">
        <v>351</v>
      </c>
      <c r="C464" s="16" t="s">
        <v>624</v>
      </c>
      <c r="D464" s="16" t="s">
        <v>894</v>
      </c>
      <c r="E464" s="16"/>
      <c r="F464" s="16" t="s">
        <v>317</v>
      </c>
      <c r="G464" s="16" t="s">
        <v>585</v>
      </c>
      <c r="H464" s="15" t="s">
        <v>347</v>
      </c>
      <c r="I464" s="89" t="s">
        <v>347</v>
      </c>
      <c r="J464" s="79">
        <v>157751.77000000002</v>
      </c>
      <c r="K464" s="18" t="s">
        <v>1157</v>
      </c>
      <c r="L464" s="94" t="s">
        <v>387</v>
      </c>
      <c r="M464" s="148" t="s">
        <v>498</v>
      </c>
      <c r="N464" s="81" t="str">
        <f>_xlfn.XLOOKUP(Calculations[[#This Row],[For XLOOKUP]],Factors[For XLOOKUP],Factors[Factor],"")</f>
        <v>Σ.Ε. CO₂ eq</v>
      </c>
      <c r="O464" s="81">
        <f>_xlfn.XLOOKUP(Calculations[[#This Row],[For XLOOKUP]],Factors[For XLOOKUP],Factors[Value],"")</f>
        <v>1.6539999999999999E-3</v>
      </c>
      <c r="P464" s="81" t="str">
        <f>_xlfn.XLOOKUP(Calculations[[#This Row],[For XLOOKUP]],Factors[For XLOOKUP],Factors[Units],"")</f>
        <v>tn CO2 eq/ €</v>
      </c>
      <c r="Q464" s="19" t="str">
        <f>_xlfn.XLOOKUP(Calculations[[#This Row],[For XLOOKUP]],Factors[For XLOOKUP],Factors[Source],"")</f>
        <v>EXIOBASE 2019 - GR</v>
      </c>
      <c r="R46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4" s="81" t="str">
        <f>IF(LEFT(Calculations[[#This Row],[Emission Factor]],7)="Σ.Ε. CH",Calculations[[#This Row],[Value]]*Calculations[[#This Row],[Τιμή]],"-")</f>
        <v>-</v>
      </c>
      <c r="T46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4" s="81" t="str">
        <f>IF(LEFT(Calculations[[#This Row],[Emission Factor]],3)="GWP",Calculations[[#This Row],[Τιμή]],"-")</f>
        <v>-</v>
      </c>
      <c r="V464" s="81">
        <f>IF(OR(Calculations[[#This Row],[Emission Factor]]="Σ.Ε. CO₂ eq",Calculations[[#This Row],[Emission Factor]]="CO₂ eq"),Calculations[[#This Row],[Value]]*Calculations[[#This Row],[Τιμή]],"-")</f>
        <v>260.92142758</v>
      </c>
      <c r="W464" s="81" t="str">
        <f>IF(Calculations[[#This Row],[Πηγή εκπομπών]]="Electricity consumed in office buildings and projects - market based",Calculations[[#This Row],[t CO2]],"")</f>
        <v/>
      </c>
      <c r="X46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260.92142758</v>
      </c>
    </row>
    <row r="465" spans="1:24" ht="29.4" hidden="1" thickTop="1">
      <c r="A465" s="15" t="s">
        <v>350</v>
      </c>
      <c r="B465" s="15" t="s">
        <v>351</v>
      </c>
      <c r="C465" s="16" t="s">
        <v>624</v>
      </c>
      <c r="D465" s="16" t="s">
        <v>894</v>
      </c>
      <c r="E465" s="16"/>
      <c r="F465" s="16" t="s">
        <v>317</v>
      </c>
      <c r="G465" s="16" t="s">
        <v>585</v>
      </c>
      <c r="H465" s="15" t="s">
        <v>347</v>
      </c>
      <c r="I465" s="89" t="s">
        <v>347</v>
      </c>
      <c r="J465" s="79">
        <v>3317626.1800000006</v>
      </c>
      <c r="K465" s="18" t="s">
        <v>1157</v>
      </c>
      <c r="L465" s="94" t="s">
        <v>394</v>
      </c>
      <c r="M465" s="148" t="s">
        <v>505</v>
      </c>
      <c r="N465" s="81" t="str">
        <f>_xlfn.XLOOKUP(Calculations[[#This Row],[For XLOOKUP]],Factors[For XLOOKUP],Factors[Factor],"")</f>
        <v>Σ.Ε. CO₂ eq</v>
      </c>
      <c r="O465" s="81">
        <f>_xlfn.XLOOKUP(Calculations[[#This Row],[For XLOOKUP]],Factors[For XLOOKUP],Factors[Value],"")</f>
        <v>8.1360000000000004E-4</v>
      </c>
      <c r="P465" s="81" t="str">
        <f>_xlfn.XLOOKUP(Calculations[[#This Row],[For XLOOKUP]],Factors[For XLOOKUP],Factors[Units],"")</f>
        <v>tn CO2 eq/ €</v>
      </c>
      <c r="Q465" s="19" t="str">
        <f>_xlfn.XLOOKUP(Calculations[[#This Row],[For XLOOKUP]],Factors[For XLOOKUP],Factors[Source],"")</f>
        <v>EXIOBASE 2019 - GR</v>
      </c>
      <c r="R46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5" s="81" t="str">
        <f>IF(LEFT(Calculations[[#This Row],[Emission Factor]],7)="Σ.Ε. CH",Calculations[[#This Row],[Value]]*Calculations[[#This Row],[Τιμή]],"-")</f>
        <v>-</v>
      </c>
      <c r="T46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5" s="81" t="str">
        <f>IF(LEFT(Calculations[[#This Row],[Emission Factor]],3)="GWP",Calculations[[#This Row],[Τιμή]],"-")</f>
        <v>-</v>
      </c>
      <c r="V465" s="81">
        <f>IF(OR(Calculations[[#This Row],[Emission Factor]]="Σ.Ε. CO₂ eq",Calculations[[#This Row],[Emission Factor]]="CO₂ eq"),Calculations[[#This Row],[Value]]*Calculations[[#This Row],[Τιμή]],"-")</f>
        <v>2699.2206600480008</v>
      </c>
      <c r="W465" s="81" t="str">
        <f>IF(Calculations[[#This Row],[Πηγή εκπομπών]]="Electricity consumed in office buildings and projects - market based",Calculations[[#This Row],[t CO2]],"")</f>
        <v/>
      </c>
      <c r="X46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2699.2206600480008</v>
      </c>
    </row>
    <row r="466" spans="1:24" ht="29.4" hidden="1" thickTop="1">
      <c r="A466" s="15" t="s">
        <v>350</v>
      </c>
      <c r="B466" s="15" t="s">
        <v>351</v>
      </c>
      <c r="C466" s="16" t="s">
        <v>624</v>
      </c>
      <c r="D466" s="16" t="s">
        <v>894</v>
      </c>
      <c r="E466" s="16"/>
      <c r="F466" s="16" t="s">
        <v>317</v>
      </c>
      <c r="G466" s="16" t="s">
        <v>585</v>
      </c>
      <c r="H466" s="15" t="s">
        <v>347</v>
      </c>
      <c r="I466" s="89" t="s">
        <v>347</v>
      </c>
      <c r="J466" s="79">
        <v>4004.9600000000005</v>
      </c>
      <c r="K466" s="18" t="s">
        <v>1157</v>
      </c>
      <c r="L466" s="94" t="s">
        <v>434</v>
      </c>
      <c r="M466" s="148" t="s">
        <v>545</v>
      </c>
      <c r="N466" s="81" t="str">
        <f>_xlfn.XLOOKUP(Calculations[[#This Row],[For XLOOKUP]],Factors[For XLOOKUP],Factors[Factor],"")</f>
        <v>Σ.Ε. CO₂ eq</v>
      </c>
      <c r="O466" s="81">
        <f>_xlfn.XLOOKUP(Calculations[[#This Row],[For XLOOKUP]],Factors[For XLOOKUP],Factors[Value],"")</f>
        <v>1.8111599999999996E-4</v>
      </c>
      <c r="P466" s="81" t="str">
        <f>_xlfn.XLOOKUP(Calculations[[#This Row],[For XLOOKUP]],Factors[For XLOOKUP],Factors[Units],"")</f>
        <v>tn CO2 eq/ €</v>
      </c>
      <c r="Q466" s="19" t="str">
        <f>_xlfn.XLOOKUP(Calculations[[#This Row],[For XLOOKUP]],Factors[For XLOOKUP],Factors[Source],"")</f>
        <v>EPA 2022</v>
      </c>
      <c r="R46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6" s="81" t="str">
        <f>IF(LEFT(Calculations[[#This Row],[Emission Factor]],7)="Σ.Ε. CH",Calculations[[#This Row],[Value]]*Calculations[[#This Row],[Τιμή]],"-")</f>
        <v>-</v>
      </c>
      <c r="T46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6" s="81" t="str">
        <f>IF(LEFT(Calculations[[#This Row],[Emission Factor]],3)="GWP",Calculations[[#This Row],[Τιμή]],"-")</f>
        <v>-</v>
      </c>
      <c r="V466" s="81">
        <f>IF(OR(Calculations[[#This Row],[Emission Factor]]="Σ.Ε. CO₂ eq",Calculations[[#This Row],[Emission Factor]]="CO₂ eq"),Calculations[[#This Row],[Value]]*Calculations[[#This Row],[Τιμή]],"-")</f>
        <v>0.72536233535999994</v>
      </c>
      <c r="W466" s="81" t="str">
        <f>IF(Calculations[[#This Row],[Πηγή εκπομπών]]="Electricity consumed in office buildings and projects - market based",Calculations[[#This Row],[t CO2]],"")</f>
        <v/>
      </c>
      <c r="X46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0.72536233535999994</v>
      </c>
    </row>
    <row r="467" spans="1:24" ht="29.4" hidden="1" thickTop="1">
      <c r="A467" s="15" t="s">
        <v>350</v>
      </c>
      <c r="B467" s="15" t="s">
        <v>351</v>
      </c>
      <c r="C467" s="16" t="s">
        <v>624</v>
      </c>
      <c r="D467" s="16" t="s">
        <v>894</v>
      </c>
      <c r="E467" s="16"/>
      <c r="F467" s="16" t="s">
        <v>317</v>
      </c>
      <c r="G467" s="16" t="s">
        <v>585</v>
      </c>
      <c r="H467" s="15" t="s">
        <v>347</v>
      </c>
      <c r="I467" s="89" t="s">
        <v>347</v>
      </c>
      <c r="J467" s="79">
        <v>38175.659999999996</v>
      </c>
      <c r="K467" s="18" t="s">
        <v>1157</v>
      </c>
      <c r="L467" s="94" t="s">
        <v>410</v>
      </c>
      <c r="M467" s="148" t="s">
        <v>521</v>
      </c>
      <c r="N467" s="81" t="str">
        <f>_xlfn.XLOOKUP(Calculations[[#This Row],[For XLOOKUP]],Factors[For XLOOKUP],Factors[Factor],"")</f>
        <v>Σ.Ε. CO₂ eq</v>
      </c>
      <c r="O467" s="81">
        <f>_xlfn.XLOOKUP(Calculations[[#This Row],[For XLOOKUP]],Factors[For XLOOKUP],Factors[Value],"")</f>
        <v>2.3271299999999998E-4</v>
      </c>
      <c r="P467" s="81" t="str">
        <f>_xlfn.XLOOKUP(Calculations[[#This Row],[For XLOOKUP]],Factors[For XLOOKUP],Factors[Units],"")</f>
        <v>tn CO2 eq/ €</v>
      </c>
      <c r="Q467" s="19" t="str">
        <f>_xlfn.XLOOKUP(Calculations[[#This Row],[For XLOOKUP]],Factors[For XLOOKUP],Factors[Source],"")</f>
        <v>EPA 2022</v>
      </c>
      <c r="R46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7" s="81" t="str">
        <f>IF(LEFT(Calculations[[#This Row],[Emission Factor]],7)="Σ.Ε. CH",Calculations[[#This Row],[Value]]*Calculations[[#This Row],[Τιμή]],"-")</f>
        <v>-</v>
      </c>
      <c r="T46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7" s="81" t="str">
        <f>IF(LEFT(Calculations[[#This Row],[Emission Factor]],3)="GWP",Calculations[[#This Row],[Τιμή]],"-")</f>
        <v>-</v>
      </c>
      <c r="V467" s="81">
        <f>IF(OR(Calculations[[#This Row],[Emission Factor]]="Σ.Ε. CO₂ eq",Calculations[[#This Row],[Emission Factor]]="CO₂ eq"),Calculations[[#This Row],[Value]]*Calculations[[#This Row],[Τιμή]],"-")</f>
        <v>8.8839723655799983</v>
      </c>
      <c r="W467" s="81" t="str">
        <f>IF(Calculations[[#This Row],[Πηγή εκπομπών]]="Electricity consumed in office buildings and projects - market based",Calculations[[#This Row],[t CO2]],"")</f>
        <v/>
      </c>
      <c r="X46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8.8839723655799983</v>
      </c>
    </row>
    <row r="468" spans="1:24" ht="29.4" hidden="1" thickTop="1">
      <c r="A468" s="15" t="s">
        <v>350</v>
      </c>
      <c r="B468" s="15" t="s">
        <v>351</v>
      </c>
      <c r="C468" s="16" t="s">
        <v>624</v>
      </c>
      <c r="D468" s="16" t="s">
        <v>894</v>
      </c>
      <c r="E468" s="16"/>
      <c r="F468" s="16" t="s">
        <v>317</v>
      </c>
      <c r="G468" s="16" t="s">
        <v>585</v>
      </c>
      <c r="H468" s="15" t="s">
        <v>347</v>
      </c>
      <c r="I468" s="89" t="s">
        <v>347</v>
      </c>
      <c r="J468" s="79">
        <v>4385426.33</v>
      </c>
      <c r="K468" s="18" t="s">
        <v>1157</v>
      </c>
      <c r="L468" s="94" t="s">
        <v>458</v>
      </c>
      <c r="M468" s="148" t="s">
        <v>569</v>
      </c>
      <c r="N468" s="81" t="str">
        <f>_xlfn.XLOOKUP(Calculations[[#This Row],[For XLOOKUP]],Factors[For XLOOKUP],Factors[Factor],"")</f>
        <v>Σ.Ε. CO₂ eq</v>
      </c>
      <c r="O468" s="81">
        <f>_xlfn.XLOOKUP(Calculations[[#This Row],[For XLOOKUP]],Factors[For XLOOKUP],Factors[Value],"")</f>
        <v>1.637538E-3</v>
      </c>
      <c r="P468" s="81" t="str">
        <f>_xlfn.XLOOKUP(Calculations[[#This Row],[For XLOOKUP]],Factors[For XLOOKUP],Factors[Units],"")</f>
        <v>tn CO2 eq/ €</v>
      </c>
      <c r="Q468" s="19" t="str">
        <f>_xlfn.XLOOKUP(Calculations[[#This Row],[For XLOOKUP]],Factors[For XLOOKUP],Factors[Source],"")</f>
        <v>BEIS 2021</v>
      </c>
      <c r="R46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8" s="81" t="str">
        <f>IF(LEFT(Calculations[[#This Row],[Emission Factor]],7)="Σ.Ε. CH",Calculations[[#This Row],[Value]]*Calculations[[#This Row],[Τιμή]],"-")</f>
        <v>-</v>
      </c>
      <c r="T46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8" s="81" t="str">
        <f>IF(LEFT(Calculations[[#This Row],[Emission Factor]],3)="GWP",Calculations[[#This Row],[Τιμή]],"-")</f>
        <v>-</v>
      </c>
      <c r="V468" s="81">
        <f>IF(OR(Calculations[[#This Row],[Emission Factor]]="Σ.Ε. CO₂ eq",Calculations[[#This Row],[Emission Factor]]="CO₂ eq"),Calculations[[#This Row],[Value]]*Calculations[[#This Row],[Τιμή]],"-")</f>
        <v>7181.3022615755399</v>
      </c>
      <c r="W468" s="81" t="str">
        <f>IF(Calculations[[#This Row],[Πηγή εκπομπών]]="Electricity consumed in office buildings and projects - market based",Calculations[[#This Row],[t CO2]],"")</f>
        <v/>
      </c>
      <c r="X46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7181.3022615755399</v>
      </c>
    </row>
    <row r="469" spans="1:24" ht="29.4" hidden="1" thickTop="1">
      <c r="A469" s="15" t="s">
        <v>350</v>
      </c>
      <c r="B469" s="15" t="s">
        <v>351</v>
      </c>
      <c r="C469" s="16" t="s">
        <v>624</v>
      </c>
      <c r="D469" s="16" t="s">
        <v>894</v>
      </c>
      <c r="E469" s="16"/>
      <c r="F469" s="16" t="s">
        <v>317</v>
      </c>
      <c r="G469" s="16" t="s">
        <v>585</v>
      </c>
      <c r="H469" s="15" t="s">
        <v>347</v>
      </c>
      <c r="I469" s="89" t="s">
        <v>347</v>
      </c>
      <c r="J469" s="79">
        <v>274171.07</v>
      </c>
      <c r="K469" s="18" t="s">
        <v>1157</v>
      </c>
      <c r="L469" s="94" t="s">
        <v>416</v>
      </c>
      <c r="M469" s="148" t="s">
        <v>527</v>
      </c>
      <c r="N469" s="81" t="str">
        <f>_xlfn.XLOOKUP(Calculations[[#This Row],[For XLOOKUP]],Factors[For XLOOKUP],Factors[Factor],"")</f>
        <v>Σ.Ε. CO₂ eq</v>
      </c>
      <c r="O469" s="81">
        <f>_xlfn.XLOOKUP(Calculations[[#This Row],[For XLOOKUP]],Factors[For XLOOKUP],Factors[Value],"")</f>
        <v>4.749E-4</v>
      </c>
      <c r="P469" s="81" t="str">
        <f>_xlfn.XLOOKUP(Calculations[[#This Row],[For XLOOKUP]],Factors[For XLOOKUP],Factors[Units],"")</f>
        <v>tn CO2 eq/ €</v>
      </c>
      <c r="Q469" s="19" t="str">
        <f>_xlfn.XLOOKUP(Calculations[[#This Row],[For XLOOKUP]],Factors[For XLOOKUP],Factors[Source],"")</f>
        <v>EXIOBASE 2019 - GR</v>
      </c>
      <c r="R46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9" s="81" t="str">
        <f>IF(LEFT(Calculations[[#This Row],[Emission Factor]],7)="Σ.Ε. CH",Calculations[[#This Row],[Value]]*Calculations[[#This Row],[Τιμή]],"-")</f>
        <v>-</v>
      </c>
      <c r="T46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9" s="81" t="str">
        <f>IF(LEFT(Calculations[[#This Row],[Emission Factor]],3)="GWP",Calculations[[#This Row],[Τιμή]],"-")</f>
        <v>-</v>
      </c>
      <c r="V469" s="81">
        <f>IF(OR(Calculations[[#This Row],[Emission Factor]]="Σ.Ε. CO₂ eq",Calculations[[#This Row],[Emission Factor]]="CO₂ eq"),Calculations[[#This Row],[Value]]*Calculations[[#This Row],[Τιμή]],"-")</f>
        <v>130.20384114300001</v>
      </c>
      <c r="W469" s="81" t="str">
        <f>IF(Calculations[[#This Row],[Πηγή εκπομπών]]="Electricity consumed in office buildings and projects - market based",Calculations[[#This Row],[t CO2]],"")</f>
        <v/>
      </c>
      <c r="X46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130.20384114300001</v>
      </c>
    </row>
    <row r="470" spans="1:24" ht="29.4" hidden="1" thickTop="1">
      <c r="A470" s="15" t="s">
        <v>350</v>
      </c>
      <c r="B470" s="15" t="s">
        <v>351</v>
      </c>
      <c r="C470" s="16" t="s">
        <v>624</v>
      </c>
      <c r="D470" s="16" t="s">
        <v>894</v>
      </c>
      <c r="E470" s="16"/>
      <c r="F470" s="16" t="s">
        <v>317</v>
      </c>
      <c r="G470" s="16" t="s">
        <v>585</v>
      </c>
      <c r="H470" s="15" t="s">
        <v>347</v>
      </c>
      <c r="I470" s="89" t="s">
        <v>347</v>
      </c>
      <c r="J470" s="79">
        <v>206464.91</v>
      </c>
      <c r="K470" s="18" t="s">
        <v>1157</v>
      </c>
      <c r="L470" s="94" t="s">
        <v>441</v>
      </c>
      <c r="M470" s="148" t="s">
        <v>552</v>
      </c>
      <c r="N470" s="81" t="str">
        <f>_xlfn.XLOOKUP(Calculations[[#This Row],[For XLOOKUP]],Factors[For XLOOKUP],Factors[Factor],"")</f>
        <v>Σ.Ε. CO₂ eq</v>
      </c>
      <c r="O470" s="81">
        <f>_xlfn.XLOOKUP(Calculations[[#This Row],[For XLOOKUP]],Factors[For XLOOKUP],Factors[Value],"")</f>
        <v>1.6539999999999999E-3</v>
      </c>
      <c r="P470" s="81" t="str">
        <f>_xlfn.XLOOKUP(Calculations[[#This Row],[For XLOOKUP]],Factors[For XLOOKUP],Factors[Units],"")</f>
        <v>tn CO2 eq/ €</v>
      </c>
      <c r="Q470" s="19" t="str">
        <f>_xlfn.XLOOKUP(Calculations[[#This Row],[For XLOOKUP]],Factors[For XLOOKUP],Factors[Source],"")</f>
        <v>EXIOBASE 2019 - GR</v>
      </c>
      <c r="R47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0" s="81" t="str">
        <f>IF(LEFT(Calculations[[#This Row],[Emission Factor]],7)="Σ.Ε. CH",Calculations[[#This Row],[Value]]*Calculations[[#This Row],[Τιμή]],"-")</f>
        <v>-</v>
      </c>
      <c r="T47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0" s="81" t="str">
        <f>IF(LEFT(Calculations[[#This Row],[Emission Factor]],3)="GWP",Calculations[[#This Row],[Τιμή]],"-")</f>
        <v>-</v>
      </c>
      <c r="V470" s="81">
        <f>IF(OR(Calculations[[#This Row],[Emission Factor]]="Σ.Ε. CO₂ eq",Calculations[[#This Row],[Emission Factor]]="CO₂ eq"),Calculations[[#This Row],[Value]]*Calculations[[#This Row],[Τιμή]],"-")</f>
        <v>341.49296113999998</v>
      </c>
      <c r="W470" s="81" t="str">
        <f>IF(Calculations[[#This Row],[Πηγή εκπομπών]]="Electricity consumed in office buildings and projects - market based",Calculations[[#This Row],[t CO2]],"")</f>
        <v/>
      </c>
      <c r="X47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341.49296113999998</v>
      </c>
    </row>
    <row r="471" spans="1:24" ht="29.4" hidden="1" thickTop="1">
      <c r="A471" s="15" t="s">
        <v>350</v>
      </c>
      <c r="B471" s="15" t="s">
        <v>351</v>
      </c>
      <c r="C471" s="16" t="s">
        <v>624</v>
      </c>
      <c r="D471" s="16" t="s">
        <v>894</v>
      </c>
      <c r="E471" s="16"/>
      <c r="F471" s="16" t="s">
        <v>317</v>
      </c>
      <c r="G471" s="16" t="s">
        <v>585</v>
      </c>
      <c r="H471" s="15" t="s">
        <v>347</v>
      </c>
      <c r="I471" s="89" t="s">
        <v>347</v>
      </c>
      <c r="J471" s="79">
        <v>155862.43999999997</v>
      </c>
      <c r="K471" s="18" t="s">
        <v>1157</v>
      </c>
      <c r="L471" s="94" t="s">
        <v>391</v>
      </c>
      <c r="M471" s="148" t="s">
        <v>502</v>
      </c>
      <c r="N471" s="81" t="str">
        <f>_xlfn.XLOOKUP(Calculations[[#This Row],[For XLOOKUP]],Factors[For XLOOKUP],Factors[Factor],"")</f>
        <v>Σ.Ε. CO₂ eq</v>
      </c>
      <c r="O471" s="81">
        <f>_xlfn.XLOOKUP(Calculations[[#This Row],[For XLOOKUP]],Factors[For XLOOKUP],Factors[Value],"")</f>
        <v>4.5980000000000001E-4</v>
      </c>
      <c r="P471" s="81" t="str">
        <f>_xlfn.XLOOKUP(Calculations[[#This Row],[For XLOOKUP]],Factors[For XLOOKUP],Factors[Units],"")</f>
        <v>tn CO2 eq/ €</v>
      </c>
      <c r="Q471" s="19" t="str">
        <f>_xlfn.XLOOKUP(Calculations[[#This Row],[For XLOOKUP]],Factors[For XLOOKUP],Factors[Source],"")</f>
        <v>EXIOBASE 2019 - GR</v>
      </c>
      <c r="R47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1" s="81" t="str">
        <f>IF(LEFT(Calculations[[#This Row],[Emission Factor]],7)="Σ.Ε. CH",Calculations[[#This Row],[Value]]*Calculations[[#This Row],[Τιμή]],"-")</f>
        <v>-</v>
      </c>
      <c r="T47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1" s="81" t="str">
        <f>IF(LEFT(Calculations[[#This Row],[Emission Factor]],3)="GWP",Calculations[[#This Row],[Τιμή]],"-")</f>
        <v>-</v>
      </c>
      <c r="V471" s="81">
        <f>IF(OR(Calculations[[#This Row],[Emission Factor]]="Σ.Ε. CO₂ eq",Calculations[[#This Row],[Emission Factor]]="CO₂ eq"),Calculations[[#This Row],[Value]]*Calculations[[#This Row],[Τιμή]],"-")</f>
        <v>71.665549911999989</v>
      </c>
      <c r="W471" s="81" t="str">
        <f>IF(Calculations[[#This Row],[Πηγή εκπομπών]]="Electricity consumed in office buildings and projects - market based",Calculations[[#This Row],[t CO2]],"")</f>
        <v/>
      </c>
      <c r="X47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71.665549911999989</v>
      </c>
    </row>
    <row r="472" spans="1:24" ht="29.4" hidden="1" thickTop="1">
      <c r="A472" s="15" t="s">
        <v>350</v>
      </c>
      <c r="B472" s="15" t="s">
        <v>351</v>
      </c>
      <c r="C472" s="16" t="s">
        <v>624</v>
      </c>
      <c r="D472" s="16" t="s">
        <v>894</v>
      </c>
      <c r="E472" s="16"/>
      <c r="F472" s="16" t="s">
        <v>317</v>
      </c>
      <c r="G472" s="16" t="s">
        <v>585</v>
      </c>
      <c r="H472" s="15" t="s">
        <v>347</v>
      </c>
      <c r="I472" s="89" t="s">
        <v>347</v>
      </c>
      <c r="J472" s="79">
        <v>4569.2900000000018</v>
      </c>
      <c r="K472" s="18" t="s">
        <v>1157</v>
      </c>
      <c r="L472" s="94" t="s">
        <v>359</v>
      </c>
      <c r="M472" s="148" t="s">
        <v>470</v>
      </c>
      <c r="N472" s="81" t="str">
        <f>_xlfn.XLOOKUP(Calculations[[#This Row],[For XLOOKUP]],Factors[For XLOOKUP],Factors[Factor],"")</f>
        <v>Σ.Ε. CO₂ eq</v>
      </c>
      <c r="O472" s="81">
        <f>_xlfn.XLOOKUP(Calculations[[#This Row],[For XLOOKUP]],Factors[For XLOOKUP],Factors[Value],"")</f>
        <v>1.16883E-4</v>
      </c>
      <c r="P472" s="81" t="str">
        <f>_xlfn.XLOOKUP(Calculations[[#This Row],[For XLOOKUP]],Factors[For XLOOKUP],Factors[Units],"")</f>
        <v>tn CO2 eq/ €</v>
      </c>
      <c r="Q472" s="19" t="str">
        <f>_xlfn.XLOOKUP(Calculations[[#This Row],[For XLOOKUP]],Factors[For XLOOKUP],Factors[Source],"")</f>
        <v>EPA 2022</v>
      </c>
      <c r="R47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2" s="81" t="str">
        <f>IF(LEFT(Calculations[[#This Row],[Emission Factor]],7)="Σ.Ε. CH",Calculations[[#This Row],[Value]]*Calculations[[#This Row],[Τιμή]],"-")</f>
        <v>-</v>
      </c>
      <c r="T47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2" s="81" t="str">
        <f>IF(LEFT(Calculations[[#This Row],[Emission Factor]],3)="GWP",Calculations[[#This Row],[Τιμή]],"-")</f>
        <v>-</v>
      </c>
      <c r="V472" s="81">
        <f>IF(OR(Calculations[[#This Row],[Emission Factor]]="Σ.Ε. CO₂ eq",Calculations[[#This Row],[Emission Factor]]="CO₂ eq"),Calculations[[#This Row],[Value]]*Calculations[[#This Row],[Τιμή]],"-")</f>
        <v>0.53407232307000019</v>
      </c>
      <c r="W472" s="81" t="str">
        <f>IF(Calculations[[#This Row],[Πηγή εκπομπών]]="Electricity consumed in office buildings and projects - market based",Calculations[[#This Row],[t CO2]],"")</f>
        <v/>
      </c>
      <c r="X47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0.53407232307000019</v>
      </c>
    </row>
    <row r="473" spans="1:24" ht="29.4" hidden="1" thickTop="1">
      <c r="A473" s="15" t="s">
        <v>350</v>
      </c>
      <c r="B473" s="15" t="s">
        <v>351</v>
      </c>
      <c r="C473" s="16" t="s">
        <v>624</v>
      </c>
      <c r="D473" s="16" t="s">
        <v>894</v>
      </c>
      <c r="E473" s="16"/>
      <c r="F473" s="16" t="s">
        <v>317</v>
      </c>
      <c r="G473" s="16" t="s">
        <v>585</v>
      </c>
      <c r="H473" s="15" t="s">
        <v>347</v>
      </c>
      <c r="I473" s="89" t="s">
        <v>347</v>
      </c>
      <c r="J473" s="79">
        <v>17748.920000000002</v>
      </c>
      <c r="K473" s="18" t="s">
        <v>1157</v>
      </c>
      <c r="L473" s="94" t="s">
        <v>436</v>
      </c>
      <c r="M473" s="148" t="s">
        <v>547</v>
      </c>
      <c r="N473" s="81" t="str">
        <f>_xlfn.XLOOKUP(Calculations[[#This Row],[For XLOOKUP]],Factors[For XLOOKUP],Factors[Factor],"")</f>
        <v>Σ.Ε. CO₂ eq</v>
      </c>
      <c r="O473" s="81">
        <f>_xlfn.XLOOKUP(Calculations[[#This Row],[For XLOOKUP]],Factors[For XLOOKUP],Factors[Value],"")</f>
        <v>1.8427499999999999E-4</v>
      </c>
      <c r="P473" s="81" t="str">
        <f>_xlfn.XLOOKUP(Calculations[[#This Row],[For XLOOKUP]],Factors[For XLOOKUP],Factors[Units],"")</f>
        <v>tn CO2 eq/ €</v>
      </c>
      <c r="Q473" s="19" t="str">
        <f>_xlfn.XLOOKUP(Calculations[[#This Row],[For XLOOKUP]],Factors[For XLOOKUP],Factors[Source],"")</f>
        <v>EPA 2022</v>
      </c>
      <c r="R47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3" s="81" t="str">
        <f>IF(LEFT(Calculations[[#This Row],[Emission Factor]],7)="Σ.Ε. CH",Calculations[[#This Row],[Value]]*Calculations[[#This Row],[Τιμή]],"-")</f>
        <v>-</v>
      </c>
      <c r="T47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3" s="81" t="str">
        <f>IF(LEFT(Calculations[[#This Row],[Emission Factor]],3)="GWP",Calculations[[#This Row],[Τιμή]],"-")</f>
        <v>-</v>
      </c>
      <c r="V473" s="81">
        <f>IF(OR(Calculations[[#This Row],[Emission Factor]]="Σ.Ε. CO₂ eq",Calculations[[#This Row],[Emission Factor]]="CO₂ eq"),Calculations[[#This Row],[Value]]*Calculations[[#This Row],[Τιμή]],"-")</f>
        <v>3.270682233</v>
      </c>
      <c r="W473" s="81" t="str">
        <f>IF(Calculations[[#This Row],[Πηγή εκπομπών]]="Electricity consumed in office buildings and projects - market based",Calculations[[#This Row],[t CO2]],"")</f>
        <v/>
      </c>
      <c r="X47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3.270682233</v>
      </c>
    </row>
    <row r="474" spans="1:24" ht="29.4" hidden="1" thickTop="1">
      <c r="A474" s="15" t="s">
        <v>350</v>
      </c>
      <c r="B474" s="15" t="s">
        <v>351</v>
      </c>
      <c r="C474" s="16" t="s">
        <v>624</v>
      </c>
      <c r="D474" s="16" t="s">
        <v>894</v>
      </c>
      <c r="E474" s="16"/>
      <c r="F474" s="16" t="s">
        <v>317</v>
      </c>
      <c r="G474" s="16" t="s">
        <v>585</v>
      </c>
      <c r="H474" s="15" t="s">
        <v>347</v>
      </c>
      <c r="I474" s="89" t="s">
        <v>347</v>
      </c>
      <c r="J474" s="79">
        <v>249999.27999999988</v>
      </c>
      <c r="K474" s="18" t="s">
        <v>1157</v>
      </c>
      <c r="L474" s="94" t="s">
        <v>361</v>
      </c>
      <c r="M474" s="148" t="s">
        <v>472</v>
      </c>
      <c r="N474" s="81" t="str">
        <f>_xlfn.XLOOKUP(Calculations[[#This Row],[For XLOOKUP]],Factors[For XLOOKUP],Factors[Factor],"")</f>
        <v>Σ.Ε. CO₂ eq</v>
      </c>
      <c r="O474" s="81">
        <f>_xlfn.XLOOKUP(Calculations[[#This Row],[For XLOOKUP]],Factors[For XLOOKUP],Factors[Value],"")</f>
        <v>4.2049999999999998E-4</v>
      </c>
      <c r="P474" s="81" t="str">
        <f>_xlfn.XLOOKUP(Calculations[[#This Row],[For XLOOKUP]],Factors[For XLOOKUP],Factors[Units],"")</f>
        <v>tn CO2 eq/ €</v>
      </c>
      <c r="Q474" s="19" t="str">
        <f>_xlfn.XLOOKUP(Calculations[[#This Row],[For XLOOKUP]],Factors[For XLOOKUP],Factors[Source],"")</f>
        <v>EXIOBASE 2019 - GR</v>
      </c>
      <c r="R47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4" s="81" t="str">
        <f>IF(LEFT(Calculations[[#This Row],[Emission Factor]],7)="Σ.Ε. CH",Calculations[[#This Row],[Value]]*Calculations[[#This Row],[Τιμή]],"-")</f>
        <v>-</v>
      </c>
      <c r="T47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4" s="81" t="str">
        <f>IF(LEFT(Calculations[[#This Row],[Emission Factor]],3)="GWP",Calculations[[#This Row],[Τιμή]],"-")</f>
        <v>-</v>
      </c>
      <c r="V474" s="81">
        <f>IF(OR(Calculations[[#This Row],[Emission Factor]]="Σ.Ε. CO₂ eq",Calculations[[#This Row],[Emission Factor]]="CO₂ eq"),Calculations[[#This Row],[Value]]*Calculations[[#This Row],[Τιμή]],"-")</f>
        <v>105.12469723999995</v>
      </c>
      <c r="W474" s="81" t="str">
        <f>IF(Calculations[[#This Row],[Πηγή εκπομπών]]="Electricity consumed in office buildings and projects - market based",Calculations[[#This Row],[t CO2]],"")</f>
        <v/>
      </c>
      <c r="X47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105.12469723999995</v>
      </c>
    </row>
    <row r="475" spans="1:24" ht="29.4" hidden="1" thickTop="1">
      <c r="A475" s="15" t="s">
        <v>350</v>
      </c>
      <c r="B475" s="15" t="s">
        <v>351</v>
      </c>
      <c r="C475" s="16" t="s">
        <v>624</v>
      </c>
      <c r="D475" s="16" t="s">
        <v>894</v>
      </c>
      <c r="E475" s="16"/>
      <c r="F475" s="16" t="s">
        <v>317</v>
      </c>
      <c r="G475" s="16" t="s">
        <v>585</v>
      </c>
      <c r="H475" s="15" t="s">
        <v>347</v>
      </c>
      <c r="I475" s="89" t="s">
        <v>347</v>
      </c>
      <c r="J475" s="79">
        <v>257879.09999999998</v>
      </c>
      <c r="K475" s="18" t="s">
        <v>1157</v>
      </c>
      <c r="L475" s="94" t="s">
        <v>388</v>
      </c>
      <c r="M475" s="148" t="s">
        <v>499</v>
      </c>
      <c r="N475" s="81" t="str">
        <f>_xlfn.XLOOKUP(Calculations[[#This Row],[For XLOOKUP]],Factors[For XLOOKUP],Factors[Factor],"")</f>
        <v>Σ.Ε. CO₂ eq</v>
      </c>
      <c r="O475" s="81">
        <f>_xlfn.XLOOKUP(Calculations[[#This Row],[For XLOOKUP]],Factors[For XLOOKUP],Factors[Value],"")</f>
        <v>2.93787E-4</v>
      </c>
      <c r="P475" s="81" t="str">
        <f>_xlfn.XLOOKUP(Calculations[[#This Row],[For XLOOKUP]],Factors[For XLOOKUP],Factors[Units],"")</f>
        <v>tn CO2 eq/ €</v>
      </c>
      <c r="Q475" s="19" t="str">
        <f>_xlfn.XLOOKUP(Calculations[[#This Row],[For XLOOKUP]],Factors[For XLOOKUP],Factors[Source],"")</f>
        <v>EPA 2022</v>
      </c>
      <c r="R47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5" s="81" t="str">
        <f>IF(LEFT(Calculations[[#This Row],[Emission Factor]],7)="Σ.Ε. CH",Calculations[[#This Row],[Value]]*Calculations[[#This Row],[Τιμή]],"-")</f>
        <v>-</v>
      </c>
      <c r="T47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5" s="81" t="str">
        <f>IF(LEFT(Calculations[[#This Row],[Emission Factor]],3)="GWP",Calculations[[#This Row],[Τιμή]],"-")</f>
        <v>-</v>
      </c>
      <c r="V475" s="81">
        <f>IF(OR(Calculations[[#This Row],[Emission Factor]]="Σ.Ε. CO₂ eq",Calculations[[#This Row],[Emission Factor]]="CO₂ eq"),Calculations[[#This Row],[Value]]*Calculations[[#This Row],[Τιμή]],"-")</f>
        <v>75.761527151699994</v>
      </c>
      <c r="W475" s="81" t="str">
        <f>IF(Calculations[[#This Row],[Πηγή εκπομπών]]="Electricity consumed in office buildings and projects - market based",Calculations[[#This Row],[t CO2]],"")</f>
        <v/>
      </c>
      <c r="X47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75.761527151699994</v>
      </c>
    </row>
    <row r="476" spans="1:24" ht="29.4" hidden="1" thickTop="1">
      <c r="A476" s="15" t="s">
        <v>350</v>
      </c>
      <c r="B476" s="15" t="s">
        <v>351</v>
      </c>
      <c r="C476" s="16" t="s">
        <v>624</v>
      </c>
      <c r="D476" s="16" t="s">
        <v>894</v>
      </c>
      <c r="E476" s="16"/>
      <c r="F476" s="16" t="s">
        <v>317</v>
      </c>
      <c r="G476" s="16" t="s">
        <v>585</v>
      </c>
      <c r="H476" s="15" t="s">
        <v>347</v>
      </c>
      <c r="I476" s="89" t="s">
        <v>347</v>
      </c>
      <c r="J476" s="79">
        <v>143853.50999999998</v>
      </c>
      <c r="K476" s="18" t="s">
        <v>1157</v>
      </c>
      <c r="L476" s="94" t="s">
        <v>374</v>
      </c>
      <c r="M476" s="148" t="s">
        <v>485</v>
      </c>
      <c r="N476" s="81" t="str">
        <f>_xlfn.XLOOKUP(Calculations[[#This Row],[For XLOOKUP]],Factors[For XLOOKUP],Factors[Factor],"")</f>
        <v>Σ.Ε. CO₂ eq</v>
      </c>
      <c r="O476" s="81">
        <f>_xlfn.XLOOKUP(Calculations[[#This Row],[For XLOOKUP]],Factors[For XLOOKUP],Factors[Value],"")</f>
        <v>8.6430000000000003E-4</v>
      </c>
      <c r="P476" s="81" t="str">
        <f>_xlfn.XLOOKUP(Calculations[[#This Row],[For XLOOKUP]],Factors[For XLOOKUP],Factors[Units],"")</f>
        <v>tn CO2 eq/ €</v>
      </c>
      <c r="Q476" s="19" t="str">
        <f>_xlfn.XLOOKUP(Calculations[[#This Row],[For XLOOKUP]],Factors[For XLOOKUP],Factors[Source],"")</f>
        <v>EXIOBASE 2019 - GR</v>
      </c>
      <c r="R47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6" s="81" t="str">
        <f>IF(LEFT(Calculations[[#This Row],[Emission Factor]],7)="Σ.Ε. CH",Calculations[[#This Row],[Value]]*Calculations[[#This Row],[Τιμή]],"-")</f>
        <v>-</v>
      </c>
      <c r="T47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6" s="81" t="str">
        <f>IF(LEFT(Calculations[[#This Row],[Emission Factor]],3)="GWP",Calculations[[#This Row],[Τιμή]],"-")</f>
        <v>-</v>
      </c>
      <c r="V476" s="81">
        <f>IF(OR(Calculations[[#This Row],[Emission Factor]]="Σ.Ε. CO₂ eq",Calculations[[#This Row],[Emission Factor]]="CO₂ eq"),Calculations[[#This Row],[Value]]*Calculations[[#This Row],[Τιμή]],"-")</f>
        <v>124.33258869299999</v>
      </c>
      <c r="W476" s="81" t="str">
        <f>IF(Calculations[[#This Row],[Πηγή εκπομπών]]="Electricity consumed in office buildings and projects - market based",Calculations[[#This Row],[t CO2]],"")</f>
        <v/>
      </c>
      <c r="X47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124.33258869299999</v>
      </c>
    </row>
    <row r="477" spans="1:24" ht="29.4" hidden="1" thickTop="1">
      <c r="A477" s="15" t="s">
        <v>350</v>
      </c>
      <c r="B477" s="15" t="s">
        <v>351</v>
      </c>
      <c r="C477" s="16" t="s">
        <v>624</v>
      </c>
      <c r="D477" s="16" t="s">
        <v>894</v>
      </c>
      <c r="E477" s="16"/>
      <c r="F477" s="16" t="s">
        <v>317</v>
      </c>
      <c r="G477" s="16" t="s">
        <v>585</v>
      </c>
      <c r="H477" s="15" t="s">
        <v>347</v>
      </c>
      <c r="I477" s="89" t="s">
        <v>347</v>
      </c>
      <c r="J477" s="79">
        <v>2170</v>
      </c>
      <c r="K477" s="18" t="s">
        <v>1157</v>
      </c>
      <c r="L477" s="94" t="s">
        <v>397</v>
      </c>
      <c r="M477" s="148" t="s">
        <v>508</v>
      </c>
      <c r="N477" s="81" t="str">
        <f>_xlfn.XLOOKUP(Calculations[[#This Row],[For XLOOKUP]],Factors[For XLOOKUP],Factors[Factor],"")</f>
        <v>Σ.Ε. CO₂ eq</v>
      </c>
      <c r="O477" s="81">
        <f>_xlfn.XLOOKUP(Calculations[[#This Row],[For XLOOKUP]],Factors[For XLOOKUP],Factors[Value],"")</f>
        <v>3.3485399999999999E-4</v>
      </c>
      <c r="P477" s="81" t="str">
        <f>_xlfn.XLOOKUP(Calculations[[#This Row],[For XLOOKUP]],Factors[For XLOOKUP],Factors[Units],"")</f>
        <v>tn CO2 eq/ €</v>
      </c>
      <c r="Q477" s="19" t="str">
        <f>_xlfn.XLOOKUP(Calculations[[#This Row],[For XLOOKUP]],Factors[For XLOOKUP],Factors[Source],"")</f>
        <v>EPA 2022</v>
      </c>
      <c r="R47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7" s="81" t="str">
        <f>IF(LEFT(Calculations[[#This Row],[Emission Factor]],7)="Σ.Ε. CH",Calculations[[#This Row],[Value]]*Calculations[[#This Row],[Τιμή]],"-")</f>
        <v>-</v>
      </c>
      <c r="T47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7" s="81" t="str">
        <f>IF(LEFT(Calculations[[#This Row],[Emission Factor]],3)="GWP",Calculations[[#This Row],[Τιμή]],"-")</f>
        <v>-</v>
      </c>
      <c r="V477" s="81">
        <f>IF(OR(Calculations[[#This Row],[Emission Factor]]="Σ.Ε. CO₂ eq",Calculations[[#This Row],[Emission Factor]]="CO₂ eq"),Calculations[[#This Row],[Value]]*Calculations[[#This Row],[Τιμή]],"-")</f>
        <v>0.72663317999999999</v>
      </c>
      <c r="W477" s="81" t="str">
        <f>IF(Calculations[[#This Row],[Πηγή εκπομπών]]="Electricity consumed in office buildings and projects - market based",Calculations[[#This Row],[t CO2]],"")</f>
        <v/>
      </c>
      <c r="X47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0.72663317999999999</v>
      </c>
    </row>
    <row r="478" spans="1:24" ht="29.4" hidden="1" thickTop="1">
      <c r="A478" s="15" t="s">
        <v>350</v>
      </c>
      <c r="B478" s="15" t="s">
        <v>351</v>
      </c>
      <c r="C478" s="16" t="s">
        <v>624</v>
      </c>
      <c r="D478" s="16" t="s">
        <v>894</v>
      </c>
      <c r="E478" s="16"/>
      <c r="F478" s="16" t="s">
        <v>317</v>
      </c>
      <c r="G478" s="16" t="s">
        <v>585</v>
      </c>
      <c r="H478" s="15" t="s">
        <v>347</v>
      </c>
      <c r="I478" s="89" t="s">
        <v>347</v>
      </c>
      <c r="J478" s="79">
        <v>1666176.7199999981</v>
      </c>
      <c r="K478" s="18" t="s">
        <v>1157</v>
      </c>
      <c r="L478" s="94" t="s">
        <v>364</v>
      </c>
      <c r="M478" s="148" t="s">
        <v>475</v>
      </c>
      <c r="N478" s="81" t="str">
        <f>_xlfn.XLOOKUP(Calculations[[#This Row],[For XLOOKUP]],Factors[For XLOOKUP],Factors[Factor],"")</f>
        <v>Σ.Ε. CO₂ eq</v>
      </c>
      <c r="O478" s="81">
        <f>_xlfn.XLOOKUP(Calculations[[#This Row],[For XLOOKUP]],Factors[For XLOOKUP],Factors[Value],"")</f>
        <v>1.401148E-4</v>
      </c>
      <c r="P478" s="81" t="str">
        <f>_xlfn.XLOOKUP(Calculations[[#This Row],[For XLOOKUP]],Factors[For XLOOKUP],Factors[Units],"")</f>
        <v>tn CO2 eq/ €</v>
      </c>
      <c r="Q478" s="19" t="str">
        <f>_xlfn.XLOOKUP(Calculations[[#This Row],[For XLOOKUP]],Factors[For XLOOKUP],Factors[Source],"")</f>
        <v>BEIS 2021</v>
      </c>
      <c r="R47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8" s="81" t="str">
        <f>IF(LEFT(Calculations[[#This Row],[Emission Factor]],7)="Σ.Ε. CH",Calculations[[#This Row],[Value]]*Calculations[[#This Row],[Τιμή]],"-")</f>
        <v>-</v>
      </c>
      <c r="T47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8" s="81" t="str">
        <f>IF(LEFT(Calculations[[#This Row],[Emission Factor]],3)="GWP",Calculations[[#This Row],[Τιμή]],"-")</f>
        <v>-</v>
      </c>
      <c r="V478" s="81">
        <f>IF(OR(Calculations[[#This Row],[Emission Factor]]="Σ.Ε. CO₂ eq",Calculations[[#This Row],[Emission Factor]]="CO₂ eq"),Calculations[[#This Row],[Value]]*Calculations[[#This Row],[Τιμή]],"-")</f>
        <v>233.45601788745572</v>
      </c>
      <c r="W478" s="81" t="str">
        <f>IF(Calculations[[#This Row],[Πηγή εκπομπών]]="Electricity consumed in office buildings and projects - market based",Calculations[[#This Row],[t CO2]],"")</f>
        <v/>
      </c>
      <c r="X47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233.45601788745572</v>
      </c>
    </row>
    <row r="479" spans="1:24" ht="29.4" hidden="1" thickTop="1">
      <c r="A479" s="15" t="s">
        <v>350</v>
      </c>
      <c r="B479" s="15" t="s">
        <v>351</v>
      </c>
      <c r="C479" s="16" t="s">
        <v>624</v>
      </c>
      <c r="D479" s="16" t="s">
        <v>894</v>
      </c>
      <c r="E479" s="16"/>
      <c r="F479" s="16" t="s">
        <v>317</v>
      </c>
      <c r="G479" s="16" t="s">
        <v>585</v>
      </c>
      <c r="H479" s="15" t="s">
        <v>347</v>
      </c>
      <c r="I479" s="89" t="s">
        <v>347</v>
      </c>
      <c r="J479" s="79">
        <v>3162</v>
      </c>
      <c r="K479" s="18" t="s">
        <v>1157</v>
      </c>
      <c r="L479" s="94" t="s">
        <v>422</v>
      </c>
      <c r="M479" s="148" t="s">
        <v>533</v>
      </c>
      <c r="N479" s="81" t="str">
        <f>_xlfn.XLOOKUP(Calculations[[#This Row],[For XLOOKUP]],Factors[For XLOOKUP],Factors[Factor],"")</f>
        <v>Σ.Ε. CO₂ eq</v>
      </c>
      <c r="O479" s="81">
        <f>_xlfn.XLOOKUP(Calculations[[#This Row],[For XLOOKUP]],Factors[For XLOOKUP],Factors[Value],"")</f>
        <v>2.6956799999999998E-4</v>
      </c>
      <c r="P479" s="81" t="str">
        <f>_xlfn.XLOOKUP(Calculations[[#This Row],[For XLOOKUP]],Factors[For XLOOKUP],Factors[Units],"")</f>
        <v>tn CO2 eq/ €</v>
      </c>
      <c r="Q479" s="19" t="str">
        <f>_xlfn.XLOOKUP(Calculations[[#This Row],[For XLOOKUP]],Factors[For XLOOKUP],Factors[Source],"")</f>
        <v>EPA 2022</v>
      </c>
      <c r="R47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9" s="81" t="str">
        <f>IF(LEFT(Calculations[[#This Row],[Emission Factor]],7)="Σ.Ε. CH",Calculations[[#This Row],[Value]]*Calculations[[#This Row],[Τιμή]],"-")</f>
        <v>-</v>
      </c>
      <c r="T47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9" s="81" t="str">
        <f>IF(LEFT(Calculations[[#This Row],[Emission Factor]],3)="GWP",Calculations[[#This Row],[Τιμή]],"-")</f>
        <v>-</v>
      </c>
      <c r="V479" s="81">
        <f>IF(OR(Calculations[[#This Row],[Emission Factor]]="Σ.Ε. CO₂ eq",Calculations[[#This Row],[Emission Factor]]="CO₂ eq"),Calculations[[#This Row],[Value]]*Calculations[[#This Row],[Τιμή]],"-")</f>
        <v>0.85237401599999996</v>
      </c>
      <c r="W479" s="81" t="str">
        <f>IF(Calculations[[#This Row],[Πηγή εκπομπών]]="Electricity consumed in office buildings and projects - market based",Calculations[[#This Row],[t CO2]],"")</f>
        <v/>
      </c>
      <c r="X47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0.85237401599999996</v>
      </c>
    </row>
    <row r="480" spans="1:24" ht="29.4" hidden="1" thickTop="1">
      <c r="A480" s="15" t="s">
        <v>350</v>
      </c>
      <c r="B480" s="15" t="s">
        <v>351</v>
      </c>
      <c r="C480" s="16" t="s">
        <v>624</v>
      </c>
      <c r="D480" s="16" t="s">
        <v>894</v>
      </c>
      <c r="E480" s="16"/>
      <c r="F480" s="16" t="s">
        <v>317</v>
      </c>
      <c r="G480" s="16" t="s">
        <v>585</v>
      </c>
      <c r="H480" s="15" t="s">
        <v>347</v>
      </c>
      <c r="I480" s="89" t="s">
        <v>347</v>
      </c>
      <c r="J480" s="79">
        <v>4786.24</v>
      </c>
      <c r="K480" s="18" t="s">
        <v>1157</v>
      </c>
      <c r="L480" s="94" t="s">
        <v>417</v>
      </c>
      <c r="M480" s="148" t="s">
        <v>528</v>
      </c>
      <c r="N480" s="81" t="str">
        <f>_xlfn.XLOOKUP(Calculations[[#This Row],[For XLOOKUP]],Factors[For XLOOKUP],Factors[Factor],"")</f>
        <v>Σ.Ε. CO₂ eq</v>
      </c>
      <c r="O480" s="81">
        <f>_xlfn.XLOOKUP(Calculations[[#This Row],[For XLOOKUP]],Factors[For XLOOKUP],Factors[Value],"")</f>
        <v>1.5163199999999999E-4</v>
      </c>
      <c r="P480" s="81" t="str">
        <f>_xlfn.XLOOKUP(Calculations[[#This Row],[For XLOOKUP]],Factors[For XLOOKUP],Factors[Units],"")</f>
        <v>tn CO2 eq/ €</v>
      </c>
      <c r="Q480" s="19" t="str">
        <f>_xlfn.XLOOKUP(Calculations[[#This Row],[For XLOOKUP]],Factors[For XLOOKUP],Factors[Source],"")</f>
        <v>EPA 2022</v>
      </c>
      <c r="R48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0" s="81" t="str">
        <f>IF(LEFT(Calculations[[#This Row],[Emission Factor]],7)="Σ.Ε. CH",Calculations[[#This Row],[Value]]*Calculations[[#This Row],[Τιμή]],"-")</f>
        <v>-</v>
      </c>
      <c r="T48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0" s="81" t="str">
        <f>IF(LEFT(Calculations[[#This Row],[Emission Factor]],3)="GWP",Calculations[[#This Row],[Τιμή]],"-")</f>
        <v>-</v>
      </c>
      <c r="V480" s="81">
        <f>IF(OR(Calculations[[#This Row],[Emission Factor]]="Σ.Ε. CO₂ eq",Calculations[[#This Row],[Emission Factor]]="CO₂ eq"),Calculations[[#This Row],[Value]]*Calculations[[#This Row],[Τιμή]],"-")</f>
        <v>0.72574714367999993</v>
      </c>
      <c r="W480" s="81" t="str">
        <f>IF(Calculations[[#This Row],[Πηγή εκπομπών]]="Electricity consumed in office buildings and projects - market based",Calculations[[#This Row],[t CO2]],"")</f>
        <v/>
      </c>
      <c r="X48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0.72574714367999993</v>
      </c>
    </row>
    <row r="481" spans="1:24" ht="29.4" hidden="1" thickTop="1">
      <c r="A481" s="15" t="s">
        <v>350</v>
      </c>
      <c r="B481" s="15" t="s">
        <v>351</v>
      </c>
      <c r="C481" s="16" t="s">
        <v>624</v>
      </c>
      <c r="D481" s="16" t="s">
        <v>894</v>
      </c>
      <c r="E481" s="16"/>
      <c r="F481" s="16" t="s">
        <v>317</v>
      </c>
      <c r="G481" s="16" t="s">
        <v>585</v>
      </c>
      <c r="H481" s="15" t="s">
        <v>347</v>
      </c>
      <c r="I481" s="89" t="s">
        <v>347</v>
      </c>
      <c r="J481" s="79">
        <v>433757.73999999993</v>
      </c>
      <c r="K481" s="18" t="s">
        <v>1157</v>
      </c>
      <c r="L481" s="94" t="s">
        <v>389</v>
      </c>
      <c r="M481" s="148" t="s">
        <v>500</v>
      </c>
      <c r="N481" s="81" t="str">
        <f>_xlfn.XLOOKUP(Calculations[[#This Row],[For XLOOKUP]],Factors[For XLOOKUP],Factors[Factor],"")</f>
        <v>Σ.Ε. CO₂ eq</v>
      </c>
      <c r="O481" s="81">
        <f>_xlfn.XLOOKUP(Calculations[[#This Row],[For XLOOKUP]],Factors[For XLOOKUP],Factors[Value],"")</f>
        <v>4.3550000000000001E-4</v>
      </c>
      <c r="P481" s="81" t="str">
        <f>_xlfn.XLOOKUP(Calculations[[#This Row],[For XLOOKUP]],Factors[For XLOOKUP],Factors[Units],"")</f>
        <v>tn CO2 eq/ €</v>
      </c>
      <c r="Q481" s="19" t="str">
        <f>_xlfn.XLOOKUP(Calculations[[#This Row],[For XLOOKUP]],Factors[For XLOOKUP],Factors[Source],"")</f>
        <v>EXIOBASE 2019 - GR</v>
      </c>
      <c r="R48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1" s="81" t="str">
        <f>IF(LEFT(Calculations[[#This Row],[Emission Factor]],7)="Σ.Ε. CH",Calculations[[#This Row],[Value]]*Calculations[[#This Row],[Τιμή]],"-")</f>
        <v>-</v>
      </c>
      <c r="T48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1" s="81" t="str">
        <f>IF(LEFT(Calculations[[#This Row],[Emission Factor]],3)="GWP",Calculations[[#This Row],[Τιμή]],"-")</f>
        <v>-</v>
      </c>
      <c r="V481" s="81">
        <f>IF(OR(Calculations[[#This Row],[Emission Factor]]="Σ.Ε. CO₂ eq",Calculations[[#This Row],[Emission Factor]]="CO₂ eq"),Calculations[[#This Row],[Value]]*Calculations[[#This Row],[Τιμή]],"-")</f>
        <v>188.90149576999997</v>
      </c>
      <c r="W481" s="81" t="str">
        <f>IF(Calculations[[#This Row],[Πηγή εκπομπών]]="Electricity consumed in office buildings and projects - market based",Calculations[[#This Row],[t CO2]],"")</f>
        <v/>
      </c>
      <c r="X48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188.90149576999997</v>
      </c>
    </row>
    <row r="482" spans="1:24" ht="29.4" hidden="1" thickTop="1">
      <c r="A482" s="15" t="s">
        <v>350</v>
      </c>
      <c r="B482" s="15" t="s">
        <v>351</v>
      </c>
      <c r="C482" s="16" t="s">
        <v>624</v>
      </c>
      <c r="D482" s="16" t="s">
        <v>894</v>
      </c>
      <c r="E482" s="16"/>
      <c r="F482" s="16" t="s">
        <v>317</v>
      </c>
      <c r="G482" s="16" t="s">
        <v>585</v>
      </c>
      <c r="H482" s="15" t="s">
        <v>347</v>
      </c>
      <c r="I482" s="89" t="s">
        <v>347</v>
      </c>
      <c r="J482" s="79">
        <v>50051.250000000007</v>
      </c>
      <c r="K482" s="18" t="s">
        <v>1157</v>
      </c>
      <c r="L482" s="94" t="s">
        <v>412</v>
      </c>
      <c r="M482" s="148" t="s">
        <v>523</v>
      </c>
      <c r="N482" s="81" t="str">
        <f>_xlfn.XLOOKUP(Calculations[[#This Row],[For XLOOKUP]],Factors[For XLOOKUP],Factors[Factor],"")</f>
        <v>Σ.Ε. CO₂ eq</v>
      </c>
      <c r="O482" s="81">
        <f>_xlfn.XLOOKUP(Calculations[[#This Row],[For XLOOKUP]],Factors[For XLOOKUP],Factors[Value],"")</f>
        <v>1.3689E-4</v>
      </c>
      <c r="P482" s="81" t="str">
        <f>_xlfn.XLOOKUP(Calculations[[#This Row],[For XLOOKUP]],Factors[For XLOOKUP],Factors[Units],"")</f>
        <v>tn CO2 eq/ €</v>
      </c>
      <c r="Q482" s="19" t="str">
        <f>_xlfn.XLOOKUP(Calculations[[#This Row],[For XLOOKUP]],Factors[For XLOOKUP],Factors[Source],"")</f>
        <v>EPA 2022</v>
      </c>
      <c r="R48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2" s="81" t="str">
        <f>IF(LEFT(Calculations[[#This Row],[Emission Factor]],7)="Σ.Ε. CH",Calculations[[#This Row],[Value]]*Calculations[[#This Row],[Τιμή]],"-")</f>
        <v>-</v>
      </c>
      <c r="T48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2" s="81" t="str">
        <f>IF(LEFT(Calculations[[#This Row],[Emission Factor]],3)="GWP",Calculations[[#This Row],[Τιμή]],"-")</f>
        <v>-</v>
      </c>
      <c r="V482" s="81">
        <f>IF(OR(Calculations[[#This Row],[Emission Factor]]="Σ.Ε. CO₂ eq",Calculations[[#This Row],[Emission Factor]]="CO₂ eq"),Calculations[[#This Row],[Value]]*Calculations[[#This Row],[Τιμή]],"-")</f>
        <v>6.851515612500001</v>
      </c>
      <c r="W482" s="81" t="str">
        <f>IF(Calculations[[#This Row],[Πηγή εκπομπών]]="Electricity consumed in office buildings and projects - market based",Calculations[[#This Row],[t CO2]],"")</f>
        <v/>
      </c>
      <c r="X48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6.851515612500001</v>
      </c>
    </row>
    <row r="483" spans="1:24" ht="29.4" hidden="1" thickTop="1">
      <c r="A483" s="15" t="s">
        <v>350</v>
      </c>
      <c r="B483" s="15" t="s">
        <v>351</v>
      </c>
      <c r="C483" s="16" t="s">
        <v>624</v>
      </c>
      <c r="D483" s="16" t="s">
        <v>894</v>
      </c>
      <c r="E483" s="16"/>
      <c r="F483" s="16" t="s">
        <v>317</v>
      </c>
      <c r="G483" s="16" t="s">
        <v>585</v>
      </c>
      <c r="H483" s="15" t="s">
        <v>347</v>
      </c>
      <c r="I483" s="89" t="s">
        <v>347</v>
      </c>
      <c r="J483" s="79">
        <v>118495.9</v>
      </c>
      <c r="K483" s="18" t="s">
        <v>1157</v>
      </c>
      <c r="L483" s="94" t="s">
        <v>435</v>
      </c>
      <c r="M483" s="148" t="s">
        <v>546</v>
      </c>
      <c r="N483" s="81" t="str">
        <f>_xlfn.XLOOKUP(Calculations[[#This Row],[For XLOOKUP]],Factors[For XLOOKUP],Factors[Factor],"")</f>
        <v>Σ.Ε. CO₂ eq</v>
      </c>
      <c r="O483" s="81">
        <f>_xlfn.XLOOKUP(Calculations[[#This Row],[For XLOOKUP]],Factors[For XLOOKUP],Factors[Value],"")</f>
        <v>5.7283200000000012E-4</v>
      </c>
      <c r="P483" s="81" t="str">
        <f>_xlfn.XLOOKUP(Calculations[[#This Row],[For XLOOKUP]],Factors[For XLOOKUP],Factors[Units],"")</f>
        <v>tn CO2 eq/ €</v>
      </c>
      <c r="Q483" s="19" t="str">
        <f>_xlfn.XLOOKUP(Calculations[[#This Row],[For XLOOKUP]],Factors[For XLOOKUP],Factors[Source],"")</f>
        <v>EPA 2022</v>
      </c>
      <c r="R48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3" s="81" t="str">
        <f>IF(LEFT(Calculations[[#This Row],[Emission Factor]],7)="Σ.Ε. CH",Calculations[[#This Row],[Value]]*Calculations[[#This Row],[Τιμή]],"-")</f>
        <v>-</v>
      </c>
      <c r="T48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3" s="81" t="str">
        <f>IF(LEFT(Calculations[[#This Row],[Emission Factor]],3)="GWP",Calculations[[#This Row],[Τιμή]],"-")</f>
        <v>-</v>
      </c>
      <c r="V483" s="81">
        <f>IF(OR(Calculations[[#This Row],[Emission Factor]]="Σ.Ε. CO₂ eq",Calculations[[#This Row],[Emission Factor]]="CO₂ eq"),Calculations[[#This Row],[Value]]*Calculations[[#This Row],[Τιμή]],"-")</f>
        <v>67.878243388800016</v>
      </c>
      <c r="W483" s="81" t="str">
        <f>IF(Calculations[[#This Row],[Πηγή εκπομπών]]="Electricity consumed in office buildings and projects - market based",Calculations[[#This Row],[t CO2]],"")</f>
        <v/>
      </c>
      <c r="X48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67.878243388800016</v>
      </c>
    </row>
    <row r="484" spans="1:24" ht="29.4" hidden="1" thickTop="1">
      <c r="A484" s="15" t="s">
        <v>350</v>
      </c>
      <c r="B484" s="15" t="s">
        <v>351</v>
      </c>
      <c r="C484" s="16" t="s">
        <v>624</v>
      </c>
      <c r="D484" s="16" t="s">
        <v>894</v>
      </c>
      <c r="E484" s="16"/>
      <c r="F484" s="16" t="s">
        <v>317</v>
      </c>
      <c r="G484" s="16" t="s">
        <v>585</v>
      </c>
      <c r="H484" s="15" t="s">
        <v>347</v>
      </c>
      <c r="I484" s="89" t="s">
        <v>347</v>
      </c>
      <c r="J484" s="79">
        <v>1010.4</v>
      </c>
      <c r="K484" s="18" t="s">
        <v>1157</v>
      </c>
      <c r="L484" s="94" t="s">
        <v>420</v>
      </c>
      <c r="M484" s="148" t="s">
        <v>531</v>
      </c>
      <c r="N484" s="81" t="str">
        <f>_xlfn.XLOOKUP(Calculations[[#This Row],[For XLOOKUP]],Factors[For XLOOKUP],Factors[Factor],"")</f>
        <v>Σ.Ε. CO₂ eq</v>
      </c>
      <c r="O484" s="81">
        <f>_xlfn.XLOOKUP(Calculations[[#This Row],[For XLOOKUP]],Factors[For XLOOKUP],Factors[Value],"")</f>
        <v>2.8536300000000001E-4</v>
      </c>
      <c r="P484" s="81" t="str">
        <f>_xlfn.XLOOKUP(Calculations[[#This Row],[For XLOOKUP]],Factors[For XLOOKUP],Factors[Units],"")</f>
        <v>tn CO2 eq/ €</v>
      </c>
      <c r="Q484" s="19" t="str">
        <f>_xlfn.XLOOKUP(Calculations[[#This Row],[For XLOOKUP]],Factors[For XLOOKUP],Factors[Source],"")</f>
        <v>EPA 2022</v>
      </c>
      <c r="R48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4" s="81" t="str">
        <f>IF(LEFT(Calculations[[#This Row],[Emission Factor]],7)="Σ.Ε. CH",Calculations[[#This Row],[Value]]*Calculations[[#This Row],[Τιμή]],"-")</f>
        <v>-</v>
      </c>
      <c r="T48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4" s="81" t="str">
        <f>IF(LEFT(Calculations[[#This Row],[Emission Factor]],3)="GWP",Calculations[[#This Row],[Τιμή]],"-")</f>
        <v>-</v>
      </c>
      <c r="V484" s="81">
        <f>IF(OR(Calculations[[#This Row],[Emission Factor]]="Σ.Ε. CO₂ eq",Calculations[[#This Row],[Emission Factor]]="CO₂ eq"),Calculations[[#This Row],[Value]]*Calculations[[#This Row],[Τιμή]],"-")</f>
        <v>0.2883307752</v>
      </c>
      <c r="W484" s="81" t="str">
        <f>IF(Calculations[[#This Row],[Πηγή εκπομπών]]="Electricity consumed in office buildings and projects - market based",Calculations[[#This Row],[t CO2]],"")</f>
        <v/>
      </c>
      <c r="X48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0.2883307752</v>
      </c>
    </row>
    <row r="485" spans="1:24" ht="29.4" hidden="1" thickTop="1">
      <c r="A485" s="15" t="s">
        <v>350</v>
      </c>
      <c r="B485" s="15" t="s">
        <v>351</v>
      </c>
      <c r="C485" s="16" t="s">
        <v>624</v>
      </c>
      <c r="D485" s="16" t="s">
        <v>894</v>
      </c>
      <c r="E485" s="16"/>
      <c r="F485" s="16" t="s">
        <v>317</v>
      </c>
      <c r="G485" s="16" t="s">
        <v>585</v>
      </c>
      <c r="H485" s="15" t="s">
        <v>347</v>
      </c>
      <c r="I485" s="89" t="s">
        <v>347</v>
      </c>
      <c r="J485" s="79">
        <v>4280.7300000000005</v>
      </c>
      <c r="K485" s="18" t="s">
        <v>1157</v>
      </c>
      <c r="L485" s="94" t="s">
        <v>357</v>
      </c>
      <c r="M485" s="148" t="s">
        <v>468</v>
      </c>
      <c r="N485" s="81" t="str">
        <f>_xlfn.XLOOKUP(Calculations[[#This Row],[For XLOOKUP]],Factors[For XLOOKUP],Factors[Factor],"")</f>
        <v>Σ.Ε. CO₂ eq</v>
      </c>
      <c r="O485" s="81">
        <f>_xlfn.XLOOKUP(Calculations[[#This Row],[For XLOOKUP]],Factors[For XLOOKUP],Factors[Value],"")</f>
        <v>3.7960000000000001E-4</v>
      </c>
      <c r="P485" s="81" t="str">
        <f>_xlfn.XLOOKUP(Calculations[[#This Row],[For XLOOKUP]],Factors[For XLOOKUP],Factors[Units],"")</f>
        <v>tn CO2 eq/ €</v>
      </c>
      <c r="Q485" s="19" t="str">
        <f>_xlfn.XLOOKUP(Calculations[[#This Row],[For XLOOKUP]],Factors[For XLOOKUP],Factors[Source],"")</f>
        <v>EXIOBASE 2019 - GR</v>
      </c>
      <c r="R48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5" s="81" t="str">
        <f>IF(LEFT(Calculations[[#This Row],[Emission Factor]],7)="Σ.Ε. CH",Calculations[[#This Row],[Value]]*Calculations[[#This Row],[Τιμή]],"-")</f>
        <v>-</v>
      </c>
      <c r="T48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5" s="81" t="str">
        <f>IF(LEFT(Calculations[[#This Row],[Emission Factor]],3)="GWP",Calculations[[#This Row],[Τιμή]],"-")</f>
        <v>-</v>
      </c>
      <c r="V485" s="81">
        <f>IF(OR(Calculations[[#This Row],[Emission Factor]]="Σ.Ε. CO₂ eq",Calculations[[#This Row],[Emission Factor]]="CO₂ eq"),Calculations[[#This Row],[Value]]*Calculations[[#This Row],[Τιμή]],"-")</f>
        <v>1.6249651080000003</v>
      </c>
      <c r="W485" s="81" t="str">
        <f>IF(Calculations[[#This Row],[Πηγή εκπομπών]]="Electricity consumed in office buildings and projects - market based",Calculations[[#This Row],[t CO2]],"")</f>
        <v/>
      </c>
      <c r="X48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1.6249651080000003</v>
      </c>
    </row>
    <row r="486" spans="1:24" ht="29.4" hidden="1" thickTop="1">
      <c r="A486" s="15" t="s">
        <v>350</v>
      </c>
      <c r="B486" s="15" t="s">
        <v>351</v>
      </c>
      <c r="C486" s="16" t="s">
        <v>624</v>
      </c>
      <c r="D486" s="16" t="s">
        <v>894</v>
      </c>
      <c r="E486" s="16"/>
      <c r="F486" s="16" t="s">
        <v>317</v>
      </c>
      <c r="G486" s="16" t="s">
        <v>585</v>
      </c>
      <c r="H486" s="15" t="s">
        <v>347</v>
      </c>
      <c r="I486" s="89" t="s">
        <v>347</v>
      </c>
      <c r="J486" s="79">
        <v>73734.460000000006</v>
      </c>
      <c r="K486" s="18" t="s">
        <v>1157</v>
      </c>
      <c r="L486" s="94" t="s">
        <v>431</v>
      </c>
      <c r="M486" s="148" t="s">
        <v>542</v>
      </c>
      <c r="N486" s="81" t="str">
        <f>_xlfn.XLOOKUP(Calculations[[#This Row],[For XLOOKUP]],Factors[For XLOOKUP],Factors[Factor],"")</f>
        <v>Σ.Ε. CO₂ eq</v>
      </c>
      <c r="O486" s="81">
        <f>_xlfn.XLOOKUP(Calculations[[#This Row],[For XLOOKUP]],Factors[For XLOOKUP],Factors[Value],"")</f>
        <v>2.2007699999999997E-4</v>
      </c>
      <c r="P486" s="81" t="str">
        <f>_xlfn.XLOOKUP(Calculations[[#This Row],[For XLOOKUP]],Factors[For XLOOKUP],Factors[Units],"")</f>
        <v>tn CO2 eq/ €</v>
      </c>
      <c r="Q486" s="19" t="str">
        <f>_xlfn.XLOOKUP(Calculations[[#This Row],[For XLOOKUP]],Factors[For XLOOKUP],Factors[Source],"")</f>
        <v>EPA 2022</v>
      </c>
      <c r="R48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6" s="81" t="str">
        <f>IF(LEFT(Calculations[[#This Row],[Emission Factor]],7)="Σ.Ε. CH",Calculations[[#This Row],[Value]]*Calculations[[#This Row],[Τιμή]],"-")</f>
        <v>-</v>
      </c>
      <c r="T48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6" s="81" t="str">
        <f>IF(LEFT(Calculations[[#This Row],[Emission Factor]],3)="GWP",Calculations[[#This Row],[Τιμή]],"-")</f>
        <v>-</v>
      </c>
      <c r="V486" s="81">
        <f>IF(OR(Calculations[[#This Row],[Emission Factor]]="Σ.Ε. CO₂ eq",Calculations[[#This Row],[Emission Factor]]="CO₂ eq"),Calculations[[#This Row],[Value]]*Calculations[[#This Row],[Τιμή]],"-")</f>
        <v>16.227258753419999</v>
      </c>
      <c r="W486" s="81" t="str">
        <f>IF(Calculations[[#This Row],[Πηγή εκπομπών]]="Electricity consumed in office buildings and projects - market based",Calculations[[#This Row],[t CO2]],"")</f>
        <v/>
      </c>
      <c r="X48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16.227258753419999</v>
      </c>
    </row>
    <row r="487" spans="1:24" ht="29.4" hidden="1" thickTop="1">
      <c r="A487" s="15" t="s">
        <v>350</v>
      </c>
      <c r="B487" s="15" t="s">
        <v>351</v>
      </c>
      <c r="C487" s="16" t="s">
        <v>624</v>
      </c>
      <c r="D487" s="16" t="s">
        <v>894</v>
      </c>
      <c r="E487" s="16"/>
      <c r="F487" s="16" t="s">
        <v>317</v>
      </c>
      <c r="G487" s="16" t="s">
        <v>585</v>
      </c>
      <c r="H487" s="15" t="s">
        <v>347</v>
      </c>
      <c r="I487" s="89" t="s">
        <v>347</v>
      </c>
      <c r="J487" s="79">
        <v>4138.04</v>
      </c>
      <c r="K487" s="18" t="s">
        <v>1157</v>
      </c>
      <c r="L487" s="94" t="s">
        <v>411</v>
      </c>
      <c r="M487" s="148" t="s">
        <v>522</v>
      </c>
      <c r="N487" s="81" t="str">
        <f>_xlfn.XLOOKUP(Calculations[[#This Row],[For XLOOKUP]],Factors[For XLOOKUP],Factors[Factor],"")</f>
        <v>Σ.Ε. CO₂ eq</v>
      </c>
      <c r="O487" s="81">
        <f>_xlfn.XLOOKUP(Calculations[[#This Row],[For XLOOKUP]],Factors[For XLOOKUP],Factors[Value],"")</f>
        <v>1.4320800000000003E-4</v>
      </c>
      <c r="P487" s="81" t="str">
        <f>_xlfn.XLOOKUP(Calculations[[#This Row],[For XLOOKUP]],Factors[For XLOOKUP],Factors[Units],"")</f>
        <v>tn CO2 eq/ €</v>
      </c>
      <c r="Q487" s="19" t="str">
        <f>_xlfn.XLOOKUP(Calculations[[#This Row],[For XLOOKUP]],Factors[For XLOOKUP],Factors[Source],"")</f>
        <v>EPA 2022</v>
      </c>
      <c r="R48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7" s="81" t="str">
        <f>IF(LEFT(Calculations[[#This Row],[Emission Factor]],7)="Σ.Ε. CH",Calculations[[#This Row],[Value]]*Calculations[[#This Row],[Τιμή]],"-")</f>
        <v>-</v>
      </c>
      <c r="T48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7" s="81" t="str">
        <f>IF(LEFT(Calculations[[#This Row],[Emission Factor]],3)="GWP",Calculations[[#This Row],[Τιμή]],"-")</f>
        <v>-</v>
      </c>
      <c r="V487" s="81">
        <f>IF(OR(Calculations[[#This Row],[Emission Factor]]="Σ.Ε. CO₂ eq",Calculations[[#This Row],[Emission Factor]]="CO₂ eq"),Calculations[[#This Row],[Value]]*Calculations[[#This Row],[Τιμή]],"-")</f>
        <v>0.59260043232000015</v>
      </c>
      <c r="W487" s="81" t="str">
        <f>IF(Calculations[[#This Row],[Πηγή εκπομπών]]="Electricity consumed in office buildings and projects - market based",Calculations[[#This Row],[t CO2]],"")</f>
        <v/>
      </c>
      <c r="X48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0.59260043232000015</v>
      </c>
    </row>
    <row r="488" spans="1:24" ht="29.4" hidden="1" thickTop="1">
      <c r="A488" s="15" t="s">
        <v>350</v>
      </c>
      <c r="B488" s="15" t="s">
        <v>351</v>
      </c>
      <c r="C488" s="16" t="s">
        <v>624</v>
      </c>
      <c r="D488" s="16" t="s">
        <v>894</v>
      </c>
      <c r="E488" s="16"/>
      <c r="F488" s="16" t="s">
        <v>317</v>
      </c>
      <c r="G488" s="16" t="s">
        <v>585</v>
      </c>
      <c r="H488" s="15" t="s">
        <v>347</v>
      </c>
      <c r="I488" s="89" t="s">
        <v>347</v>
      </c>
      <c r="J488" s="79">
        <v>1723.1599999999999</v>
      </c>
      <c r="K488" s="18" t="s">
        <v>1157</v>
      </c>
      <c r="L488" s="94" t="s">
        <v>457</v>
      </c>
      <c r="M488" s="148" t="s">
        <v>568</v>
      </c>
      <c r="N488" s="81" t="str">
        <f>_xlfn.XLOOKUP(Calculations[[#This Row],[For XLOOKUP]],Factors[For XLOOKUP],Factors[Factor],"")</f>
        <v>Σ.Ε. CO₂ eq</v>
      </c>
      <c r="O488" s="81">
        <f>_xlfn.XLOOKUP(Calculations[[#This Row],[For XLOOKUP]],Factors[For XLOOKUP],Factors[Value],"")</f>
        <v>2.832E-4</v>
      </c>
      <c r="P488" s="81" t="str">
        <f>_xlfn.XLOOKUP(Calculations[[#This Row],[For XLOOKUP]],Factors[For XLOOKUP],Factors[Units],"")</f>
        <v>tn CO2 eq/ €</v>
      </c>
      <c r="Q488" s="19" t="str">
        <f>_xlfn.XLOOKUP(Calculations[[#This Row],[For XLOOKUP]],Factors[For XLOOKUP],Factors[Source],"")</f>
        <v>EXIOBASE 2019 - GR</v>
      </c>
      <c r="R48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8" s="81" t="str">
        <f>IF(LEFT(Calculations[[#This Row],[Emission Factor]],7)="Σ.Ε. CH",Calculations[[#This Row],[Value]]*Calculations[[#This Row],[Τιμή]],"-")</f>
        <v>-</v>
      </c>
      <c r="T48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8" s="81" t="str">
        <f>IF(LEFT(Calculations[[#This Row],[Emission Factor]],3)="GWP",Calculations[[#This Row],[Τιμή]],"-")</f>
        <v>-</v>
      </c>
      <c r="V488" s="81">
        <f>IF(OR(Calculations[[#This Row],[Emission Factor]]="Σ.Ε. CO₂ eq",Calculations[[#This Row],[Emission Factor]]="CO₂ eq"),Calculations[[#This Row],[Value]]*Calculations[[#This Row],[Τιμή]],"-")</f>
        <v>0.48799891199999995</v>
      </c>
      <c r="W488" s="81" t="str">
        <f>IF(Calculations[[#This Row],[Πηγή εκπομπών]]="Electricity consumed in office buildings and projects - market based",Calculations[[#This Row],[t CO2]],"")</f>
        <v/>
      </c>
      <c r="X48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0.48799891199999995</v>
      </c>
    </row>
    <row r="489" spans="1:24" ht="29.4" hidden="1" thickTop="1">
      <c r="A489" s="15" t="s">
        <v>350</v>
      </c>
      <c r="B489" s="15" t="s">
        <v>351</v>
      </c>
      <c r="C489" s="16" t="s">
        <v>624</v>
      </c>
      <c r="D489" s="16" t="s">
        <v>894</v>
      </c>
      <c r="E489" s="16"/>
      <c r="F489" s="16" t="s">
        <v>317</v>
      </c>
      <c r="G489" s="16" t="s">
        <v>585</v>
      </c>
      <c r="H489" s="15" t="s">
        <v>347</v>
      </c>
      <c r="I489" s="89" t="s">
        <v>347</v>
      </c>
      <c r="J489" s="79">
        <v>10576.97</v>
      </c>
      <c r="K489" s="18" t="s">
        <v>1157</v>
      </c>
      <c r="L489" s="94" t="s">
        <v>446</v>
      </c>
      <c r="M489" s="148" t="s">
        <v>557</v>
      </c>
      <c r="N489" s="81" t="str">
        <f>_xlfn.XLOOKUP(Calculations[[#This Row],[For XLOOKUP]],Factors[For XLOOKUP],Factors[Factor],"")</f>
        <v>Σ.Ε. CO₂ eq</v>
      </c>
      <c r="O489" s="81">
        <f>_xlfn.XLOOKUP(Calculations[[#This Row],[For XLOOKUP]],Factors[For XLOOKUP],Factors[Value],"")</f>
        <v>4.06458E-4</v>
      </c>
      <c r="P489" s="81" t="str">
        <f>_xlfn.XLOOKUP(Calculations[[#This Row],[For XLOOKUP]],Factors[For XLOOKUP],Factors[Units],"")</f>
        <v>tn CO2 eq/ €</v>
      </c>
      <c r="Q489" s="19" t="str">
        <f>_xlfn.XLOOKUP(Calculations[[#This Row],[For XLOOKUP]],Factors[For XLOOKUP],Factors[Source],"")</f>
        <v>EPA 2022</v>
      </c>
      <c r="R48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9" s="81" t="str">
        <f>IF(LEFT(Calculations[[#This Row],[Emission Factor]],7)="Σ.Ε. CH",Calculations[[#This Row],[Value]]*Calculations[[#This Row],[Τιμή]],"-")</f>
        <v>-</v>
      </c>
      <c r="T48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9" s="81" t="str">
        <f>IF(LEFT(Calculations[[#This Row],[Emission Factor]],3)="GWP",Calculations[[#This Row],[Τιμή]],"-")</f>
        <v>-</v>
      </c>
      <c r="V489" s="81">
        <f>IF(OR(Calculations[[#This Row],[Emission Factor]]="Σ.Ε. CO₂ eq",Calculations[[#This Row],[Emission Factor]]="CO₂ eq"),Calculations[[#This Row],[Value]]*Calculations[[#This Row],[Τιμή]],"-")</f>
        <v>4.29909407226</v>
      </c>
      <c r="W489" s="81" t="str">
        <f>IF(Calculations[[#This Row],[Πηγή εκπομπών]]="Electricity consumed in office buildings and projects - market based",Calculations[[#This Row],[t CO2]],"")</f>
        <v/>
      </c>
      <c r="X48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4.29909407226</v>
      </c>
    </row>
    <row r="490" spans="1:24" ht="29.4" hidden="1" thickTop="1">
      <c r="A490" s="15" t="s">
        <v>350</v>
      </c>
      <c r="B490" s="15" t="s">
        <v>351</v>
      </c>
      <c r="C490" s="16" t="s">
        <v>624</v>
      </c>
      <c r="D490" s="16" t="s">
        <v>894</v>
      </c>
      <c r="E490" s="16"/>
      <c r="F490" s="16" t="s">
        <v>317</v>
      </c>
      <c r="G490" s="16" t="s">
        <v>585</v>
      </c>
      <c r="H490" s="15" t="s">
        <v>347</v>
      </c>
      <c r="I490" s="89" t="s">
        <v>347</v>
      </c>
      <c r="J490" s="79">
        <v>630.97</v>
      </c>
      <c r="K490" s="18" t="s">
        <v>1157</v>
      </c>
      <c r="L490" s="94" t="s">
        <v>445</v>
      </c>
      <c r="M490" s="148" t="s">
        <v>556</v>
      </c>
      <c r="N490" s="81" t="str">
        <f>_xlfn.XLOOKUP(Calculations[[#This Row],[For XLOOKUP]],Factors[For XLOOKUP],Factors[Factor],"")</f>
        <v>Σ.Ε. CO₂ eq</v>
      </c>
      <c r="O490" s="81">
        <f>_xlfn.XLOOKUP(Calculations[[#This Row],[For XLOOKUP]],Factors[For XLOOKUP],Factors[Value],"")</f>
        <v>3.368E-4</v>
      </c>
      <c r="P490" s="81" t="str">
        <f>_xlfn.XLOOKUP(Calculations[[#This Row],[For XLOOKUP]],Factors[For XLOOKUP],Factors[Units],"")</f>
        <v>tn CO2 eq/ €</v>
      </c>
      <c r="Q490" s="19" t="str">
        <f>_xlfn.XLOOKUP(Calculations[[#This Row],[For XLOOKUP]],Factors[For XLOOKUP],Factors[Source],"")</f>
        <v>EXIOBASE 2019 - GR</v>
      </c>
      <c r="R49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0" s="81" t="str">
        <f>IF(LEFT(Calculations[[#This Row],[Emission Factor]],7)="Σ.Ε. CH",Calculations[[#This Row],[Value]]*Calculations[[#This Row],[Τιμή]],"-")</f>
        <v>-</v>
      </c>
      <c r="T49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0" s="81" t="str">
        <f>IF(LEFT(Calculations[[#This Row],[Emission Factor]],3)="GWP",Calculations[[#This Row],[Τιμή]],"-")</f>
        <v>-</v>
      </c>
      <c r="V490" s="81">
        <f>IF(OR(Calculations[[#This Row],[Emission Factor]]="Σ.Ε. CO₂ eq",Calculations[[#This Row],[Emission Factor]]="CO₂ eq"),Calculations[[#This Row],[Value]]*Calculations[[#This Row],[Τιμή]],"-")</f>
        <v>0.212510696</v>
      </c>
      <c r="W490" s="81" t="str">
        <f>IF(Calculations[[#This Row],[Πηγή εκπομπών]]="Electricity consumed in office buildings and projects - market based",Calculations[[#This Row],[t CO2]],"")</f>
        <v/>
      </c>
      <c r="X49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0.212510696</v>
      </c>
    </row>
    <row r="491" spans="1:24" ht="29.4" hidden="1" thickTop="1">
      <c r="A491" s="15" t="s">
        <v>350</v>
      </c>
      <c r="B491" s="15" t="s">
        <v>351</v>
      </c>
      <c r="C491" s="16" t="s">
        <v>624</v>
      </c>
      <c r="D491" s="16" t="s">
        <v>894</v>
      </c>
      <c r="E491" s="16"/>
      <c r="F491" s="16" t="s">
        <v>317</v>
      </c>
      <c r="G491" s="16" t="s">
        <v>585</v>
      </c>
      <c r="H491" s="15" t="s">
        <v>347</v>
      </c>
      <c r="I491" s="89" t="s">
        <v>347</v>
      </c>
      <c r="J491" s="79">
        <v>72484.12</v>
      </c>
      <c r="K491" s="18" t="s">
        <v>1157</v>
      </c>
      <c r="L491" s="94" t="s">
        <v>414</v>
      </c>
      <c r="M491" s="148" t="s">
        <v>525</v>
      </c>
      <c r="N491" s="81" t="str">
        <f>_xlfn.XLOOKUP(Calculations[[#This Row],[For XLOOKUP]],Factors[For XLOOKUP],Factors[Factor],"")</f>
        <v>Σ.Ε. CO₂ eq</v>
      </c>
      <c r="O491" s="81">
        <f>_xlfn.XLOOKUP(Calculations[[#This Row],[For XLOOKUP]],Factors[For XLOOKUP],Factors[Value],"")</f>
        <v>2.7470000000000001E-4</v>
      </c>
      <c r="P491" s="81" t="str">
        <f>_xlfn.XLOOKUP(Calculations[[#This Row],[For XLOOKUP]],Factors[For XLOOKUP],Factors[Units],"")</f>
        <v>tn CO2 eq/ €</v>
      </c>
      <c r="Q491" s="19" t="str">
        <f>_xlfn.XLOOKUP(Calculations[[#This Row],[For XLOOKUP]],Factors[For XLOOKUP],Factors[Source],"")</f>
        <v>EXIOBASE 2019 - CY</v>
      </c>
      <c r="R49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1" s="81" t="str">
        <f>IF(LEFT(Calculations[[#This Row],[Emission Factor]],7)="Σ.Ε. CH",Calculations[[#This Row],[Value]]*Calculations[[#This Row],[Τιμή]],"-")</f>
        <v>-</v>
      </c>
      <c r="T49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1" s="81" t="str">
        <f>IF(LEFT(Calculations[[#This Row],[Emission Factor]],3)="GWP",Calculations[[#This Row],[Τιμή]],"-")</f>
        <v>-</v>
      </c>
      <c r="V491" s="81">
        <f>IF(OR(Calculations[[#This Row],[Emission Factor]]="Σ.Ε. CO₂ eq",Calculations[[#This Row],[Emission Factor]]="CO₂ eq"),Calculations[[#This Row],[Value]]*Calculations[[#This Row],[Τιμή]],"-")</f>
        <v>19.911387764000001</v>
      </c>
      <c r="W491" s="81" t="str">
        <f>IF(Calculations[[#This Row],[Πηγή εκπομπών]]="Electricity consumed in office buildings and projects - market based",Calculations[[#This Row],[t CO2]],"")</f>
        <v/>
      </c>
      <c r="X49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19.911387764000001</v>
      </c>
    </row>
    <row r="492" spans="1:24" ht="29.4" hidden="1" thickTop="1">
      <c r="A492" s="15" t="s">
        <v>350</v>
      </c>
      <c r="B492" s="15" t="s">
        <v>351</v>
      </c>
      <c r="C492" s="16" t="s">
        <v>624</v>
      </c>
      <c r="D492" s="16" t="s">
        <v>894</v>
      </c>
      <c r="E492" s="16"/>
      <c r="F492" s="16" t="s">
        <v>317</v>
      </c>
      <c r="G492" s="16" t="s">
        <v>585</v>
      </c>
      <c r="H492" s="15" t="s">
        <v>347</v>
      </c>
      <c r="I492" s="89" t="s">
        <v>347</v>
      </c>
      <c r="J492" s="79">
        <v>727.31</v>
      </c>
      <c r="K492" s="18" t="s">
        <v>1157</v>
      </c>
      <c r="L492" s="94" t="s">
        <v>453</v>
      </c>
      <c r="M492" s="148" t="s">
        <v>564</v>
      </c>
      <c r="N492" s="81" t="str">
        <f>_xlfn.XLOOKUP(Calculations[[#This Row],[For XLOOKUP]],Factors[For XLOOKUP],Factors[Factor],"")</f>
        <v>Σ.Ε. CO₂ eq</v>
      </c>
      <c r="O492" s="81">
        <f>_xlfn.XLOOKUP(Calculations[[#This Row],[For XLOOKUP]],Factors[For XLOOKUP],Factors[Value],"")</f>
        <v>1.1003849999999999E-3</v>
      </c>
      <c r="P492" s="81" t="str">
        <f>_xlfn.XLOOKUP(Calculations[[#This Row],[For XLOOKUP]],Factors[For XLOOKUP],Factors[Units],"")</f>
        <v>tn CO2 eq/ €</v>
      </c>
      <c r="Q492" s="19" t="str">
        <f>_xlfn.XLOOKUP(Calculations[[#This Row],[For XLOOKUP]],Factors[For XLOOKUP],Factors[Source],"")</f>
        <v>EPA 2022</v>
      </c>
      <c r="R49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2" s="81" t="str">
        <f>IF(LEFT(Calculations[[#This Row],[Emission Factor]],7)="Σ.Ε. CH",Calculations[[#This Row],[Value]]*Calculations[[#This Row],[Τιμή]],"-")</f>
        <v>-</v>
      </c>
      <c r="T49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2" s="81" t="str">
        <f>IF(LEFT(Calculations[[#This Row],[Emission Factor]],3)="GWP",Calculations[[#This Row],[Τιμή]],"-")</f>
        <v>-</v>
      </c>
      <c r="V492" s="81">
        <f>IF(OR(Calculations[[#This Row],[Emission Factor]]="Σ.Ε. CO₂ eq",Calculations[[#This Row],[Emission Factor]]="CO₂ eq"),Calculations[[#This Row],[Value]]*Calculations[[#This Row],[Τιμή]],"-")</f>
        <v>0.80032101434999992</v>
      </c>
      <c r="W492" s="81" t="str">
        <f>IF(Calculations[[#This Row],[Πηγή εκπομπών]]="Electricity consumed in office buildings and projects - market based",Calculations[[#This Row],[t CO2]],"")</f>
        <v/>
      </c>
      <c r="X49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0.80032101434999992</v>
      </c>
    </row>
    <row r="493" spans="1:24" ht="29.4" hidden="1" thickTop="1">
      <c r="A493" s="15" t="s">
        <v>350</v>
      </c>
      <c r="B493" s="15" t="s">
        <v>351</v>
      </c>
      <c r="C493" s="16" t="s">
        <v>624</v>
      </c>
      <c r="D493" s="16" t="s">
        <v>894</v>
      </c>
      <c r="E493" s="16"/>
      <c r="F493" s="16" t="s">
        <v>317</v>
      </c>
      <c r="G493" s="16" t="s">
        <v>585</v>
      </c>
      <c r="H493" s="15" t="s">
        <v>347</v>
      </c>
      <c r="I493" s="89" t="s">
        <v>347</v>
      </c>
      <c r="J493" s="79">
        <v>188903.67</v>
      </c>
      <c r="K493" s="18" t="s">
        <v>1157</v>
      </c>
      <c r="L493" s="94" t="s">
        <v>428</v>
      </c>
      <c r="M493" s="148" t="s">
        <v>539</v>
      </c>
      <c r="N493" s="81" t="str">
        <f>_xlfn.XLOOKUP(Calculations[[#This Row],[For XLOOKUP]],Factors[For XLOOKUP],Factors[Factor],"")</f>
        <v>Σ.Ε. CO₂ eq</v>
      </c>
      <c r="O493" s="81">
        <f>_xlfn.XLOOKUP(Calculations[[#This Row],[For XLOOKUP]],Factors[For XLOOKUP],Factors[Value],"")</f>
        <v>1.1372399999999998E-4</v>
      </c>
      <c r="P493" s="81" t="str">
        <f>_xlfn.XLOOKUP(Calculations[[#This Row],[For XLOOKUP]],Factors[For XLOOKUP],Factors[Units],"")</f>
        <v>tn CO2 eq/ €</v>
      </c>
      <c r="Q493" s="19" t="str">
        <f>_xlfn.XLOOKUP(Calculations[[#This Row],[For XLOOKUP]],Factors[For XLOOKUP],Factors[Source],"")</f>
        <v>EPA 2022</v>
      </c>
      <c r="R49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3" s="81" t="str">
        <f>IF(LEFT(Calculations[[#This Row],[Emission Factor]],7)="Σ.Ε. CH",Calculations[[#This Row],[Value]]*Calculations[[#This Row],[Τιμή]],"-")</f>
        <v>-</v>
      </c>
      <c r="T49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3" s="81" t="str">
        <f>IF(LEFT(Calculations[[#This Row],[Emission Factor]],3)="GWP",Calculations[[#This Row],[Τιμή]],"-")</f>
        <v>-</v>
      </c>
      <c r="V493" s="81">
        <f>IF(OR(Calculations[[#This Row],[Emission Factor]]="Σ.Ε. CO₂ eq",Calculations[[#This Row],[Emission Factor]]="CO₂ eq"),Calculations[[#This Row],[Value]]*Calculations[[#This Row],[Τιμή]],"-")</f>
        <v>21.48288096708</v>
      </c>
      <c r="W493" s="81" t="str">
        <f>IF(Calculations[[#This Row],[Πηγή εκπομπών]]="Electricity consumed in office buildings and projects - market based",Calculations[[#This Row],[t CO2]],"")</f>
        <v/>
      </c>
      <c r="X49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21.48288096708</v>
      </c>
    </row>
    <row r="494" spans="1:24" ht="29.4" hidden="1" thickTop="1">
      <c r="A494" s="15" t="s">
        <v>350</v>
      </c>
      <c r="B494" s="15" t="s">
        <v>351</v>
      </c>
      <c r="C494" s="16" t="s">
        <v>624</v>
      </c>
      <c r="D494" s="16" t="s">
        <v>894</v>
      </c>
      <c r="E494" s="16"/>
      <c r="F494" s="16" t="s">
        <v>317</v>
      </c>
      <c r="G494" s="16" t="s">
        <v>585</v>
      </c>
      <c r="H494" s="15" t="s">
        <v>347</v>
      </c>
      <c r="I494" s="89" t="s">
        <v>347</v>
      </c>
      <c r="J494" s="79">
        <v>3143.28</v>
      </c>
      <c r="K494" s="18" t="s">
        <v>1157</v>
      </c>
      <c r="L494" s="94" t="s">
        <v>455</v>
      </c>
      <c r="M494" s="148" t="s">
        <v>566</v>
      </c>
      <c r="N494" s="81" t="str">
        <f>_xlfn.XLOOKUP(Calculations[[#This Row],[For XLOOKUP]],Factors[For XLOOKUP],Factors[Factor],"")</f>
        <v>Σ.Ε. CO₂ eq</v>
      </c>
      <c r="O494" s="81">
        <f>_xlfn.XLOOKUP(Calculations[[#This Row],[For XLOOKUP]],Factors[For XLOOKUP],Factors[Value],"")</f>
        <v>2.5587899999999998E-4</v>
      </c>
      <c r="P494" s="81" t="str">
        <f>_xlfn.XLOOKUP(Calculations[[#This Row],[For XLOOKUP]],Factors[For XLOOKUP],Factors[Units],"")</f>
        <v>tn CO2 eq/ €</v>
      </c>
      <c r="Q494" s="19" t="str">
        <f>_xlfn.XLOOKUP(Calculations[[#This Row],[For XLOOKUP]],Factors[For XLOOKUP],Factors[Source],"")</f>
        <v>EPA 2022</v>
      </c>
      <c r="R49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4" s="81" t="str">
        <f>IF(LEFT(Calculations[[#This Row],[Emission Factor]],7)="Σ.Ε. CH",Calculations[[#This Row],[Value]]*Calculations[[#This Row],[Τιμή]],"-")</f>
        <v>-</v>
      </c>
      <c r="T49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4" s="81" t="str">
        <f>IF(LEFT(Calculations[[#This Row],[Emission Factor]],3)="GWP",Calculations[[#This Row],[Τιμή]],"-")</f>
        <v>-</v>
      </c>
      <c r="V494" s="81">
        <f>IF(OR(Calculations[[#This Row],[Emission Factor]]="Σ.Ε. CO₂ eq",Calculations[[#This Row],[Emission Factor]]="CO₂ eq"),Calculations[[#This Row],[Value]]*Calculations[[#This Row],[Τιμή]],"-")</f>
        <v>0.80429934311999995</v>
      </c>
      <c r="W494" s="81" t="str">
        <f>IF(Calculations[[#This Row],[Πηγή εκπομπών]]="Electricity consumed in office buildings and projects - market based",Calculations[[#This Row],[t CO2]],"")</f>
        <v/>
      </c>
      <c r="X49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0.80429934311999995</v>
      </c>
    </row>
    <row r="495" spans="1:24" ht="29.4" hidden="1" thickTop="1">
      <c r="A495" s="15" t="s">
        <v>350</v>
      </c>
      <c r="B495" s="15" t="s">
        <v>351</v>
      </c>
      <c r="C495" s="16" t="s">
        <v>624</v>
      </c>
      <c r="D495" s="16" t="s">
        <v>894</v>
      </c>
      <c r="E495" s="16"/>
      <c r="F495" s="16" t="s">
        <v>317</v>
      </c>
      <c r="G495" s="16" t="s">
        <v>585</v>
      </c>
      <c r="H495" s="15" t="s">
        <v>347</v>
      </c>
      <c r="I495" s="89" t="s">
        <v>347</v>
      </c>
      <c r="J495" s="79">
        <v>555276.58000000007</v>
      </c>
      <c r="K495" s="18" t="s">
        <v>1157</v>
      </c>
      <c r="L495" s="94" t="s">
        <v>382</v>
      </c>
      <c r="M495" s="148" t="s">
        <v>493</v>
      </c>
      <c r="N495" s="81" t="str">
        <f>_xlfn.XLOOKUP(Calculations[[#This Row],[For XLOOKUP]],Factors[For XLOOKUP],Factors[Factor],"")</f>
        <v>Σ.Ε. CO₂ eq</v>
      </c>
      <c r="O495" s="81">
        <f>_xlfn.XLOOKUP(Calculations[[#This Row],[For XLOOKUP]],Factors[For XLOOKUP],Factors[Value],"")</f>
        <v>8.7299999999999997E-4</v>
      </c>
      <c r="P495" s="81" t="str">
        <f>_xlfn.XLOOKUP(Calculations[[#This Row],[For XLOOKUP]],Factors[For XLOOKUP],Factors[Units],"")</f>
        <v>tn CO2 eq/ €</v>
      </c>
      <c r="Q495" s="19" t="str">
        <f>_xlfn.XLOOKUP(Calculations[[#This Row],[For XLOOKUP]],Factors[For XLOOKUP],Factors[Source],"")</f>
        <v>EXIOBASE 2019 - GR</v>
      </c>
      <c r="R49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5" s="81" t="str">
        <f>IF(LEFT(Calculations[[#This Row],[Emission Factor]],7)="Σ.Ε. CH",Calculations[[#This Row],[Value]]*Calculations[[#This Row],[Τιμή]],"-")</f>
        <v>-</v>
      </c>
      <c r="T49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5" s="81" t="str">
        <f>IF(LEFT(Calculations[[#This Row],[Emission Factor]],3)="GWP",Calculations[[#This Row],[Τιμή]],"-")</f>
        <v>-</v>
      </c>
      <c r="V495" s="81">
        <f>IF(OR(Calculations[[#This Row],[Emission Factor]]="Σ.Ε. CO₂ eq",Calculations[[#This Row],[Emission Factor]]="CO₂ eq"),Calculations[[#This Row],[Value]]*Calculations[[#This Row],[Τιμή]],"-")</f>
        <v>484.75645434000006</v>
      </c>
      <c r="W495" s="81" t="str">
        <f>IF(Calculations[[#This Row],[Πηγή εκπομπών]]="Electricity consumed in office buildings and projects - market based",Calculations[[#This Row],[t CO2]],"")</f>
        <v/>
      </c>
      <c r="X49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484.75645434000006</v>
      </c>
    </row>
    <row r="496" spans="1:24" ht="29.4" hidden="1" thickTop="1">
      <c r="A496" s="15" t="s">
        <v>350</v>
      </c>
      <c r="B496" s="15" t="s">
        <v>351</v>
      </c>
      <c r="C496" s="16" t="s">
        <v>624</v>
      </c>
      <c r="D496" s="16" t="s">
        <v>894</v>
      </c>
      <c r="E496" s="16"/>
      <c r="F496" s="16" t="s">
        <v>317</v>
      </c>
      <c r="G496" s="16" t="s">
        <v>585</v>
      </c>
      <c r="H496" s="15" t="s">
        <v>347</v>
      </c>
      <c r="I496" s="89" t="s">
        <v>347</v>
      </c>
      <c r="J496" s="79">
        <v>221650.06999999995</v>
      </c>
      <c r="K496" s="18" t="s">
        <v>1157</v>
      </c>
      <c r="L496" s="94" t="s">
        <v>409</v>
      </c>
      <c r="M496" s="148" t="s">
        <v>520</v>
      </c>
      <c r="N496" s="81" t="str">
        <f>_xlfn.XLOOKUP(Calculations[[#This Row],[For XLOOKUP]],Factors[For XLOOKUP],Factors[Factor],"")</f>
        <v>Σ.Ε. CO₂ eq</v>
      </c>
      <c r="O496" s="81">
        <f>_xlfn.XLOOKUP(Calculations[[#This Row],[For XLOOKUP]],Factors[For XLOOKUP],Factors[Value],"")</f>
        <v>3.2537700000000001E-4</v>
      </c>
      <c r="P496" s="81" t="str">
        <f>_xlfn.XLOOKUP(Calculations[[#This Row],[For XLOOKUP]],Factors[For XLOOKUP],Factors[Units],"")</f>
        <v>tn CO2 eq/ €</v>
      </c>
      <c r="Q496" s="19" t="str">
        <f>_xlfn.XLOOKUP(Calculations[[#This Row],[For XLOOKUP]],Factors[For XLOOKUP],Factors[Source],"")</f>
        <v>EPA 2022</v>
      </c>
      <c r="R49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6" s="81" t="str">
        <f>IF(LEFT(Calculations[[#This Row],[Emission Factor]],7)="Σ.Ε. CH",Calculations[[#This Row],[Value]]*Calculations[[#This Row],[Τιμή]],"-")</f>
        <v>-</v>
      </c>
      <c r="T49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6" s="81" t="str">
        <f>IF(LEFT(Calculations[[#This Row],[Emission Factor]],3)="GWP",Calculations[[#This Row],[Τιμή]],"-")</f>
        <v>-</v>
      </c>
      <c r="V496" s="81">
        <f>IF(OR(Calculations[[#This Row],[Emission Factor]]="Σ.Ε. CO₂ eq",Calculations[[#This Row],[Emission Factor]]="CO₂ eq"),Calculations[[#This Row],[Value]]*Calculations[[#This Row],[Τιμή]],"-")</f>
        <v>72.11983482638999</v>
      </c>
      <c r="W496" s="81" t="str">
        <f>IF(Calculations[[#This Row],[Πηγή εκπομπών]]="Electricity consumed in office buildings and projects - market based",Calculations[[#This Row],[t CO2]],"")</f>
        <v/>
      </c>
      <c r="X49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72.11983482638999</v>
      </c>
    </row>
    <row r="497" spans="1:24" ht="29.4" hidden="1" thickTop="1">
      <c r="A497" s="15" t="s">
        <v>350</v>
      </c>
      <c r="B497" s="15" t="s">
        <v>351</v>
      </c>
      <c r="C497" s="16" t="s">
        <v>624</v>
      </c>
      <c r="D497" s="16" t="s">
        <v>894</v>
      </c>
      <c r="E497" s="16"/>
      <c r="F497" s="16" t="s">
        <v>317</v>
      </c>
      <c r="G497" s="16" t="s">
        <v>585</v>
      </c>
      <c r="H497" s="15" t="s">
        <v>347</v>
      </c>
      <c r="I497" s="89" t="s">
        <v>347</v>
      </c>
      <c r="J497" s="79">
        <v>277310.78000000014</v>
      </c>
      <c r="K497" s="18" t="s">
        <v>1157</v>
      </c>
      <c r="L497" s="94" t="s">
        <v>401</v>
      </c>
      <c r="M497" s="148" t="s">
        <v>512</v>
      </c>
      <c r="N497" s="81" t="str">
        <f>_xlfn.XLOOKUP(Calculations[[#This Row],[For XLOOKUP]],Factors[For XLOOKUP],Factors[Factor],"")</f>
        <v>Σ.Ε. CO₂ eq</v>
      </c>
      <c r="O497" s="81">
        <f>_xlfn.XLOOKUP(Calculations[[#This Row],[For XLOOKUP]],Factors[For XLOOKUP],Factors[Value],"")</f>
        <v>2.288E-4</v>
      </c>
      <c r="P497" s="81" t="str">
        <f>_xlfn.XLOOKUP(Calculations[[#This Row],[For XLOOKUP]],Factors[For XLOOKUP],Factors[Units],"")</f>
        <v>tn CO2 eq/ €</v>
      </c>
      <c r="Q497" s="19" t="str">
        <f>_xlfn.XLOOKUP(Calculations[[#This Row],[For XLOOKUP]],Factors[For XLOOKUP],Factors[Source],"")</f>
        <v>EXIOBASE 2019 - GR</v>
      </c>
      <c r="R49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7" s="81" t="str">
        <f>IF(LEFT(Calculations[[#This Row],[Emission Factor]],7)="Σ.Ε. CH",Calculations[[#This Row],[Value]]*Calculations[[#This Row],[Τιμή]],"-")</f>
        <v>-</v>
      </c>
      <c r="T49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7" s="81" t="str">
        <f>IF(LEFT(Calculations[[#This Row],[Emission Factor]],3)="GWP",Calculations[[#This Row],[Τιμή]],"-")</f>
        <v>-</v>
      </c>
      <c r="V497" s="81">
        <f>IF(OR(Calculations[[#This Row],[Emission Factor]]="Σ.Ε. CO₂ eq",Calculations[[#This Row],[Emission Factor]]="CO₂ eq"),Calculations[[#This Row],[Value]]*Calculations[[#This Row],[Τιμή]],"-")</f>
        <v>63.448706464000033</v>
      </c>
      <c r="W497" s="81" t="str">
        <f>IF(Calculations[[#This Row],[Πηγή εκπομπών]]="Electricity consumed in office buildings and projects - market based",Calculations[[#This Row],[t CO2]],"")</f>
        <v/>
      </c>
      <c r="X49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63.448706464000033</v>
      </c>
    </row>
    <row r="498" spans="1:24" ht="29.4" hidden="1" thickTop="1">
      <c r="A498" s="15" t="s">
        <v>350</v>
      </c>
      <c r="B498" s="15" t="s">
        <v>351</v>
      </c>
      <c r="C498" s="16" t="s">
        <v>624</v>
      </c>
      <c r="D498" s="16" t="s">
        <v>894</v>
      </c>
      <c r="E498" s="16"/>
      <c r="F498" s="16" t="s">
        <v>317</v>
      </c>
      <c r="G498" s="16" t="s">
        <v>585</v>
      </c>
      <c r="H498" s="15" t="s">
        <v>347</v>
      </c>
      <c r="I498" s="89" t="s">
        <v>347</v>
      </c>
      <c r="J498" s="79">
        <v>177274.09</v>
      </c>
      <c r="K498" s="18" t="s">
        <v>1157</v>
      </c>
      <c r="L498" s="94" t="s">
        <v>406</v>
      </c>
      <c r="M498" s="148" t="s">
        <v>517</v>
      </c>
      <c r="N498" s="81" t="str">
        <f>_xlfn.XLOOKUP(Calculations[[#This Row],[For XLOOKUP]],Factors[For XLOOKUP],Factors[Factor],"")</f>
        <v>Σ.Ε. CO₂ eq</v>
      </c>
      <c r="O498" s="81">
        <f>_xlfn.XLOOKUP(Calculations[[#This Row],[For XLOOKUP]],Factors[For XLOOKUP],Factors[Value],"")</f>
        <v>1.887E-3</v>
      </c>
      <c r="P498" s="81" t="str">
        <f>_xlfn.XLOOKUP(Calculations[[#This Row],[For XLOOKUP]],Factors[For XLOOKUP],Factors[Units],"")</f>
        <v>tn CO2 eq/ €</v>
      </c>
      <c r="Q498" s="19" t="str">
        <f>_xlfn.XLOOKUP(Calculations[[#This Row],[For XLOOKUP]],Factors[For XLOOKUP],Factors[Source],"")</f>
        <v>EXIOBASE 2019 - GR</v>
      </c>
      <c r="R49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8" s="81" t="str">
        <f>IF(LEFT(Calculations[[#This Row],[Emission Factor]],7)="Σ.Ε. CH",Calculations[[#This Row],[Value]]*Calculations[[#This Row],[Τιμή]],"-")</f>
        <v>-</v>
      </c>
      <c r="T49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8" s="81" t="str">
        <f>IF(LEFT(Calculations[[#This Row],[Emission Factor]],3)="GWP",Calculations[[#This Row],[Τιμή]],"-")</f>
        <v>-</v>
      </c>
      <c r="V498" s="81">
        <f>IF(OR(Calculations[[#This Row],[Emission Factor]]="Σ.Ε. CO₂ eq",Calculations[[#This Row],[Emission Factor]]="CO₂ eq"),Calculations[[#This Row],[Value]]*Calculations[[#This Row],[Τιμή]],"-")</f>
        <v>334.51620782999998</v>
      </c>
      <c r="W498" s="81" t="str">
        <f>IF(Calculations[[#This Row],[Πηγή εκπομπών]]="Electricity consumed in office buildings and projects - market based",Calculations[[#This Row],[t CO2]],"")</f>
        <v/>
      </c>
      <c r="X49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334.51620782999998</v>
      </c>
    </row>
    <row r="499" spans="1:24" ht="29.4" hidden="1" thickTop="1">
      <c r="A499" s="15" t="s">
        <v>350</v>
      </c>
      <c r="B499" s="15" t="s">
        <v>351</v>
      </c>
      <c r="C499" s="16" t="s">
        <v>624</v>
      </c>
      <c r="D499" s="16" t="s">
        <v>894</v>
      </c>
      <c r="E499" s="16"/>
      <c r="F499" s="16" t="s">
        <v>317</v>
      </c>
      <c r="G499" s="16" t="s">
        <v>585</v>
      </c>
      <c r="H499" s="15" t="s">
        <v>347</v>
      </c>
      <c r="I499" s="89" t="s">
        <v>347</v>
      </c>
      <c r="J499" s="79">
        <v>24426.020000000004</v>
      </c>
      <c r="K499" s="18" t="s">
        <v>1157</v>
      </c>
      <c r="L499" s="94" t="s">
        <v>427</v>
      </c>
      <c r="M499" s="148" t="s">
        <v>538</v>
      </c>
      <c r="N499" s="81" t="str">
        <f>_xlfn.XLOOKUP(Calculations[[#This Row],[For XLOOKUP]],Factors[For XLOOKUP],Factors[Factor],"")</f>
        <v>Σ.Ε. CO₂ eq</v>
      </c>
      <c r="O499" s="81">
        <f>_xlfn.XLOOKUP(Calculations[[#This Row],[For XLOOKUP]],Factors[For XLOOKUP],Factors[Value],"")</f>
        <v>7.792199999999999E-5</v>
      </c>
      <c r="P499" s="81" t="str">
        <f>_xlfn.XLOOKUP(Calculations[[#This Row],[For XLOOKUP]],Factors[For XLOOKUP],Factors[Units],"")</f>
        <v>tn CO2 eq/ €</v>
      </c>
      <c r="Q499" s="19" t="str">
        <f>_xlfn.XLOOKUP(Calculations[[#This Row],[For XLOOKUP]],Factors[For XLOOKUP],Factors[Source],"")</f>
        <v>EPA 2022</v>
      </c>
      <c r="R49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9" s="81" t="str">
        <f>IF(LEFT(Calculations[[#This Row],[Emission Factor]],7)="Σ.Ε. CH",Calculations[[#This Row],[Value]]*Calculations[[#This Row],[Τιμή]],"-")</f>
        <v>-</v>
      </c>
      <c r="T49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9" s="81" t="str">
        <f>IF(LEFT(Calculations[[#This Row],[Emission Factor]],3)="GWP",Calculations[[#This Row],[Τιμή]],"-")</f>
        <v>-</v>
      </c>
      <c r="V499" s="81">
        <f>IF(OR(Calculations[[#This Row],[Emission Factor]]="Σ.Ε. CO₂ eq",Calculations[[#This Row],[Emission Factor]]="CO₂ eq"),Calculations[[#This Row],[Value]]*Calculations[[#This Row],[Τιμή]],"-")</f>
        <v>1.90332433044</v>
      </c>
      <c r="W499" s="81" t="str">
        <f>IF(Calculations[[#This Row],[Πηγή εκπομπών]]="Electricity consumed in office buildings and projects - market based",Calculations[[#This Row],[t CO2]],"")</f>
        <v/>
      </c>
      <c r="X49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1.90332433044</v>
      </c>
    </row>
    <row r="500" spans="1:24" ht="29.4" hidden="1" thickTop="1">
      <c r="A500" s="15" t="s">
        <v>350</v>
      </c>
      <c r="B500" s="15" t="s">
        <v>351</v>
      </c>
      <c r="C500" s="16" t="s">
        <v>624</v>
      </c>
      <c r="D500" s="16" t="s">
        <v>894</v>
      </c>
      <c r="E500" s="16"/>
      <c r="F500" s="16" t="s">
        <v>317</v>
      </c>
      <c r="G500" s="16" t="s">
        <v>585</v>
      </c>
      <c r="H500" s="15" t="s">
        <v>347</v>
      </c>
      <c r="I500" s="89" t="s">
        <v>347</v>
      </c>
      <c r="J500" s="79">
        <v>237964</v>
      </c>
      <c r="K500" s="18" t="s">
        <v>1157</v>
      </c>
      <c r="L500" s="94" t="s">
        <v>1164</v>
      </c>
      <c r="M500" s="148" t="s">
        <v>1161</v>
      </c>
      <c r="N500" s="81" t="str">
        <f>_xlfn.XLOOKUP(Calculations[[#This Row],[For XLOOKUP]],Factors[For XLOOKUP],Factors[Factor],"")</f>
        <v>Σ.Ε. CO₂ eq</v>
      </c>
      <c r="O500" s="81">
        <f>_xlfn.XLOOKUP(Calculations[[#This Row],[For XLOOKUP]],Factors[For XLOOKUP],Factors[Value],"")</f>
        <v>1.0403639999999998E-3</v>
      </c>
      <c r="P500" s="81" t="str">
        <f>_xlfn.XLOOKUP(Calculations[[#This Row],[For XLOOKUP]],Factors[For XLOOKUP],Factors[Units],"")</f>
        <v>tn CO2 eq/ €</v>
      </c>
      <c r="Q500" s="19" t="str">
        <f>_xlfn.XLOOKUP(Calculations[[#This Row],[For XLOOKUP]],Factors[For XLOOKUP],Factors[Source],"")</f>
        <v>EPA 2022</v>
      </c>
      <c r="R50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0" s="81" t="str">
        <f>IF(LEFT(Calculations[[#This Row],[Emission Factor]],7)="Σ.Ε. CH",Calculations[[#This Row],[Value]]*Calculations[[#This Row],[Τιμή]],"-")</f>
        <v>-</v>
      </c>
      <c r="T50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0" s="81" t="str">
        <f>IF(LEFT(Calculations[[#This Row],[Emission Factor]],3)="GWP",Calculations[[#This Row],[Τιμή]],"-")</f>
        <v>-</v>
      </c>
      <c r="V500" s="81">
        <f>IF(OR(Calculations[[#This Row],[Emission Factor]]="Σ.Ε. CO₂ eq",Calculations[[#This Row],[Emission Factor]]="CO₂ eq"),Calculations[[#This Row],[Value]]*Calculations[[#This Row],[Τιμή]],"-")</f>
        <v>247.56917889599995</v>
      </c>
      <c r="W500" s="81" t="str">
        <f>IF(Calculations[[#This Row],[Πηγή εκπομπών]]="Electricity consumed in office buildings and projects - market based",Calculations[[#This Row],[t CO2]],"")</f>
        <v/>
      </c>
      <c r="X50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247.56917889599995</v>
      </c>
    </row>
    <row r="501" spans="1:24" ht="29.4" hidden="1" thickTop="1">
      <c r="A501" s="15" t="s">
        <v>350</v>
      </c>
      <c r="B501" s="15" t="s">
        <v>351</v>
      </c>
      <c r="C501" s="16" t="s">
        <v>624</v>
      </c>
      <c r="D501" s="16" t="s">
        <v>894</v>
      </c>
      <c r="E501" s="16"/>
      <c r="F501" s="16" t="s">
        <v>317</v>
      </c>
      <c r="G501" s="16" t="s">
        <v>585</v>
      </c>
      <c r="H501" s="15" t="s">
        <v>347</v>
      </c>
      <c r="I501" s="89" t="s">
        <v>347</v>
      </c>
      <c r="J501" s="79">
        <v>59962.32</v>
      </c>
      <c r="K501" s="18" t="s">
        <v>1157</v>
      </c>
      <c r="L501" s="94" t="s">
        <v>362</v>
      </c>
      <c r="M501" s="148" t="s">
        <v>473</v>
      </c>
      <c r="N501" s="81" t="str">
        <f>_xlfn.XLOOKUP(Calculations[[#This Row],[For XLOOKUP]],Factors[For XLOOKUP],Factors[Factor],"")</f>
        <v>Σ.Ε. CO₂ eq</v>
      </c>
      <c r="O501" s="81">
        <f>_xlfn.XLOOKUP(Calculations[[#This Row],[For XLOOKUP]],Factors[For XLOOKUP],Factors[Value],"")</f>
        <v>2.6324999999999997E-4</v>
      </c>
      <c r="P501" s="81" t="str">
        <f>_xlfn.XLOOKUP(Calculations[[#This Row],[For XLOOKUP]],Factors[For XLOOKUP],Factors[Units],"")</f>
        <v>tn CO2 eq/ €</v>
      </c>
      <c r="Q501" s="19" t="str">
        <f>_xlfn.XLOOKUP(Calculations[[#This Row],[For XLOOKUP]],Factors[For XLOOKUP],Factors[Source],"")</f>
        <v>EPA 2022</v>
      </c>
      <c r="R50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1" s="81" t="str">
        <f>IF(LEFT(Calculations[[#This Row],[Emission Factor]],7)="Σ.Ε. CH",Calculations[[#This Row],[Value]]*Calculations[[#This Row],[Τιμή]],"-")</f>
        <v>-</v>
      </c>
      <c r="T50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1" s="81" t="str">
        <f>IF(LEFT(Calculations[[#This Row],[Emission Factor]],3)="GWP",Calculations[[#This Row],[Τιμή]],"-")</f>
        <v>-</v>
      </c>
      <c r="V501" s="81">
        <f>IF(OR(Calculations[[#This Row],[Emission Factor]]="Σ.Ε. CO₂ eq",Calculations[[#This Row],[Emission Factor]]="CO₂ eq"),Calculations[[#This Row],[Value]]*Calculations[[#This Row],[Τιμή]],"-")</f>
        <v>15.785080739999998</v>
      </c>
      <c r="W501" s="81" t="str">
        <f>IF(Calculations[[#This Row],[Πηγή εκπομπών]]="Electricity consumed in office buildings and projects - market based",Calculations[[#This Row],[t CO2]],"")</f>
        <v/>
      </c>
      <c r="X50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15.785080739999998</v>
      </c>
    </row>
    <row r="502" spans="1:24" ht="29.4" hidden="1" thickTop="1">
      <c r="A502" s="15" t="s">
        <v>350</v>
      </c>
      <c r="B502" s="15" t="s">
        <v>351</v>
      </c>
      <c r="C502" s="16" t="s">
        <v>624</v>
      </c>
      <c r="D502" s="16" t="s">
        <v>894</v>
      </c>
      <c r="E502" s="16"/>
      <c r="F502" s="16" t="s">
        <v>317</v>
      </c>
      <c r="G502" s="16" t="s">
        <v>585</v>
      </c>
      <c r="H502" s="15" t="s">
        <v>347</v>
      </c>
      <c r="I502" s="89" t="s">
        <v>347</v>
      </c>
      <c r="J502" s="79">
        <v>30452.32</v>
      </c>
      <c r="K502" s="18" t="s">
        <v>1157</v>
      </c>
      <c r="L502" s="94" t="s">
        <v>385</v>
      </c>
      <c r="M502" s="148" t="s">
        <v>496</v>
      </c>
      <c r="N502" s="81" t="str">
        <f>_xlfn.XLOOKUP(Calculations[[#This Row],[For XLOOKUP]],Factors[For XLOOKUP],Factors[Factor],"")</f>
        <v>Σ.Ε. CO₂ eq</v>
      </c>
      <c r="O502" s="81">
        <f>_xlfn.XLOOKUP(Calculations[[#This Row],[For XLOOKUP]],Factors[For XLOOKUP],Factors[Value],"")</f>
        <v>7.1914136000000004E-4</v>
      </c>
      <c r="P502" s="81" t="str">
        <f>_xlfn.XLOOKUP(Calculations[[#This Row],[For XLOOKUP]],Factors[For XLOOKUP],Factors[Units],"")</f>
        <v>tn CO2 eq/ €</v>
      </c>
      <c r="Q502" s="19" t="str">
        <f>_xlfn.XLOOKUP(Calculations[[#This Row],[For XLOOKUP]],Factors[For XLOOKUP],Factors[Source],"")</f>
        <v>BEIS 2021</v>
      </c>
      <c r="R50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2" s="81" t="str">
        <f>IF(LEFT(Calculations[[#This Row],[Emission Factor]],7)="Σ.Ε. CH",Calculations[[#This Row],[Value]]*Calculations[[#This Row],[Τιμή]],"-")</f>
        <v>-</v>
      </c>
      <c r="T50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2" s="81" t="str">
        <f>IF(LEFT(Calculations[[#This Row],[Emission Factor]],3)="GWP",Calculations[[#This Row],[Τιμή]],"-")</f>
        <v>-</v>
      </c>
      <c r="V502" s="81">
        <f>IF(OR(Calculations[[#This Row],[Emission Factor]]="Σ.Ε. CO₂ eq",Calculations[[#This Row],[Emission Factor]]="CO₂ eq"),Calculations[[#This Row],[Value]]*Calculations[[#This Row],[Τιμή]],"-")</f>
        <v>21.899522819955202</v>
      </c>
      <c r="W502" s="81" t="str">
        <f>IF(Calculations[[#This Row],[Πηγή εκπομπών]]="Electricity consumed in office buildings and projects - market based",Calculations[[#This Row],[t CO2]],"")</f>
        <v/>
      </c>
      <c r="X50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21.899522819955202</v>
      </c>
    </row>
    <row r="503" spans="1:24" ht="29.4" hidden="1" thickTop="1">
      <c r="A503" s="15" t="s">
        <v>350</v>
      </c>
      <c r="B503" s="15" t="s">
        <v>351</v>
      </c>
      <c r="C503" s="16" t="s">
        <v>624</v>
      </c>
      <c r="D503" s="16" t="s">
        <v>894</v>
      </c>
      <c r="E503" s="16"/>
      <c r="F503" s="16" t="s">
        <v>317</v>
      </c>
      <c r="G503" s="16" t="s">
        <v>585</v>
      </c>
      <c r="H503" s="15" t="s">
        <v>347</v>
      </c>
      <c r="I503" s="89" t="s">
        <v>347</v>
      </c>
      <c r="J503" s="79">
        <v>51090.220000000008</v>
      </c>
      <c r="K503" s="18" t="s">
        <v>1157</v>
      </c>
      <c r="L503" s="94" t="s">
        <v>381</v>
      </c>
      <c r="M503" s="148" t="s">
        <v>492</v>
      </c>
      <c r="N503" s="81" t="str">
        <f>_xlfn.XLOOKUP(Calculations[[#This Row],[For XLOOKUP]],Factors[For XLOOKUP],Factors[Factor],"")</f>
        <v>Σ.Ε. CO₂ eq</v>
      </c>
      <c r="O503" s="81">
        <f>_xlfn.XLOOKUP(Calculations[[#This Row],[For XLOOKUP]],Factors[For XLOOKUP],Factors[Value],"")</f>
        <v>8.4240000000000007E-5</v>
      </c>
      <c r="P503" s="81" t="str">
        <f>_xlfn.XLOOKUP(Calculations[[#This Row],[For XLOOKUP]],Factors[For XLOOKUP],Factors[Units],"")</f>
        <v>tn CO2 eq/ €</v>
      </c>
      <c r="Q503" s="19" t="str">
        <f>_xlfn.XLOOKUP(Calculations[[#This Row],[For XLOOKUP]],Factors[For XLOOKUP],Factors[Source],"")</f>
        <v>EPA 2022</v>
      </c>
      <c r="R50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3" s="81" t="str">
        <f>IF(LEFT(Calculations[[#This Row],[Emission Factor]],7)="Σ.Ε. CH",Calculations[[#This Row],[Value]]*Calculations[[#This Row],[Τιμή]],"-")</f>
        <v>-</v>
      </c>
      <c r="T50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3" s="81" t="str">
        <f>IF(LEFT(Calculations[[#This Row],[Emission Factor]],3)="GWP",Calculations[[#This Row],[Τιμή]],"-")</f>
        <v>-</v>
      </c>
      <c r="V503" s="81">
        <f>IF(OR(Calculations[[#This Row],[Emission Factor]]="Σ.Ε. CO₂ eq",Calculations[[#This Row],[Emission Factor]]="CO₂ eq"),Calculations[[#This Row],[Value]]*Calculations[[#This Row],[Τιμή]],"-")</f>
        <v>4.3038401328000013</v>
      </c>
      <c r="W503" s="81" t="str">
        <f>IF(Calculations[[#This Row],[Πηγή εκπομπών]]="Electricity consumed in office buildings and projects - market based",Calculations[[#This Row],[t CO2]],"")</f>
        <v/>
      </c>
      <c r="X50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4.3038401328000013</v>
      </c>
    </row>
    <row r="504" spans="1:24" ht="29.4" hidden="1" thickTop="1">
      <c r="A504" s="15" t="s">
        <v>350</v>
      </c>
      <c r="B504" s="15" t="s">
        <v>351</v>
      </c>
      <c r="C504" s="16" t="s">
        <v>624</v>
      </c>
      <c r="D504" s="16" t="s">
        <v>894</v>
      </c>
      <c r="E504" s="16"/>
      <c r="F504" s="16" t="s">
        <v>317</v>
      </c>
      <c r="G504" s="16" t="s">
        <v>585</v>
      </c>
      <c r="H504" s="15" t="s">
        <v>347</v>
      </c>
      <c r="I504" s="89" t="s">
        <v>347</v>
      </c>
      <c r="J504" s="79">
        <v>320190.72000000003</v>
      </c>
      <c r="K504" s="18" t="s">
        <v>1157</v>
      </c>
      <c r="L504" s="94" t="s">
        <v>452</v>
      </c>
      <c r="M504" s="148" t="s">
        <v>563</v>
      </c>
      <c r="N504" s="81" t="str">
        <f>_xlfn.XLOOKUP(Calculations[[#This Row],[For XLOOKUP]],Factors[For XLOOKUP],Factors[Factor],"")</f>
        <v>Σ.Ε. CO₂ eq</v>
      </c>
      <c r="O504" s="81">
        <f>_xlfn.XLOOKUP(Calculations[[#This Row],[For XLOOKUP]],Factors[For XLOOKUP],Factors[Value],"")</f>
        <v>3.7907999999999996E-4</v>
      </c>
      <c r="P504" s="81" t="str">
        <f>_xlfn.XLOOKUP(Calculations[[#This Row],[For XLOOKUP]],Factors[For XLOOKUP],Factors[Units],"")</f>
        <v>tn CO2 eq/ €</v>
      </c>
      <c r="Q504" s="19" t="str">
        <f>_xlfn.XLOOKUP(Calculations[[#This Row],[For XLOOKUP]],Factors[For XLOOKUP],Factors[Source],"")</f>
        <v>EPA 2022</v>
      </c>
      <c r="R50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4" s="81" t="str">
        <f>IF(LEFT(Calculations[[#This Row],[Emission Factor]],7)="Σ.Ε. CH",Calculations[[#This Row],[Value]]*Calculations[[#This Row],[Τιμή]],"-")</f>
        <v>-</v>
      </c>
      <c r="T50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4" s="81" t="str">
        <f>IF(LEFT(Calculations[[#This Row],[Emission Factor]],3)="GWP",Calculations[[#This Row],[Τιμή]],"-")</f>
        <v>-</v>
      </c>
      <c r="V504" s="81">
        <f>IF(OR(Calculations[[#This Row],[Emission Factor]]="Σ.Ε. CO₂ eq",Calculations[[#This Row],[Emission Factor]]="CO₂ eq"),Calculations[[#This Row],[Value]]*Calculations[[#This Row],[Τιμή]],"-")</f>
        <v>121.3778981376</v>
      </c>
      <c r="W504" s="81" t="str">
        <f>IF(Calculations[[#This Row],[Πηγή εκπομπών]]="Electricity consumed in office buildings and projects - market based",Calculations[[#This Row],[t CO2]],"")</f>
        <v/>
      </c>
      <c r="X50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121.3778981376</v>
      </c>
    </row>
    <row r="505" spans="1:24" ht="29.4" hidden="1" thickTop="1">
      <c r="A505" s="15" t="s">
        <v>350</v>
      </c>
      <c r="B505" s="15" t="s">
        <v>351</v>
      </c>
      <c r="C505" s="16" t="s">
        <v>624</v>
      </c>
      <c r="D505" s="16" t="s">
        <v>894</v>
      </c>
      <c r="E505" s="16"/>
      <c r="F505" s="16" t="s">
        <v>317</v>
      </c>
      <c r="G505" s="16" t="s">
        <v>585</v>
      </c>
      <c r="H505" s="15" t="s">
        <v>347</v>
      </c>
      <c r="I505" s="89" t="s">
        <v>347</v>
      </c>
      <c r="J505" s="79">
        <v>2264.1599999999994</v>
      </c>
      <c r="K505" s="18" t="s">
        <v>1157</v>
      </c>
      <c r="L505" s="94" t="s">
        <v>415</v>
      </c>
      <c r="M505" s="148" t="s">
        <v>526</v>
      </c>
      <c r="N505" s="81" t="str">
        <f>_xlfn.XLOOKUP(Calculations[[#This Row],[For XLOOKUP]],Factors[For XLOOKUP],Factors[Factor],"")</f>
        <v>Σ.Ε. CO₂ eq</v>
      </c>
      <c r="O505" s="81">
        <f>_xlfn.XLOOKUP(Calculations[[#This Row],[For XLOOKUP]],Factors[For XLOOKUP],Factors[Value],"")</f>
        <v>3.5486099999999999E-4</v>
      </c>
      <c r="P505" s="81" t="str">
        <f>_xlfn.XLOOKUP(Calculations[[#This Row],[For XLOOKUP]],Factors[For XLOOKUP],Factors[Units],"")</f>
        <v>tn CO2 eq/ €</v>
      </c>
      <c r="Q505" s="19" t="str">
        <f>_xlfn.XLOOKUP(Calculations[[#This Row],[For XLOOKUP]],Factors[For XLOOKUP],Factors[Source],"")</f>
        <v>EPA 2022</v>
      </c>
      <c r="R50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5" s="81" t="str">
        <f>IF(LEFT(Calculations[[#This Row],[Emission Factor]],7)="Σ.Ε. CH",Calculations[[#This Row],[Value]]*Calculations[[#This Row],[Τιμή]],"-")</f>
        <v>-</v>
      </c>
      <c r="T50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5" s="81" t="str">
        <f>IF(LEFT(Calculations[[#This Row],[Emission Factor]],3)="GWP",Calculations[[#This Row],[Τιμή]],"-")</f>
        <v>-</v>
      </c>
      <c r="V505" s="81">
        <f>IF(OR(Calculations[[#This Row],[Emission Factor]]="Σ.Ε. CO₂ eq",Calculations[[#This Row],[Emission Factor]]="CO₂ eq"),Calculations[[#This Row],[Value]]*Calculations[[#This Row],[Τιμή]],"-")</f>
        <v>0.80346208175999978</v>
      </c>
      <c r="W505" s="81" t="str">
        <f>IF(Calculations[[#This Row],[Πηγή εκπομπών]]="Electricity consumed in office buildings and projects - market based",Calculations[[#This Row],[t CO2]],"")</f>
        <v/>
      </c>
      <c r="X50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0.80346208175999978</v>
      </c>
    </row>
    <row r="506" spans="1:24" ht="29.4" hidden="1" thickTop="1">
      <c r="A506" s="15" t="s">
        <v>350</v>
      </c>
      <c r="B506" s="15" t="s">
        <v>351</v>
      </c>
      <c r="C506" s="16" t="s">
        <v>624</v>
      </c>
      <c r="D506" s="16" t="s">
        <v>894</v>
      </c>
      <c r="E506" s="16"/>
      <c r="F506" s="16" t="s">
        <v>317</v>
      </c>
      <c r="G506" s="16" t="s">
        <v>585</v>
      </c>
      <c r="H506" s="15" t="s">
        <v>347</v>
      </c>
      <c r="I506" s="89" t="s">
        <v>347</v>
      </c>
      <c r="J506" s="79">
        <v>66.34</v>
      </c>
      <c r="K506" s="18" t="s">
        <v>1157</v>
      </c>
      <c r="L506" s="94" t="s">
        <v>1165</v>
      </c>
      <c r="M506" s="148" t="s">
        <v>1162</v>
      </c>
      <c r="N506" s="81" t="str">
        <f>_xlfn.XLOOKUP(Calculations[[#This Row],[For XLOOKUP]],Factors[For XLOOKUP],Factors[Factor],"")</f>
        <v>Σ.Ε. CO₂ eq</v>
      </c>
      <c r="O506" s="81">
        <f>_xlfn.XLOOKUP(Calculations[[#This Row],[For XLOOKUP]],Factors[For XLOOKUP],Factors[Value],"")</f>
        <v>6.508000000000001E-4</v>
      </c>
      <c r="P506" s="81" t="str">
        <f>_xlfn.XLOOKUP(Calculations[[#This Row],[For XLOOKUP]],Factors[For XLOOKUP],Factors[Units],"")</f>
        <v>tn CO2 eq/ €</v>
      </c>
      <c r="Q506" s="19" t="str">
        <f>_xlfn.XLOOKUP(Calculations[[#This Row],[For XLOOKUP]],Factors[For XLOOKUP],Factors[Source],"")</f>
        <v>EXIOBASE 2019 - GR</v>
      </c>
      <c r="R50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6" s="81" t="str">
        <f>IF(LEFT(Calculations[[#This Row],[Emission Factor]],7)="Σ.Ε. CH",Calculations[[#This Row],[Value]]*Calculations[[#This Row],[Τιμή]],"-")</f>
        <v>-</v>
      </c>
      <c r="T50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6" s="81" t="str">
        <f>IF(LEFT(Calculations[[#This Row],[Emission Factor]],3)="GWP",Calculations[[#This Row],[Τιμή]],"-")</f>
        <v>-</v>
      </c>
      <c r="V506" s="81">
        <f>IF(OR(Calculations[[#This Row],[Emission Factor]]="Σ.Ε. CO₂ eq",Calculations[[#This Row],[Emission Factor]]="CO₂ eq"),Calculations[[#This Row],[Value]]*Calculations[[#This Row],[Τιμή]],"-")</f>
        <v>4.3174072000000008E-2</v>
      </c>
      <c r="W506" s="81" t="str">
        <f>IF(Calculations[[#This Row],[Πηγή εκπομπών]]="Electricity consumed in office buildings and projects - market based",Calculations[[#This Row],[t CO2]],"")</f>
        <v/>
      </c>
      <c r="X50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4.3174072000000008E-2</v>
      </c>
    </row>
    <row r="507" spans="1:24" ht="29.4" hidden="1" thickTop="1">
      <c r="A507" s="15" t="s">
        <v>350</v>
      </c>
      <c r="B507" s="15" t="s">
        <v>351</v>
      </c>
      <c r="C507" s="16" t="s">
        <v>624</v>
      </c>
      <c r="D507" s="16" t="s">
        <v>894</v>
      </c>
      <c r="E507" s="16"/>
      <c r="F507" s="16" t="s">
        <v>317</v>
      </c>
      <c r="G507" s="16" t="s">
        <v>585</v>
      </c>
      <c r="H507" s="15" t="s">
        <v>347</v>
      </c>
      <c r="I507" s="89" t="s">
        <v>347</v>
      </c>
      <c r="J507" s="79">
        <v>65073.950000000004</v>
      </c>
      <c r="K507" s="18" t="s">
        <v>1157</v>
      </c>
      <c r="L507" s="94" t="s">
        <v>407</v>
      </c>
      <c r="M507" s="148" t="s">
        <v>518</v>
      </c>
      <c r="N507" s="81" t="str">
        <f>_xlfn.XLOOKUP(Calculations[[#This Row],[For XLOOKUP]],Factors[For XLOOKUP],Factors[Factor],"")</f>
        <v>Σ.Ε. CO₂ eq</v>
      </c>
      <c r="O507" s="81">
        <f>_xlfn.XLOOKUP(Calculations[[#This Row],[For XLOOKUP]],Factors[For XLOOKUP],Factors[Value],"")</f>
        <v>1.0845899999999999E-4</v>
      </c>
      <c r="P507" s="81" t="str">
        <f>_xlfn.XLOOKUP(Calculations[[#This Row],[For XLOOKUP]],Factors[For XLOOKUP],Factors[Units],"")</f>
        <v>tn CO2 eq/ €</v>
      </c>
      <c r="Q507" s="19" t="str">
        <f>_xlfn.XLOOKUP(Calculations[[#This Row],[For XLOOKUP]],Factors[For XLOOKUP],Factors[Source],"")</f>
        <v>EPA 2022</v>
      </c>
      <c r="R50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7" s="81" t="str">
        <f>IF(LEFT(Calculations[[#This Row],[Emission Factor]],7)="Σ.Ε. CH",Calculations[[#This Row],[Value]]*Calculations[[#This Row],[Τιμή]],"-")</f>
        <v>-</v>
      </c>
      <c r="T50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7" s="81" t="str">
        <f>IF(LEFT(Calculations[[#This Row],[Emission Factor]],3)="GWP",Calculations[[#This Row],[Τιμή]],"-")</f>
        <v>-</v>
      </c>
      <c r="V507" s="81">
        <f>IF(OR(Calculations[[#This Row],[Emission Factor]]="Σ.Ε. CO₂ eq",Calculations[[#This Row],[Emission Factor]]="CO₂ eq"),Calculations[[#This Row],[Value]]*Calculations[[#This Row],[Τιμή]],"-")</f>
        <v>7.0578555430499996</v>
      </c>
      <c r="W507" s="81" t="str">
        <f>IF(Calculations[[#This Row],[Πηγή εκπομπών]]="Electricity consumed in office buildings and projects - market based",Calculations[[#This Row],[t CO2]],"")</f>
        <v/>
      </c>
      <c r="X50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7.0578555430499996</v>
      </c>
    </row>
    <row r="508" spans="1:24" ht="29.4" hidden="1" thickTop="1">
      <c r="A508" s="15" t="s">
        <v>350</v>
      </c>
      <c r="B508" s="15" t="s">
        <v>351</v>
      </c>
      <c r="C508" s="16" t="s">
        <v>624</v>
      </c>
      <c r="D508" s="16" t="s">
        <v>894</v>
      </c>
      <c r="E508" s="16"/>
      <c r="F508" s="16" t="s">
        <v>317</v>
      </c>
      <c r="G508" s="16" t="s">
        <v>585</v>
      </c>
      <c r="H508" s="15" t="s">
        <v>347</v>
      </c>
      <c r="I508" s="89" t="s">
        <v>347</v>
      </c>
      <c r="J508" s="79">
        <v>1890.24</v>
      </c>
      <c r="K508" s="18" t="s">
        <v>1157</v>
      </c>
      <c r="L508" s="94" t="s">
        <v>444</v>
      </c>
      <c r="M508" s="148" t="s">
        <v>555</v>
      </c>
      <c r="N508" s="81" t="str">
        <f>_xlfn.XLOOKUP(Calculations[[#This Row],[For XLOOKUP]],Factors[For XLOOKUP],Factors[Factor],"")</f>
        <v>Σ.Ε. CO₂ eq</v>
      </c>
      <c r="O508" s="81">
        <f>_xlfn.XLOOKUP(Calculations[[#This Row],[For XLOOKUP]],Factors[For XLOOKUP],Factors[Value],"")</f>
        <v>5.3740000000000005E-4</v>
      </c>
      <c r="P508" s="81" t="str">
        <f>_xlfn.XLOOKUP(Calculations[[#This Row],[For XLOOKUP]],Factors[For XLOOKUP],Factors[Units],"")</f>
        <v>tn CO2 eq/ €</v>
      </c>
      <c r="Q508" s="19" t="str">
        <f>_xlfn.XLOOKUP(Calculations[[#This Row],[For XLOOKUP]],Factors[For XLOOKUP],Factors[Source],"")</f>
        <v>EXIOBASE 2019 - GR</v>
      </c>
      <c r="R50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8" s="81" t="str">
        <f>IF(LEFT(Calculations[[#This Row],[Emission Factor]],7)="Σ.Ε. CH",Calculations[[#This Row],[Value]]*Calculations[[#This Row],[Τιμή]],"-")</f>
        <v>-</v>
      </c>
      <c r="T50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8" s="81" t="str">
        <f>IF(LEFT(Calculations[[#This Row],[Emission Factor]],3)="GWP",Calculations[[#This Row],[Τιμή]],"-")</f>
        <v>-</v>
      </c>
      <c r="V508" s="81">
        <f>IF(OR(Calculations[[#This Row],[Emission Factor]]="Σ.Ε. CO₂ eq",Calculations[[#This Row],[Emission Factor]]="CO₂ eq"),Calculations[[#This Row],[Value]]*Calculations[[#This Row],[Τιμή]],"-")</f>
        <v>1.0158149760000001</v>
      </c>
      <c r="W508" s="81" t="str">
        <f>IF(Calculations[[#This Row],[Πηγή εκπομπών]]="Electricity consumed in office buildings and projects - market based",Calculations[[#This Row],[t CO2]],"")</f>
        <v/>
      </c>
      <c r="X50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1.0158149760000001</v>
      </c>
    </row>
    <row r="509" spans="1:24" ht="29.4" hidden="1" thickTop="1">
      <c r="A509" s="15" t="s">
        <v>350</v>
      </c>
      <c r="B509" s="15" t="s">
        <v>351</v>
      </c>
      <c r="C509" s="16" t="s">
        <v>624</v>
      </c>
      <c r="D509" s="16" t="s">
        <v>894</v>
      </c>
      <c r="E509" s="16"/>
      <c r="F509" s="16" t="s">
        <v>317</v>
      </c>
      <c r="G509" s="16" t="s">
        <v>585</v>
      </c>
      <c r="H509" s="15" t="s">
        <v>347</v>
      </c>
      <c r="I509" s="89" t="s">
        <v>347</v>
      </c>
      <c r="J509" s="79">
        <v>183129.90999999997</v>
      </c>
      <c r="K509" s="18" t="s">
        <v>1157</v>
      </c>
      <c r="L509" s="94" t="s">
        <v>405</v>
      </c>
      <c r="M509" s="148" t="s">
        <v>516</v>
      </c>
      <c r="N509" s="81" t="str">
        <f>_xlfn.XLOOKUP(Calculations[[#This Row],[For XLOOKUP]],Factors[For XLOOKUP],Factors[Factor],"")</f>
        <v>Σ.Ε. CO₂ eq</v>
      </c>
      <c r="O509" s="81">
        <f>_xlfn.XLOOKUP(Calculations[[#This Row],[For XLOOKUP]],Factors[For XLOOKUP],Factors[Value],"")</f>
        <v>7.6868999999999999E-5</v>
      </c>
      <c r="P509" s="81" t="str">
        <f>_xlfn.XLOOKUP(Calculations[[#This Row],[For XLOOKUP]],Factors[For XLOOKUP],Factors[Units],"")</f>
        <v>tn CO2 eq/ €</v>
      </c>
      <c r="Q509" s="19" t="str">
        <f>_xlfn.XLOOKUP(Calculations[[#This Row],[For XLOOKUP]],Factors[For XLOOKUP],Factors[Source],"")</f>
        <v>EPA 2022</v>
      </c>
      <c r="R50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9" s="81" t="str">
        <f>IF(LEFT(Calculations[[#This Row],[Emission Factor]],7)="Σ.Ε. CH",Calculations[[#This Row],[Value]]*Calculations[[#This Row],[Τιμή]],"-")</f>
        <v>-</v>
      </c>
      <c r="T50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9" s="81" t="str">
        <f>IF(LEFT(Calculations[[#This Row],[Emission Factor]],3)="GWP",Calculations[[#This Row],[Τιμή]],"-")</f>
        <v>-</v>
      </c>
      <c r="V509" s="81">
        <f>IF(OR(Calculations[[#This Row],[Emission Factor]]="Σ.Ε. CO₂ eq",Calculations[[#This Row],[Emission Factor]]="CO₂ eq"),Calculations[[#This Row],[Value]]*Calculations[[#This Row],[Τιμή]],"-")</f>
        <v>14.077013051789997</v>
      </c>
      <c r="W509" s="81" t="str">
        <f>IF(Calculations[[#This Row],[Πηγή εκπομπών]]="Electricity consumed in office buildings and projects - market based",Calculations[[#This Row],[t CO2]],"")</f>
        <v/>
      </c>
      <c r="X50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14.077013051789997</v>
      </c>
    </row>
    <row r="510" spans="1:24" ht="29.4" hidden="1" thickTop="1">
      <c r="A510" s="15" t="s">
        <v>350</v>
      </c>
      <c r="B510" s="15" t="s">
        <v>351</v>
      </c>
      <c r="C510" s="16" t="s">
        <v>624</v>
      </c>
      <c r="D510" s="16" t="s">
        <v>894</v>
      </c>
      <c r="E510" s="16"/>
      <c r="F510" s="16" t="s">
        <v>317</v>
      </c>
      <c r="G510" s="16" t="s">
        <v>585</v>
      </c>
      <c r="H510" s="15" t="s">
        <v>347</v>
      </c>
      <c r="I510" s="89" t="s">
        <v>347</v>
      </c>
      <c r="J510" s="79">
        <v>24964.57</v>
      </c>
      <c r="K510" s="18" t="s">
        <v>1157</v>
      </c>
      <c r="L510" s="94" t="s">
        <v>429</v>
      </c>
      <c r="M510" s="148" t="s">
        <v>540</v>
      </c>
      <c r="N510" s="81" t="str">
        <f>_xlfn.XLOOKUP(Calculations[[#This Row],[For XLOOKUP]],Factors[For XLOOKUP],Factors[Factor],"")</f>
        <v>Σ.Ε. CO₂ eq</v>
      </c>
      <c r="O510" s="81">
        <f>_xlfn.XLOOKUP(Calculations[[#This Row],[For XLOOKUP]],Factors[For XLOOKUP],Factors[Value],"")</f>
        <v>8.8451999999999999E-5</v>
      </c>
      <c r="P510" s="81" t="str">
        <f>_xlfn.XLOOKUP(Calculations[[#This Row],[For XLOOKUP]],Factors[For XLOOKUP],Factors[Units],"")</f>
        <v>tn CO2 eq/ €</v>
      </c>
      <c r="Q510" s="19" t="str">
        <f>_xlfn.XLOOKUP(Calculations[[#This Row],[For XLOOKUP]],Factors[For XLOOKUP],Factors[Source],"")</f>
        <v>EPA 2022</v>
      </c>
      <c r="R51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0" s="81" t="str">
        <f>IF(LEFT(Calculations[[#This Row],[Emission Factor]],7)="Σ.Ε. CH",Calculations[[#This Row],[Value]]*Calculations[[#This Row],[Τιμή]],"-")</f>
        <v>-</v>
      </c>
      <c r="T51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0" s="81" t="str">
        <f>IF(LEFT(Calculations[[#This Row],[Emission Factor]],3)="GWP",Calculations[[#This Row],[Τιμή]],"-")</f>
        <v>-</v>
      </c>
      <c r="V510" s="81">
        <f>IF(OR(Calculations[[#This Row],[Emission Factor]]="Σ.Ε. CO₂ eq",Calculations[[#This Row],[Emission Factor]]="CO₂ eq"),Calculations[[#This Row],[Value]]*Calculations[[#This Row],[Τιμή]],"-")</f>
        <v>2.2081661456399999</v>
      </c>
      <c r="W510" s="81" t="str">
        <f>IF(Calculations[[#This Row],[Πηγή εκπομπών]]="Electricity consumed in office buildings and projects - market based",Calculations[[#This Row],[t CO2]],"")</f>
        <v/>
      </c>
      <c r="X51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2.2081661456399999</v>
      </c>
    </row>
    <row r="511" spans="1:24" ht="29.4" hidden="1" thickTop="1">
      <c r="A511" s="15" t="s">
        <v>350</v>
      </c>
      <c r="B511" s="15" t="s">
        <v>351</v>
      </c>
      <c r="C511" s="16" t="s">
        <v>624</v>
      </c>
      <c r="D511" s="16" t="s">
        <v>894</v>
      </c>
      <c r="E511" s="16"/>
      <c r="F511" s="16" t="s">
        <v>317</v>
      </c>
      <c r="G511" s="16" t="s">
        <v>585</v>
      </c>
      <c r="H511" s="15" t="s">
        <v>347</v>
      </c>
      <c r="I511" s="89" t="s">
        <v>347</v>
      </c>
      <c r="J511" s="79">
        <v>23670.61</v>
      </c>
      <c r="K511" s="18" t="s">
        <v>1157</v>
      </c>
      <c r="L511" s="94" t="s">
        <v>421</v>
      </c>
      <c r="M511" s="148" t="s">
        <v>532</v>
      </c>
      <c r="N511" s="81" t="str">
        <f>_xlfn.XLOOKUP(Calculations[[#This Row],[For XLOOKUP]],Factors[For XLOOKUP],Factors[Factor],"")</f>
        <v>Σ.Ε. CO₂ eq</v>
      </c>
      <c r="O511" s="81">
        <f>_xlfn.XLOOKUP(Calculations[[#This Row],[For XLOOKUP]],Factors[For XLOOKUP],Factors[Value],"")</f>
        <v>1.1965631999999999E-3</v>
      </c>
      <c r="P511" s="81" t="str">
        <f>_xlfn.XLOOKUP(Calculations[[#This Row],[For XLOOKUP]],Factors[For XLOOKUP],Factors[Units],"")</f>
        <v>tn CO2 eq/ €</v>
      </c>
      <c r="Q511" s="19" t="str">
        <f>_xlfn.XLOOKUP(Calculations[[#This Row],[For XLOOKUP]],Factors[For XLOOKUP],Factors[Source],"")</f>
        <v>BEIS 2021</v>
      </c>
      <c r="R51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1" s="81" t="str">
        <f>IF(LEFT(Calculations[[#This Row],[Emission Factor]],7)="Σ.Ε. CH",Calculations[[#This Row],[Value]]*Calculations[[#This Row],[Τιμή]],"-")</f>
        <v>-</v>
      </c>
      <c r="T51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1" s="81" t="str">
        <f>IF(LEFT(Calculations[[#This Row],[Emission Factor]],3)="GWP",Calculations[[#This Row],[Τιμή]],"-")</f>
        <v>-</v>
      </c>
      <c r="V511" s="81">
        <f>IF(OR(Calculations[[#This Row],[Emission Factor]]="Σ.Ε. CO₂ eq",Calculations[[#This Row],[Emission Factor]]="CO₂ eq"),Calculations[[#This Row],[Value]]*Calculations[[#This Row],[Τιμή]],"-")</f>
        <v>28.323380847551999</v>
      </c>
      <c r="W511" s="81" t="str">
        <f>IF(Calculations[[#This Row],[Πηγή εκπομπών]]="Electricity consumed in office buildings and projects - market based",Calculations[[#This Row],[t CO2]],"")</f>
        <v/>
      </c>
      <c r="X51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28.323380847551999</v>
      </c>
    </row>
    <row r="512" spans="1:24" ht="29.4" hidden="1" thickTop="1">
      <c r="A512" s="15" t="s">
        <v>350</v>
      </c>
      <c r="B512" s="15" t="s">
        <v>351</v>
      </c>
      <c r="C512" s="16" t="s">
        <v>624</v>
      </c>
      <c r="D512" s="16" t="s">
        <v>894</v>
      </c>
      <c r="E512" s="16"/>
      <c r="F512" s="16" t="s">
        <v>317</v>
      </c>
      <c r="G512" s="16" t="s">
        <v>585</v>
      </c>
      <c r="H512" s="15" t="s">
        <v>347</v>
      </c>
      <c r="I512" s="89" t="s">
        <v>347</v>
      </c>
      <c r="J512" s="79">
        <v>11402.529999999999</v>
      </c>
      <c r="K512" s="18" t="s">
        <v>1157</v>
      </c>
      <c r="L512" s="94" t="s">
        <v>368</v>
      </c>
      <c r="M512" s="148" t="s">
        <v>479</v>
      </c>
      <c r="N512" s="81" t="str">
        <f>_xlfn.XLOOKUP(Calculations[[#This Row],[For XLOOKUP]],Factors[For XLOOKUP],Factors[Factor],"")</f>
        <v>Σ.Ε. CO₂ eq</v>
      </c>
      <c r="O512" s="81">
        <f>_xlfn.XLOOKUP(Calculations[[#This Row],[For XLOOKUP]],Factors[For XLOOKUP],Factors[Value],"")</f>
        <v>6.0863399999999993E-4</v>
      </c>
      <c r="P512" s="81" t="str">
        <f>_xlfn.XLOOKUP(Calculations[[#This Row],[For XLOOKUP]],Factors[For XLOOKUP],Factors[Units],"")</f>
        <v>tn CO2 eq/ €</v>
      </c>
      <c r="Q512" s="19" t="str">
        <f>_xlfn.XLOOKUP(Calculations[[#This Row],[For XLOOKUP]],Factors[For XLOOKUP],Factors[Source],"")</f>
        <v>EPA 2022</v>
      </c>
      <c r="R51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2" s="81" t="str">
        <f>IF(LEFT(Calculations[[#This Row],[Emission Factor]],7)="Σ.Ε. CH",Calculations[[#This Row],[Value]]*Calculations[[#This Row],[Τιμή]],"-")</f>
        <v>-</v>
      </c>
      <c r="T51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2" s="81" t="str">
        <f>IF(LEFT(Calculations[[#This Row],[Emission Factor]],3)="GWP",Calculations[[#This Row],[Τιμή]],"-")</f>
        <v>-</v>
      </c>
      <c r="V512" s="81">
        <f>IF(OR(Calculations[[#This Row],[Emission Factor]]="Σ.Ε. CO₂ eq",Calculations[[#This Row],[Emission Factor]]="CO₂ eq"),Calculations[[#This Row],[Value]]*Calculations[[#This Row],[Τιμή]],"-")</f>
        <v>6.9399674440199988</v>
      </c>
      <c r="W512" s="81" t="str">
        <f>IF(Calculations[[#This Row],[Πηγή εκπομπών]]="Electricity consumed in office buildings and projects - market based",Calculations[[#This Row],[t CO2]],"")</f>
        <v/>
      </c>
      <c r="X51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6.9399674440199988</v>
      </c>
    </row>
    <row r="513" spans="1:24" ht="29.4" hidden="1" thickTop="1">
      <c r="A513" s="15" t="s">
        <v>350</v>
      </c>
      <c r="B513" s="15" t="s">
        <v>351</v>
      </c>
      <c r="C513" s="16" t="s">
        <v>624</v>
      </c>
      <c r="D513" s="16" t="s">
        <v>894</v>
      </c>
      <c r="E513" s="16"/>
      <c r="F513" s="16" t="s">
        <v>317</v>
      </c>
      <c r="G513" s="16" t="s">
        <v>585</v>
      </c>
      <c r="H513" s="15" t="s">
        <v>347</v>
      </c>
      <c r="I513" s="89" t="s">
        <v>347</v>
      </c>
      <c r="J513" s="79">
        <v>230874.74000000002</v>
      </c>
      <c r="K513" s="18" t="s">
        <v>1157</v>
      </c>
      <c r="L513" s="94" t="s">
        <v>371</v>
      </c>
      <c r="M513" s="148" t="s">
        <v>482</v>
      </c>
      <c r="N513" s="81" t="str">
        <f>_xlfn.XLOOKUP(Calculations[[#This Row],[For XLOOKUP]],Factors[For XLOOKUP],Factors[Factor],"")</f>
        <v>Σ.Ε. CO₂ eq</v>
      </c>
      <c r="O513" s="81">
        <f>_xlfn.XLOOKUP(Calculations[[#This Row],[For XLOOKUP]],Factors[For XLOOKUP],Factors[Value],"")</f>
        <v>6.3481460000000003E-4</v>
      </c>
      <c r="P513" s="81" t="str">
        <f>_xlfn.XLOOKUP(Calculations[[#This Row],[For XLOOKUP]],Factors[For XLOOKUP],Factors[Units],"")</f>
        <v>tn CO2 eq/ €</v>
      </c>
      <c r="Q513" s="19" t="str">
        <f>_xlfn.XLOOKUP(Calculations[[#This Row],[For XLOOKUP]],Factors[For XLOOKUP],Factors[Source],"")</f>
        <v>BEIS 2021</v>
      </c>
      <c r="R51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3" s="81" t="str">
        <f>IF(LEFT(Calculations[[#This Row],[Emission Factor]],7)="Σ.Ε. CH",Calculations[[#This Row],[Value]]*Calculations[[#This Row],[Τιμή]],"-")</f>
        <v>-</v>
      </c>
      <c r="T51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3" s="81" t="str">
        <f>IF(LEFT(Calculations[[#This Row],[Emission Factor]],3)="GWP",Calculations[[#This Row],[Τιμή]],"-")</f>
        <v>-</v>
      </c>
      <c r="V513" s="81">
        <f>IF(OR(Calculations[[#This Row],[Emission Factor]]="Σ.Ε. CO₂ eq",Calculations[[#This Row],[Emission Factor]]="CO₂ eq"),Calculations[[#This Row],[Value]]*Calculations[[#This Row],[Τιμή]],"-")</f>
        <v>146.56265572320402</v>
      </c>
      <c r="W513" s="81" t="str">
        <f>IF(Calculations[[#This Row],[Πηγή εκπομπών]]="Electricity consumed in office buildings and projects - market based",Calculations[[#This Row],[t CO2]],"")</f>
        <v/>
      </c>
      <c r="X51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146.56265572320402</v>
      </c>
    </row>
    <row r="514" spans="1:24" ht="29.4" hidden="1" thickTop="1">
      <c r="A514" s="15" t="s">
        <v>350</v>
      </c>
      <c r="B514" s="15" t="s">
        <v>351</v>
      </c>
      <c r="C514" s="16" t="s">
        <v>624</v>
      </c>
      <c r="D514" s="16" t="s">
        <v>894</v>
      </c>
      <c r="E514" s="16"/>
      <c r="F514" s="16" t="s">
        <v>317</v>
      </c>
      <c r="G514" s="16" t="s">
        <v>585</v>
      </c>
      <c r="H514" s="15" t="s">
        <v>347</v>
      </c>
      <c r="I514" s="89" t="s">
        <v>347</v>
      </c>
      <c r="J514" s="79">
        <v>3102.74</v>
      </c>
      <c r="K514" s="18" t="s">
        <v>1157</v>
      </c>
      <c r="L514" s="94" t="s">
        <v>438</v>
      </c>
      <c r="M514" s="148" t="s">
        <v>549</v>
      </c>
      <c r="N514" s="81" t="str">
        <f>_xlfn.XLOOKUP(Calculations[[#This Row],[For XLOOKUP]],Factors[For XLOOKUP],Factors[Factor],"")</f>
        <v>Σ.Ε. CO₂ eq</v>
      </c>
      <c r="O514" s="81">
        <f>_xlfn.XLOOKUP(Calculations[[#This Row],[For XLOOKUP]],Factors[For XLOOKUP],Factors[Value],"")</f>
        <v>6.715E-4</v>
      </c>
      <c r="P514" s="81" t="str">
        <f>_xlfn.XLOOKUP(Calculations[[#This Row],[For XLOOKUP]],Factors[For XLOOKUP],Factors[Units],"")</f>
        <v>tn CO2 eq/ €</v>
      </c>
      <c r="Q514" s="19" t="str">
        <f>_xlfn.XLOOKUP(Calculations[[#This Row],[For XLOOKUP]],Factors[For XLOOKUP],Factors[Source],"")</f>
        <v>EXIOBASE 2019 - GR</v>
      </c>
      <c r="R51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4" s="81" t="str">
        <f>IF(LEFT(Calculations[[#This Row],[Emission Factor]],7)="Σ.Ε. CH",Calculations[[#This Row],[Value]]*Calculations[[#This Row],[Τιμή]],"-")</f>
        <v>-</v>
      </c>
      <c r="T51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4" s="81" t="str">
        <f>IF(LEFT(Calculations[[#This Row],[Emission Factor]],3)="GWP",Calculations[[#This Row],[Τιμή]],"-")</f>
        <v>-</v>
      </c>
      <c r="V514" s="81">
        <f>IF(OR(Calculations[[#This Row],[Emission Factor]]="Σ.Ε. CO₂ eq",Calculations[[#This Row],[Emission Factor]]="CO₂ eq"),Calculations[[#This Row],[Value]]*Calculations[[#This Row],[Τιμή]],"-")</f>
        <v>2.0834899099999999</v>
      </c>
      <c r="W514" s="81" t="str">
        <f>IF(Calculations[[#This Row],[Πηγή εκπομπών]]="Electricity consumed in office buildings and projects - market based",Calculations[[#This Row],[t CO2]],"")</f>
        <v/>
      </c>
      <c r="X51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2.0834899099999999</v>
      </c>
    </row>
    <row r="515" spans="1:24" ht="29.4" hidden="1" thickTop="1">
      <c r="A515" s="15" t="s">
        <v>350</v>
      </c>
      <c r="B515" s="15" t="s">
        <v>351</v>
      </c>
      <c r="C515" s="16" t="s">
        <v>624</v>
      </c>
      <c r="D515" s="16" t="s">
        <v>897</v>
      </c>
      <c r="E515" s="16"/>
      <c r="F515" s="16" t="s">
        <v>320</v>
      </c>
      <c r="G515" s="16" t="s">
        <v>585</v>
      </c>
      <c r="H515" s="15" t="s">
        <v>347</v>
      </c>
      <c r="I515" s="89" t="s">
        <v>347</v>
      </c>
      <c r="J515" s="79">
        <v>209269</v>
      </c>
      <c r="K515" s="18" t="s">
        <v>1157</v>
      </c>
      <c r="L515" s="94" t="s">
        <v>356</v>
      </c>
      <c r="M515" s="148" t="s">
        <v>467</v>
      </c>
      <c r="N515" s="81" t="str">
        <f>_xlfn.XLOOKUP(Calculations[[#This Row],[For XLOOKUP]],Factors[For XLOOKUP],Factors[Factor],"")</f>
        <v>Σ.Ε. CO₂ eq</v>
      </c>
      <c r="O515" s="81">
        <f>_xlfn.XLOOKUP(Calculations[[#This Row],[For XLOOKUP]],Factors[For XLOOKUP],Factors[Value],"")</f>
        <v>1.6994291999999998E-4</v>
      </c>
      <c r="P515" s="81" t="str">
        <f>_xlfn.XLOOKUP(Calculations[[#This Row],[For XLOOKUP]],Factors[For XLOOKUP],Factors[Units],"")</f>
        <v>tn CO2 eq/ €</v>
      </c>
      <c r="Q515" s="19" t="str">
        <f>_xlfn.XLOOKUP(Calculations[[#This Row],[For XLOOKUP]],Factors[For XLOOKUP],Factors[Source],"")</f>
        <v>BEIS 2021</v>
      </c>
      <c r="R51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5" s="81" t="str">
        <f>IF(LEFT(Calculations[[#This Row],[Emission Factor]],7)="Σ.Ε. CH",Calculations[[#This Row],[Value]]*Calculations[[#This Row],[Τιμή]],"-")</f>
        <v>-</v>
      </c>
      <c r="T51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5" s="81" t="str">
        <f>IF(LEFT(Calculations[[#This Row],[Emission Factor]],3)="GWP",Calculations[[#This Row],[Τιμή]],"-")</f>
        <v>-</v>
      </c>
      <c r="V515" s="81">
        <f>IF(OR(Calculations[[#This Row],[Emission Factor]]="Σ.Ε. CO₂ eq",Calculations[[#This Row],[Emission Factor]]="CO₂ eq"),Calculations[[#This Row],[Value]]*Calculations[[#This Row],[Τιμή]],"-")</f>
        <v>35.563784925479993</v>
      </c>
      <c r="W515" s="81" t="str">
        <f>IF(Calculations[[#This Row],[Πηγή εκπομπών]]="Electricity consumed in office buildings and projects - market based",Calculations[[#This Row],[t CO2]],"")</f>
        <v/>
      </c>
      <c r="X51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35.563784925479993</v>
      </c>
    </row>
    <row r="516" spans="1:24" ht="29.4" hidden="1" thickTop="1">
      <c r="A516" s="15" t="s">
        <v>350</v>
      </c>
      <c r="B516" s="15" t="s">
        <v>351</v>
      </c>
      <c r="C516" s="16" t="s">
        <v>624</v>
      </c>
      <c r="D516" s="16" t="s">
        <v>897</v>
      </c>
      <c r="E516" s="16"/>
      <c r="F516" s="16" t="s">
        <v>320</v>
      </c>
      <c r="G516" s="16" t="s">
        <v>585</v>
      </c>
      <c r="H516" s="15" t="s">
        <v>347</v>
      </c>
      <c r="I516" s="89" t="s">
        <v>347</v>
      </c>
      <c r="J516" s="79">
        <v>183812.83000000002</v>
      </c>
      <c r="K516" s="18" t="s">
        <v>1157</v>
      </c>
      <c r="L516" s="94" t="s">
        <v>358</v>
      </c>
      <c r="M516" s="148" t="s">
        <v>469</v>
      </c>
      <c r="N516" s="81" t="str">
        <f>_xlfn.XLOOKUP(Calculations[[#This Row],[For XLOOKUP]],Factors[For XLOOKUP],Factors[Factor],"")</f>
        <v>Σ.Ε. CO₂ eq</v>
      </c>
      <c r="O516" s="81">
        <f>_xlfn.XLOOKUP(Calculations[[#This Row],[For XLOOKUP]],Factors[For XLOOKUP],Factors[Value],"")</f>
        <v>3.4749000000000002E-5</v>
      </c>
      <c r="P516" s="81" t="str">
        <f>_xlfn.XLOOKUP(Calculations[[#This Row],[For XLOOKUP]],Factors[For XLOOKUP],Factors[Units],"")</f>
        <v>tn CO2 eq/ €</v>
      </c>
      <c r="Q516" s="19" t="str">
        <f>_xlfn.XLOOKUP(Calculations[[#This Row],[For XLOOKUP]],Factors[For XLOOKUP],Factors[Source],"")</f>
        <v>EPA 2022</v>
      </c>
      <c r="R51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6" s="81" t="str">
        <f>IF(LEFT(Calculations[[#This Row],[Emission Factor]],7)="Σ.Ε. CH",Calculations[[#This Row],[Value]]*Calculations[[#This Row],[Τιμή]],"-")</f>
        <v>-</v>
      </c>
      <c r="T51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6" s="81" t="str">
        <f>IF(LEFT(Calculations[[#This Row],[Emission Factor]],3)="GWP",Calculations[[#This Row],[Τιμή]],"-")</f>
        <v>-</v>
      </c>
      <c r="V516" s="81">
        <f>IF(OR(Calculations[[#This Row],[Emission Factor]]="Σ.Ε. CO₂ eq",Calculations[[#This Row],[Emission Factor]]="CO₂ eq"),Calculations[[#This Row],[Value]]*Calculations[[#This Row],[Τιμή]],"-")</f>
        <v>6.3873120296700012</v>
      </c>
      <c r="W516" s="81" t="str">
        <f>IF(Calculations[[#This Row],[Πηγή εκπομπών]]="Electricity consumed in office buildings and projects - market based",Calculations[[#This Row],[t CO2]],"")</f>
        <v/>
      </c>
      <c r="X51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6.3873120296700012</v>
      </c>
    </row>
    <row r="517" spans="1:24" ht="29.4" hidden="1" thickTop="1">
      <c r="A517" s="15" t="s">
        <v>350</v>
      </c>
      <c r="B517" s="15" t="s">
        <v>351</v>
      </c>
      <c r="C517" s="16" t="s">
        <v>624</v>
      </c>
      <c r="D517" s="16" t="s">
        <v>897</v>
      </c>
      <c r="E517" s="16"/>
      <c r="F517" s="16" t="s">
        <v>320</v>
      </c>
      <c r="G517" s="16" t="s">
        <v>585</v>
      </c>
      <c r="H517" s="15" t="s">
        <v>347</v>
      </c>
      <c r="I517" s="89" t="s">
        <v>347</v>
      </c>
      <c r="J517" s="79">
        <v>54298</v>
      </c>
      <c r="K517" s="18" t="s">
        <v>1157</v>
      </c>
      <c r="L517" s="94" t="s">
        <v>364</v>
      </c>
      <c r="M517" s="148" t="s">
        <v>475</v>
      </c>
      <c r="N517" s="81" t="str">
        <f>_xlfn.XLOOKUP(Calculations[[#This Row],[For XLOOKUP]],Factors[For XLOOKUP],Factors[Factor],"")</f>
        <v>Σ.Ε. CO₂ eq</v>
      </c>
      <c r="O517" s="81">
        <f>_xlfn.XLOOKUP(Calculations[[#This Row],[For XLOOKUP]],Factors[For XLOOKUP],Factors[Value],"")</f>
        <v>1.401148E-4</v>
      </c>
      <c r="P517" s="81" t="str">
        <f>_xlfn.XLOOKUP(Calculations[[#This Row],[For XLOOKUP]],Factors[For XLOOKUP],Factors[Units],"")</f>
        <v>tn CO2 eq/ €</v>
      </c>
      <c r="Q517" s="19" t="str">
        <f>_xlfn.XLOOKUP(Calculations[[#This Row],[For XLOOKUP]],Factors[For XLOOKUP],Factors[Source],"")</f>
        <v>BEIS 2021</v>
      </c>
      <c r="R51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7" s="81" t="str">
        <f>IF(LEFT(Calculations[[#This Row],[Emission Factor]],7)="Σ.Ε. CH",Calculations[[#This Row],[Value]]*Calculations[[#This Row],[Τιμή]],"-")</f>
        <v>-</v>
      </c>
      <c r="T51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7" s="81" t="str">
        <f>IF(LEFT(Calculations[[#This Row],[Emission Factor]],3)="GWP",Calculations[[#This Row],[Τιμή]],"-")</f>
        <v>-</v>
      </c>
      <c r="V517" s="81">
        <f>IF(OR(Calculations[[#This Row],[Emission Factor]]="Σ.Ε. CO₂ eq",Calculations[[#This Row],[Emission Factor]]="CO₂ eq"),Calculations[[#This Row],[Value]]*Calculations[[#This Row],[Τιμή]],"-")</f>
        <v>7.6079534103999995</v>
      </c>
      <c r="W517" s="81" t="str">
        <f>IF(Calculations[[#This Row],[Πηγή εκπομπών]]="Electricity consumed in office buildings and projects - market based",Calculations[[#This Row],[t CO2]],"")</f>
        <v/>
      </c>
      <c r="X51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7.6079534103999995</v>
      </c>
    </row>
    <row r="518" spans="1:24" ht="29.4" hidden="1" thickTop="1">
      <c r="A518" s="15" t="s">
        <v>350</v>
      </c>
      <c r="B518" s="15" t="s">
        <v>351</v>
      </c>
      <c r="C518" s="16" t="s">
        <v>624</v>
      </c>
      <c r="D518" s="16" t="s">
        <v>897</v>
      </c>
      <c r="E518" s="16"/>
      <c r="F518" s="16" t="s">
        <v>320</v>
      </c>
      <c r="G518" s="16" t="s">
        <v>585</v>
      </c>
      <c r="H518" s="15" t="s">
        <v>347</v>
      </c>
      <c r="I518" s="89" t="s">
        <v>347</v>
      </c>
      <c r="J518" s="79">
        <v>49135</v>
      </c>
      <c r="K518" s="18" t="s">
        <v>1157</v>
      </c>
      <c r="L518" s="94" t="s">
        <v>363</v>
      </c>
      <c r="M518" s="148" t="s">
        <v>474</v>
      </c>
      <c r="N518" s="81" t="str">
        <f>_xlfn.XLOOKUP(Calculations[[#This Row],[For XLOOKUP]],Factors[For XLOOKUP],Factors[Factor],"")</f>
        <v>Σ.Ε. CO₂ eq</v>
      </c>
      <c r="O518" s="81">
        <f>_xlfn.XLOOKUP(Calculations[[#This Row],[For XLOOKUP]],Factors[For XLOOKUP],Factors[Value],"")</f>
        <v>1.1819500000000002E-4</v>
      </c>
      <c r="P518" s="81" t="str">
        <f>_xlfn.XLOOKUP(Calculations[[#This Row],[For XLOOKUP]],Factors[For XLOOKUP],Factors[Units],"")</f>
        <v>tn CO2 eq/ €</v>
      </c>
      <c r="Q518" s="19" t="str">
        <f>_xlfn.XLOOKUP(Calculations[[#This Row],[For XLOOKUP]],Factors[For XLOOKUP],Factors[Source],"")</f>
        <v>BEIS 2021</v>
      </c>
      <c r="R51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8" s="81" t="str">
        <f>IF(LEFT(Calculations[[#This Row],[Emission Factor]],7)="Σ.Ε. CH",Calculations[[#This Row],[Value]]*Calculations[[#This Row],[Τιμή]],"-")</f>
        <v>-</v>
      </c>
      <c r="T51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8" s="81" t="str">
        <f>IF(LEFT(Calculations[[#This Row],[Emission Factor]],3)="GWP",Calculations[[#This Row],[Τιμή]],"-")</f>
        <v>-</v>
      </c>
      <c r="V518" s="81">
        <f>IF(OR(Calculations[[#This Row],[Emission Factor]]="Σ.Ε. CO₂ eq",Calculations[[#This Row],[Emission Factor]]="CO₂ eq"),Calculations[[#This Row],[Value]]*Calculations[[#This Row],[Τιμή]],"-")</f>
        <v>5.807511325000001</v>
      </c>
      <c r="W518" s="81" t="str">
        <f>IF(Calculations[[#This Row],[Πηγή εκπομπών]]="Electricity consumed in office buildings and projects - market based",Calculations[[#This Row],[t CO2]],"")</f>
        <v/>
      </c>
      <c r="X51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5.807511325000001</v>
      </c>
    </row>
    <row r="519" spans="1:24" ht="29.4" hidden="1" thickTop="1">
      <c r="A519" s="15" t="s">
        <v>350</v>
      </c>
      <c r="B519" s="15" t="s">
        <v>351</v>
      </c>
      <c r="C519" s="16" t="s">
        <v>624</v>
      </c>
      <c r="D519" s="16" t="s">
        <v>897</v>
      </c>
      <c r="E519" s="16"/>
      <c r="F519" s="16" t="s">
        <v>320</v>
      </c>
      <c r="G519" s="16" t="s">
        <v>585</v>
      </c>
      <c r="H519" s="15" t="s">
        <v>347</v>
      </c>
      <c r="I519" s="89" t="s">
        <v>347</v>
      </c>
      <c r="J519" s="79">
        <v>48046</v>
      </c>
      <c r="K519" s="18" t="s">
        <v>1157</v>
      </c>
      <c r="L519" s="94" t="s">
        <v>353</v>
      </c>
      <c r="M519" s="148" t="s">
        <v>464</v>
      </c>
      <c r="N519" s="81" t="str">
        <f>_xlfn.XLOOKUP(Calculations[[#This Row],[For XLOOKUP]],Factors[For XLOOKUP],Factors[Factor],"")</f>
        <v>Σ.Ε. CO₂ eq</v>
      </c>
      <c r="O519" s="81">
        <f>_xlfn.XLOOKUP(Calculations[[#This Row],[For XLOOKUP]],Factors[For XLOOKUP],Factors[Value],"")</f>
        <v>5.8538760000000007E-5</v>
      </c>
      <c r="P519" s="81" t="str">
        <f>_xlfn.XLOOKUP(Calculations[[#This Row],[For XLOOKUP]],Factors[For XLOOKUP],Factors[Units],"")</f>
        <v>tn CO2 eq/ €</v>
      </c>
      <c r="Q519" s="19" t="str">
        <f>_xlfn.XLOOKUP(Calculations[[#This Row],[For XLOOKUP]],Factors[For XLOOKUP],Factors[Source],"")</f>
        <v>BEIS 2021</v>
      </c>
      <c r="R51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9" s="81" t="str">
        <f>IF(LEFT(Calculations[[#This Row],[Emission Factor]],7)="Σ.Ε. CH",Calculations[[#This Row],[Value]]*Calculations[[#This Row],[Τιμή]],"-")</f>
        <v>-</v>
      </c>
      <c r="T51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9" s="81" t="str">
        <f>IF(LEFT(Calculations[[#This Row],[Emission Factor]],3)="GWP",Calculations[[#This Row],[Τιμή]],"-")</f>
        <v>-</v>
      </c>
      <c r="V519" s="81">
        <f>IF(OR(Calculations[[#This Row],[Emission Factor]]="Σ.Ε. CO₂ eq",Calculations[[#This Row],[Emission Factor]]="CO₂ eq"),Calculations[[#This Row],[Value]]*Calculations[[#This Row],[Τιμή]],"-")</f>
        <v>2.8125532629600003</v>
      </c>
      <c r="W519" s="81" t="str">
        <f>IF(Calculations[[#This Row],[Πηγή εκπομπών]]="Electricity consumed in office buildings and projects - market based",Calculations[[#This Row],[t CO2]],"")</f>
        <v/>
      </c>
      <c r="X51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2.8125532629600003</v>
      </c>
    </row>
    <row r="520" spans="1:24" ht="29.4" hidden="1" thickTop="1">
      <c r="A520" s="15" t="s">
        <v>350</v>
      </c>
      <c r="B520" s="15" t="s">
        <v>351</v>
      </c>
      <c r="C520" s="16" t="s">
        <v>624</v>
      </c>
      <c r="D520" s="16" t="s">
        <v>897</v>
      </c>
      <c r="E520" s="16"/>
      <c r="F520" s="16" t="s">
        <v>320</v>
      </c>
      <c r="G520" s="16" t="s">
        <v>585</v>
      </c>
      <c r="H520" s="15" t="s">
        <v>347</v>
      </c>
      <c r="I520" s="89" t="s">
        <v>347</v>
      </c>
      <c r="J520" s="79">
        <v>6406</v>
      </c>
      <c r="K520" s="18" t="s">
        <v>1157</v>
      </c>
      <c r="L520" s="94" t="s">
        <v>377</v>
      </c>
      <c r="M520" s="148" t="s">
        <v>488</v>
      </c>
      <c r="N520" s="81" t="str">
        <f>_xlfn.XLOOKUP(Calculations[[#This Row],[For XLOOKUP]],Factors[For XLOOKUP],Factors[Factor],"")</f>
        <v>Σ.Ε. CO₂ eq</v>
      </c>
      <c r="O520" s="81">
        <f>_xlfn.XLOOKUP(Calculations[[#This Row],[For XLOOKUP]],Factors[For XLOOKUP],Factors[Value],"")</f>
        <v>2.2370000000000002E-4</v>
      </c>
      <c r="P520" s="81" t="str">
        <f>_xlfn.XLOOKUP(Calculations[[#This Row],[For XLOOKUP]],Factors[For XLOOKUP],Factors[Units],"")</f>
        <v>tn CO2 eq/ €</v>
      </c>
      <c r="Q520" s="19" t="str">
        <f>_xlfn.XLOOKUP(Calculations[[#This Row],[For XLOOKUP]],Factors[For XLOOKUP],Factors[Source],"")</f>
        <v>EXIOBASE 2019 - GR</v>
      </c>
      <c r="R52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0" s="81" t="str">
        <f>IF(LEFT(Calculations[[#This Row],[Emission Factor]],7)="Σ.Ε. CH",Calculations[[#This Row],[Value]]*Calculations[[#This Row],[Τιμή]],"-")</f>
        <v>-</v>
      </c>
      <c r="T52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0" s="81" t="str">
        <f>IF(LEFT(Calculations[[#This Row],[Emission Factor]],3)="GWP",Calculations[[#This Row],[Τιμή]],"-")</f>
        <v>-</v>
      </c>
      <c r="V520" s="81">
        <f>IF(OR(Calculations[[#This Row],[Emission Factor]]="Σ.Ε. CO₂ eq",Calculations[[#This Row],[Emission Factor]]="CO₂ eq"),Calculations[[#This Row],[Value]]*Calculations[[#This Row],[Τιμή]],"-")</f>
        <v>1.4330222000000001</v>
      </c>
      <c r="W520" s="81" t="str">
        <f>IF(Calculations[[#This Row],[Πηγή εκπομπών]]="Electricity consumed in office buildings and projects - market based",Calculations[[#This Row],[t CO2]],"")</f>
        <v/>
      </c>
      <c r="X52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1.4330222000000001</v>
      </c>
    </row>
    <row r="521" spans="1:24" ht="29.4" hidden="1" thickTop="1">
      <c r="A521" s="15" t="s">
        <v>350</v>
      </c>
      <c r="B521" s="15" t="s">
        <v>351</v>
      </c>
      <c r="C521" s="16" t="s">
        <v>624</v>
      </c>
      <c r="D521" s="16" t="s">
        <v>897</v>
      </c>
      <c r="E521" s="16"/>
      <c r="F521" s="16" t="s">
        <v>320</v>
      </c>
      <c r="G521" s="16" t="s">
        <v>585</v>
      </c>
      <c r="H521" s="15" t="s">
        <v>347</v>
      </c>
      <c r="I521" s="89" t="s">
        <v>347</v>
      </c>
      <c r="J521" s="79">
        <v>2949.4799999999996</v>
      </c>
      <c r="K521" s="18" t="s">
        <v>1157</v>
      </c>
      <c r="L521" s="94" t="s">
        <v>359</v>
      </c>
      <c r="M521" s="148" t="s">
        <v>470</v>
      </c>
      <c r="N521" s="81" t="str">
        <f>_xlfn.XLOOKUP(Calculations[[#This Row],[For XLOOKUP]],Factors[For XLOOKUP],Factors[Factor],"")</f>
        <v>Σ.Ε. CO₂ eq</v>
      </c>
      <c r="O521" s="81">
        <f>_xlfn.XLOOKUP(Calculations[[#This Row],[For XLOOKUP]],Factors[For XLOOKUP],Factors[Value],"")</f>
        <v>1.16883E-4</v>
      </c>
      <c r="P521" s="81" t="str">
        <f>_xlfn.XLOOKUP(Calculations[[#This Row],[For XLOOKUP]],Factors[For XLOOKUP],Factors[Units],"")</f>
        <v>tn CO2 eq/ €</v>
      </c>
      <c r="Q521" s="19" t="str">
        <f>_xlfn.XLOOKUP(Calculations[[#This Row],[For XLOOKUP]],Factors[For XLOOKUP],Factors[Source],"")</f>
        <v>EPA 2022</v>
      </c>
      <c r="R52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1" s="81" t="str">
        <f>IF(LEFT(Calculations[[#This Row],[Emission Factor]],7)="Σ.Ε. CH",Calculations[[#This Row],[Value]]*Calculations[[#This Row],[Τιμή]],"-")</f>
        <v>-</v>
      </c>
      <c r="T52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1" s="81" t="str">
        <f>IF(LEFT(Calculations[[#This Row],[Emission Factor]],3)="GWP",Calculations[[#This Row],[Τιμή]],"-")</f>
        <v>-</v>
      </c>
      <c r="V521" s="81">
        <f>IF(OR(Calculations[[#This Row],[Emission Factor]]="Σ.Ε. CO₂ eq",Calculations[[#This Row],[Emission Factor]]="CO₂ eq"),Calculations[[#This Row],[Value]]*Calculations[[#This Row],[Τιμή]],"-")</f>
        <v>0.34474407083999997</v>
      </c>
      <c r="W521" s="81" t="str">
        <f>IF(Calculations[[#This Row],[Πηγή εκπομπών]]="Electricity consumed in office buildings and projects - market based",Calculations[[#This Row],[t CO2]],"")</f>
        <v/>
      </c>
      <c r="X52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0.34474407083999997</v>
      </c>
    </row>
    <row r="522" spans="1:24" ht="29.4" hidden="1" thickTop="1">
      <c r="A522" s="15" t="s">
        <v>350</v>
      </c>
      <c r="B522" s="15" t="s">
        <v>351</v>
      </c>
      <c r="C522" s="16" t="s">
        <v>624</v>
      </c>
      <c r="D522" s="16" t="s">
        <v>897</v>
      </c>
      <c r="E522" s="16"/>
      <c r="F522" s="16" t="s">
        <v>320</v>
      </c>
      <c r="G522" s="16" t="s">
        <v>585</v>
      </c>
      <c r="H522" s="15" t="s">
        <v>347</v>
      </c>
      <c r="I522" s="89" t="s">
        <v>347</v>
      </c>
      <c r="J522" s="79">
        <v>1426.41</v>
      </c>
      <c r="K522" s="18" t="s">
        <v>1157</v>
      </c>
      <c r="L522" s="94" t="s">
        <v>355</v>
      </c>
      <c r="M522" s="148" t="s">
        <v>466</v>
      </c>
      <c r="N522" s="81" t="str">
        <f>_xlfn.XLOOKUP(Calculations[[#This Row],[For XLOOKUP]],Factors[For XLOOKUP],Factors[Factor],"")</f>
        <v>Σ.Ε. CO₂ eq</v>
      </c>
      <c r="O522" s="81">
        <f>_xlfn.XLOOKUP(Calculations[[#This Row],[For XLOOKUP]],Factors[For XLOOKUP],Factors[Value],"")</f>
        <v>2.2534199999999998E-4</v>
      </c>
      <c r="P522" s="81" t="str">
        <f>_xlfn.XLOOKUP(Calculations[[#This Row],[For XLOOKUP]],Factors[For XLOOKUP],Factors[Units],"")</f>
        <v>tn CO2 eq/ €</v>
      </c>
      <c r="Q522" s="19" t="str">
        <f>_xlfn.XLOOKUP(Calculations[[#This Row],[For XLOOKUP]],Factors[For XLOOKUP],Factors[Source],"")</f>
        <v>EPA 2022</v>
      </c>
      <c r="R52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2" s="81" t="str">
        <f>IF(LEFT(Calculations[[#This Row],[Emission Factor]],7)="Σ.Ε. CH",Calculations[[#This Row],[Value]]*Calculations[[#This Row],[Τιμή]],"-")</f>
        <v>-</v>
      </c>
      <c r="T52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2" s="81" t="str">
        <f>IF(LEFT(Calculations[[#This Row],[Emission Factor]],3)="GWP",Calculations[[#This Row],[Τιμή]],"-")</f>
        <v>-</v>
      </c>
      <c r="V522" s="81">
        <f>IF(OR(Calculations[[#This Row],[Emission Factor]]="Σ.Ε. CO₂ eq",Calculations[[#This Row],[Emission Factor]]="CO₂ eq"),Calculations[[#This Row],[Value]]*Calculations[[#This Row],[Τιμή]],"-")</f>
        <v>0.32143008222000002</v>
      </c>
      <c r="W522" s="81" t="str">
        <f>IF(Calculations[[#This Row],[Πηγή εκπομπών]]="Electricity consumed in office buildings and projects - market based",Calculations[[#This Row],[t CO2]],"")</f>
        <v/>
      </c>
      <c r="X52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0.32143008222000002</v>
      </c>
    </row>
    <row r="523" spans="1:24" ht="29.4" hidden="1" thickTop="1">
      <c r="A523" s="15" t="s">
        <v>350</v>
      </c>
      <c r="B523" s="15" t="s">
        <v>351</v>
      </c>
      <c r="C523" s="16" t="s">
        <v>624</v>
      </c>
      <c r="D523" s="16" t="s">
        <v>897</v>
      </c>
      <c r="E523" s="16"/>
      <c r="F523" s="16" t="s">
        <v>320</v>
      </c>
      <c r="G523" s="16" t="s">
        <v>585</v>
      </c>
      <c r="H523" s="15" t="s">
        <v>347</v>
      </c>
      <c r="I523" s="89" t="s">
        <v>347</v>
      </c>
      <c r="J523" s="79">
        <v>687.26</v>
      </c>
      <c r="K523" s="18" t="s">
        <v>1157</v>
      </c>
      <c r="L523" s="94" t="s">
        <v>457</v>
      </c>
      <c r="M523" s="148" t="s">
        <v>568</v>
      </c>
      <c r="N523" s="81" t="str">
        <f>_xlfn.XLOOKUP(Calculations[[#This Row],[For XLOOKUP]],Factors[For XLOOKUP],Factors[Factor],"")</f>
        <v>Σ.Ε. CO₂ eq</v>
      </c>
      <c r="O523" s="81">
        <f>_xlfn.XLOOKUP(Calculations[[#This Row],[For XLOOKUP]],Factors[For XLOOKUP],Factors[Value],"")</f>
        <v>2.832E-4</v>
      </c>
      <c r="P523" s="81" t="str">
        <f>_xlfn.XLOOKUP(Calculations[[#This Row],[For XLOOKUP]],Factors[For XLOOKUP],Factors[Units],"")</f>
        <v>tn CO2 eq/ €</v>
      </c>
      <c r="Q523" s="19" t="str">
        <f>_xlfn.XLOOKUP(Calculations[[#This Row],[For XLOOKUP]],Factors[For XLOOKUP],Factors[Source],"")</f>
        <v>EXIOBASE 2019 - GR</v>
      </c>
      <c r="R52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3" s="81" t="str">
        <f>IF(LEFT(Calculations[[#This Row],[Emission Factor]],7)="Σ.Ε. CH",Calculations[[#This Row],[Value]]*Calculations[[#This Row],[Τιμή]],"-")</f>
        <v>-</v>
      </c>
      <c r="T52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3" s="81" t="str">
        <f>IF(LEFT(Calculations[[#This Row],[Emission Factor]],3)="GWP",Calculations[[#This Row],[Τιμή]],"-")</f>
        <v>-</v>
      </c>
      <c r="V523" s="81">
        <f>IF(OR(Calculations[[#This Row],[Emission Factor]]="Σ.Ε. CO₂ eq",Calculations[[#This Row],[Emission Factor]]="CO₂ eq"),Calculations[[#This Row],[Value]]*Calculations[[#This Row],[Τιμή]],"-")</f>
        <v>0.19463203200000001</v>
      </c>
      <c r="W523" s="81" t="str">
        <f>IF(Calculations[[#This Row],[Πηγή εκπομπών]]="Electricity consumed in office buildings and projects - market based",Calculations[[#This Row],[t CO2]],"")</f>
        <v/>
      </c>
      <c r="X52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0.19463203200000001</v>
      </c>
    </row>
    <row r="524" spans="1:24" ht="15" hidden="1" thickTop="1">
      <c r="A524" s="15" t="s">
        <v>350</v>
      </c>
      <c r="B524" s="15" t="s">
        <v>778</v>
      </c>
      <c r="C524" s="16" t="s">
        <v>624</v>
      </c>
      <c r="D524" s="16" t="s">
        <v>895</v>
      </c>
      <c r="E524" s="16" t="s">
        <v>1137</v>
      </c>
      <c r="F524" s="16" t="s">
        <v>319</v>
      </c>
      <c r="G524" s="16" t="s">
        <v>779</v>
      </c>
      <c r="H524" s="15" t="s">
        <v>779</v>
      </c>
      <c r="I524" s="17" t="s">
        <v>346</v>
      </c>
      <c r="J524" s="238">
        <v>1366983.1</v>
      </c>
      <c r="K524" s="18" t="s">
        <v>51</v>
      </c>
      <c r="L524" s="94"/>
      <c r="M524" s="148" t="s">
        <v>123</v>
      </c>
      <c r="N524" s="81" t="str">
        <f>_xlfn.XLOOKUP(Calculations[[#This Row],[For XLOOKUP]],Factors[For XLOOKUP],Factors[Factor],"")</f>
        <v>Σ.Ε. CO2 - Χώρας</v>
      </c>
      <c r="O524" s="81">
        <f>_xlfn.XLOOKUP(Calculations[[#This Row],[For XLOOKUP]],Factors[For XLOOKUP],Factors[Value],"")</f>
        <v>2.5244139999999998E-4</v>
      </c>
      <c r="P524" s="81" t="str">
        <f>_xlfn.XLOOKUP(Calculations[[#This Row],[For XLOOKUP]],Factors[For XLOOKUP],Factors[Units],"")</f>
        <v>tn CO2/kwh</v>
      </c>
      <c r="Q524" s="19" t="str">
        <f>_xlfn.XLOOKUP(Calculations[[#This Row],[For XLOOKUP]],Factors[For XLOOKUP],Factors[Source],"")</f>
        <v>ΔΑΠΕΕΠ 2024</v>
      </c>
      <c r="R524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345.08312754034</v>
      </c>
      <c r="S524" s="81" t="str">
        <f>IF(LEFT(Calculations[[#This Row],[Emission Factor]],7)="Σ.Ε. CH",Calculations[[#This Row],[Value]]*Calculations[[#This Row],[Τιμή]],"-")</f>
        <v>-</v>
      </c>
      <c r="T52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4" s="81" t="str">
        <f>IF(LEFT(Calculations[[#This Row],[Emission Factor]],3)="GWP",Calculations[[#This Row],[Τιμή]],"-")</f>
        <v>-</v>
      </c>
      <c r="V524" s="81" t="str">
        <f>IF(OR(Calculations[[#This Row],[Emission Factor]]="Σ.Ε. CO₂ eq",Calculations[[#This Row],[Emission Factor]]="CO₂ eq"),Calculations[[#This Row],[Value]]*Calculations[[#This Row],[Τιμή]],"-")</f>
        <v>-</v>
      </c>
      <c r="W524" s="81" t="str">
        <f>IF(Calculations[[#This Row],[Πηγή εκπομπών]]="Electricity consumed in office buildings and projects - market based",Calculations[[#This Row],[t CO2]],"")</f>
        <v/>
      </c>
      <c r="X52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345.08312754034</v>
      </c>
    </row>
    <row r="525" spans="1:24" ht="15" hidden="1" thickTop="1">
      <c r="A525" s="15" t="s">
        <v>350</v>
      </c>
      <c r="B525" s="15" t="s">
        <v>778</v>
      </c>
      <c r="C525" s="16" t="s">
        <v>624</v>
      </c>
      <c r="D525" s="16" t="s">
        <v>895</v>
      </c>
      <c r="E525" s="16" t="s">
        <v>1137</v>
      </c>
      <c r="F525" s="16" t="s">
        <v>319</v>
      </c>
      <c r="G525" s="16" t="s">
        <v>779</v>
      </c>
      <c r="H525" s="15" t="s">
        <v>779</v>
      </c>
      <c r="I525" s="17" t="s">
        <v>346</v>
      </c>
      <c r="J525" s="79" cm="1">
        <f t="array" ref="J525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1366983.1</v>
      </c>
      <c r="K525" s="18" t="s">
        <v>51</v>
      </c>
      <c r="L525" s="94"/>
      <c r="M525" s="148" t="s">
        <v>122</v>
      </c>
      <c r="N525" s="19" t="str">
        <f>_xlfn.XLOOKUP(Calculations[[#This Row],[For XLOOKUP]],Factors[For XLOOKUP],Factors[Factor],"")</f>
        <v>Σ.Ε. CH4 - Χώρας</v>
      </c>
      <c r="O525" s="19">
        <f>_xlfn.XLOOKUP(Calculations[[#This Row],[For XLOOKUP]],Factors[For XLOOKUP],Factors[Value],"")</f>
        <v>6.3220000000000003E-9</v>
      </c>
      <c r="P525" s="19" t="str">
        <f>_xlfn.XLOOKUP(Calculations[[#This Row],[For XLOOKUP]],Factors[For XLOOKUP],Factors[Units],"")</f>
        <v>tn CH4/kWh</v>
      </c>
      <c r="Q525" s="19" t="str">
        <f>_xlfn.XLOOKUP(Calculations[[#This Row],[For XLOOKUP]],Factors[For XLOOKUP],Factors[Source],"")</f>
        <v>Έκθεση ΔΑΠΕΕΠ 2022 και NIR 2022</v>
      </c>
      <c r="R52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5" s="19">
        <f>IF(LEFT(Calculations[[#This Row],[Emission Factor]],7)="Σ.Ε. CH",Calculations[[#This Row],[Value]]*Calculations[[#This Row],[Τιμή]],"-")</f>
        <v>8.6420671582000015E-3</v>
      </c>
      <c r="T52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5" s="19" t="str">
        <f>IF(LEFT(Calculations[[#This Row],[Emission Factor]],3)="GWP",Calculations[[#This Row],[Τιμή]],"-")</f>
        <v>-</v>
      </c>
      <c r="V525" s="19" t="str">
        <f>IF(OR(Calculations[[#This Row],[Emission Factor]]="Σ.Ε. CO₂ eq",Calculations[[#This Row],[Emission Factor]]="CO₂ eq"),Calculations[[#This Row],[Value]]*Calculations[[#This Row],[Τιμή]],"-")</f>
        <v>-</v>
      </c>
      <c r="W525" s="19" t="str">
        <f>IF(Calculations[[#This Row],[Πηγή εκπομπών]]="Electricity consumed in office buildings and projects - market based",Calculations[[#This Row],[t CO2]],"")</f>
        <v/>
      </c>
      <c r="X52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0.24197788042960006</v>
      </c>
    </row>
    <row r="526" spans="1:24" ht="15" hidden="1" thickTop="1">
      <c r="A526" s="15" t="s">
        <v>350</v>
      </c>
      <c r="B526" s="15" t="s">
        <v>778</v>
      </c>
      <c r="C526" s="16" t="s">
        <v>624</v>
      </c>
      <c r="D526" s="16" t="s">
        <v>895</v>
      </c>
      <c r="E526" s="16" t="s">
        <v>1137</v>
      </c>
      <c r="F526" s="16" t="s">
        <v>319</v>
      </c>
      <c r="G526" s="16" t="s">
        <v>779</v>
      </c>
      <c r="H526" s="15" t="s">
        <v>779</v>
      </c>
      <c r="I526" s="17" t="s">
        <v>346</v>
      </c>
      <c r="J526" s="79" cm="1">
        <f t="array" ref="J526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1366983.1</v>
      </c>
      <c r="K526" s="18" t="s">
        <v>51</v>
      </c>
      <c r="L526" s="16"/>
      <c r="M526" s="148" t="s">
        <v>126</v>
      </c>
      <c r="N526" s="19" t="str">
        <f>_xlfn.XLOOKUP(Calculations[[#This Row],[For XLOOKUP]],Factors[For XLOOKUP],Factors[Factor],"")</f>
        <v>Σ.Ε. N2O - Χώρας</v>
      </c>
      <c r="O526" s="19">
        <f>_xlfn.XLOOKUP(Calculations[[#This Row],[For XLOOKUP]],Factors[For XLOOKUP],Factors[Value],"")</f>
        <v>2.6031000000000002E-9</v>
      </c>
      <c r="P526" s="19" t="str">
        <f>_xlfn.XLOOKUP(Calculations[[#This Row],[For XLOOKUP]],Factors[For XLOOKUP],Factors[Units],"")</f>
        <v>tn N2O/kWh</v>
      </c>
      <c r="Q526" s="19" t="str">
        <f>_xlfn.XLOOKUP(Calculations[[#This Row],[For XLOOKUP]],Factors[For XLOOKUP],Factors[Source],"")</f>
        <v>Έκθεση ΔΑΠΕΕΠ 2022 και NIR 2022</v>
      </c>
      <c r="R52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6" s="19" t="str">
        <f>IF(LEFT(Calculations[[#This Row],[Emission Factor]],7)="Σ.Ε. CH",Calculations[[#This Row],[Value]]*Calculations[[#This Row],[Τιμή]],"-")</f>
        <v>-</v>
      </c>
      <c r="T526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3.5583937076100005E-3</v>
      </c>
      <c r="U526" s="19" t="str">
        <f>IF(LEFT(Calculations[[#This Row],[Emission Factor]],3)="GWP",Calculations[[#This Row],[Τιμή]],"-")</f>
        <v>-</v>
      </c>
      <c r="V526" s="19" t="str">
        <f>IF(OR(Calculations[[#This Row],[Emission Factor]]="Σ.Ε. CO₂ eq",Calculations[[#This Row],[Emission Factor]]="CO₂ eq"),Calculations[[#This Row],[Value]]*Calculations[[#This Row],[Τιμή]],"-")</f>
        <v>-</v>
      </c>
      <c r="W526" s="19" t="str">
        <f>IF(Calculations[[#This Row],[Πηγή εκπομπών]]="Electricity consumed in office buildings and projects - market based",Calculations[[#This Row],[t CO2]],"")</f>
        <v/>
      </c>
      <c r="X52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0.94297433251665008</v>
      </c>
    </row>
    <row r="527" spans="1:24" ht="15" hidden="1" thickTop="1">
      <c r="A527" s="15" t="s">
        <v>350</v>
      </c>
      <c r="B527" s="15" t="s">
        <v>778</v>
      </c>
      <c r="C527" s="16" t="s">
        <v>624</v>
      </c>
      <c r="D527" s="16" t="s">
        <v>895</v>
      </c>
      <c r="E527" s="16" t="s">
        <v>1141</v>
      </c>
      <c r="F527" s="16" t="s">
        <v>312</v>
      </c>
      <c r="G527" s="16" t="s">
        <v>779</v>
      </c>
      <c r="H527" s="15" t="s">
        <v>779</v>
      </c>
      <c r="I527" s="17" t="s">
        <v>346</v>
      </c>
      <c r="J527" s="238">
        <v>3161068.98</v>
      </c>
      <c r="K527" s="18" t="s">
        <v>51</v>
      </c>
      <c r="L527" s="16"/>
      <c r="M527" s="148" t="s">
        <v>123</v>
      </c>
      <c r="N527" s="19" t="str">
        <f>_xlfn.XLOOKUP(Calculations[[#This Row],[For XLOOKUP]],Factors[For XLOOKUP],Factors[Factor],"")</f>
        <v>Σ.Ε. CO2 - Χώρας</v>
      </c>
      <c r="O527" s="19">
        <f>_xlfn.XLOOKUP(Calculations[[#This Row],[For XLOOKUP]],Factors[For XLOOKUP],Factors[Value],"")</f>
        <v>2.5244139999999998E-4</v>
      </c>
      <c r="P527" s="19" t="str">
        <f>_xlfn.XLOOKUP(Calculations[[#This Row],[For XLOOKUP]],Factors[For XLOOKUP],Factors[Units],"")</f>
        <v>tn CO2/kwh</v>
      </c>
      <c r="Q527" s="19" t="str">
        <f>_xlfn.XLOOKUP(Calculations[[#This Row],[For XLOOKUP]],Factors[For XLOOKUP],Factors[Source],"")</f>
        <v>ΔΑΠΕΕΠ 2024</v>
      </c>
      <c r="R52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797.98467880777196</v>
      </c>
      <c r="S527" s="19" t="str">
        <f>IF(LEFT(Calculations[[#This Row],[Emission Factor]],7)="Σ.Ε. CH",Calculations[[#This Row],[Value]]*Calculations[[#This Row],[Τιμή]],"-")</f>
        <v>-</v>
      </c>
      <c r="T52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7" s="19" t="str">
        <f>IF(LEFT(Calculations[[#This Row],[Emission Factor]],3)="GWP",Calculations[[#This Row],[Τιμή]],"-")</f>
        <v>-</v>
      </c>
      <c r="V527" s="19" t="str">
        <f>IF(OR(Calculations[[#This Row],[Emission Factor]]="Σ.Ε. CO₂ eq",Calculations[[#This Row],[Emission Factor]]="CO₂ eq"),Calculations[[#This Row],[Value]]*Calculations[[#This Row],[Τιμή]],"-")</f>
        <v>-</v>
      </c>
      <c r="W527" s="19" t="str">
        <f>IF(Calculations[[#This Row],[Πηγή εκπομπών]]="Electricity consumed in office buildings and projects - market based",Calculations[[#This Row],[t CO2]],"")</f>
        <v/>
      </c>
      <c r="X52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797.98467880777196</v>
      </c>
    </row>
    <row r="528" spans="1:24" ht="15" hidden="1" thickTop="1">
      <c r="A528" s="15" t="s">
        <v>350</v>
      </c>
      <c r="B528" s="15" t="s">
        <v>778</v>
      </c>
      <c r="C528" s="16" t="s">
        <v>624</v>
      </c>
      <c r="D528" s="77" t="s">
        <v>895</v>
      </c>
      <c r="E528" s="16" t="s">
        <v>1141</v>
      </c>
      <c r="F528" s="16" t="s">
        <v>312</v>
      </c>
      <c r="G528" s="16" t="s">
        <v>779</v>
      </c>
      <c r="H528" s="15" t="s">
        <v>779</v>
      </c>
      <c r="I528" s="17" t="s">
        <v>346</v>
      </c>
      <c r="J528" s="79">
        <v>3161068.98</v>
      </c>
      <c r="K528" s="18" t="s">
        <v>51</v>
      </c>
      <c r="L528" s="16"/>
      <c r="M528" s="148" t="s">
        <v>122</v>
      </c>
      <c r="N528" s="81" t="str">
        <f>_xlfn.XLOOKUP(Calculations[[#This Row],[For XLOOKUP]],Factors[For XLOOKUP],Factors[Factor],"")</f>
        <v>Σ.Ε. CH4 - Χώρας</v>
      </c>
      <c r="O528" s="81">
        <f>_xlfn.XLOOKUP(Calculations[[#This Row],[For XLOOKUP]],Factors[For XLOOKUP],Factors[Value],"")</f>
        <v>6.3220000000000003E-9</v>
      </c>
      <c r="P528" s="81" t="str">
        <f>_xlfn.XLOOKUP(Calculations[[#This Row],[For XLOOKUP]],Factors[For XLOOKUP],Factors[Units],"")</f>
        <v>tn CH4/kWh</v>
      </c>
      <c r="Q528" s="19" t="str">
        <f>_xlfn.XLOOKUP(Calculations[[#This Row],[For XLOOKUP]],Factors[For XLOOKUP],Factors[Source],"")</f>
        <v>Έκθεση ΔΑΠΕΕΠ 2022 και NIR 2022</v>
      </c>
      <c r="R52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8" s="81">
        <f>IF(LEFT(Calculations[[#This Row],[Emission Factor]],7)="Σ.Ε. CH",Calculations[[#This Row],[Value]]*Calculations[[#This Row],[Τιμή]],"-")</f>
        <v>1.998427809156E-2</v>
      </c>
      <c r="T52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8" s="81" t="str">
        <f>IF(LEFT(Calculations[[#This Row],[Emission Factor]],3)="GWP",Calculations[[#This Row],[Τιμή]],"-")</f>
        <v>-</v>
      </c>
      <c r="V528" s="81" t="str">
        <f>IF(OR(Calculations[[#This Row],[Emission Factor]]="Σ.Ε. CO₂ eq",Calculations[[#This Row],[Emission Factor]]="CO₂ eq"),Calculations[[#This Row],[Value]]*Calculations[[#This Row],[Τιμή]],"-")</f>
        <v>-</v>
      </c>
      <c r="W528" s="81" t="str">
        <f>IF(Calculations[[#This Row],[Πηγή εκπομπών]]="Electricity consumed in office buildings and projects - market based",Calculations[[#This Row],[t CO2]],"")</f>
        <v/>
      </c>
      <c r="X52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0.55955978656368</v>
      </c>
    </row>
    <row r="529" spans="1:24" ht="15" hidden="1" thickTop="1">
      <c r="A529" s="15" t="s">
        <v>350</v>
      </c>
      <c r="B529" s="15" t="s">
        <v>778</v>
      </c>
      <c r="C529" s="16" t="s">
        <v>624</v>
      </c>
      <c r="D529" s="77" t="s">
        <v>895</v>
      </c>
      <c r="E529" s="77" t="s">
        <v>1141</v>
      </c>
      <c r="F529" s="16" t="s">
        <v>312</v>
      </c>
      <c r="G529" s="16" t="s">
        <v>779</v>
      </c>
      <c r="H529" s="15" t="s">
        <v>779</v>
      </c>
      <c r="I529" s="17" t="s">
        <v>346</v>
      </c>
      <c r="J529" s="79">
        <v>3161068.98</v>
      </c>
      <c r="K529" s="18" t="s">
        <v>51</v>
      </c>
      <c r="L529" s="16"/>
      <c r="M529" s="148" t="s">
        <v>126</v>
      </c>
      <c r="N529" s="81" t="str">
        <f>_xlfn.XLOOKUP(Calculations[[#This Row],[For XLOOKUP]],Factors[For XLOOKUP],Factors[Factor],"")</f>
        <v>Σ.Ε. N2O - Χώρας</v>
      </c>
      <c r="O529" s="81">
        <f>_xlfn.XLOOKUP(Calculations[[#This Row],[For XLOOKUP]],Factors[For XLOOKUP],Factors[Value],"")</f>
        <v>2.6031000000000002E-9</v>
      </c>
      <c r="P529" s="81" t="str">
        <f>_xlfn.XLOOKUP(Calculations[[#This Row],[For XLOOKUP]],Factors[For XLOOKUP],Factors[Units],"")</f>
        <v>tn N2O/kWh</v>
      </c>
      <c r="Q529" s="19" t="str">
        <f>_xlfn.XLOOKUP(Calculations[[#This Row],[For XLOOKUP]],Factors[For XLOOKUP],Factors[Source],"")</f>
        <v>Έκθεση ΔΑΠΕΕΠ 2022 και NIR 2022</v>
      </c>
      <c r="R52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9" s="81" t="str">
        <f>IF(LEFT(Calculations[[#This Row],[Emission Factor]],7)="Σ.Ε. CH",Calculations[[#This Row],[Value]]*Calculations[[#This Row],[Τιμή]],"-")</f>
        <v>-</v>
      </c>
      <c r="T529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8.2285786618380014E-3</v>
      </c>
      <c r="U529" s="81" t="str">
        <f>IF(LEFT(Calculations[[#This Row],[Emission Factor]],3)="GWP",Calculations[[#This Row],[Τιμή]],"-")</f>
        <v>-</v>
      </c>
      <c r="V529" s="81" t="str">
        <f>IF(OR(Calculations[[#This Row],[Emission Factor]]="Σ.Ε. CO₂ eq",Calculations[[#This Row],[Emission Factor]]="CO₂ eq"),Calculations[[#This Row],[Value]]*Calculations[[#This Row],[Τιμή]],"-")</f>
        <v>-</v>
      </c>
      <c r="W529" s="81" t="str">
        <f>IF(Calculations[[#This Row],[Πηγή εκπομπών]]="Electricity consumed in office buildings and projects - market based",Calculations[[#This Row],[t CO2]],"")</f>
        <v/>
      </c>
      <c r="X52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2.1805733453870704</v>
      </c>
    </row>
    <row r="530" spans="1:24" ht="15" hidden="1" thickTop="1">
      <c r="A530" s="15" t="s">
        <v>350</v>
      </c>
      <c r="B530" s="15" t="s">
        <v>778</v>
      </c>
      <c r="C530" s="16" t="s">
        <v>624</v>
      </c>
      <c r="D530" s="77" t="s">
        <v>897</v>
      </c>
      <c r="E530" s="77" t="s">
        <v>1151</v>
      </c>
      <c r="F530" s="16" t="s">
        <v>320</v>
      </c>
      <c r="G530" s="16" t="s">
        <v>779</v>
      </c>
      <c r="H530" s="15" t="s">
        <v>779</v>
      </c>
      <c r="I530" s="17" t="s">
        <v>346</v>
      </c>
      <c r="J530" s="238">
        <v>487671</v>
      </c>
      <c r="K530" s="18" t="s">
        <v>51</v>
      </c>
      <c r="L530" s="16"/>
      <c r="M530" s="148" t="s">
        <v>123</v>
      </c>
      <c r="N530" s="81" t="str">
        <f>_xlfn.XLOOKUP(Calculations[[#This Row],[For XLOOKUP]],Factors[For XLOOKUP],Factors[Factor],"")</f>
        <v>Σ.Ε. CO2 - Χώρας</v>
      </c>
      <c r="O530" s="81">
        <f>_xlfn.XLOOKUP(Calculations[[#This Row],[For XLOOKUP]],Factors[For XLOOKUP],Factors[Value],"")</f>
        <v>2.5244139999999998E-4</v>
      </c>
      <c r="P530" s="81" t="str">
        <f>_xlfn.XLOOKUP(Calculations[[#This Row],[For XLOOKUP]],Factors[For XLOOKUP],Factors[Units],"")</f>
        <v>tn CO2/kwh</v>
      </c>
      <c r="Q530" s="19" t="str">
        <f>_xlfn.XLOOKUP(Calculations[[#This Row],[For XLOOKUP]],Factors[For XLOOKUP],Factors[Source],"")</f>
        <v>ΔΑΠΕΕΠ 2024</v>
      </c>
      <c r="R530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123.10834997939999</v>
      </c>
      <c r="S530" s="81" t="str">
        <f>IF(LEFT(Calculations[[#This Row],[Emission Factor]],7)="Σ.Ε. CH",Calculations[[#This Row],[Value]]*Calculations[[#This Row],[Τιμή]],"-")</f>
        <v>-</v>
      </c>
      <c r="T53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0" s="81" t="str">
        <f>IF(LEFT(Calculations[[#This Row],[Emission Factor]],3)="GWP",Calculations[[#This Row],[Τιμή]],"-")</f>
        <v>-</v>
      </c>
      <c r="V530" s="81" t="str">
        <f>IF(OR(Calculations[[#This Row],[Emission Factor]]="Σ.Ε. CO₂ eq",Calculations[[#This Row],[Emission Factor]]="CO₂ eq"),Calculations[[#This Row],[Value]]*Calculations[[#This Row],[Τιμή]],"-")</f>
        <v>-</v>
      </c>
      <c r="W530" s="81" t="str">
        <f>IF(Calculations[[#This Row],[Πηγή εκπομπών]]="Electricity consumed in office buildings and projects - market based",Calculations[[#This Row],[t CO2]],"")</f>
        <v/>
      </c>
      <c r="X53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123.10834997939999</v>
      </c>
    </row>
    <row r="531" spans="1:24" ht="15" hidden="1" thickTop="1">
      <c r="A531" s="15" t="s">
        <v>350</v>
      </c>
      <c r="B531" s="15" t="s">
        <v>778</v>
      </c>
      <c r="C531" s="16" t="s">
        <v>624</v>
      </c>
      <c r="D531" s="77" t="s">
        <v>897</v>
      </c>
      <c r="E531" s="77" t="s">
        <v>1151</v>
      </c>
      <c r="F531" s="16" t="s">
        <v>320</v>
      </c>
      <c r="G531" s="16" t="s">
        <v>779</v>
      </c>
      <c r="H531" s="15" t="s">
        <v>779</v>
      </c>
      <c r="I531" s="17" t="s">
        <v>346</v>
      </c>
      <c r="J531" s="79" cm="1">
        <f t="array" ref="J531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487671</v>
      </c>
      <c r="K531" s="18" t="s">
        <v>51</v>
      </c>
      <c r="L531" s="16"/>
      <c r="M531" s="148" t="s">
        <v>122</v>
      </c>
      <c r="N531" s="81" t="str">
        <f>_xlfn.XLOOKUP(Calculations[[#This Row],[For XLOOKUP]],Factors[For XLOOKUP],Factors[Factor],"")</f>
        <v>Σ.Ε. CH4 - Χώρας</v>
      </c>
      <c r="O531" s="81">
        <f>_xlfn.XLOOKUP(Calculations[[#This Row],[For XLOOKUP]],Factors[For XLOOKUP],Factors[Value],"")</f>
        <v>6.3220000000000003E-9</v>
      </c>
      <c r="P531" s="81" t="str">
        <f>_xlfn.XLOOKUP(Calculations[[#This Row],[For XLOOKUP]],Factors[For XLOOKUP],Factors[Units],"")</f>
        <v>tn CH4/kWh</v>
      </c>
      <c r="Q531" s="19" t="str">
        <f>_xlfn.XLOOKUP(Calculations[[#This Row],[For XLOOKUP]],Factors[For XLOOKUP],Factors[Source],"")</f>
        <v>Έκθεση ΔΑΠΕΕΠ 2022 και NIR 2022</v>
      </c>
      <c r="R53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1" s="81">
        <f>IF(LEFT(Calculations[[#This Row],[Emission Factor]],7)="Σ.Ε. CH",Calculations[[#This Row],[Value]]*Calculations[[#This Row],[Τιμή]],"-")</f>
        <v>3.083056062E-3</v>
      </c>
      <c r="T53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1" s="81" t="str">
        <f>IF(LEFT(Calculations[[#This Row],[Emission Factor]],3)="GWP",Calculations[[#This Row],[Τιμή]],"-")</f>
        <v>-</v>
      </c>
      <c r="V531" s="81" t="str">
        <f>IF(OR(Calculations[[#This Row],[Emission Factor]]="Σ.Ε. CO₂ eq",Calculations[[#This Row],[Emission Factor]]="CO₂ eq"),Calculations[[#This Row],[Value]]*Calculations[[#This Row],[Τιμή]],"-")</f>
        <v>-</v>
      </c>
      <c r="W531" s="81" t="str">
        <f>IF(Calculations[[#This Row],[Πηγή εκπομπών]]="Electricity consumed in office buildings and projects - market based",Calculations[[#This Row],[t CO2]],"")</f>
        <v/>
      </c>
      <c r="X53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8.6325569736000002E-2</v>
      </c>
    </row>
    <row r="532" spans="1:24" ht="15" hidden="1" thickTop="1">
      <c r="A532" s="15" t="s">
        <v>350</v>
      </c>
      <c r="B532" s="15" t="s">
        <v>778</v>
      </c>
      <c r="C532" s="16" t="s">
        <v>624</v>
      </c>
      <c r="D532" s="77" t="s">
        <v>897</v>
      </c>
      <c r="E532" s="77" t="s">
        <v>1151</v>
      </c>
      <c r="F532" s="16" t="s">
        <v>320</v>
      </c>
      <c r="G532" s="16" t="s">
        <v>779</v>
      </c>
      <c r="H532" s="15" t="s">
        <v>779</v>
      </c>
      <c r="I532" s="17" t="s">
        <v>346</v>
      </c>
      <c r="J532" s="79" cm="1">
        <f t="array" ref="J532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487671</v>
      </c>
      <c r="K532" s="18" t="s">
        <v>51</v>
      </c>
      <c r="L532" s="16"/>
      <c r="M532" s="148" t="s">
        <v>126</v>
      </c>
      <c r="N532" s="81" t="str">
        <f>_xlfn.XLOOKUP(Calculations[[#This Row],[For XLOOKUP]],Factors[For XLOOKUP],Factors[Factor],"")</f>
        <v>Σ.Ε. N2O - Χώρας</v>
      </c>
      <c r="O532" s="81">
        <f>_xlfn.XLOOKUP(Calculations[[#This Row],[For XLOOKUP]],Factors[For XLOOKUP],Factors[Value],"")</f>
        <v>2.6031000000000002E-9</v>
      </c>
      <c r="P532" s="81" t="str">
        <f>_xlfn.XLOOKUP(Calculations[[#This Row],[For XLOOKUP]],Factors[For XLOOKUP],Factors[Units],"")</f>
        <v>tn N2O/kWh</v>
      </c>
      <c r="Q532" s="19" t="str">
        <f>_xlfn.XLOOKUP(Calculations[[#This Row],[For XLOOKUP]],Factors[For XLOOKUP],Factors[Source],"")</f>
        <v>Έκθεση ΔΑΠΕΕΠ 2022 και NIR 2022</v>
      </c>
      <c r="R53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2" s="81" t="str">
        <f>IF(LEFT(Calculations[[#This Row],[Emission Factor]],7)="Σ.Ε. CH",Calculations[[#This Row],[Value]]*Calculations[[#This Row],[Τιμή]],"-")</f>
        <v>-</v>
      </c>
      <c r="T532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1.2694563801000001E-3</v>
      </c>
      <c r="U532" s="81" t="str">
        <f>IF(LEFT(Calculations[[#This Row],[Emission Factor]],3)="GWP",Calculations[[#This Row],[Τιμή]],"-")</f>
        <v>-</v>
      </c>
      <c r="V532" s="81" t="str">
        <f>IF(OR(Calculations[[#This Row],[Emission Factor]]="Σ.Ε. CO₂ eq",Calculations[[#This Row],[Emission Factor]]="CO₂ eq"),Calculations[[#This Row],[Value]]*Calculations[[#This Row],[Τιμή]],"-")</f>
        <v>-</v>
      </c>
      <c r="W532" s="81" t="str">
        <f>IF(Calculations[[#This Row],[Πηγή εκπομπών]]="Electricity consumed in office buildings and projects - market based",Calculations[[#This Row],[t CO2]],"")</f>
        <v/>
      </c>
      <c r="X53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0.33640594072650004</v>
      </c>
    </row>
    <row r="533" spans="1:24" ht="15" hidden="1" thickTop="1">
      <c r="A533" s="15" t="s">
        <v>350</v>
      </c>
      <c r="B533" s="15" t="s">
        <v>778</v>
      </c>
      <c r="C533" s="16" t="s">
        <v>624</v>
      </c>
      <c r="D533" s="77" t="s">
        <v>895</v>
      </c>
      <c r="E533" s="77" t="s">
        <v>1140</v>
      </c>
      <c r="F533" s="16" t="s">
        <v>322</v>
      </c>
      <c r="G533" s="16" t="s">
        <v>779</v>
      </c>
      <c r="H533" s="15" t="s">
        <v>779</v>
      </c>
      <c r="I533" s="17" t="s">
        <v>346</v>
      </c>
      <c r="J533" s="238">
        <v>5347482</v>
      </c>
      <c r="K533" s="18" t="s">
        <v>51</v>
      </c>
      <c r="L533" s="16"/>
      <c r="M533" s="148" t="s">
        <v>123</v>
      </c>
      <c r="N533" s="81" t="str">
        <f>_xlfn.XLOOKUP(Calculations[[#This Row],[For XLOOKUP]],Factors[For XLOOKUP],Factors[Factor],"")</f>
        <v>Σ.Ε. CO2 - Χώρας</v>
      </c>
      <c r="O533" s="81">
        <f>_xlfn.XLOOKUP(Calculations[[#This Row],[For XLOOKUP]],Factors[For XLOOKUP],Factors[Value],"")</f>
        <v>2.5244139999999998E-4</v>
      </c>
      <c r="P533" s="81" t="str">
        <f>_xlfn.XLOOKUP(Calculations[[#This Row],[For XLOOKUP]],Factors[For XLOOKUP],Factors[Units],"")</f>
        <v>tn CO2/kwh</v>
      </c>
      <c r="Q533" s="19" t="str">
        <f>_xlfn.XLOOKUP(Calculations[[#This Row],[For XLOOKUP]],Factors[For XLOOKUP],Factors[Source],"")</f>
        <v>ΔΑΠΕΕΠ 2024</v>
      </c>
      <c r="R533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1349.9258425547998</v>
      </c>
      <c r="S533" s="81" t="str">
        <f>IF(LEFT(Calculations[[#This Row],[Emission Factor]],7)="Σ.Ε. CH",Calculations[[#This Row],[Value]]*Calculations[[#This Row],[Τιμή]],"-")</f>
        <v>-</v>
      </c>
      <c r="T53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3" s="81" t="str">
        <f>IF(LEFT(Calculations[[#This Row],[Emission Factor]],3)="GWP",Calculations[[#This Row],[Τιμή]],"-")</f>
        <v>-</v>
      </c>
      <c r="V533" s="81" t="str">
        <f>IF(OR(Calculations[[#This Row],[Emission Factor]]="Σ.Ε. CO₂ eq",Calculations[[#This Row],[Emission Factor]]="CO₂ eq"),Calculations[[#This Row],[Value]]*Calculations[[#This Row],[Τιμή]],"-")</f>
        <v>-</v>
      </c>
      <c r="W533" s="81" t="str">
        <f>IF(Calculations[[#This Row],[Πηγή εκπομπών]]="Electricity consumed in office buildings and projects - market based",Calculations[[#This Row],[t CO2]],"")</f>
        <v/>
      </c>
      <c r="X53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1349.9258425547998</v>
      </c>
    </row>
    <row r="534" spans="1:24" ht="15" hidden="1" thickTop="1">
      <c r="A534" s="15" t="s">
        <v>350</v>
      </c>
      <c r="B534" s="15" t="s">
        <v>778</v>
      </c>
      <c r="C534" s="16" t="s">
        <v>624</v>
      </c>
      <c r="D534" s="77" t="s">
        <v>895</v>
      </c>
      <c r="E534" s="77" t="s">
        <v>1140</v>
      </c>
      <c r="F534" s="16" t="s">
        <v>322</v>
      </c>
      <c r="G534" s="16" t="s">
        <v>779</v>
      </c>
      <c r="H534" s="15" t="s">
        <v>779</v>
      </c>
      <c r="I534" s="17" t="s">
        <v>346</v>
      </c>
      <c r="J534" s="79" cm="1">
        <f t="array" ref="J534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5347482</v>
      </c>
      <c r="K534" s="18" t="s">
        <v>51</v>
      </c>
      <c r="L534" s="16"/>
      <c r="M534" s="148" t="s">
        <v>122</v>
      </c>
      <c r="N534" s="81" t="str">
        <f>_xlfn.XLOOKUP(Calculations[[#This Row],[For XLOOKUP]],Factors[For XLOOKUP],Factors[Factor],"")</f>
        <v>Σ.Ε. CH4 - Χώρας</v>
      </c>
      <c r="O534" s="81">
        <f>_xlfn.XLOOKUP(Calculations[[#This Row],[For XLOOKUP]],Factors[For XLOOKUP],Factors[Value],"")</f>
        <v>6.3220000000000003E-9</v>
      </c>
      <c r="P534" s="81" t="str">
        <f>_xlfn.XLOOKUP(Calculations[[#This Row],[For XLOOKUP]],Factors[For XLOOKUP],Factors[Units],"")</f>
        <v>tn CH4/kWh</v>
      </c>
      <c r="Q534" s="19" t="str">
        <f>_xlfn.XLOOKUP(Calculations[[#This Row],[For XLOOKUP]],Factors[For XLOOKUP],Factors[Source],"")</f>
        <v>Έκθεση ΔΑΠΕΕΠ 2022 και NIR 2022</v>
      </c>
      <c r="R53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4" s="81">
        <f>IF(LEFT(Calculations[[#This Row],[Emission Factor]],7)="Σ.Ε. CH",Calculations[[#This Row],[Value]]*Calculations[[#This Row],[Τιμή]],"-")</f>
        <v>3.3806781203999998E-2</v>
      </c>
      <c r="T53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4" s="81" t="str">
        <f>IF(LEFT(Calculations[[#This Row],[Emission Factor]],3)="GWP",Calculations[[#This Row],[Τιμή]],"-")</f>
        <v>-</v>
      </c>
      <c r="V534" s="81" t="str">
        <f>IF(OR(Calculations[[#This Row],[Emission Factor]]="Σ.Ε. CO₂ eq",Calculations[[#This Row],[Emission Factor]]="CO₂ eq"),Calculations[[#This Row],[Value]]*Calculations[[#This Row],[Τιμή]],"-")</f>
        <v>-</v>
      </c>
      <c r="W534" s="81" t="str">
        <f>IF(Calculations[[#This Row],[Πηγή εκπομπών]]="Electricity consumed in office buildings and projects - market based",Calculations[[#This Row],[t CO2]],"")</f>
        <v/>
      </c>
      <c r="X53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0.94658987371199999</v>
      </c>
    </row>
    <row r="535" spans="1:24" ht="15" hidden="1" thickTop="1">
      <c r="A535" s="15" t="s">
        <v>350</v>
      </c>
      <c r="B535" s="15" t="s">
        <v>778</v>
      </c>
      <c r="C535" s="16" t="s">
        <v>624</v>
      </c>
      <c r="D535" s="77" t="s">
        <v>895</v>
      </c>
      <c r="E535" s="77" t="s">
        <v>1140</v>
      </c>
      <c r="F535" s="16" t="s">
        <v>322</v>
      </c>
      <c r="G535" s="16" t="s">
        <v>779</v>
      </c>
      <c r="H535" s="15" t="s">
        <v>779</v>
      </c>
      <c r="I535" s="17" t="s">
        <v>346</v>
      </c>
      <c r="J535" s="79" cm="1">
        <f t="array" ref="J535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5347482</v>
      </c>
      <c r="K535" s="18" t="s">
        <v>51</v>
      </c>
      <c r="L535" s="16"/>
      <c r="M535" s="148" t="s">
        <v>126</v>
      </c>
      <c r="N535" s="81" t="str">
        <f>_xlfn.XLOOKUP(Calculations[[#This Row],[For XLOOKUP]],Factors[For XLOOKUP],Factors[Factor],"")</f>
        <v>Σ.Ε. N2O - Χώρας</v>
      </c>
      <c r="O535" s="81">
        <f>_xlfn.XLOOKUP(Calculations[[#This Row],[For XLOOKUP]],Factors[For XLOOKUP],Factors[Value],"")</f>
        <v>2.6031000000000002E-9</v>
      </c>
      <c r="P535" s="81" t="str">
        <f>_xlfn.XLOOKUP(Calculations[[#This Row],[For XLOOKUP]],Factors[For XLOOKUP],Factors[Units],"")</f>
        <v>tn N2O/kWh</v>
      </c>
      <c r="Q535" s="19" t="str">
        <f>_xlfn.XLOOKUP(Calculations[[#This Row],[For XLOOKUP]],Factors[For XLOOKUP],Factors[Source],"")</f>
        <v>Έκθεση ΔΑΠΕΕΠ 2022 και NIR 2022</v>
      </c>
      <c r="R53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5" s="81" t="str">
        <f>IF(LEFT(Calculations[[#This Row],[Emission Factor]],7)="Σ.Ε. CH",Calculations[[#This Row],[Value]]*Calculations[[#This Row],[Τιμή]],"-")</f>
        <v>-</v>
      </c>
      <c r="T535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1.3920030394200001E-2</v>
      </c>
      <c r="U535" s="81" t="str">
        <f>IF(LEFT(Calculations[[#This Row],[Emission Factor]],3)="GWP",Calculations[[#This Row],[Τιμή]],"-")</f>
        <v>-</v>
      </c>
      <c r="V535" s="81" t="str">
        <f>IF(OR(Calculations[[#This Row],[Emission Factor]]="Σ.Ε. CO₂ eq",Calculations[[#This Row],[Emission Factor]]="CO₂ eq"),Calculations[[#This Row],[Value]]*Calculations[[#This Row],[Τιμή]],"-")</f>
        <v>-</v>
      </c>
      <c r="W535" s="81" t="str">
        <f>IF(Calculations[[#This Row],[Πηγή εκπομπών]]="Electricity consumed in office buildings and projects - market based",Calculations[[#This Row],[t CO2]],"")</f>
        <v/>
      </c>
      <c r="X53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3.6888080544630002</v>
      </c>
    </row>
    <row r="536" spans="1:24" ht="15" hidden="1" thickTop="1">
      <c r="A536" s="15" t="s">
        <v>350</v>
      </c>
      <c r="B536" s="15" t="s">
        <v>778</v>
      </c>
      <c r="C536" s="16" t="s">
        <v>624</v>
      </c>
      <c r="D536" s="77" t="s">
        <v>895</v>
      </c>
      <c r="E536" s="77" t="s">
        <v>1140</v>
      </c>
      <c r="F536" s="16" t="s">
        <v>322</v>
      </c>
      <c r="G536" s="16" t="s">
        <v>779</v>
      </c>
      <c r="H536" s="15" t="s">
        <v>779</v>
      </c>
      <c r="I536" s="17" t="s">
        <v>346</v>
      </c>
      <c r="J536" s="210">
        <v>500</v>
      </c>
      <c r="K536" s="18" t="s">
        <v>7</v>
      </c>
      <c r="L536" s="16" t="s">
        <v>249</v>
      </c>
      <c r="M536" s="148" t="s">
        <v>204</v>
      </c>
      <c r="N536" s="81" t="str">
        <f>_xlfn.XLOOKUP(Calculations[[#This Row],[For XLOOKUP]],Factors[For XLOOKUP],Factors[Factor],"")</f>
        <v>Σ.Ε. CO₂ m.</v>
      </c>
      <c r="O536" s="81">
        <f>_xlfn.XLOOKUP(Calculations[[#This Row],[For XLOOKUP]],Factors[For XLOOKUP],Factors[Value],"")</f>
        <v>2.7370491168929394E-3</v>
      </c>
      <c r="P536" s="81" t="str">
        <f>_xlfn.XLOOKUP(Calculations[[#This Row],[For XLOOKUP]],Factors[For XLOOKUP],Factors[Units],"")</f>
        <v>tn CO2/lt</v>
      </c>
      <c r="Q536" s="19" t="str">
        <f>_xlfn.XLOOKUP(Calculations[[#This Row],[For XLOOKUP]],Factors[For XLOOKUP],Factors[Source],"")</f>
        <v>Greece. National Inventory Submissions 2024</v>
      </c>
      <c r="R536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1.3685245584464698</v>
      </c>
      <c r="S536" s="81" t="str">
        <f>IF(LEFT(Calculations[[#This Row],[Emission Factor]],7)="Σ.Ε. CH",Calculations[[#This Row],[Value]]*Calculations[[#This Row],[Τιμή]],"-")</f>
        <v>-</v>
      </c>
      <c r="T53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6" s="81" t="str">
        <f>IF(LEFT(Calculations[[#This Row],[Emission Factor]],3)="GWP",Calculations[[#This Row],[Τιμή]],"-")</f>
        <v>-</v>
      </c>
      <c r="V536" s="81" t="str">
        <f>IF(OR(Calculations[[#This Row],[Emission Factor]]="Σ.Ε. CO₂ eq",Calculations[[#This Row],[Emission Factor]]="CO₂ eq"),Calculations[[#This Row],[Value]]*Calculations[[#This Row],[Τιμή]],"-")</f>
        <v>-</v>
      </c>
      <c r="W536" s="81" t="str">
        <f>IF(Calculations[[#This Row],[Πηγή εκπομπών]]="Electricity consumed in office buildings and projects - market based",Calculations[[#This Row],[t CO2]],"")</f>
        <v/>
      </c>
      <c r="X53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1.3685245584464698</v>
      </c>
    </row>
    <row r="537" spans="1:24" ht="15" hidden="1" thickTop="1">
      <c r="A537" s="15" t="s">
        <v>350</v>
      </c>
      <c r="B537" s="15" t="s">
        <v>778</v>
      </c>
      <c r="C537" s="16" t="s">
        <v>624</v>
      </c>
      <c r="D537" s="77" t="s">
        <v>895</v>
      </c>
      <c r="E537" s="77" t="s">
        <v>1140</v>
      </c>
      <c r="F537" s="16" t="s">
        <v>322</v>
      </c>
      <c r="G537" s="16" t="s">
        <v>779</v>
      </c>
      <c r="H537" s="15" t="s">
        <v>779</v>
      </c>
      <c r="I537" s="17" t="s">
        <v>346</v>
      </c>
      <c r="J537" s="213">
        <v>500</v>
      </c>
      <c r="K537" s="18" t="s">
        <v>7</v>
      </c>
      <c r="L537" s="16" t="s">
        <v>249</v>
      </c>
      <c r="M537" s="148" t="s">
        <v>206</v>
      </c>
      <c r="N537" s="81" t="str">
        <f>_xlfn.XLOOKUP(Calculations[[#This Row],[For XLOOKUP]],Factors[For XLOOKUP],Factors[Factor],"")</f>
        <v>Σ.Ε. CH₄ m.</v>
      </c>
      <c r="O537" s="81">
        <f>_xlfn.XLOOKUP(Calculations[[#This Row],[For XLOOKUP]],Factors[For XLOOKUP],Factors[Value],"")</f>
        <v>1.0689300000000002E-7</v>
      </c>
      <c r="P537" s="81" t="str">
        <f>_xlfn.XLOOKUP(Calculations[[#This Row],[For XLOOKUP]],Factors[For XLOOKUP],Factors[Units],"")</f>
        <v>tn CH₄/lt</v>
      </c>
      <c r="Q537" s="19" t="str">
        <f>_xlfn.XLOOKUP(Calculations[[#This Row],[For XLOOKUP]],Factors[For XLOOKUP],Factors[Source],"")</f>
        <v>Greece. National Inventory Submissions 2024</v>
      </c>
      <c r="R53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7" s="81">
        <f>IF(LEFT(Calculations[[#This Row],[Emission Factor]],7)="Σ.Ε. CH",Calculations[[#This Row],[Value]]*Calculations[[#This Row],[Τιμή]],"-")</f>
        <v>5.3446500000000011E-5</v>
      </c>
      <c r="T53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7" s="81" t="str">
        <f>IF(LEFT(Calculations[[#This Row],[Emission Factor]],3)="GWP",Calculations[[#This Row],[Τιμή]],"-")</f>
        <v>-</v>
      </c>
      <c r="V537" s="81" t="str">
        <f>IF(OR(Calculations[[#This Row],[Emission Factor]]="Σ.Ε. CO₂ eq",Calculations[[#This Row],[Emission Factor]]="CO₂ eq"),Calculations[[#This Row],[Value]]*Calculations[[#This Row],[Τιμή]],"-")</f>
        <v>-</v>
      </c>
      <c r="W537" s="81" t="str">
        <f>IF(Calculations[[#This Row],[Πηγή εκπομπών]]="Electricity consumed in office buildings and projects - market based",Calculations[[#This Row],[t CO2]],"")</f>
        <v/>
      </c>
      <c r="X53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1.4965020000000002E-3</v>
      </c>
    </row>
    <row r="538" spans="1:24" ht="15" hidden="1" thickTop="1">
      <c r="A538" s="15" t="s">
        <v>350</v>
      </c>
      <c r="B538" s="15" t="s">
        <v>778</v>
      </c>
      <c r="C538" s="16" t="s">
        <v>624</v>
      </c>
      <c r="D538" s="77" t="s">
        <v>895</v>
      </c>
      <c r="E538" s="77" t="s">
        <v>1140</v>
      </c>
      <c r="F538" s="16" t="s">
        <v>322</v>
      </c>
      <c r="G538" s="16" t="s">
        <v>779</v>
      </c>
      <c r="H538" s="15" t="s">
        <v>779</v>
      </c>
      <c r="I538" s="17" t="s">
        <v>346</v>
      </c>
      <c r="J538" s="213">
        <v>500</v>
      </c>
      <c r="K538" s="18" t="s">
        <v>7</v>
      </c>
      <c r="L538" s="16" t="s">
        <v>249</v>
      </c>
      <c r="M538" s="148" t="s">
        <v>208</v>
      </c>
      <c r="N538" s="81" t="str">
        <f>_xlfn.XLOOKUP(Calculations[[#This Row],[For XLOOKUP]],Factors[For XLOOKUP],Factors[Factor],"")</f>
        <v>Σ.Ε. N2O m.</v>
      </c>
      <c r="O538" s="81">
        <f>_xlfn.XLOOKUP(Calculations[[#This Row],[For XLOOKUP]],Factors[For XLOOKUP],Factors[Value],"")</f>
        <v>2.1378600000000001E-8</v>
      </c>
      <c r="P538" s="81" t="str">
        <f>_xlfn.XLOOKUP(Calculations[[#This Row],[For XLOOKUP]],Factors[For XLOOKUP],Factors[Units],"")</f>
        <v>tn N2O/lt</v>
      </c>
      <c r="Q538" s="19" t="str">
        <f>_xlfn.XLOOKUP(Calculations[[#This Row],[For XLOOKUP]],Factors[For XLOOKUP],Factors[Source],"")</f>
        <v>Greece. National Inventory Submissions 2024</v>
      </c>
      <c r="R53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8" s="81" t="str">
        <f>IF(LEFT(Calculations[[#This Row],[Emission Factor]],7)="Σ.Ε. CH",Calculations[[#This Row],[Value]]*Calculations[[#This Row],[Τιμή]],"-")</f>
        <v>-</v>
      </c>
      <c r="T538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1.0689299999999999E-5</v>
      </c>
      <c r="U538" s="81" t="str">
        <f>IF(LEFT(Calculations[[#This Row],[Emission Factor]],3)="GWP",Calculations[[#This Row],[Τιμή]],"-")</f>
        <v>-</v>
      </c>
      <c r="V538" s="81" t="str">
        <f>IF(OR(Calculations[[#This Row],[Emission Factor]]="Σ.Ε. CO₂ eq",Calculations[[#This Row],[Emission Factor]]="CO₂ eq"),Calculations[[#This Row],[Value]]*Calculations[[#This Row],[Τιμή]],"-")</f>
        <v>-</v>
      </c>
      <c r="W538" s="81" t="str">
        <f>IF(Calculations[[#This Row],[Πηγή εκπομπών]]="Electricity consumed in office buildings and projects - market based",Calculations[[#This Row],[t CO2]],"")</f>
        <v/>
      </c>
      <c r="X53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2.8326644999999997E-3</v>
      </c>
    </row>
    <row r="539" spans="1:24" ht="15" hidden="1" thickTop="1">
      <c r="A539" s="15" t="s">
        <v>350</v>
      </c>
      <c r="B539" s="15" t="s">
        <v>778</v>
      </c>
      <c r="C539" s="16" t="s">
        <v>624</v>
      </c>
      <c r="D539" s="77" t="s">
        <v>895</v>
      </c>
      <c r="E539" s="77" t="s">
        <v>1140</v>
      </c>
      <c r="F539" s="16" t="s">
        <v>322</v>
      </c>
      <c r="G539" s="16" t="s">
        <v>779</v>
      </c>
      <c r="H539" s="15" t="s">
        <v>779</v>
      </c>
      <c r="I539" s="17" t="s">
        <v>346</v>
      </c>
      <c r="J539" s="210">
        <v>5000</v>
      </c>
      <c r="K539" s="18" t="s">
        <v>7</v>
      </c>
      <c r="L539" s="16" t="s">
        <v>245</v>
      </c>
      <c r="M539" s="148" t="s">
        <v>210</v>
      </c>
      <c r="N539" s="81" t="str">
        <f>_xlfn.XLOOKUP(Calculations[[#This Row],[For XLOOKUP]],Factors[For XLOOKUP],Factors[Factor],"")</f>
        <v>Σ.Ε. CO₂ st.</v>
      </c>
      <c r="O539" s="81">
        <f>_xlfn.XLOOKUP(Calculations[[#This Row],[For XLOOKUP]],Factors[For XLOOKUP],Factors[Value],"")</f>
        <v>2.6288551800000004E-3</v>
      </c>
      <c r="P539" s="81" t="str">
        <f>_xlfn.XLOOKUP(Calculations[[#This Row],[For XLOOKUP]],Factors[For XLOOKUP],Factors[Units],"")</f>
        <v>tn CO2/lt</v>
      </c>
      <c r="Q539" s="19" t="str">
        <f>_xlfn.XLOOKUP(Calculations[[#This Row],[For XLOOKUP]],Factors[For XLOOKUP],Factors[Source],"")</f>
        <v>Greece. National Inventory Submissions 2024</v>
      </c>
      <c r="R539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13.144275900000002</v>
      </c>
      <c r="S539" s="81" t="str">
        <f>IF(LEFT(Calculations[[#This Row],[Emission Factor]],7)="Σ.Ε. CH",Calculations[[#This Row],[Value]]*Calculations[[#This Row],[Τιμή]],"-")</f>
        <v>-</v>
      </c>
      <c r="T53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9" s="81" t="str">
        <f>IF(LEFT(Calculations[[#This Row],[Emission Factor]],3)="GWP",Calculations[[#This Row],[Τιμή]],"-")</f>
        <v>-</v>
      </c>
      <c r="V539" s="81" t="str">
        <f>IF(OR(Calculations[[#This Row],[Emission Factor]]="Σ.Ε. CO₂ eq",Calculations[[#This Row],[Emission Factor]]="CO₂ eq"),Calculations[[#This Row],[Value]]*Calculations[[#This Row],[Τιμή]],"-")</f>
        <v>-</v>
      </c>
      <c r="W539" s="81" t="str">
        <f>IF(Calculations[[#This Row],[Πηγή εκπομπών]]="Electricity consumed in office buildings and projects - market based",Calculations[[#This Row],[t CO2]],"")</f>
        <v/>
      </c>
      <c r="X53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13.144275900000002</v>
      </c>
    </row>
    <row r="540" spans="1:24" ht="15" hidden="1" thickTop="1">
      <c r="A540" s="15" t="s">
        <v>350</v>
      </c>
      <c r="B540" s="15" t="s">
        <v>778</v>
      </c>
      <c r="C540" s="16" t="s">
        <v>624</v>
      </c>
      <c r="D540" s="77" t="s">
        <v>895</v>
      </c>
      <c r="E540" s="77" t="s">
        <v>1140</v>
      </c>
      <c r="F540" s="16" t="s">
        <v>322</v>
      </c>
      <c r="G540" s="16" t="s">
        <v>779</v>
      </c>
      <c r="H540" s="15" t="s">
        <v>779</v>
      </c>
      <c r="I540" s="17" t="s">
        <v>346</v>
      </c>
      <c r="J540" s="213">
        <v>5000</v>
      </c>
      <c r="K540" s="18" t="s">
        <v>7</v>
      </c>
      <c r="L540" s="16" t="s">
        <v>245</v>
      </c>
      <c r="M540" s="148" t="s">
        <v>329</v>
      </c>
      <c r="N540" s="81" t="str">
        <f>_xlfn.XLOOKUP(Calculations[[#This Row],[For XLOOKUP]],Factors[For XLOOKUP],Factors[Factor],"")</f>
        <v>Σ.Ε. CH₄ st.</v>
      </c>
      <c r="O540" s="81">
        <f>_xlfn.XLOOKUP(Calculations[[#This Row],[For XLOOKUP]],Factors[For XLOOKUP],Factors[Value],"")</f>
        <v>2.6069673432920342E-8</v>
      </c>
      <c r="P540" s="81" t="str">
        <f>_xlfn.XLOOKUP(Calculations[[#This Row],[For XLOOKUP]],Factors[For XLOOKUP],Factors[Units],"")</f>
        <v>tn CH4/lt</v>
      </c>
      <c r="Q540" s="19" t="str">
        <f>_xlfn.XLOOKUP(Calculations[[#This Row],[For XLOOKUP]],Factors[For XLOOKUP],Factors[Source],"")</f>
        <v>Greece. National Inventory Submissions 2024</v>
      </c>
      <c r="R54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0" s="81">
        <f>IF(LEFT(Calculations[[#This Row],[Emission Factor]],7)="Σ.Ε. CH",Calculations[[#This Row],[Value]]*Calculations[[#This Row],[Τιμή]],"-")</f>
        <v>1.3034836716460172E-4</v>
      </c>
      <c r="T54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0" s="81" t="str">
        <f>IF(LEFT(Calculations[[#This Row],[Emission Factor]],3)="GWP",Calculations[[#This Row],[Τιμή]],"-")</f>
        <v>-</v>
      </c>
      <c r="V540" s="81" t="str">
        <f>IF(OR(Calculations[[#This Row],[Emission Factor]]="Σ.Ε. CO₂ eq",Calculations[[#This Row],[Emission Factor]]="CO₂ eq"),Calculations[[#This Row],[Value]]*Calculations[[#This Row],[Τιμή]],"-")</f>
        <v>-</v>
      </c>
      <c r="W540" s="81" t="str">
        <f>IF(Calculations[[#This Row],[Πηγή εκπομπών]]="Electricity consumed in office buildings and projects - market based",Calculations[[#This Row],[t CO2]],"")</f>
        <v/>
      </c>
      <c r="X54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3.6497542806088481E-3</v>
      </c>
    </row>
    <row r="541" spans="1:24" ht="15" hidden="1" thickTop="1">
      <c r="A541" s="15" t="s">
        <v>350</v>
      </c>
      <c r="B541" s="15" t="s">
        <v>778</v>
      </c>
      <c r="C541" s="16" t="s">
        <v>624</v>
      </c>
      <c r="D541" s="77" t="s">
        <v>895</v>
      </c>
      <c r="E541" s="77" t="s">
        <v>1140</v>
      </c>
      <c r="F541" s="16" t="s">
        <v>322</v>
      </c>
      <c r="G541" s="16" t="s">
        <v>779</v>
      </c>
      <c r="H541" s="15" t="s">
        <v>779</v>
      </c>
      <c r="I541" s="17" t="s">
        <v>346</v>
      </c>
      <c r="J541" s="213">
        <v>5000</v>
      </c>
      <c r="K541" s="18" t="s">
        <v>7</v>
      </c>
      <c r="L541" s="16" t="s">
        <v>245</v>
      </c>
      <c r="M541" s="148" t="s">
        <v>211</v>
      </c>
      <c r="N541" s="81" t="str">
        <f>_xlfn.XLOOKUP(Calculations[[#This Row],[For XLOOKUP]],Factors[For XLOOKUP],Factors[Factor],"")</f>
        <v>Σ.Ε. N2O st.</v>
      </c>
      <c r="O541" s="81">
        <f>_xlfn.XLOOKUP(Calculations[[#This Row],[For XLOOKUP]],Factors[For XLOOKUP],Factors[Value],"")</f>
        <v>6.7698900000000009E-9</v>
      </c>
      <c r="P541" s="81" t="str">
        <f>_xlfn.XLOOKUP(Calculations[[#This Row],[For XLOOKUP]],Factors[For XLOOKUP],Factors[Units],"")</f>
        <v>tn N2O/lt</v>
      </c>
      <c r="Q541" s="19" t="str">
        <f>_xlfn.XLOOKUP(Calculations[[#This Row],[For XLOOKUP]],Factors[For XLOOKUP],Factors[Source],"")</f>
        <v>Greece. National Inventory Submissions 2024</v>
      </c>
      <c r="R54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1" s="81" t="str">
        <f>IF(LEFT(Calculations[[#This Row],[Emission Factor]],7)="Σ.Ε. CH",Calculations[[#This Row],[Value]]*Calculations[[#This Row],[Τιμή]],"-")</f>
        <v>-</v>
      </c>
      <c r="T541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3.3849450000000005E-5</v>
      </c>
      <c r="U541" s="81" t="str">
        <f>IF(LEFT(Calculations[[#This Row],[Emission Factor]],3)="GWP",Calculations[[#This Row],[Τιμή]],"-")</f>
        <v>-</v>
      </c>
      <c r="V541" s="81" t="str">
        <f>IF(OR(Calculations[[#This Row],[Emission Factor]]="Σ.Ε. CO₂ eq",Calculations[[#This Row],[Emission Factor]]="CO₂ eq"),Calculations[[#This Row],[Value]]*Calculations[[#This Row],[Τιμή]],"-")</f>
        <v>-</v>
      </c>
      <c r="W541" s="81" t="str">
        <f>IF(Calculations[[#This Row],[Πηγή εκπομπών]]="Electricity consumed in office buildings and projects - market based",Calculations[[#This Row],[t CO2]],"")</f>
        <v/>
      </c>
      <c r="X54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8.9701042500000012E-3</v>
      </c>
    </row>
    <row r="542" spans="1:24" ht="15" hidden="1" thickTop="1">
      <c r="A542" s="15" t="s">
        <v>350</v>
      </c>
      <c r="B542" s="15" t="s">
        <v>778</v>
      </c>
      <c r="C542" s="16" t="s">
        <v>624</v>
      </c>
      <c r="D542" s="77" t="s">
        <v>895</v>
      </c>
      <c r="E542" s="16" t="s">
        <v>1141</v>
      </c>
      <c r="F542" s="16" t="s">
        <v>312</v>
      </c>
      <c r="G542" s="16" t="s">
        <v>779</v>
      </c>
      <c r="H542" s="15" t="s">
        <v>779</v>
      </c>
      <c r="I542" s="17" t="s">
        <v>346</v>
      </c>
      <c r="J542" s="78">
        <v>1608</v>
      </c>
      <c r="K542" s="18" t="s">
        <v>7</v>
      </c>
      <c r="L542" s="94" t="s">
        <v>249</v>
      </c>
      <c r="M542" s="148" t="s">
        <v>204</v>
      </c>
      <c r="N542" s="19" t="str">
        <f>_xlfn.XLOOKUP(Calculations[[#This Row],[For XLOOKUP]],Factors[For XLOOKUP],Factors[Factor],"")</f>
        <v>Σ.Ε. CO₂ m.</v>
      </c>
      <c r="O542" s="19">
        <f>_xlfn.XLOOKUP(Calculations[[#This Row],[For XLOOKUP]],Factors[For XLOOKUP],Factors[Value],"")</f>
        <v>2.7370491168929394E-3</v>
      </c>
      <c r="P542" s="19" t="str">
        <f>_xlfn.XLOOKUP(Calculations[[#This Row],[For XLOOKUP]],Factors[For XLOOKUP],Factors[Units],"")</f>
        <v>tn CO2/lt</v>
      </c>
      <c r="Q542" s="19" t="str">
        <f>_xlfn.XLOOKUP(Calculations[[#This Row],[For XLOOKUP]],Factors[For XLOOKUP],Factors[Source],"")</f>
        <v>Greece. National Inventory Submissions 2024</v>
      </c>
      <c r="R542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4.4011749799638462</v>
      </c>
      <c r="S542" s="19" t="str">
        <f>IF(LEFT(Calculations[[#This Row],[Emission Factor]],7)="Σ.Ε. CH",Calculations[[#This Row],[Value]]*Calculations[[#This Row],[Τιμή]],"-")</f>
        <v>-</v>
      </c>
      <c r="T54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2" s="19" t="str">
        <f>IF(LEFT(Calculations[[#This Row],[Emission Factor]],3)="GWP",Calculations[[#This Row],[Τιμή]],"-")</f>
        <v>-</v>
      </c>
      <c r="V542" s="19" t="str">
        <f>IF(OR(Calculations[[#This Row],[Emission Factor]]="Σ.Ε. CO₂ eq",Calculations[[#This Row],[Emission Factor]]="CO₂ eq"),Calculations[[#This Row],[Value]]*Calculations[[#This Row],[Τιμή]],"-")</f>
        <v>-</v>
      </c>
      <c r="W542" s="19" t="str">
        <f>IF(Calculations[[#This Row],[Πηγή εκπομπών]]="Electricity consumed in office buildings and projects - market based",Calculations[[#This Row],[t CO2]],"")</f>
        <v/>
      </c>
      <c r="X54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4.4011749799638462</v>
      </c>
    </row>
    <row r="543" spans="1:24" ht="15" hidden="1" thickTop="1">
      <c r="A543" s="15" t="s">
        <v>350</v>
      </c>
      <c r="B543" s="15" t="s">
        <v>778</v>
      </c>
      <c r="C543" s="16" t="s">
        <v>624</v>
      </c>
      <c r="D543" s="77" t="s">
        <v>895</v>
      </c>
      <c r="E543" s="77" t="s">
        <v>1141</v>
      </c>
      <c r="F543" s="16" t="s">
        <v>312</v>
      </c>
      <c r="G543" s="16" t="s">
        <v>779</v>
      </c>
      <c r="H543" s="15" t="s">
        <v>779</v>
      </c>
      <c r="I543" s="17" t="s">
        <v>346</v>
      </c>
      <c r="J543" s="79">
        <v>1608</v>
      </c>
      <c r="K543" s="18" t="s">
        <v>7</v>
      </c>
      <c r="L543" s="94" t="s">
        <v>249</v>
      </c>
      <c r="M543" s="148" t="s">
        <v>206</v>
      </c>
      <c r="N543" s="81" t="str">
        <f>_xlfn.XLOOKUP(Calculations[[#This Row],[For XLOOKUP]],Factors[For XLOOKUP],Factors[Factor],"")</f>
        <v>Σ.Ε. CH₄ m.</v>
      </c>
      <c r="O543" s="81">
        <f>_xlfn.XLOOKUP(Calculations[[#This Row],[For XLOOKUP]],Factors[For XLOOKUP],Factors[Value],"")</f>
        <v>1.0689300000000002E-7</v>
      </c>
      <c r="P543" s="81" t="str">
        <f>_xlfn.XLOOKUP(Calculations[[#This Row],[For XLOOKUP]],Factors[For XLOOKUP],Factors[Units],"")</f>
        <v>tn CH₄/lt</v>
      </c>
      <c r="Q543" s="19" t="str">
        <f>_xlfn.XLOOKUP(Calculations[[#This Row],[For XLOOKUP]],Factors[For XLOOKUP],Factors[Source],"")</f>
        <v>Greece. National Inventory Submissions 2024</v>
      </c>
      <c r="R54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3" s="81">
        <f>IF(LEFT(Calculations[[#This Row],[Emission Factor]],7)="Σ.Ε. CH",Calculations[[#This Row],[Value]]*Calculations[[#This Row],[Τιμή]],"-")</f>
        <v>1.7188394400000003E-4</v>
      </c>
      <c r="T54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3" s="81" t="str">
        <f>IF(LEFT(Calculations[[#This Row],[Emission Factor]],3)="GWP",Calculations[[#This Row],[Τιμή]],"-")</f>
        <v>-</v>
      </c>
      <c r="V543" s="81" t="str">
        <f>IF(OR(Calculations[[#This Row],[Emission Factor]]="Σ.Ε. CO₂ eq",Calculations[[#This Row],[Emission Factor]]="CO₂ eq"),Calculations[[#This Row],[Value]]*Calculations[[#This Row],[Τιμή]],"-")</f>
        <v>-</v>
      </c>
      <c r="W543" s="81" t="str">
        <f>IF(Calculations[[#This Row],[Πηγή εκπομπών]]="Electricity consumed in office buildings and projects - market based",Calculations[[#This Row],[t CO2]],"")</f>
        <v/>
      </c>
      <c r="X54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4.8127504320000011E-3</v>
      </c>
    </row>
    <row r="544" spans="1:24" ht="15" hidden="1" thickTop="1">
      <c r="A544" s="15" t="s">
        <v>350</v>
      </c>
      <c r="B544" s="15" t="s">
        <v>778</v>
      </c>
      <c r="C544" s="16" t="s">
        <v>624</v>
      </c>
      <c r="D544" s="77" t="s">
        <v>895</v>
      </c>
      <c r="E544" s="77" t="s">
        <v>1141</v>
      </c>
      <c r="F544" s="16" t="s">
        <v>312</v>
      </c>
      <c r="G544" s="16" t="s">
        <v>779</v>
      </c>
      <c r="H544" s="15" t="s">
        <v>779</v>
      </c>
      <c r="I544" s="17" t="s">
        <v>346</v>
      </c>
      <c r="J544" s="79">
        <v>1608</v>
      </c>
      <c r="K544" s="18" t="s">
        <v>7</v>
      </c>
      <c r="L544" s="94" t="s">
        <v>249</v>
      </c>
      <c r="M544" s="148" t="s">
        <v>208</v>
      </c>
      <c r="N544" s="81" t="str">
        <f>_xlfn.XLOOKUP(Calculations[[#This Row],[For XLOOKUP]],Factors[For XLOOKUP],Factors[Factor],"")</f>
        <v>Σ.Ε. N2O m.</v>
      </c>
      <c r="O544" s="81">
        <f>_xlfn.XLOOKUP(Calculations[[#This Row],[For XLOOKUP]],Factors[For XLOOKUP],Factors[Value],"")</f>
        <v>2.1378600000000001E-8</v>
      </c>
      <c r="P544" s="81" t="str">
        <f>_xlfn.XLOOKUP(Calculations[[#This Row],[For XLOOKUP]],Factors[For XLOOKUP],Factors[Units],"")</f>
        <v>tn N2O/lt</v>
      </c>
      <c r="Q544" s="19" t="str">
        <f>_xlfn.XLOOKUP(Calculations[[#This Row],[For XLOOKUP]],Factors[For XLOOKUP],Factors[Source],"")</f>
        <v>Greece. National Inventory Submissions 2024</v>
      </c>
      <c r="R54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4" s="81" t="str">
        <f>IF(LEFT(Calculations[[#This Row],[Emission Factor]],7)="Σ.Ε. CH",Calculations[[#This Row],[Value]]*Calculations[[#This Row],[Τιμή]],"-")</f>
        <v>-</v>
      </c>
      <c r="T544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3.4376788799999999E-5</v>
      </c>
      <c r="U544" s="81" t="str">
        <f>IF(LEFT(Calculations[[#This Row],[Emission Factor]],3)="GWP",Calculations[[#This Row],[Τιμή]],"-")</f>
        <v>-</v>
      </c>
      <c r="V544" s="81" t="str">
        <f>IF(OR(Calculations[[#This Row],[Emission Factor]]="Σ.Ε. CO₂ eq",Calculations[[#This Row],[Emission Factor]]="CO₂ eq"),Calculations[[#This Row],[Value]]*Calculations[[#This Row],[Τιμή]],"-")</f>
        <v>-</v>
      </c>
      <c r="W544" s="81" t="str">
        <f>IF(Calculations[[#This Row],[Πηγή εκπομπών]]="Electricity consumed in office buildings and projects - market based",Calculations[[#This Row],[t CO2]],"")</f>
        <v/>
      </c>
      <c r="X54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9.1098490319999996E-3</v>
      </c>
    </row>
    <row r="545" spans="1:24" ht="15" hidden="1" thickTop="1">
      <c r="A545" s="15" t="s">
        <v>350</v>
      </c>
      <c r="B545" s="15" t="s">
        <v>778</v>
      </c>
      <c r="C545" s="16" t="s">
        <v>624</v>
      </c>
      <c r="D545" s="77" t="s">
        <v>895</v>
      </c>
      <c r="E545" s="16" t="s">
        <v>1141</v>
      </c>
      <c r="F545" s="16" t="s">
        <v>312</v>
      </c>
      <c r="G545" s="16" t="s">
        <v>779</v>
      </c>
      <c r="H545" s="15" t="s">
        <v>779</v>
      </c>
      <c r="I545" s="17" t="s">
        <v>346</v>
      </c>
      <c r="J545" s="78">
        <v>20209.8</v>
      </c>
      <c r="K545" s="18" t="s">
        <v>7</v>
      </c>
      <c r="L545" s="94" t="s">
        <v>245</v>
      </c>
      <c r="M545" s="148" t="s">
        <v>210</v>
      </c>
      <c r="N545" s="19" t="str">
        <f>_xlfn.XLOOKUP(Calculations[[#This Row],[For XLOOKUP]],Factors[For XLOOKUP],Factors[Factor],"")</f>
        <v>Σ.Ε. CO₂ st.</v>
      </c>
      <c r="O545" s="19">
        <f>_xlfn.XLOOKUP(Calculations[[#This Row],[For XLOOKUP]],Factors[For XLOOKUP],Factors[Value],"")</f>
        <v>2.6288551800000004E-3</v>
      </c>
      <c r="P545" s="19" t="str">
        <f>_xlfn.XLOOKUP(Calculations[[#This Row],[For XLOOKUP]],Factors[For XLOOKUP],Factors[Units],"")</f>
        <v>tn CO2/lt</v>
      </c>
      <c r="Q545" s="19" t="str">
        <f>_xlfn.XLOOKUP(Calculations[[#This Row],[For XLOOKUP]],Factors[For XLOOKUP],Factors[Source],"")</f>
        <v>Greece. National Inventory Submissions 2024</v>
      </c>
      <c r="R54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53.128637416764008</v>
      </c>
      <c r="S545" s="19" t="str">
        <f>IF(LEFT(Calculations[[#This Row],[Emission Factor]],7)="Σ.Ε. CH",Calculations[[#This Row],[Value]]*Calculations[[#This Row],[Τιμή]],"-")</f>
        <v>-</v>
      </c>
      <c r="T54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5" s="19" t="str">
        <f>IF(LEFT(Calculations[[#This Row],[Emission Factor]],3)="GWP",Calculations[[#This Row],[Τιμή]],"-")</f>
        <v>-</v>
      </c>
      <c r="V545" s="19" t="str">
        <f>IF(OR(Calculations[[#This Row],[Emission Factor]]="Σ.Ε. CO₂ eq",Calculations[[#This Row],[Emission Factor]]="CO₂ eq"),Calculations[[#This Row],[Value]]*Calculations[[#This Row],[Τιμή]],"-")</f>
        <v>-</v>
      </c>
      <c r="W545" s="19" t="str">
        <f>IF(Calculations[[#This Row],[Πηγή εκπομπών]]="Electricity consumed in office buildings and projects - market based",Calculations[[#This Row],[t CO2]],"")</f>
        <v/>
      </c>
      <c r="X54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53.128637416764008</v>
      </c>
    </row>
    <row r="546" spans="1:24" ht="15" hidden="1" thickTop="1">
      <c r="A546" s="15" t="s">
        <v>350</v>
      </c>
      <c r="B546" s="15" t="s">
        <v>778</v>
      </c>
      <c r="C546" s="16" t="s">
        <v>624</v>
      </c>
      <c r="D546" s="77" t="s">
        <v>895</v>
      </c>
      <c r="E546" s="77" t="s">
        <v>1141</v>
      </c>
      <c r="F546" s="16" t="s">
        <v>312</v>
      </c>
      <c r="G546" s="16" t="s">
        <v>779</v>
      </c>
      <c r="H546" s="15" t="s">
        <v>779</v>
      </c>
      <c r="I546" s="17" t="s">
        <v>346</v>
      </c>
      <c r="J546" s="79">
        <v>20209.8</v>
      </c>
      <c r="K546" s="18" t="s">
        <v>7</v>
      </c>
      <c r="L546" s="94" t="s">
        <v>245</v>
      </c>
      <c r="M546" s="148" t="s">
        <v>329</v>
      </c>
      <c r="N546" s="81" t="str">
        <f>_xlfn.XLOOKUP(Calculations[[#This Row],[For XLOOKUP]],Factors[For XLOOKUP],Factors[Factor],"")</f>
        <v>Σ.Ε. CH₄ st.</v>
      </c>
      <c r="O546" s="81">
        <f>_xlfn.XLOOKUP(Calculations[[#This Row],[For XLOOKUP]],Factors[For XLOOKUP],Factors[Value],"")</f>
        <v>2.6069673432920342E-8</v>
      </c>
      <c r="P546" s="81" t="str">
        <f>_xlfn.XLOOKUP(Calculations[[#This Row],[For XLOOKUP]],Factors[For XLOOKUP],Factors[Units],"")</f>
        <v>tn CH4/lt</v>
      </c>
      <c r="Q546" s="19" t="str">
        <f>_xlfn.XLOOKUP(Calculations[[#This Row],[For XLOOKUP]],Factors[For XLOOKUP],Factors[Source],"")</f>
        <v>Greece. National Inventory Submissions 2024</v>
      </c>
      <c r="R54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6" s="81">
        <f>IF(LEFT(Calculations[[#This Row],[Emission Factor]],7)="Σ.Ε. CH",Calculations[[#This Row],[Value]]*Calculations[[#This Row],[Τιμή]],"-")</f>
        <v>5.2686288614463349E-4</v>
      </c>
      <c r="T54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6" s="81" t="str">
        <f>IF(LEFT(Calculations[[#This Row],[Emission Factor]],3)="GWP",Calculations[[#This Row],[Τιμή]],"-")</f>
        <v>-</v>
      </c>
      <c r="V546" s="81" t="str">
        <f>IF(OR(Calculations[[#This Row],[Emission Factor]]="Σ.Ε. CO₂ eq",Calculations[[#This Row],[Emission Factor]]="CO₂ eq"),Calculations[[#This Row],[Value]]*Calculations[[#This Row],[Τιμή]],"-")</f>
        <v>-</v>
      </c>
      <c r="W546" s="81" t="str">
        <f>IF(Calculations[[#This Row],[Πηγή εκπομπών]]="Electricity consumed in office buildings and projects - market based",Calculations[[#This Row],[t CO2]],"")</f>
        <v/>
      </c>
      <c r="X54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1.4752160812049737E-2</v>
      </c>
    </row>
    <row r="547" spans="1:24" ht="15" hidden="1" thickTop="1">
      <c r="A547" s="15" t="s">
        <v>350</v>
      </c>
      <c r="B547" s="15" t="s">
        <v>778</v>
      </c>
      <c r="C547" s="16" t="s">
        <v>624</v>
      </c>
      <c r="D547" s="77" t="s">
        <v>895</v>
      </c>
      <c r="E547" s="77" t="s">
        <v>1141</v>
      </c>
      <c r="F547" s="16" t="s">
        <v>312</v>
      </c>
      <c r="G547" s="16" t="s">
        <v>779</v>
      </c>
      <c r="H547" s="15" t="s">
        <v>779</v>
      </c>
      <c r="I547" s="17" t="s">
        <v>346</v>
      </c>
      <c r="J547" s="79">
        <v>20209.8</v>
      </c>
      <c r="K547" s="18" t="s">
        <v>7</v>
      </c>
      <c r="L547" s="94" t="s">
        <v>245</v>
      </c>
      <c r="M547" s="148" t="s">
        <v>211</v>
      </c>
      <c r="N547" s="81" t="str">
        <f>_xlfn.XLOOKUP(Calculations[[#This Row],[For XLOOKUP]],Factors[For XLOOKUP],Factors[Factor],"")</f>
        <v>Σ.Ε. N2O st.</v>
      </c>
      <c r="O547" s="81">
        <f>_xlfn.XLOOKUP(Calculations[[#This Row],[For XLOOKUP]],Factors[For XLOOKUP],Factors[Value],"")</f>
        <v>6.7698900000000009E-9</v>
      </c>
      <c r="P547" s="81" t="str">
        <f>_xlfn.XLOOKUP(Calculations[[#This Row],[For XLOOKUP]],Factors[For XLOOKUP],Factors[Units],"")</f>
        <v>tn N2O/lt</v>
      </c>
      <c r="Q547" s="19" t="str">
        <f>_xlfn.XLOOKUP(Calculations[[#This Row],[For XLOOKUP]],Factors[For XLOOKUP],Factors[Source],"")</f>
        <v>Greece. National Inventory Submissions 2024</v>
      </c>
      <c r="R54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7" s="81" t="str">
        <f>IF(LEFT(Calculations[[#This Row],[Emission Factor]],7)="Σ.Ε. CH",Calculations[[#This Row],[Value]]*Calculations[[#This Row],[Τιμή]],"-")</f>
        <v>-</v>
      </c>
      <c r="T547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1.36818122922E-4</v>
      </c>
      <c r="U547" s="81" t="str">
        <f>IF(LEFT(Calculations[[#This Row],[Emission Factor]],3)="GWP",Calculations[[#This Row],[Τιμή]],"-")</f>
        <v>-</v>
      </c>
      <c r="V547" s="81" t="str">
        <f>IF(OR(Calculations[[#This Row],[Emission Factor]]="Σ.Ε. CO₂ eq",Calculations[[#This Row],[Emission Factor]]="CO₂ eq"),Calculations[[#This Row],[Value]]*Calculations[[#This Row],[Τιμή]],"-")</f>
        <v>-</v>
      </c>
      <c r="W547" s="81" t="str">
        <f>IF(Calculations[[#This Row],[Πηγή εκπομπών]]="Electricity consumed in office buildings and projects - market based",Calculations[[#This Row],[t CO2]],"")</f>
        <v/>
      </c>
      <c r="X54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3.6256802574329998E-2</v>
      </c>
    </row>
    <row r="548" spans="1:24" ht="15" hidden="1" thickTop="1">
      <c r="A548" s="15" t="s">
        <v>350</v>
      </c>
      <c r="B548" s="15" t="s">
        <v>778</v>
      </c>
      <c r="C548" s="16" t="s">
        <v>624</v>
      </c>
      <c r="D548" s="77" t="s">
        <v>895</v>
      </c>
      <c r="E548" s="77" t="s">
        <v>1141</v>
      </c>
      <c r="F548" s="16" t="s">
        <v>312</v>
      </c>
      <c r="G548" s="16" t="s">
        <v>779</v>
      </c>
      <c r="H548" s="15" t="s">
        <v>779</v>
      </c>
      <c r="I548" s="17" t="s">
        <v>346</v>
      </c>
      <c r="J548" s="78">
        <v>67275</v>
      </c>
      <c r="K548" s="18" t="s">
        <v>263</v>
      </c>
      <c r="L548" s="94" t="s">
        <v>1174</v>
      </c>
      <c r="M548" s="148" t="s">
        <v>1171</v>
      </c>
      <c r="N548" s="81" t="str">
        <f>_xlfn.XLOOKUP(Calculations[[#This Row],[For XLOOKUP]],Factors[For XLOOKUP],Factors[Factor],"")</f>
        <v>Σ.Ε. CO₂ m.</v>
      </c>
      <c r="O548" s="81">
        <f>_xlfn.XLOOKUP(Calculations[[#This Row],[For XLOOKUP]],Factors[For XLOOKUP],Factors[Value],"")</f>
        <v>3.0234163099848825E-3</v>
      </c>
      <c r="P548" s="81" t="str">
        <f>_xlfn.XLOOKUP(Calculations[[#This Row],[For XLOOKUP]],Factors[For XLOOKUP],Factors[Units],"")</f>
        <v>tn CO2/kg</v>
      </c>
      <c r="Q548" s="19" t="str">
        <f>_xlfn.XLOOKUP(Calculations[[#This Row],[For XLOOKUP]],Factors[For XLOOKUP],Factors[Source],"")</f>
        <v>Greece. National Inventory Submissions 2024</v>
      </c>
      <c r="R548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203.40033225423298</v>
      </c>
      <c r="S548" s="81" t="str">
        <f>IF(LEFT(Calculations[[#This Row],[Emission Factor]],7)="Σ.Ε. CH",Calculations[[#This Row],[Value]]*Calculations[[#This Row],[Τιμή]],"-")</f>
        <v>-</v>
      </c>
      <c r="T54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8" s="81" t="str">
        <f>IF(LEFT(Calculations[[#This Row],[Emission Factor]],3)="GWP",Calculations[[#This Row],[Τιμή]],"-")</f>
        <v>-</v>
      </c>
      <c r="V548" s="81" t="str">
        <f>IF(OR(Calculations[[#This Row],[Emission Factor]]="Σ.Ε. CO₂ eq",Calculations[[#This Row],[Emission Factor]]="CO₂ eq"),Calculations[[#This Row],[Value]]*Calculations[[#This Row],[Τιμή]],"-")</f>
        <v>-</v>
      </c>
      <c r="W548" s="81" t="str">
        <f>IF(Calculations[[#This Row],[Πηγή εκπομπών]]="Electricity consumed in office buildings and projects - market based",Calculations[[#This Row],[t CO2]],"")</f>
        <v/>
      </c>
      <c r="X54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203.40033225423298</v>
      </c>
    </row>
    <row r="549" spans="1:24" ht="15" hidden="1" thickTop="1">
      <c r="A549" s="15" t="s">
        <v>350</v>
      </c>
      <c r="B549" s="15" t="s">
        <v>778</v>
      </c>
      <c r="C549" s="16" t="s">
        <v>624</v>
      </c>
      <c r="D549" s="77" t="s">
        <v>895</v>
      </c>
      <c r="E549" s="77" t="s">
        <v>1141</v>
      </c>
      <c r="F549" s="16" t="s">
        <v>312</v>
      </c>
      <c r="G549" s="16" t="s">
        <v>779</v>
      </c>
      <c r="H549" s="15" t="s">
        <v>779</v>
      </c>
      <c r="I549" s="17" t="s">
        <v>346</v>
      </c>
      <c r="J549" s="79">
        <v>67275</v>
      </c>
      <c r="K549" s="18" t="s">
        <v>263</v>
      </c>
      <c r="L549" s="16" t="s">
        <v>1174</v>
      </c>
      <c r="M549" s="148" t="s">
        <v>1172</v>
      </c>
      <c r="N549" s="81" t="str">
        <f>_xlfn.XLOOKUP(Calculations[[#This Row],[For XLOOKUP]],Factors[For XLOOKUP],Factors[Factor],"")</f>
        <v>Σ.Ε. CH₄ m.</v>
      </c>
      <c r="O549" s="81">
        <f>_xlfn.XLOOKUP(Calculations[[#This Row],[For XLOOKUP]],Factors[For XLOOKUP],Factors[Value],"")</f>
        <v>4.0348812857761131E-7</v>
      </c>
      <c r="P549" s="81" t="str">
        <f>_xlfn.XLOOKUP(Calculations[[#This Row],[For XLOOKUP]],Factors[For XLOOKUP],Factors[Units],"")</f>
        <v>tn CH4/kg</v>
      </c>
      <c r="Q549" s="19" t="str">
        <f>_xlfn.XLOOKUP(Calculations[[#This Row],[For XLOOKUP]],Factors[For XLOOKUP],Factors[Source],"")</f>
        <v>Greece. National Inventory Submissions 2024</v>
      </c>
      <c r="R54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9" s="81">
        <f>IF(LEFT(Calculations[[#This Row],[Emission Factor]],7)="Σ.Ε. CH",Calculations[[#This Row],[Value]]*Calculations[[#This Row],[Τιμή]],"-")</f>
        <v>2.7144663850058801E-2</v>
      </c>
      <c r="T54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9" s="81" t="str">
        <f>IF(LEFT(Calculations[[#This Row],[Emission Factor]],3)="GWP",Calculations[[#This Row],[Τιμή]],"-")</f>
        <v>-</v>
      </c>
      <c r="V549" s="81" t="str">
        <f>IF(OR(Calculations[[#This Row],[Emission Factor]]="Σ.Ε. CO₂ eq",Calculations[[#This Row],[Emission Factor]]="CO₂ eq"),Calculations[[#This Row],[Value]]*Calculations[[#This Row],[Τιμή]],"-")</f>
        <v>-</v>
      </c>
      <c r="W549" s="81" t="str">
        <f>IF(Calculations[[#This Row],[Πηγή εκπομπών]]="Electricity consumed in office buildings and projects - market based",Calculations[[#This Row],[t CO2]],"")</f>
        <v/>
      </c>
      <c r="X54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0.76005058780164636</v>
      </c>
    </row>
    <row r="550" spans="1:24" ht="15" hidden="1" thickTop="1">
      <c r="A550" s="15" t="s">
        <v>350</v>
      </c>
      <c r="B550" s="15" t="s">
        <v>778</v>
      </c>
      <c r="C550" s="16" t="s">
        <v>624</v>
      </c>
      <c r="D550" s="77" t="s">
        <v>895</v>
      </c>
      <c r="E550" s="77" t="s">
        <v>1141</v>
      </c>
      <c r="F550" s="16" t="s">
        <v>312</v>
      </c>
      <c r="G550" s="16" t="s">
        <v>779</v>
      </c>
      <c r="H550" s="15" t="s">
        <v>779</v>
      </c>
      <c r="I550" s="17" t="s">
        <v>346</v>
      </c>
      <c r="J550" s="79">
        <v>67275</v>
      </c>
      <c r="K550" s="18" t="s">
        <v>263</v>
      </c>
      <c r="L550" s="16" t="s">
        <v>1174</v>
      </c>
      <c r="M550" s="148" t="s">
        <v>1173</v>
      </c>
      <c r="N550" s="81" t="str">
        <f>_xlfn.XLOOKUP(Calculations[[#This Row],[For XLOOKUP]],Factors[For XLOOKUP],Factors[Factor],"")</f>
        <v>Σ.Ε. N2O m.</v>
      </c>
      <c r="O550" s="81">
        <f>_xlfn.XLOOKUP(Calculations[[#This Row],[For XLOOKUP]],Factors[For XLOOKUP],Factors[Value],"")</f>
        <v>7.8783876397673207E-8</v>
      </c>
      <c r="P550" s="81" t="str">
        <f>_xlfn.XLOOKUP(Calculations[[#This Row],[For XLOOKUP]],Factors[For XLOOKUP],Factors[Units],"")</f>
        <v>tn N2O/kg</v>
      </c>
      <c r="Q550" s="19" t="str">
        <f>_xlfn.XLOOKUP(Calculations[[#This Row],[For XLOOKUP]],Factors[For XLOOKUP],Factors[Source],"")</f>
        <v>Greece. National Inventory Submissions 2024</v>
      </c>
      <c r="R55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0" s="81" t="str">
        <f>IF(LEFT(Calculations[[#This Row],[Emission Factor]],7)="Σ.Ε. CH",Calculations[[#This Row],[Value]]*Calculations[[#This Row],[Τιμή]],"-")</f>
        <v>-</v>
      </c>
      <c r="T550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5.3001852846534647E-3</v>
      </c>
      <c r="U550" s="81" t="str">
        <f>IF(LEFT(Calculations[[#This Row],[Emission Factor]],3)="GWP",Calculations[[#This Row],[Τιμή]],"-")</f>
        <v>-</v>
      </c>
      <c r="V550" s="81" t="str">
        <f>IF(OR(Calculations[[#This Row],[Emission Factor]]="Σ.Ε. CO₂ eq",Calculations[[#This Row],[Emission Factor]]="CO₂ eq"),Calculations[[#This Row],[Value]]*Calculations[[#This Row],[Τιμή]],"-")</f>
        <v>-</v>
      </c>
      <c r="W550" s="81" t="str">
        <f>IF(Calculations[[#This Row],[Πηγή εκπομπών]]="Electricity consumed in office buildings and projects - market based",Calculations[[#This Row],[t CO2]],"")</f>
        <v/>
      </c>
      <c r="X55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1.4045491004331681</v>
      </c>
    </row>
    <row r="551" spans="1:24" ht="15" hidden="1" thickTop="1">
      <c r="A551" s="15" t="s">
        <v>350</v>
      </c>
      <c r="B551" s="15" t="s">
        <v>1077</v>
      </c>
      <c r="C551" s="16" t="s">
        <v>624</v>
      </c>
      <c r="D551" s="77" t="s">
        <v>895</v>
      </c>
      <c r="E551" s="77"/>
      <c r="F551" s="77" t="s">
        <v>319</v>
      </c>
      <c r="G551" s="16" t="s">
        <v>1079</v>
      </c>
      <c r="H551" s="16" t="s">
        <v>1079</v>
      </c>
      <c r="I551" s="17" t="s">
        <v>1078</v>
      </c>
      <c r="J551" s="78">
        <v>6168716</v>
      </c>
      <c r="K551" s="18" t="s">
        <v>756</v>
      </c>
      <c r="L551" s="16" t="s">
        <v>1068</v>
      </c>
      <c r="M551" s="148" t="s">
        <v>1059</v>
      </c>
      <c r="N551" s="81" t="str">
        <f>_xlfn.XLOOKUP(Calculations[[#This Row],[For XLOOKUP]],Factors[For XLOOKUP],Factors[Factor],"")</f>
        <v>Σ.Ε. CO₂ eq</v>
      </c>
      <c r="O551" s="81">
        <f>_xlfn.XLOOKUP(Calculations[[#This Row],[For XLOOKUP]],Factors[For XLOOKUP],Factors[Value],"")</f>
        <v>2.6850584395072131E-4</v>
      </c>
      <c r="P551" s="81" t="str">
        <f>_xlfn.XLOOKUP(Calculations[[#This Row],[For XLOOKUP]],Factors[For XLOOKUP],Factors[Units],"")</f>
        <v>tn CO2 eq/ €</v>
      </c>
      <c r="Q551" s="19" t="str">
        <f>_xlfn.XLOOKUP(Calculations[[#This Row],[For XLOOKUP]],Factors[For XLOOKUP],Factors[Source],"")</f>
        <v>EPA 2022</v>
      </c>
      <c r="R55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1" s="81" t="str">
        <f>IF(LEFT(Calculations[[#This Row],[Emission Factor]],7)="Σ.Ε. CH",Calculations[[#This Row],[Value]]*Calculations[[#This Row],[Τιμή]],"-")</f>
        <v>-</v>
      </c>
      <c r="T55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1" s="81" t="str">
        <f>IF(LEFT(Calculations[[#This Row],[Emission Factor]],3)="GWP",Calculations[[#This Row],[Τιμή]],"-")</f>
        <v>-</v>
      </c>
      <c r="V551" s="68">
        <f>IF(OR(Calculations[[#This Row],[Emission Factor]]="Σ.Ε. CO₂ eq",Calculations[[#This Row],[Emission Factor]]="CO₂ eq"),Calculations[[#This Row],[Value]]*Calculations[[#This Row],[Τιμή]],"-")</f>
        <v>1656.3362956723179</v>
      </c>
      <c r="W551" s="81" t="str">
        <f>IF(Calculations[[#This Row],[Πηγή εκπομπών]]="Electricity consumed in office buildings and projects - market based",Calculations[[#This Row],[t CO2]],"")</f>
        <v/>
      </c>
      <c r="X55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1656.3362956723179</v>
      </c>
    </row>
    <row r="552" spans="1:24" ht="15" hidden="1" thickTop="1">
      <c r="A552" s="15" t="s">
        <v>350</v>
      </c>
      <c r="B552" s="15" t="s">
        <v>1077</v>
      </c>
      <c r="C552" s="16" t="s">
        <v>624</v>
      </c>
      <c r="D552" s="77" t="s">
        <v>895</v>
      </c>
      <c r="E552" s="77"/>
      <c r="F552" s="77" t="s">
        <v>319</v>
      </c>
      <c r="G552" s="16" t="s">
        <v>1079</v>
      </c>
      <c r="H552" s="16" t="s">
        <v>1079</v>
      </c>
      <c r="I552" s="17" t="s">
        <v>1078</v>
      </c>
      <c r="J552" s="78">
        <v>626189</v>
      </c>
      <c r="K552" s="18" t="s">
        <v>756</v>
      </c>
      <c r="L552" s="16" t="s">
        <v>1069</v>
      </c>
      <c r="M552" s="148" t="s">
        <v>1061</v>
      </c>
      <c r="N552" s="81" t="str">
        <f>_xlfn.XLOOKUP(Calculations[[#This Row],[For XLOOKUP]],Factors[For XLOOKUP],Factors[Factor],"")</f>
        <v>Σ.Ε. CO₂ eq</v>
      </c>
      <c r="O552" s="81">
        <f>_xlfn.XLOOKUP(Calculations[[#This Row],[For XLOOKUP]],Factors[For XLOOKUP],Factors[Value],"")</f>
        <v>1.1687901442560809E-4</v>
      </c>
      <c r="P552" s="81" t="str">
        <f>_xlfn.XLOOKUP(Calculations[[#This Row],[For XLOOKUP]],Factors[For XLOOKUP],Factors[Units],"")</f>
        <v>tn CO2 eq/ €</v>
      </c>
      <c r="Q552" s="19" t="str">
        <f>_xlfn.XLOOKUP(Calculations[[#This Row],[For XLOOKUP]],Factors[For XLOOKUP],Factors[Source],"")</f>
        <v>EPA 2022</v>
      </c>
      <c r="R55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2" s="81" t="str">
        <f>IF(LEFT(Calculations[[#This Row],[Emission Factor]],7)="Σ.Ε. CH",Calculations[[#This Row],[Value]]*Calculations[[#This Row],[Τιμή]],"-")</f>
        <v>-</v>
      </c>
      <c r="T55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2" s="81" t="str">
        <f>IF(LEFT(Calculations[[#This Row],[Emission Factor]],3)="GWP",Calculations[[#This Row],[Τιμή]],"-")</f>
        <v>-</v>
      </c>
      <c r="V552" s="68">
        <f>IF(OR(Calculations[[#This Row],[Emission Factor]]="Σ.Ε. CO₂ eq",Calculations[[#This Row],[Emission Factor]]="CO₂ eq"),Calculations[[#This Row],[Value]]*Calculations[[#This Row],[Τιμή]],"-")</f>
        <v>73.188353164157107</v>
      </c>
      <c r="W552" s="81" t="str">
        <f>IF(Calculations[[#This Row],[Πηγή εκπομπών]]="Electricity consumed in office buildings and projects - market based",Calculations[[#This Row],[t CO2]],"")</f>
        <v/>
      </c>
      <c r="X55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73.188353164157107</v>
      </c>
    </row>
    <row r="553" spans="1:24" ht="15" hidden="1" thickTop="1">
      <c r="A553" s="15" t="s">
        <v>350</v>
      </c>
      <c r="B553" s="15" t="s">
        <v>1077</v>
      </c>
      <c r="C553" s="16" t="s">
        <v>624</v>
      </c>
      <c r="D553" s="77" t="s">
        <v>895</v>
      </c>
      <c r="E553" s="77"/>
      <c r="F553" s="77" t="s">
        <v>319</v>
      </c>
      <c r="G553" s="16" t="s">
        <v>1079</v>
      </c>
      <c r="H553" s="16" t="s">
        <v>1079</v>
      </c>
      <c r="I553" s="17" t="s">
        <v>1078</v>
      </c>
      <c r="J553" s="238">
        <v>253907</v>
      </c>
      <c r="K553" s="18" t="s">
        <v>756</v>
      </c>
      <c r="L553" s="16" t="s">
        <v>1070</v>
      </c>
      <c r="M553" s="296" t="s">
        <v>1059</v>
      </c>
      <c r="N553" s="81" t="str">
        <f>_xlfn.XLOOKUP(Calculations[[#This Row],[For XLOOKUP]],Factors[For XLOOKUP],Factors[Factor],"")</f>
        <v>Σ.Ε. CO₂ eq</v>
      </c>
      <c r="O553" s="81">
        <f>_xlfn.XLOOKUP(Calculations[[#This Row],[For XLOOKUP]],Factors[For XLOOKUP],Factors[Value],"")</f>
        <v>2.6850584395072131E-4</v>
      </c>
      <c r="P553" s="81" t="str">
        <f>_xlfn.XLOOKUP(Calculations[[#This Row],[For XLOOKUP]],Factors[For XLOOKUP],Factors[Units],"")</f>
        <v>tn CO2 eq/ €</v>
      </c>
      <c r="Q553" s="19" t="str">
        <f>_xlfn.XLOOKUP(Calculations[[#This Row],[For XLOOKUP]],Factors[For XLOOKUP],Factors[Source],"")</f>
        <v>EPA 2022</v>
      </c>
      <c r="R55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3" s="81" t="str">
        <f>IF(LEFT(Calculations[[#This Row],[Emission Factor]],7)="Σ.Ε. CH",Calculations[[#This Row],[Value]]*Calculations[[#This Row],[Τιμή]],"-")</f>
        <v>-</v>
      </c>
      <c r="T55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3" s="81" t="str">
        <f>IF(LEFT(Calculations[[#This Row],[Emission Factor]],3)="GWP",Calculations[[#This Row],[Τιμή]],"-")</f>
        <v>-</v>
      </c>
      <c r="V553" s="68">
        <f>IF(OR(Calculations[[#This Row],[Emission Factor]]="Σ.Ε. CO₂ eq",Calculations[[#This Row],[Emission Factor]]="CO₂ eq"),Calculations[[#This Row],[Value]]*Calculations[[#This Row],[Τιμή]],"-")</f>
        <v>68.175513319995801</v>
      </c>
      <c r="W553" s="81" t="str">
        <f>IF(Calculations[[#This Row],[Πηγή εκπομπών]]="Electricity consumed in office buildings and projects - market based",Calculations[[#This Row],[t CO2]],"")</f>
        <v/>
      </c>
      <c r="X55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68.175513319995801</v>
      </c>
    </row>
    <row r="554" spans="1:24" ht="15" hidden="1" thickTop="1">
      <c r="A554" s="15" t="s">
        <v>350</v>
      </c>
      <c r="B554" s="15" t="s">
        <v>1077</v>
      </c>
      <c r="C554" s="16" t="s">
        <v>624</v>
      </c>
      <c r="D554" s="77" t="s">
        <v>895</v>
      </c>
      <c r="E554" s="77"/>
      <c r="F554" s="16" t="s">
        <v>319</v>
      </c>
      <c r="G554" s="16" t="s">
        <v>1079</v>
      </c>
      <c r="H554" s="16" t="s">
        <v>1079</v>
      </c>
      <c r="I554" s="17" t="s">
        <v>1078</v>
      </c>
      <c r="J554" s="78">
        <v>642930.21539999999</v>
      </c>
      <c r="K554" s="18" t="s">
        <v>756</v>
      </c>
      <c r="L554" s="16" t="s">
        <v>1071</v>
      </c>
      <c r="M554" s="148" t="s">
        <v>1061</v>
      </c>
      <c r="N554" s="81" t="str">
        <f>_xlfn.XLOOKUP(Calculations[[#This Row],[For XLOOKUP]],Factors[For XLOOKUP],Factors[Factor],"")</f>
        <v>Σ.Ε. CO₂ eq</v>
      </c>
      <c r="O554" s="81">
        <f>_xlfn.XLOOKUP(Calculations[[#This Row],[For XLOOKUP]],Factors[For XLOOKUP],Factors[Value],"")</f>
        <v>1.1687901442560809E-4</v>
      </c>
      <c r="P554" s="81" t="str">
        <f>_xlfn.XLOOKUP(Calculations[[#This Row],[For XLOOKUP]],Factors[For XLOOKUP],Factors[Units],"")</f>
        <v>tn CO2 eq/ €</v>
      </c>
      <c r="Q554" s="19" t="str">
        <f>_xlfn.XLOOKUP(Calculations[[#This Row],[For XLOOKUP]],Factors[For XLOOKUP],Factors[Source],"")</f>
        <v>EPA 2022</v>
      </c>
      <c r="R55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4" s="81" t="str">
        <f>IF(LEFT(Calculations[[#This Row],[Emission Factor]],7)="Σ.Ε. CH",Calculations[[#This Row],[Value]]*Calculations[[#This Row],[Τιμή]],"-")</f>
        <v>-</v>
      </c>
      <c r="T55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4" s="81" t="str">
        <f>IF(LEFT(Calculations[[#This Row],[Emission Factor]],3)="GWP",Calculations[[#This Row],[Τιμή]],"-")</f>
        <v>-</v>
      </c>
      <c r="V554" s="68">
        <f>IF(OR(Calculations[[#This Row],[Emission Factor]]="Σ.Ε. CO₂ eq",Calculations[[#This Row],[Emission Factor]]="CO₂ eq"),Calculations[[#This Row],[Value]]*Calculations[[#This Row],[Τιμή]],"-")</f>
        <v>75.14504992039592</v>
      </c>
      <c r="W554" s="81" t="str">
        <f>IF(Calculations[[#This Row],[Πηγή εκπομπών]]="Electricity consumed in office buildings and projects - market based",Calculations[[#This Row],[t CO2]],"")</f>
        <v/>
      </c>
      <c r="X55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75.14504992039592</v>
      </c>
    </row>
    <row r="555" spans="1:24" ht="15" hidden="1" thickTop="1">
      <c r="A555" s="15" t="s">
        <v>350</v>
      </c>
      <c r="B555" s="15" t="s">
        <v>1077</v>
      </c>
      <c r="C555" s="16" t="s">
        <v>624</v>
      </c>
      <c r="D555" s="77" t="s">
        <v>895</v>
      </c>
      <c r="E555" s="77"/>
      <c r="F555" s="16" t="s">
        <v>319</v>
      </c>
      <c r="G555" s="16" t="s">
        <v>1079</v>
      </c>
      <c r="H555" s="16" t="s">
        <v>1079</v>
      </c>
      <c r="I555" s="17" t="s">
        <v>1078</v>
      </c>
      <c r="J555" s="78">
        <v>89334.443769999983</v>
      </c>
      <c r="K555" s="18" t="s">
        <v>756</v>
      </c>
      <c r="L555" s="16" t="s">
        <v>1072</v>
      </c>
      <c r="M555" s="148" t="s">
        <v>1061</v>
      </c>
      <c r="N555" s="81" t="str">
        <f>_xlfn.XLOOKUP(Calculations[[#This Row],[For XLOOKUP]],Factors[For XLOOKUP],Factors[Factor],"")</f>
        <v>Σ.Ε. CO₂ eq</v>
      </c>
      <c r="O555" s="81">
        <f>_xlfn.XLOOKUP(Calculations[[#This Row],[For XLOOKUP]],Factors[For XLOOKUP],Factors[Value],"")</f>
        <v>1.1687901442560809E-4</v>
      </c>
      <c r="P555" s="81" t="str">
        <f>_xlfn.XLOOKUP(Calculations[[#This Row],[For XLOOKUP]],Factors[For XLOOKUP],Factors[Units],"")</f>
        <v>tn CO2 eq/ €</v>
      </c>
      <c r="Q555" s="19" t="str">
        <f>_xlfn.XLOOKUP(Calculations[[#This Row],[For XLOOKUP]],Factors[For XLOOKUP],Factors[Source],"")</f>
        <v>EPA 2022</v>
      </c>
      <c r="R55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5" s="81" t="str">
        <f>IF(LEFT(Calculations[[#This Row],[Emission Factor]],7)="Σ.Ε. CH",Calculations[[#This Row],[Value]]*Calculations[[#This Row],[Τιμή]],"-")</f>
        <v>-</v>
      </c>
      <c r="T55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5" s="81" t="str">
        <f>IF(LEFT(Calculations[[#This Row],[Emission Factor]],3)="GWP",Calculations[[#This Row],[Τιμή]],"-")</f>
        <v>-</v>
      </c>
      <c r="V555" s="68">
        <f>IF(OR(Calculations[[#This Row],[Emission Factor]]="Σ.Ε. CO₂ eq",Calculations[[#This Row],[Emission Factor]]="CO₂ eq"),Calculations[[#This Row],[Value]]*Calculations[[#This Row],[Τιμή]],"-")</f>
        <v>10.441321742097504</v>
      </c>
      <c r="W555" s="81" t="str">
        <f>IF(Calculations[[#This Row],[Πηγή εκπομπών]]="Electricity consumed in office buildings and projects - market based",Calculations[[#This Row],[t CO2]],"")</f>
        <v/>
      </c>
      <c r="X55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10.441321742097504</v>
      </c>
    </row>
    <row r="556" spans="1:24" ht="15" hidden="1" thickTop="1">
      <c r="A556" s="15" t="s">
        <v>350</v>
      </c>
      <c r="B556" s="15" t="s">
        <v>1077</v>
      </c>
      <c r="C556" s="16" t="s">
        <v>624</v>
      </c>
      <c r="D556" s="77" t="s">
        <v>895</v>
      </c>
      <c r="E556" s="77"/>
      <c r="F556" s="16" t="s">
        <v>319</v>
      </c>
      <c r="G556" s="16" t="s">
        <v>1079</v>
      </c>
      <c r="H556" s="16" t="s">
        <v>1079</v>
      </c>
      <c r="I556" s="17" t="s">
        <v>1078</v>
      </c>
      <c r="J556" s="78">
        <v>2726410.2180000003</v>
      </c>
      <c r="K556" s="18" t="s">
        <v>756</v>
      </c>
      <c r="L556" s="16" t="s">
        <v>1073</v>
      </c>
      <c r="M556" s="148" t="s">
        <v>1059</v>
      </c>
      <c r="N556" s="81" t="str">
        <f>_xlfn.XLOOKUP(Calculations[[#This Row],[For XLOOKUP]],Factors[For XLOOKUP],Factors[Factor],"")</f>
        <v>Σ.Ε. CO₂ eq</v>
      </c>
      <c r="O556" s="81">
        <f>_xlfn.XLOOKUP(Calculations[[#This Row],[For XLOOKUP]],Factors[For XLOOKUP],Factors[Value],"")</f>
        <v>2.6850584395072131E-4</v>
      </c>
      <c r="P556" s="81" t="str">
        <f>_xlfn.XLOOKUP(Calculations[[#This Row],[For XLOOKUP]],Factors[For XLOOKUP],Factors[Units],"")</f>
        <v>tn CO2 eq/ €</v>
      </c>
      <c r="Q556" s="19" t="str">
        <f>_xlfn.XLOOKUP(Calculations[[#This Row],[For XLOOKUP]],Factors[For XLOOKUP],Factors[Source],"")</f>
        <v>EPA 2022</v>
      </c>
      <c r="R55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6" s="81" t="str">
        <f>IF(LEFT(Calculations[[#This Row],[Emission Factor]],7)="Σ.Ε. CH",Calculations[[#This Row],[Value]]*Calculations[[#This Row],[Τιμή]],"-")</f>
        <v>-</v>
      </c>
      <c r="T55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6" s="81" t="str">
        <f>IF(LEFT(Calculations[[#This Row],[Emission Factor]],3)="GWP",Calculations[[#This Row],[Τιμή]],"-")</f>
        <v>-</v>
      </c>
      <c r="V556" s="68">
        <f>IF(OR(Calculations[[#This Row],[Emission Factor]]="Σ.Ε. CO₂ eq",Calculations[[#This Row],[Emission Factor]]="CO₂ eq"),Calculations[[#This Row],[Value]]*Calculations[[#This Row],[Τιμή]],"-")</f>
        <v>732.05707653996012</v>
      </c>
      <c r="W556" s="81" t="str">
        <f>IF(Calculations[[#This Row],[Πηγή εκπομπών]]="Electricity consumed in office buildings and projects - market based",Calculations[[#This Row],[t CO2]],"")</f>
        <v/>
      </c>
      <c r="X55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732.05707653996012</v>
      </c>
    </row>
    <row r="557" spans="1:24" ht="15" hidden="1" thickTop="1">
      <c r="A557" s="15" t="s">
        <v>350</v>
      </c>
      <c r="B557" s="15" t="s">
        <v>1077</v>
      </c>
      <c r="C557" s="16" t="s">
        <v>624</v>
      </c>
      <c r="D557" s="77" t="s">
        <v>895</v>
      </c>
      <c r="E557" s="77"/>
      <c r="F557" s="16" t="s">
        <v>319</v>
      </c>
      <c r="G557" s="16" t="s">
        <v>1079</v>
      </c>
      <c r="H557" s="16" t="s">
        <v>1079</v>
      </c>
      <c r="I557" s="17" t="s">
        <v>1078</v>
      </c>
      <c r="J557" s="78">
        <v>22868202.831011996</v>
      </c>
      <c r="K557" s="18" t="s">
        <v>756</v>
      </c>
      <c r="L557" s="16" t="s">
        <v>1074</v>
      </c>
      <c r="M557" s="148" t="s">
        <v>1059</v>
      </c>
      <c r="N557" s="81" t="str">
        <f>_xlfn.XLOOKUP(Calculations[[#This Row],[For XLOOKUP]],Factors[For XLOOKUP],Factors[Factor],"")</f>
        <v>Σ.Ε. CO₂ eq</v>
      </c>
      <c r="O557" s="81">
        <f>_xlfn.XLOOKUP(Calculations[[#This Row],[For XLOOKUP]],Factors[For XLOOKUP],Factors[Value],"")</f>
        <v>2.6850584395072131E-4</v>
      </c>
      <c r="P557" s="81" t="str">
        <f>_xlfn.XLOOKUP(Calculations[[#This Row],[For XLOOKUP]],Factors[For XLOOKUP],Factors[Units],"")</f>
        <v>tn CO2 eq/ €</v>
      </c>
      <c r="Q557" s="19" t="str">
        <f>_xlfn.XLOOKUP(Calculations[[#This Row],[For XLOOKUP]],Factors[For XLOOKUP],Factors[Source],"")</f>
        <v>EPA 2022</v>
      </c>
      <c r="R55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7" s="81" t="str">
        <f>IF(LEFT(Calculations[[#This Row],[Emission Factor]],7)="Σ.Ε. CH",Calculations[[#This Row],[Value]]*Calculations[[#This Row],[Τιμή]],"-")</f>
        <v>-</v>
      </c>
      <c r="T55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7" s="81" t="str">
        <f>IF(LEFT(Calculations[[#This Row],[Emission Factor]],3)="GWP",Calculations[[#This Row],[Τιμή]],"-")</f>
        <v>-</v>
      </c>
      <c r="V557" s="68">
        <f>IF(OR(Calculations[[#This Row],[Emission Factor]]="Σ.Ε. CO₂ eq",Calculations[[#This Row],[Emission Factor]]="CO₂ eq"),Calculations[[#This Row],[Value]]*Calculations[[#This Row],[Τιμή]],"-")</f>
        <v>6140.2461007771499</v>
      </c>
      <c r="W557" s="81" t="str">
        <f>IF(Calculations[[#This Row],[Πηγή εκπομπών]]="Electricity consumed in office buildings and projects - market based",Calculations[[#This Row],[t CO2]],"")</f>
        <v/>
      </c>
      <c r="X55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6140.2461007771499</v>
      </c>
    </row>
    <row r="558" spans="1:24" ht="15" hidden="1" thickTop="1">
      <c r="A558" s="15" t="s">
        <v>350</v>
      </c>
      <c r="B558" s="15" t="s">
        <v>1077</v>
      </c>
      <c r="C558" s="16" t="s">
        <v>624</v>
      </c>
      <c r="D558" s="77" t="s">
        <v>895</v>
      </c>
      <c r="E558" s="77"/>
      <c r="F558" s="16" t="s">
        <v>317</v>
      </c>
      <c r="G558" s="16" t="s">
        <v>1079</v>
      </c>
      <c r="H558" s="16" t="s">
        <v>1079</v>
      </c>
      <c r="I558" s="17" t="s">
        <v>1078</v>
      </c>
      <c r="J558" s="78">
        <v>9604089.0019839965</v>
      </c>
      <c r="K558" s="18" t="s">
        <v>756</v>
      </c>
      <c r="L558" s="16" t="s">
        <v>1404</v>
      </c>
      <c r="M558" s="148" t="s">
        <v>1059</v>
      </c>
      <c r="N558" s="81" t="str">
        <f>_xlfn.XLOOKUP(Calculations[[#This Row],[For XLOOKUP]],Factors[For XLOOKUP],Factors[Factor],"")</f>
        <v>Σ.Ε. CO₂ eq</v>
      </c>
      <c r="O558" s="81">
        <f>_xlfn.XLOOKUP(Calculations[[#This Row],[For XLOOKUP]],Factors[For XLOOKUP],Factors[Value],"")</f>
        <v>2.6850584395072131E-4</v>
      </c>
      <c r="P558" s="81" t="str">
        <f>_xlfn.XLOOKUP(Calculations[[#This Row],[For XLOOKUP]],Factors[For XLOOKUP],Factors[Units],"")</f>
        <v>tn CO2 eq/ €</v>
      </c>
      <c r="Q558" s="19" t="str">
        <f>_xlfn.XLOOKUP(Calculations[[#This Row],[For XLOOKUP]],Factors[For XLOOKUP],Factors[Source],"")</f>
        <v>EPA 2022</v>
      </c>
      <c r="R55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8" s="81" t="str">
        <f>IF(LEFT(Calculations[[#This Row],[Emission Factor]],7)="Σ.Ε. CH",Calculations[[#This Row],[Value]]*Calculations[[#This Row],[Τιμή]],"-")</f>
        <v>-</v>
      </c>
      <c r="T55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8" s="81" t="str">
        <f>IF(LEFT(Calculations[[#This Row],[Emission Factor]],3)="GWP",Calculations[[#This Row],[Τιμή]],"-")</f>
        <v>-</v>
      </c>
      <c r="V558" s="68">
        <f>IF(OR(Calculations[[#This Row],[Emission Factor]]="Σ.Ε. CO₂ eq",Calculations[[#This Row],[Emission Factor]]="CO₂ eq"),Calculations[[#This Row],[Value]]*Calculations[[#This Row],[Τιμή]],"-")</f>
        <v>2578.7540228555536</v>
      </c>
      <c r="W558" s="81" t="str">
        <f>IF(Calculations[[#This Row],[Πηγή εκπομπών]]="Electricity consumed in office buildings and projects - market based",Calculations[[#This Row],[t CO2]],"")</f>
        <v/>
      </c>
      <c r="X55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2578.7540228555536</v>
      </c>
    </row>
    <row r="559" spans="1:24" ht="15" hidden="1" thickTop="1">
      <c r="A559" s="15" t="s">
        <v>350</v>
      </c>
      <c r="B559" s="15" t="s">
        <v>1077</v>
      </c>
      <c r="C559" s="16" t="s">
        <v>624</v>
      </c>
      <c r="D559" s="77" t="s">
        <v>895</v>
      </c>
      <c r="E559" s="77"/>
      <c r="F559" s="16" t="s">
        <v>317</v>
      </c>
      <c r="G559" s="16" t="s">
        <v>1079</v>
      </c>
      <c r="H559" s="16" t="s">
        <v>1079</v>
      </c>
      <c r="I559" s="17" t="s">
        <v>1078</v>
      </c>
      <c r="J559" s="78">
        <v>495713.59729999996</v>
      </c>
      <c r="K559" s="18" t="s">
        <v>756</v>
      </c>
      <c r="L559" s="16" t="s">
        <v>1405</v>
      </c>
      <c r="M559" s="148" t="s">
        <v>1059</v>
      </c>
      <c r="N559" s="81" t="str">
        <f>_xlfn.XLOOKUP(Calculations[[#This Row],[For XLOOKUP]],Factors[For XLOOKUP],Factors[Factor],"")</f>
        <v>Σ.Ε. CO₂ eq</v>
      </c>
      <c r="O559" s="81">
        <f>_xlfn.XLOOKUP(Calculations[[#This Row],[For XLOOKUP]],Factors[For XLOOKUP],Factors[Value],"")</f>
        <v>2.6850584395072131E-4</v>
      </c>
      <c r="P559" s="81" t="str">
        <f>_xlfn.XLOOKUP(Calculations[[#This Row],[For XLOOKUP]],Factors[For XLOOKUP],Factors[Units],"")</f>
        <v>tn CO2 eq/ €</v>
      </c>
      <c r="Q559" s="19" t="str">
        <f>_xlfn.XLOOKUP(Calculations[[#This Row],[For XLOOKUP]],Factors[For XLOOKUP],Factors[Source],"")</f>
        <v>EPA 2022</v>
      </c>
      <c r="R55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9" s="81" t="str">
        <f>IF(LEFT(Calculations[[#This Row],[Emission Factor]],7)="Σ.Ε. CH",Calculations[[#This Row],[Value]]*Calculations[[#This Row],[Τιμή]],"-")</f>
        <v>-</v>
      </c>
      <c r="T55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9" s="81" t="str">
        <f>IF(LEFT(Calculations[[#This Row],[Emission Factor]],3)="GWP",Calculations[[#This Row],[Τιμή]],"-")</f>
        <v>-</v>
      </c>
      <c r="V559" s="68">
        <f>IF(OR(Calculations[[#This Row],[Emission Factor]]="Σ.Ε. CO₂ eq",Calculations[[#This Row],[Emission Factor]]="CO₂ eq"),Calculations[[#This Row],[Value]]*Calculations[[#This Row],[Τιμή]],"-")</f>
        <v>133.1019978008845</v>
      </c>
      <c r="W559" s="81" t="str">
        <f>IF(Calculations[[#This Row],[Πηγή εκπομπών]]="Electricity consumed in office buildings and projects - market based",Calculations[[#This Row],[t CO2]],"")</f>
        <v/>
      </c>
      <c r="X55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133.1019978008845</v>
      </c>
    </row>
    <row r="560" spans="1:24" ht="15" hidden="1" thickTop="1">
      <c r="A560" s="15" t="s">
        <v>350</v>
      </c>
      <c r="B560" s="15" t="s">
        <v>1077</v>
      </c>
      <c r="C560" s="16" t="s">
        <v>624</v>
      </c>
      <c r="D560" s="77" t="s">
        <v>1144</v>
      </c>
      <c r="E560" s="77"/>
      <c r="F560" s="16" t="s">
        <v>317</v>
      </c>
      <c r="G560" s="16" t="s">
        <v>1079</v>
      </c>
      <c r="H560" s="16" t="s">
        <v>1079</v>
      </c>
      <c r="I560" s="17" t="s">
        <v>1078</v>
      </c>
      <c r="J560" s="78">
        <v>1285070</v>
      </c>
      <c r="K560" s="18" t="s">
        <v>756</v>
      </c>
      <c r="L560" s="94" t="s">
        <v>1406</v>
      </c>
      <c r="M560" s="148" t="s">
        <v>1408</v>
      </c>
      <c r="N560" s="19" t="str">
        <f>_xlfn.XLOOKUP(Calculations[[#This Row],[For XLOOKUP]],Factors[For XLOOKUP],Factors[Factor],"")</f>
        <v>Σ.Ε. CO₂ eq</v>
      </c>
      <c r="O560" s="19">
        <f>_xlfn.XLOOKUP(Calculations[[#This Row],[For XLOOKUP]],Factors[For XLOOKUP],Factors[Value],"")</f>
        <v>3.4500000000000005E-5</v>
      </c>
      <c r="P560" s="19" t="str">
        <f>_xlfn.XLOOKUP(Calculations[[#This Row],[For XLOOKUP]],Factors[For XLOOKUP],Factors[Units],"")</f>
        <v>tn CO2 eq/ €</v>
      </c>
      <c r="Q560" s="19" t="str">
        <f>_xlfn.XLOOKUP(Calculations[[#This Row],[For XLOOKUP]],Factors[For XLOOKUP],Factors[Source],"")</f>
        <v>EXIOBASE 2019 - GR</v>
      </c>
      <c r="R56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0" s="19" t="str">
        <f>IF(LEFT(Calculations[[#This Row],[Emission Factor]],7)="Σ.Ε. CH",Calculations[[#This Row],[Value]]*Calculations[[#This Row],[Τιμή]],"-")</f>
        <v>-</v>
      </c>
      <c r="T56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0" s="19" t="str">
        <f>IF(LEFT(Calculations[[#This Row],[Emission Factor]],3)="GWP",Calculations[[#This Row],[Τιμή]],"-")</f>
        <v>-</v>
      </c>
      <c r="V560" s="212">
        <f>IF(OR(Calculations[[#This Row],[Emission Factor]]="Σ.Ε. CO₂ eq",Calculations[[#This Row],[Emission Factor]]="CO₂ eq"),Calculations[[#This Row],[Value]]*Calculations[[#This Row],[Τιμή]],"-")</f>
        <v>44.334915000000009</v>
      </c>
      <c r="W560" s="19" t="str">
        <f>IF(Calculations[[#This Row],[Πηγή εκπομπών]]="Electricity consumed in office buildings and projects - market based",Calculations[[#This Row],[t CO2]],"")</f>
        <v/>
      </c>
      <c r="X56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44.334915000000009</v>
      </c>
    </row>
    <row r="561" spans="1:24" ht="15" hidden="1" thickTop="1">
      <c r="A561" s="15" t="s">
        <v>350</v>
      </c>
      <c r="B561" s="15" t="s">
        <v>580</v>
      </c>
      <c r="C561" s="16" t="s">
        <v>624</v>
      </c>
      <c r="D561" s="16" t="s">
        <v>895</v>
      </c>
      <c r="E561" s="16"/>
      <c r="F561" s="16"/>
      <c r="G561" s="16" t="s">
        <v>586</v>
      </c>
      <c r="H561" s="16" t="s">
        <v>348</v>
      </c>
      <c r="I561" s="17" t="s">
        <v>348</v>
      </c>
      <c r="J561" s="78">
        <v>201179.6</v>
      </c>
      <c r="K561" s="18" t="s">
        <v>462</v>
      </c>
      <c r="L561" s="94" t="s">
        <v>391</v>
      </c>
      <c r="M561" s="148" t="s">
        <v>502</v>
      </c>
      <c r="N561" s="81" t="str">
        <f>_xlfn.XLOOKUP(Calculations[[#This Row],[For XLOOKUP]],Factors[For XLOOKUP],Factors[Factor],"")</f>
        <v>Σ.Ε. CO₂ eq</v>
      </c>
      <c r="O561" s="81">
        <f>_xlfn.XLOOKUP(Calculations[[#This Row],[For XLOOKUP]],Factors[For XLOOKUP],Factors[Value],"")</f>
        <v>4.5980000000000001E-4</v>
      </c>
      <c r="P561" s="81" t="str">
        <f>_xlfn.XLOOKUP(Calculations[[#This Row],[For XLOOKUP]],Factors[For XLOOKUP],Factors[Units],"")</f>
        <v>tn CO2 eq/ €</v>
      </c>
      <c r="Q561" s="19" t="str">
        <f>_xlfn.XLOOKUP(Calculations[[#This Row],[For XLOOKUP]],Factors[For XLOOKUP],Factors[Source],"")</f>
        <v>EXIOBASE 2019 - GR</v>
      </c>
      <c r="R56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1" s="81" t="str">
        <f>IF(LEFT(Calculations[[#This Row],[Emission Factor]],7)="Σ.Ε. CH",Calculations[[#This Row],[Value]]*Calculations[[#This Row],[Τιμή]],"-")</f>
        <v>-</v>
      </c>
      <c r="T56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1" s="81" t="str">
        <f>IF(LEFT(Calculations[[#This Row],[Emission Factor]],3)="GWP",Calculations[[#This Row],[Τιμή]],"-")</f>
        <v>-</v>
      </c>
      <c r="V561" s="68">
        <f>IF(OR(Calculations[[#This Row],[Emission Factor]]="Σ.Ε. CO₂ eq",Calculations[[#This Row],[Emission Factor]]="CO₂ eq"),Calculations[[#This Row],[Value]]*Calculations[[#This Row],[Τιμή]],"-")</f>
        <v>92.502380080000009</v>
      </c>
      <c r="W561" s="81" t="str">
        <f>IF(Calculations[[#This Row],[Πηγή εκπομπών]]="Electricity consumed in office buildings and projects - market based",Calculations[[#This Row],[t CO2]],"")</f>
        <v/>
      </c>
      <c r="X56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92.502380080000009</v>
      </c>
    </row>
    <row r="562" spans="1:24" ht="15" hidden="1" thickTop="1">
      <c r="A562" s="15" t="s">
        <v>350</v>
      </c>
      <c r="B562" s="15" t="s">
        <v>580</v>
      </c>
      <c r="C562" s="16" t="s">
        <v>624</v>
      </c>
      <c r="D562" s="16" t="s">
        <v>895</v>
      </c>
      <c r="E562" s="16" t="s">
        <v>1139</v>
      </c>
      <c r="F562" s="16"/>
      <c r="G562" s="16" t="s">
        <v>586</v>
      </c>
      <c r="H562" s="16" t="s">
        <v>348</v>
      </c>
      <c r="I562" s="17" t="s">
        <v>348</v>
      </c>
      <c r="J562" s="78">
        <v>1500</v>
      </c>
      <c r="K562" s="18" t="s">
        <v>462</v>
      </c>
      <c r="L562" s="94" t="s">
        <v>391</v>
      </c>
      <c r="M562" s="148" t="s">
        <v>502</v>
      </c>
      <c r="N562" s="81" t="str">
        <f>_xlfn.XLOOKUP(Calculations[[#This Row],[For XLOOKUP]],Factors[For XLOOKUP],Factors[Factor],"")</f>
        <v>Σ.Ε. CO₂ eq</v>
      </c>
      <c r="O562" s="81">
        <f>_xlfn.XLOOKUP(Calculations[[#This Row],[For XLOOKUP]],Factors[For XLOOKUP],Factors[Value],"")</f>
        <v>4.5980000000000001E-4</v>
      </c>
      <c r="P562" s="81" t="str">
        <f>_xlfn.XLOOKUP(Calculations[[#This Row],[For XLOOKUP]],Factors[For XLOOKUP],Factors[Units],"")</f>
        <v>tn CO2 eq/ €</v>
      </c>
      <c r="Q562" s="19" t="str">
        <f>_xlfn.XLOOKUP(Calculations[[#This Row],[For XLOOKUP]],Factors[For XLOOKUP],Factors[Source],"")</f>
        <v>EXIOBASE 2019 - GR</v>
      </c>
      <c r="R56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2" s="81" t="str">
        <f>IF(LEFT(Calculations[[#This Row],[Emission Factor]],7)="Σ.Ε. CH",Calculations[[#This Row],[Value]]*Calculations[[#This Row],[Τιμή]],"-")</f>
        <v>-</v>
      </c>
      <c r="T56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2" s="81" t="str">
        <f>IF(LEFT(Calculations[[#This Row],[Emission Factor]],3)="GWP",Calculations[[#This Row],[Τιμή]],"-")</f>
        <v>-</v>
      </c>
      <c r="V562" s="68">
        <f>IF(OR(Calculations[[#This Row],[Emission Factor]]="Σ.Ε. CO₂ eq",Calculations[[#This Row],[Emission Factor]]="CO₂ eq"),Calculations[[#This Row],[Value]]*Calculations[[#This Row],[Τιμή]],"-")</f>
        <v>0.68969999999999998</v>
      </c>
      <c r="W562" s="81" t="str">
        <f>IF(Calculations[[#This Row],[Πηγή εκπομπών]]="Electricity consumed in office buildings and projects - market based",Calculations[[#This Row],[t CO2]],"")</f>
        <v/>
      </c>
      <c r="X56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0.68969999999999998</v>
      </c>
    </row>
    <row r="563" spans="1:24" ht="15" hidden="1" thickTop="1">
      <c r="A563" s="15" t="s">
        <v>350</v>
      </c>
      <c r="B563" s="15" t="s">
        <v>580</v>
      </c>
      <c r="C563" s="16" t="s">
        <v>624</v>
      </c>
      <c r="D563" s="16" t="s">
        <v>895</v>
      </c>
      <c r="E563" s="16" t="s">
        <v>1138</v>
      </c>
      <c r="F563" s="16"/>
      <c r="G563" s="16" t="s">
        <v>586</v>
      </c>
      <c r="H563" s="16" t="s">
        <v>348</v>
      </c>
      <c r="I563" s="17" t="s">
        <v>348</v>
      </c>
      <c r="J563" s="78">
        <v>4355</v>
      </c>
      <c r="K563" s="18" t="s">
        <v>462</v>
      </c>
      <c r="L563" s="94" t="s">
        <v>394</v>
      </c>
      <c r="M563" s="148" t="s">
        <v>505</v>
      </c>
      <c r="N563" s="81" t="str">
        <f>_xlfn.XLOOKUP(Calculations[[#This Row],[For XLOOKUP]],Factors[For XLOOKUP],Factors[Factor],"")</f>
        <v>Σ.Ε. CO₂ eq</v>
      </c>
      <c r="O563" s="81">
        <f>_xlfn.XLOOKUP(Calculations[[#This Row],[For XLOOKUP]],Factors[For XLOOKUP],Factors[Value],"")</f>
        <v>8.1360000000000004E-4</v>
      </c>
      <c r="P563" s="81" t="str">
        <f>_xlfn.XLOOKUP(Calculations[[#This Row],[For XLOOKUP]],Factors[For XLOOKUP],Factors[Units],"")</f>
        <v>tn CO2 eq/ €</v>
      </c>
      <c r="Q563" s="19" t="str">
        <f>_xlfn.XLOOKUP(Calculations[[#This Row],[For XLOOKUP]],Factors[For XLOOKUP],Factors[Source],"")</f>
        <v>EXIOBASE 2019 - GR</v>
      </c>
      <c r="R56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3" s="81" t="str">
        <f>IF(LEFT(Calculations[[#This Row],[Emission Factor]],7)="Σ.Ε. CH",Calculations[[#This Row],[Value]]*Calculations[[#This Row],[Τιμή]],"-")</f>
        <v>-</v>
      </c>
      <c r="T56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3" s="81" t="str">
        <f>IF(LEFT(Calculations[[#This Row],[Emission Factor]],3)="GWP",Calculations[[#This Row],[Τιμή]],"-")</f>
        <v>-</v>
      </c>
      <c r="V563" s="68">
        <f>IF(OR(Calculations[[#This Row],[Emission Factor]]="Σ.Ε. CO₂ eq",Calculations[[#This Row],[Emission Factor]]="CO₂ eq"),Calculations[[#This Row],[Value]]*Calculations[[#This Row],[Τιμή]],"-")</f>
        <v>3.543228</v>
      </c>
      <c r="W563" s="81" t="str">
        <f>IF(Calculations[[#This Row],[Πηγή εκπομπών]]="Electricity consumed in office buildings and projects - market based",Calculations[[#This Row],[t CO2]],"")</f>
        <v/>
      </c>
      <c r="X56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3.543228</v>
      </c>
    </row>
    <row r="564" spans="1:24" ht="15" hidden="1" thickTop="1">
      <c r="A564" s="15" t="s">
        <v>350</v>
      </c>
      <c r="B564" s="15" t="s">
        <v>580</v>
      </c>
      <c r="C564" s="16" t="s">
        <v>624</v>
      </c>
      <c r="D564" s="16" t="s">
        <v>895</v>
      </c>
      <c r="E564" s="16" t="s">
        <v>1134</v>
      </c>
      <c r="F564" s="16"/>
      <c r="G564" s="16" t="s">
        <v>586</v>
      </c>
      <c r="H564" s="16" t="s">
        <v>348</v>
      </c>
      <c r="I564" s="17" t="s">
        <v>348</v>
      </c>
      <c r="J564" s="78">
        <v>7082.15</v>
      </c>
      <c r="K564" s="18" t="s">
        <v>462</v>
      </c>
      <c r="L564" s="94" t="s">
        <v>391</v>
      </c>
      <c r="M564" s="148" t="s">
        <v>502</v>
      </c>
      <c r="N564" s="81" t="str">
        <f>_xlfn.XLOOKUP(Calculations[[#This Row],[For XLOOKUP]],Factors[For XLOOKUP],Factors[Factor],"")</f>
        <v>Σ.Ε. CO₂ eq</v>
      </c>
      <c r="O564" s="81">
        <f>_xlfn.XLOOKUP(Calculations[[#This Row],[For XLOOKUP]],Factors[For XLOOKUP],Factors[Value],"")</f>
        <v>4.5980000000000001E-4</v>
      </c>
      <c r="P564" s="81" t="str">
        <f>_xlfn.XLOOKUP(Calculations[[#This Row],[For XLOOKUP]],Factors[For XLOOKUP],Factors[Units],"")</f>
        <v>tn CO2 eq/ €</v>
      </c>
      <c r="Q564" s="19" t="str">
        <f>_xlfn.XLOOKUP(Calculations[[#This Row],[For XLOOKUP]],Factors[For XLOOKUP],Factors[Source],"")</f>
        <v>EXIOBASE 2019 - GR</v>
      </c>
      <c r="R56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4" s="81" t="str">
        <f>IF(LEFT(Calculations[[#This Row],[Emission Factor]],7)="Σ.Ε. CH",Calculations[[#This Row],[Value]]*Calculations[[#This Row],[Τιμή]],"-")</f>
        <v>-</v>
      </c>
      <c r="T56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4" s="81" t="str">
        <f>IF(LEFT(Calculations[[#This Row],[Emission Factor]],3)="GWP",Calculations[[#This Row],[Τιμή]],"-")</f>
        <v>-</v>
      </c>
      <c r="V564" s="68">
        <f>IF(OR(Calculations[[#This Row],[Emission Factor]]="Σ.Ε. CO₂ eq",Calculations[[#This Row],[Emission Factor]]="CO₂ eq"),Calculations[[#This Row],[Value]]*Calculations[[#This Row],[Τιμή]],"-")</f>
        <v>3.2563725699999999</v>
      </c>
      <c r="W564" s="81" t="str">
        <f>IF(Calculations[[#This Row],[Πηγή εκπομπών]]="Electricity consumed in office buildings and projects - market based",Calculations[[#This Row],[t CO2]],"")</f>
        <v/>
      </c>
      <c r="X56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3.2563725699999999</v>
      </c>
    </row>
    <row r="565" spans="1:24" ht="15" hidden="1" thickTop="1">
      <c r="A565" s="15" t="s">
        <v>350</v>
      </c>
      <c r="B565" s="15" t="s">
        <v>580</v>
      </c>
      <c r="C565" s="16" t="s">
        <v>624</v>
      </c>
      <c r="D565" s="16" t="s">
        <v>895</v>
      </c>
      <c r="E565" s="16" t="s">
        <v>1134</v>
      </c>
      <c r="F565" s="16"/>
      <c r="G565" s="16" t="s">
        <v>586</v>
      </c>
      <c r="H565" s="16" t="s">
        <v>348</v>
      </c>
      <c r="I565" s="17" t="s">
        <v>348</v>
      </c>
      <c r="J565" s="78">
        <v>38009.19</v>
      </c>
      <c r="K565" s="18" t="s">
        <v>462</v>
      </c>
      <c r="L565" s="94" t="s">
        <v>394</v>
      </c>
      <c r="M565" s="148" t="s">
        <v>505</v>
      </c>
      <c r="N565" s="81" t="str">
        <f>_xlfn.XLOOKUP(Calculations[[#This Row],[For XLOOKUP]],Factors[For XLOOKUP],Factors[Factor],"")</f>
        <v>Σ.Ε. CO₂ eq</v>
      </c>
      <c r="O565" s="81">
        <f>_xlfn.XLOOKUP(Calculations[[#This Row],[For XLOOKUP]],Factors[For XLOOKUP],Factors[Value],"")</f>
        <v>8.1360000000000004E-4</v>
      </c>
      <c r="P565" s="81" t="str">
        <f>_xlfn.XLOOKUP(Calculations[[#This Row],[For XLOOKUP]],Factors[For XLOOKUP],Factors[Units],"")</f>
        <v>tn CO2 eq/ €</v>
      </c>
      <c r="Q565" s="19" t="str">
        <f>_xlfn.XLOOKUP(Calculations[[#This Row],[For XLOOKUP]],Factors[For XLOOKUP],Factors[Source],"")</f>
        <v>EXIOBASE 2019 - GR</v>
      </c>
      <c r="R56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5" s="81" t="str">
        <f>IF(LEFT(Calculations[[#This Row],[Emission Factor]],7)="Σ.Ε. CH",Calculations[[#This Row],[Value]]*Calculations[[#This Row],[Τιμή]],"-")</f>
        <v>-</v>
      </c>
      <c r="T56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5" s="81" t="str">
        <f>IF(LEFT(Calculations[[#This Row],[Emission Factor]],3)="GWP",Calculations[[#This Row],[Τιμή]],"-")</f>
        <v>-</v>
      </c>
      <c r="V565" s="68">
        <f>IF(OR(Calculations[[#This Row],[Emission Factor]]="Σ.Ε. CO₂ eq",Calculations[[#This Row],[Emission Factor]]="CO₂ eq"),Calculations[[#This Row],[Value]]*Calculations[[#This Row],[Τιμή]],"-")</f>
        <v>30.924276984000002</v>
      </c>
      <c r="W565" s="81" t="str">
        <f>IF(Calculations[[#This Row],[Πηγή εκπομπών]]="Electricity consumed in office buildings and projects - market based",Calculations[[#This Row],[t CO2]],"")</f>
        <v/>
      </c>
      <c r="X56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30.924276984000002</v>
      </c>
    </row>
    <row r="566" spans="1:24" ht="15" hidden="1" thickTop="1">
      <c r="A566" s="15" t="s">
        <v>350</v>
      </c>
      <c r="B566" s="15" t="s">
        <v>580</v>
      </c>
      <c r="C566" s="16" t="s">
        <v>624</v>
      </c>
      <c r="D566" s="16" t="s">
        <v>895</v>
      </c>
      <c r="E566" s="16" t="s">
        <v>1140</v>
      </c>
      <c r="F566" s="16" t="s">
        <v>322</v>
      </c>
      <c r="G566" s="16" t="s">
        <v>586</v>
      </c>
      <c r="H566" s="16" t="s">
        <v>348</v>
      </c>
      <c r="I566" s="17" t="s">
        <v>348</v>
      </c>
      <c r="J566" s="78">
        <v>9806.74</v>
      </c>
      <c r="K566" s="18" t="s">
        <v>462</v>
      </c>
      <c r="L566" s="94" t="s">
        <v>416</v>
      </c>
      <c r="M566" s="148" t="s">
        <v>527</v>
      </c>
      <c r="N566" s="81" t="str">
        <f>_xlfn.XLOOKUP(Calculations[[#This Row],[For XLOOKUP]],Factors[For XLOOKUP],Factors[Factor],"")</f>
        <v>Σ.Ε. CO₂ eq</v>
      </c>
      <c r="O566" s="81">
        <f>_xlfn.XLOOKUP(Calculations[[#This Row],[For XLOOKUP]],Factors[For XLOOKUP],Factors[Value],"")</f>
        <v>4.749E-4</v>
      </c>
      <c r="P566" s="81" t="str">
        <f>_xlfn.XLOOKUP(Calculations[[#This Row],[For XLOOKUP]],Factors[For XLOOKUP],Factors[Units],"")</f>
        <v>tn CO2 eq/ €</v>
      </c>
      <c r="Q566" s="19" t="str">
        <f>_xlfn.XLOOKUP(Calculations[[#This Row],[For XLOOKUP]],Factors[For XLOOKUP],Factors[Source],"")</f>
        <v>EXIOBASE 2019 - GR</v>
      </c>
      <c r="R56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6" s="81" t="str">
        <f>IF(LEFT(Calculations[[#This Row],[Emission Factor]],7)="Σ.Ε. CH",Calculations[[#This Row],[Value]]*Calculations[[#This Row],[Τιμή]],"-")</f>
        <v>-</v>
      </c>
      <c r="T56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6" s="81" t="str">
        <f>IF(LEFT(Calculations[[#This Row],[Emission Factor]],3)="GWP",Calculations[[#This Row],[Τιμή]],"-")</f>
        <v>-</v>
      </c>
      <c r="V566" s="68">
        <f>IF(OR(Calculations[[#This Row],[Emission Factor]]="Σ.Ε. CO₂ eq",Calculations[[#This Row],[Emission Factor]]="CO₂ eq"),Calculations[[#This Row],[Value]]*Calculations[[#This Row],[Τιμή]],"-")</f>
        <v>4.6572208259999996</v>
      </c>
      <c r="W566" s="81" t="str">
        <f>IF(Calculations[[#This Row],[Πηγή εκπομπών]]="Electricity consumed in office buildings and projects - market based",Calculations[[#This Row],[t CO2]],"")</f>
        <v/>
      </c>
      <c r="X56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4.6572208259999996</v>
      </c>
    </row>
    <row r="567" spans="1:24" ht="15" hidden="1" thickTop="1">
      <c r="A567" s="15" t="s">
        <v>350</v>
      </c>
      <c r="B567" s="15" t="s">
        <v>580</v>
      </c>
      <c r="C567" s="16" t="s">
        <v>624</v>
      </c>
      <c r="D567" s="16" t="s">
        <v>895</v>
      </c>
      <c r="E567" s="16" t="s">
        <v>1140</v>
      </c>
      <c r="F567" s="16" t="s">
        <v>322</v>
      </c>
      <c r="G567" s="16" t="s">
        <v>586</v>
      </c>
      <c r="H567" s="16" t="s">
        <v>348</v>
      </c>
      <c r="I567" s="17" t="s">
        <v>348</v>
      </c>
      <c r="J567" s="78">
        <v>5484.66</v>
      </c>
      <c r="K567" s="18" t="s">
        <v>462</v>
      </c>
      <c r="L567" s="94" t="s">
        <v>424</v>
      </c>
      <c r="M567" s="148" t="s">
        <v>535</v>
      </c>
      <c r="N567" s="81" t="str">
        <f>_xlfn.XLOOKUP(Calculations[[#This Row],[For XLOOKUP]],Factors[For XLOOKUP],Factors[Factor],"")</f>
        <v>Σ.Ε. CO₂ eq</v>
      </c>
      <c r="O567" s="81">
        <f>_xlfn.XLOOKUP(Calculations[[#This Row],[For XLOOKUP]],Factors[For XLOOKUP],Factors[Value],"")</f>
        <v>1.758E-3</v>
      </c>
      <c r="P567" s="81" t="str">
        <f>_xlfn.XLOOKUP(Calculations[[#This Row],[For XLOOKUP]],Factors[For XLOOKUP],Factors[Units],"")</f>
        <v>tn CO2 eq/ €</v>
      </c>
      <c r="Q567" s="19" t="str">
        <f>_xlfn.XLOOKUP(Calculations[[#This Row],[For XLOOKUP]],Factors[For XLOOKUP],Factors[Source],"")</f>
        <v>EXIOBASE 2019 - GR</v>
      </c>
      <c r="R56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7" s="81" t="str">
        <f>IF(LEFT(Calculations[[#This Row],[Emission Factor]],7)="Σ.Ε. CH",Calculations[[#This Row],[Value]]*Calculations[[#This Row],[Τιμή]],"-")</f>
        <v>-</v>
      </c>
      <c r="T56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7" s="81" t="str">
        <f>IF(LEFT(Calculations[[#This Row],[Emission Factor]],3)="GWP",Calculations[[#This Row],[Τιμή]],"-")</f>
        <v>-</v>
      </c>
      <c r="V567" s="68">
        <f>IF(OR(Calculations[[#This Row],[Emission Factor]]="Σ.Ε. CO₂ eq",Calculations[[#This Row],[Emission Factor]]="CO₂ eq"),Calculations[[#This Row],[Value]]*Calculations[[#This Row],[Τιμή]],"-")</f>
        <v>9.6420322800000005</v>
      </c>
      <c r="W567" s="81" t="str">
        <f>IF(Calculations[[#This Row],[Πηγή εκπομπών]]="Electricity consumed in office buildings and projects - market based",Calculations[[#This Row],[t CO2]],"")</f>
        <v/>
      </c>
      <c r="X56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9.6420322800000005</v>
      </c>
    </row>
    <row r="568" spans="1:24" ht="15" hidden="1" thickTop="1">
      <c r="A568" s="15" t="s">
        <v>350</v>
      </c>
      <c r="B568" s="15" t="s">
        <v>580</v>
      </c>
      <c r="C568" s="16" t="s">
        <v>624</v>
      </c>
      <c r="D568" s="16" t="s">
        <v>895</v>
      </c>
      <c r="E568" s="16" t="s">
        <v>1140</v>
      </c>
      <c r="F568" s="16" t="s">
        <v>322</v>
      </c>
      <c r="G568" s="16" t="s">
        <v>586</v>
      </c>
      <c r="H568" s="16" t="s">
        <v>348</v>
      </c>
      <c r="I568" s="17" t="s">
        <v>348</v>
      </c>
      <c r="J568" s="78">
        <v>524780</v>
      </c>
      <c r="K568" s="18" t="s">
        <v>462</v>
      </c>
      <c r="L568" s="94" t="s">
        <v>445</v>
      </c>
      <c r="M568" s="148" t="s">
        <v>556</v>
      </c>
      <c r="N568" s="81" t="str">
        <f>_xlfn.XLOOKUP(Calculations[[#This Row],[For XLOOKUP]],Factors[For XLOOKUP],Factors[Factor],"")</f>
        <v>Σ.Ε. CO₂ eq</v>
      </c>
      <c r="O568" s="81">
        <f>_xlfn.XLOOKUP(Calculations[[#This Row],[For XLOOKUP]],Factors[For XLOOKUP],Factors[Value],"")</f>
        <v>3.368E-4</v>
      </c>
      <c r="P568" s="81" t="str">
        <f>_xlfn.XLOOKUP(Calculations[[#This Row],[For XLOOKUP]],Factors[For XLOOKUP],Factors[Units],"")</f>
        <v>tn CO2 eq/ €</v>
      </c>
      <c r="Q568" s="19" t="str">
        <f>_xlfn.XLOOKUP(Calculations[[#This Row],[For XLOOKUP]],Factors[For XLOOKUP],Factors[Source],"")</f>
        <v>EXIOBASE 2019 - GR</v>
      </c>
      <c r="R56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8" s="81" t="str">
        <f>IF(LEFT(Calculations[[#This Row],[Emission Factor]],7)="Σ.Ε. CH",Calculations[[#This Row],[Value]]*Calculations[[#This Row],[Τιμή]],"-")</f>
        <v>-</v>
      </c>
      <c r="T56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8" s="81" t="str">
        <f>IF(LEFT(Calculations[[#This Row],[Emission Factor]],3)="GWP",Calculations[[#This Row],[Τιμή]],"-")</f>
        <v>-</v>
      </c>
      <c r="V568" s="68">
        <f>IF(OR(Calculations[[#This Row],[Emission Factor]]="Σ.Ε. CO₂ eq",Calculations[[#This Row],[Emission Factor]]="CO₂ eq"),Calculations[[#This Row],[Value]]*Calculations[[#This Row],[Τιμή]],"-")</f>
        <v>176.745904</v>
      </c>
      <c r="W568" s="81" t="str">
        <f>IF(Calculations[[#This Row],[Πηγή εκπομπών]]="Electricity consumed in office buildings and projects - market based",Calculations[[#This Row],[t CO2]],"")</f>
        <v/>
      </c>
      <c r="X56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176.745904</v>
      </c>
    </row>
    <row r="569" spans="1:24" ht="15" hidden="1" thickTop="1">
      <c r="A569" s="15" t="s">
        <v>350</v>
      </c>
      <c r="B569" s="15" t="s">
        <v>580</v>
      </c>
      <c r="C569" s="16" t="s">
        <v>624</v>
      </c>
      <c r="D569" s="16" t="s">
        <v>895</v>
      </c>
      <c r="E569" s="16" t="s">
        <v>1140</v>
      </c>
      <c r="F569" s="16" t="s">
        <v>322</v>
      </c>
      <c r="G569" s="16" t="s">
        <v>586</v>
      </c>
      <c r="H569" s="16" t="s">
        <v>348</v>
      </c>
      <c r="I569" s="17" t="s">
        <v>348</v>
      </c>
      <c r="J569" s="78">
        <v>13242.35</v>
      </c>
      <c r="K569" s="18" t="s">
        <v>462</v>
      </c>
      <c r="L569" s="94" t="s">
        <v>365</v>
      </c>
      <c r="M569" s="148" t="s">
        <v>476</v>
      </c>
      <c r="N569" s="81" t="str">
        <f>_xlfn.XLOOKUP(Calculations[[#This Row],[For XLOOKUP]],Factors[For XLOOKUP],Factors[Factor],"")</f>
        <v>Σ.Ε. CO₂ eq</v>
      </c>
      <c r="O569" s="81">
        <f>_xlfn.XLOOKUP(Calculations[[#This Row],[For XLOOKUP]],Factors[For XLOOKUP],Factors[Value],"")</f>
        <v>1.93752E-4</v>
      </c>
      <c r="P569" s="81" t="str">
        <f>_xlfn.XLOOKUP(Calculations[[#This Row],[For XLOOKUP]],Factors[For XLOOKUP],Factors[Units],"")</f>
        <v>tn CO2 eq/ €</v>
      </c>
      <c r="Q569" s="19" t="str">
        <f>_xlfn.XLOOKUP(Calculations[[#This Row],[For XLOOKUP]],Factors[For XLOOKUP],Factors[Source],"")</f>
        <v>EPA 2022</v>
      </c>
      <c r="R56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9" s="81" t="str">
        <f>IF(LEFT(Calculations[[#This Row],[Emission Factor]],7)="Σ.Ε. CH",Calculations[[#This Row],[Value]]*Calculations[[#This Row],[Τιμή]],"-")</f>
        <v>-</v>
      </c>
      <c r="T56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9" s="81" t="str">
        <f>IF(LEFT(Calculations[[#This Row],[Emission Factor]],3)="GWP",Calculations[[#This Row],[Τιμή]],"-")</f>
        <v>-</v>
      </c>
      <c r="V569" s="68">
        <f>IF(OR(Calculations[[#This Row],[Emission Factor]]="Σ.Ε. CO₂ eq",Calculations[[#This Row],[Emission Factor]]="CO₂ eq"),Calculations[[#This Row],[Value]]*Calculations[[#This Row],[Τιμή]],"-")</f>
        <v>2.5657317972000002</v>
      </c>
      <c r="W569" s="81" t="str">
        <f>IF(Calculations[[#This Row],[Πηγή εκπομπών]]="Electricity consumed in office buildings and projects - market based",Calculations[[#This Row],[t CO2]],"")</f>
        <v/>
      </c>
      <c r="X56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2.5657317972000002</v>
      </c>
    </row>
    <row r="570" spans="1:24" ht="15" hidden="1" thickTop="1">
      <c r="A570" s="15" t="s">
        <v>350</v>
      </c>
      <c r="B570" s="15" t="s">
        <v>580</v>
      </c>
      <c r="C570" s="16" t="s">
        <v>624</v>
      </c>
      <c r="D570" s="16" t="s">
        <v>895</v>
      </c>
      <c r="E570" s="16" t="s">
        <v>1140</v>
      </c>
      <c r="F570" s="16" t="s">
        <v>322</v>
      </c>
      <c r="G570" s="16" t="s">
        <v>586</v>
      </c>
      <c r="H570" s="16" t="s">
        <v>348</v>
      </c>
      <c r="I570" s="17" t="s">
        <v>348</v>
      </c>
      <c r="J570" s="78">
        <v>11947.96</v>
      </c>
      <c r="K570" s="18" t="s">
        <v>462</v>
      </c>
      <c r="L570" s="94" t="s">
        <v>391</v>
      </c>
      <c r="M570" s="148" t="s">
        <v>502</v>
      </c>
      <c r="N570" s="81" t="str">
        <f>_xlfn.XLOOKUP(Calculations[[#This Row],[For XLOOKUP]],Factors[For XLOOKUP],Factors[Factor],"")</f>
        <v>Σ.Ε. CO₂ eq</v>
      </c>
      <c r="O570" s="81">
        <f>_xlfn.XLOOKUP(Calculations[[#This Row],[For XLOOKUP]],Factors[For XLOOKUP],Factors[Value],"")</f>
        <v>4.5980000000000001E-4</v>
      </c>
      <c r="P570" s="81" t="str">
        <f>_xlfn.XLOOKUP(Calculations[[#This Row],[For XLOOKUP]],Factors[For XLOOKUP],Factors[Units],"")</f>
        <v>tn CO2 eq/ €</v>
      </c>
      <c r="Q570" s="19" t="str">
        <f>_xlfn.XLOOKUP(Calculations[[#This Row],[For XLOOKUP]],Factors[For XLOOKUP],Factors[Source],"")</f>
        <v>EXIOBASE 2019 - GR</v>
      </c>
      <c r="R57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0" s="81" t="str">
        <f>IF(LEFT(Calculations[[#This Row],[Emission Factor]],7)="Σ.Ε. CH",Calculations[[#This Row],[Value]]*Calculations[[#This Row],[Τιμή]],"-")</f>
        <v>-</v>
      </c>
      <c r="T57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0" s="81" t="str">
        <f>IF(LEFT(Calculations[[#This Row],[Emission Factor]],3)="GWP",Calculations[[#This Row],[Τιμή]],"-")</f>
        <v>-</v>
      </c>
      <c r="V570" s="68">
        <f>IF(OR(Calculations[[#This Row],[Emission Factor]]="Σ.Ε. CO₂ eq",Calculations[[#This Row],[Emission Factor]]="CO₂ eq"),Calculations[[#This Row],[Value]]*Calculations[[#This Row],[Τιμή]],"-")</f>
        <v>5.4936720079999999</v>
      </c>
      <c r="W570" s="81" t="str">
        <f>IF(Calculations[[#This Row],[Πηγή εκπομπών]]="Electricity consumed in office buildings and projects - market based",Calculations[[#This Row],[t CO2]],"")</f>
        <v/>
      </c>
      <c r="X57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5.4936720079999999</v>
      </c>
    </row>
    <row r="571" spans="1:24" ht="15" hidden="1" thickTop="1">
      <c r="A571" s="15" t="s">
        <v>350</v>
      </c>
      <c r="B571" s="15" t="s">
        <v>580</v>
      </c>
      <c r="C571" s="16" t="s">
        <v>624</v>
      </c>
      <c r="D571" s="16" t="s">
        <v>895</v>
      </c>
      <c r="E571" s="16" t="s">
        <v>1140</v>
      </c>
      <c r="F571" s="16" t="s">
        <v>322</v>
      </c>
      <c r="G571" s="16" t="s">
        <v>586</v>
      </c>
      <c r="H571" s="16" t="s">
        <v>348</v>
      </c>
      <c r="I571" s="17" t="s">
        <v>348</v>
      </c>
      <c r="J571" s="78">
        <v>1200</v>
      </c>
      <c r="K571" s="18" t="s">
        <v>462</v>
      </c>
      <c r="L571" s="94" t="s">
        <v>582</v>
      </c>
      <c r="M571" s="148" t="s">
        <v>581</v>
      </c>
      <c r="N571" s="81" t="str">
        <f>_xlfn.XLOOKUP(Calculations[[#This Row],[For XLOOKUP]],Factors[For XLOOKUP],Factors[Factor],"")</f>
        <v>Σ.Ε. CO₂ eq</v>
      </c>
      <c r="O571" s="81">
        <f>_xlfn.XLOOKUP(Calculations[[#This Row],[For XLOOKUP]],Factors[For XLOOKUP],Factors[Value],"")</f>
        <v>1.6581684E-4</v>
      </c>
      <c r="P571" s="81" t="str">
        <f>_xlfn.XLOOKUP(Calculations[[#This Row],[For XLOOKUP]],Factors[For XLOOKUP],Factors[Units],"")</f>
        <v>tn CO2 eq/ €</v>
      </c>
      <c r="Q571" s="19" t="str">
        <f>_xlfn.XLOOKUP(Calculations[[#This Row],[For XLOOKUP]],Factors[For XLOOKUP],Factors[Source],"")</f>
        <v>BEIS 2021</v>
      </c>
      <c r="R57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1" s="81" t="str">
        <f>IF(LEFT(Calculations[[#This Row],[Emission Factor]],7)="Σ.Ε. CH",Calculations[[#This Row],[Value]]*Calculations[[#This Row],[Τιμή]],"-")</f>
        <v>-</v>
      </c>
      <c r="T57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1" s="81" t="str">
        <f>IF(LEFT(Calculations[[#This Row],[Emission Factor]],3)="GWP",Calculations[[#This Row],[Τιμή]],"-")</f>
        <v>-</v>
      </c>
      <c r="V571" s="68">
        <f>IF(OR(Calculations[[#This Row],[Emission Factor]]="Σ.Ε. CO₂ eq",Calculations[[#This Row],[Emission Factor]]="CO₂ eq"),Calculations[[#This Row],[Value]]*Calculations[[#This Row],[Τιμή]],"-")</f>
        <v>0.19898020799999999</v>
      </c>
      <c r="W571" s="81" t="str">
        <f>IF(Calculations[[#This Row],[Πηγή εκπομπών]]="Electricity consumed in office buildings and projects - market based",Calculations[[#This Row],[t CO2]],"")</f>
        <v/>
      </c>
      <c r="X57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0.19898020799999999</v>
      </c>
    </row>
    <row r="572" spans="1:24" ht="15" hidden="1" thickTop="1">
      <c r="A572" s="15" t="s">
        <v>350</v>
      </c>
      <c r="B572" s="15" t="s">
        <v>580</v>
      </c>
      <c r="C572" s="16" t="s">
        <v>624</v>
      </c>
      <c r="D572" s="16" t="s">
        <v>895</v>
      </c>
      <c r="E572" s="16" t="s">
        <v>1140</v>
      </c>
      <c r="F572" s="16" t="s">
        <v>322</v>
      </c>
      <c r="G572" s="16" t="s">
        <v>586</v>
      </c>
      <c r="H572" s="16" t="s">
        <v>348</v>
      </c>
      <c r="I572" s="17" t="s">
        <v>348</v>
      </c>
      <c r="J572" s="78">
        <v>59724744.25</v>
      </c>
      <c r="K572" s="18" t="s">
        <v>462</v>
      </c>
      <c r="L572" s="94" t="s">
        <v>352</v>
      </c>
      <c r="M572" s="148" t="s">
        <v>463</v>
      </c>
      <c r="N572" s="81" t="str">
        <f>_xlfn.XLOOKUP(Calculations[[#This Row],[For XLOOKUP]],Factors[For XLOOKUP],Factors[Factor],"")</f>
        <v>Σ.Ε. CO₂ eq</v>
      </c>
      <c r="O572" s="81">
        <f>_xlfn.XLOOKUP(Calculations[[#This Row],[For XLOOKUP]],Factors[For XLOOKUP],Factors[Value],"")</f>
        <v>2.6851499999999999E-4</v>
      </c>
      <c r="P572" s="81" t="str">
        <f>_xlfn.XLOOKUP(Calculations[[#This Row],[For XLOOKUP]],Factors[For XLOOKUP],Factors[Units],"")</f>
        <v>tn CO2 eq/ €</v>
      </c>
      <c r="Q572" s="19" t="str">
        <f>_xlfn.XLOOKUP(Calculations[[#This Row],[For XLOOKUP]],Factors[For XLOOKUP],Factors[Source],"")</f>
        <v>EPA 2022</v>
      </c>
      <c r="R57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2" s="81" t="str">
        <f>IF(LEFT(Calculations[[#This Row],[Emission Factor]],7)="Σ.Ε. CH",Calculations[[#This Row],[Value]]*Calculations[[#This Row],[Τιμή]],"-")</f>
        <v>-</v>
      </c>
      <c r="T57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2" s="81" t="str">
        <f>IF(LEFT(Calculations[[#This Row],[Emission Factor]],3)="GWP",Calculations[[#This Row],[Τιμή]],"-")</f>
        <v>-</v>
      </c>
      <c r="V572" s="68">
        <f>IF(OR(Calculations[[#This Row],[Emission Factor]]="Σ.Ε. CO₂ eq",Calculations[[#This Row],[Emission Factor]]="CO₂ eq"),Calculations[[#This Row],[Value]]*Calculations[[#This Row],[Τιμή]],"-")</f>
        <v>16036.989702288749</v>
      </c>
      <c r="W572" s="81" t="str">
        <f>IF(Calculations[[#This Row],[Πηγή εκπομπών]]="Electricity consumed in office buildings and projects - market based",Calculations[[#This Row],[t CO2]],"")</f>
        <v/>
      </c>
      <c r="X57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16036.989702288749</v>
      </c>
    </row>
    <row r="573" spans="1:24" ht="15" hidden="1" thickTop="1">
      <c r="A573" s="15" t="s">
        <v>350</v>
      </c>
      <c r="B573" s="15" t="s">
        <v>580</v>
      </c>
      <c r="C573" s="16" t="s">
        <v>624</v>
      </c>
      <c r="D573" s="16" t="s">
        <v>895</v>
      </c>
      <c r="E573" s="16" t="s">
        <v>1141</v>
      </c>
      <c r="F573" s="16" t="s">
        <v>312</v>
      </c>
      <c r="G573" s="16" t="s">
        <v>586</v>
      </c>
      <c r="H573" s="16" t="s">
        <v>348</v>
      </c>
      <c r="I573" s="17" t="s">
        <v>348</v>
      </c>
      <c r="J573" s="78">
        <v>5305.72</v>
      </c>
      <c r="K573" s="18" t="s">
        <v>462</v>
      </c>
      <c r="L573" s="94" t="s">
        <v>394</v>
      </c>
      <c r="M573" s="148" t="s">
        <v>505</v>
      </c>
      <c r="N573" s="81" t="str">
        <f>_xlfn.XLOOKUP(Calculations[[#This Row],[For XLOOKUP]],Factors[For XLOOKUP],Factors[Factor],"")</f>
        <v>Σ.Ε. CO₂ eq</v>
      </c>
      <c r="O573" s="81">
        <f>_xlfn.XLOOKUP(Calculations[[#This Row],[For XLOOKUP]],Factors[For XLOOKUP],Factors[Value],"")</f>
        <v>8.1360000000000004E-4</v>
      </c>
      <c r="P573" s="81" t="str">
        <f>_xlfn.XLOOKUP(Calculations[[#This Row],[For XLOOKUP]],Factors[For XLOOKUP],Factors[Units],"")</f>
        <v>tn CO2 eq/ €</v>
      </c>
      <c r="Q573" s="19" t="str">
        <f>_xlfn.XLOOKUP(Calculations[[#This Row],[For XLOOKUP]],Factors[For XLOOKUP],Factors[Source],"")</f>
        <v>EXIOBASE 2019 - GR</v>
      </c>
      <c r="R57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3" s="81" t="str">
        <f>IF(LEFT(Calculations[[#This Row],[Emission Factor]],7)="Σ.Ε. CH",Calculations[[#This Row],[Value]]*Calculations[[#This Row],[Τιμή]],"-")</f>
        <v>-</v>
      </c>
      <c r="T57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3" s="81" t="str">
        <f>IF(LEFT(Calculations[[#This Row],[Emission Factor]],3)="GWP",Calculations[[#This Row],[Τιμή]],"-")</f>
        <v>-</v>
      </c>
      <c r="V573" s="68">
        <f>IF(OR(Calculations[[#This Row],[Emission Factor]]="Σ.Ε. CO₂ eq",Calculations[[#This Row],[Emission Factor]]="CO₂ eq"),Calculations[[#This Row],[Value]]*Calculations[[#This Row],[Τιμή]],"-")</f>
        <v>4.3167337920000008</v>
      </c>
      <c r="W573" s="81" t="str">
        <f>IF(Calculations[[#This Row],[Πηγή εκπομπών]]="Electricity consumed in office buildings and projects - market based",Calculations[[#This Row],[t CO2]],"")</f>
        <v/>
      </c>
      <c r="X57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4.3167337920000008</v>
      </c>
    </row>
    <row r="574" spans="1:24" ht="15" hidden="1" thickTop="1">
      <c r="A574" s="15" t="s">
        <v>350</v>
      </c>
      <c r="B574" s="15" t="s">
        <v>580</v>
      </c>
      <c r="C574" s="16" t="s">
        <v>624</v>
      </c>
      <c r="D574" s="16" t="s">
        <v>895</v>
      </c>
      <c r="E574" s="16" t="s">
        <v>1141</v>
      </c>
      <c r="F574" s="16" t="s">
        <v>312</v>
      </c>
      <c r="G574" s="16" t="s">
        <v>586</v>
      </c>
      <c r="H574" s="16" t="s">
        <v>348</v>
      </c>
      <c r="I574" s="17" t="s">
        <v>348</v>
      </c>
      <c r="J574" s="78">
        <v>1661932.8</v>
      </c>
      <c r="K574" s="18" t="s">
        <v>462</v>
      </c>
      <c r="L574" s="94" t="s">
        <v>416</v>
      </c>
      <c r="M574" s="148" t="s">
        <v>527</v>
      </c>
      <c r="N574" s="81" t="str">
        <f>_xlfn.XLOOKUP(Calculations[[#This Row],[For XLOOKUP]],Factors[For XLOOKUP],Factors[Factor],"")</f>
        <v>Σ.Ε. CO₂ eq</v>
      </c>
      <c r="O574" s="81">
        <f>_xlfn.XLOOKUP(Calculations[[#This Row],[For XLOOKUP]],Factors[For XLOOKUP],Factors[Value],"")</f>
        <v>4.749E-4</v>
      </c>
      <c r="P574" s="81" t="str">
        <f>_xlfn.XLOOKUP(Calculations[[#This Row],[For XLOOKUP]],Factors[For XLOOKUP],Factors[Units],"")</f>
        <v>tn CO2 eq/ €</v>
      </c>
      <c r="Q574" s="19" t="str">
        <f>_xlfn.XLOOKUP(Calculations[[#This Row],[For XLOOKUP]],Factors[For XLOOKUP],Factors[Source],"")</f>
        <v>EXIOBASE 2019 - GR</v>
      </c>
      <c r="R57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4" s="81" t="str">
        <f>IF(LEFT(Calculations[[#This Row],[Emission Factor]],7)="Σ.Ε. CH",Calculations[[#This Row],[Value]]*Calculations[[#This Row],[Τιμή]],"-")</f>
        <v>-</v>
      </c>
      <c r="T57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4" s="81" t="str">
        <f>IF(LEFT(Calculations[[#This Row],[Emission Factor]],3)="GWP",Calculations[[#This Row],[Τιμή]],"-")</f>
        <v>-</v>
      </c>
      <c r="V574" s="68">
        <f>IF(OR(Calculations[[#This Row],[Emission Factor]]="Σ.Ε. CO₂ eq",Calculations[[#This Row],[Emission Factor]]="CO₂ eq"),Calculations[[#This Row],[Value]]*Calculations[[#This Row],[Τιμή]],"-")</f>
        <v>789.25188672000002</v>
      </c>
      <c r="W574" s="81" t="str">
        <f>IF(Calculations[[#This Row],[Πηγή εκπομπών]]="Electricity consumed in office buildings and projects - market based",Calculations[[#This Row],[t CO2]],"")</f>
        <v/>
      </c>
      <c r="X57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789.25188672000002</v>
      </c>
    </row>
    <row r="575" spans="1:24" ht="15" hidden="1" thickTop="1">
      <c r="A575" s="15" t="s">
        <v>350</v>
      </c>
      <c r="B575" s="15" t="s">
        <v>580</v>
      </c>
      <c r="C575" s="16" t="s">
        <v>624</v>
      </c>
      <c r="D575" s="16" t="s">
        <v>895</v>
      </c>
      <c r="E575" s="16" t="s">
        <v>1141</v>
      </c>
      <c r="F575" s="16" t="s">
        <v>312</v>
      </c>
      <c r="G575" s="16" t="s">
        <v>586</v>
      </c>
      <c r="H575" s="16" t="s">
        <v>348</v>
      </c>
      <c r="I575" s="17" t="s">
        <v>348</v>
      </c>
      <c r="J575" s="78">
        <v>4398.75</v>
      </c>
      <c r="K575" s="18" t="s">
        <v>462</v>
      </c>
      <c r="L575" s="94" t="s">
        <v>424</v>
      </c>
      <c r="M575" s="148" t="s">
        <v>535</v>
      </c>
      <c r="N575" s="81" t="str">
        <f>_xlfn.XLOOKUP(Calculations[[#This Row],[For XLOOKUP]],Factors[For XLOOKUP],Factors[Factor],"")</f>
        <v>Σ.Ε. CO₂ eq</v>
      </c>
      <c r="O575" s="81">
        <f>_xlfn.XLOOKUP(Calculations[[#This Row],[For XLOOKUP]],Factors[For XLOOKUP],Factors[Value],"")</f>
        <v>1.758E-3</v>
      </c>
      <c r="P575" s="81" t="str">
        <f>_xlfn.XLOOKUP(Calculations[[#This Row],[For XLOOKUP]],Factors[For XLOOKUP],Factors[Units],"")</f>
        <v>tn CO2 eq/ €</v>
      </c>
      <c r="Q575" s="19" t="str">
        <f>_xlfn.XLOOKUP(Calculations[[#This Row],[For XLOOKUP]],Factors[For XLOOKUP],Factors[Source],"")</f>
        <v>EXIOBASE 2019 - GR</v>
      </c>
      <c r="R57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5" s="81" t="str">
        <f>IF(LEFT(Calculations[[#This Row],[Emission Factor]],7)="Σ.Ε. CH",Calculations[[#This Row],[Value]]*Calculations[[#This Row],[Τιμή]],"-")</f>
        <v>-</v>
      </c>
      <c r="T57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5" s="81" t="str">
        <f>IF(LEFT(Calculations[[#This Row],[Emission Factor]],3)="GWP",Calculations[[#This Row],[Τιμή]],"-")</f>
        <v>-</v>
      </c>
      <c r="V575" s="68">
        <f>IF(OR(Calculations[[#This Row],[Emission Factor]]="Σ.Ε. CO₂ eq",Calculations[[#This Row],[Emission Factor]]="CO₂ eq"),Calculations[[#This Row],[Value]]*Calculations[[#This Row],[Τιμή]],"-")</f>
        <v>7.7330025000000004</v>
      </c>
      <c r="W575" s="81" t="str">
        <f>IF(Calculations[[#This Row],[Πηγή εκπομπών]]="Electricity consumed in office buildings and projects - market based",Calculations[[#This Row],[t CO2]],"")</f>
        <v/>
      </c>
      <c r="X57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7.7330025000000004</v>
      </c>
    </row>
    <row r="576" spans="1:24" ht="15" hidden="1" thickTop="1">
      <c r="A576" s="15" t="s">
        <v>350</v>
      </c>
      <c r="B576" s="15" t="s">
        <v>580</v>
      </c>
      <c r="C576" s="16" t="s">
        <v>624</v>
      </c>
      <c r="D576" s="16" t="s">
        <v>895</v>
      </c>
      <c r="E576" s="16" t="s">
        <v>1141</v>
      </c>
      <c r="F576" s="16" t="s">
        <v>312</v>
      </c>
      <c r="G576" s="16" t="s">
        <v>586</v>
      </c>
      <c r="H576" s="16" t="s">
        <v>348</v>
      </c>
      <c r="I576" s="17" t="s">
        <v>348</v>
      </c>
      <c r="J576" s="78">
        <v>51339.05</v>
      </c>
      <c r="K576" s="18" t="s">
        <v>462</v>
      </c>
      <c r="L576" s="94" t="s">
        <v>391</v>
      </c>
      <c r="M576" s="148" t="s">
        <v>502</v>
      </c>
      <c r="N576" s="81" t="str">
        <f>_xlfn.XLOOKUP(Calculations[[#This Row],[For XLOOKUP]],Factors[For XLOOKUP],Factors[Factor],"")</f>
        <v>Σ.Ε. CO₂ eq</v>
      </c>
      <c r="O576" s="81">
        <f>_xlfn.XLOOKUP(Calculations[[#This Row],[For XLOOKUP]],Factors[For XLOOKUP],Factors[Value],"")</f>
        <v>4.5980000000000001E-4</v>
      </c>
      <c r="P576" s="81" t="str">
        <f>_xlfn.XLOOKUP(Calculations[[#This Row],[For XLOOKUP]],Factors[For XLOOKUP],Factors[Units],"")</f>
        <v>tn CO2 eq/ €</v>
      </c>
      <c r="Q576" s="19" t="str">
        <f>_xlfn.XLOOKUP(Calculations[[#This Row],[For XLOOKUP]],Factors[For XLOOKUP],Factors[Source],"")</f>
        <v>EXIOBASE 2019 - GR</v>
      </c>
      <c r="R57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6" s="81" t="str">
        <f>IF(LEFT(Calculations[[#This Row],[Emission Factor]],7)="Σ.Ε. CH",Calculations[[#This Row],[Value]]*Calculations[[#This Row],[Τιμή]],"-")</f>
        <v>-</v>
      </c>
      <c r="T57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6" s="81" t="str">
        <f>IF(LEFT(Calculations[[#This Row],[Emission Factor]],3)="GWP",Calculations[[#This Row],[Τιμή]],"-")</f>
        <v>-</v>
      </c>
      <c r="V576" s="68">
        <f>IF(OR(Calculations[[#This Row],[Emission Factor]]="Σ.Ε. CO₂ eq",Calculations[[#This Row],[Emission Factor]]="CO₂ eq"),Calculations[[#This Row],[Value]]*Calculations[[#This Row],[Τιμή]],"-")</f>
        <v>23.605695190000002</v>
      </c>
      <c r="W576" s="81" t="str">
        <f>IF(Calculations[[#This Row],[Πηγή εκπομπών]]="Electricity consumed in office buildings and projects - market based",Calculations[[#This Row],[t CO2]],"")</f>
        <v/>
      </c>
      <c r="X57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23.605695190000002</v>
      </c>
    </row>
    <row r="577" spans="1:24" ht="15" hidden="1" thickTop="1">
      <c r="A577" s="15" t="s">
        <v>350</v>
      </c>
      <c r="B577" s="15" t="s">
        <v>580</v>
      </c>
      <c r="C577" s="16" t="s">
        <v>624</v>
      </c>
      <c r="D577" s="16" t="s">
        <v>895</v>
      </c>
      <c r="E577" s="16" t="s">
        <v>1141</v>
      </c>
      <c r="F577" s="16" t="s">
        <v>312</v>
      </c>
      <c r="G577" s="16" t="s">
        <v>586</v>
      </c>
      <c r="H577" s="16" t="s">
        <v>348</v>
      </c>
      <c r="I577" s="17" t="s">
        <v>348</v>
      </c>
      <c r="J577" s="78">
        <v>718.54</v>
      </c>
      <c r="K577" s="18" t="s">
        <v>462</v>
      </c>
      <c r="L577" s="94" t="s">
        <v>445</v>
      </c>
      <c r="M577" s="148" t="s">
        <v>556</v>
      </c>
      <c r="N577" s="81" t="str">
        <f>_xlfn.XLOOKUP(Calculations[[#This Row],[For XLOOKUP]],Factors[For XLOOKUP],Factors[Factor],"")</f>
        <v>Σ.Ε. CO₂ eq</v>
      </c>
      <c r="O577" s="81">
        <f>_xlfn.XLOOKUP(Calculations[[#This Row],[For XLOOKUP]],Factors[For XLOOKUP],Factors[Value],"")</f>
        <v>3.368E-4</v>
      </c>
      <c r="P577" s="81" t="str">
        <f>_xlfn.XLOOKUP(Calculations[[#This Row],[For XLOOKUP]],Factors[For XLOOKUP],Factors[Units],"")</f>
        <v>tn CO2 eq/ €</v>
      </c>
      <c r="Q577" s="19" t="str">
        <f>_xlfn.XLOOKUP(Calculations[[#This Row],[For XLOOKUP]],Factors[For XLOOKUP],Factors[Source],"")</f>
        <v>EXIOBASE 2019 - GR</v>
      </c>
      <c r="R57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7" s="81" t="str">
        <f>IF(LEFT(Calculations[[#This Row],[Emission Factor]],7)="Σ.Ε. CH",Calculations[[#This Row],[Value]]*Calculations[[#This Row],[Τιμή]],"-")</f>
        <v>-</v>
      </c>
      <c r="T57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7" s="81" t="str">
        <f>IF(LEFT(Calculations[[#This Row],[Emission Factor]],3)="GWP",Calculations[[#This Row],[Τιμή]],"-")</f>
        <v>-</v>
      </c>
      <c r="V577" s="68">
        <f>IF(OR(Calculations[[#This Row],[Emission Factor]]="Σ.Ε. CO₂ eq",Calculations[[#This Row],[Emission Factor]]="CO₂ eq"),Calculations[[#This Row],[Value]]*Calculations[[#This Row],[Τιμή]],"-")</f>
        <v>0.24200427199999999</v>
      </c>
      <c r="W577" s="81" t="str">
        <f>IF(Calculations[[#This Row],[Πηγή εκπομπών]]="Electricity consumed in office buildings and projects - market based",Calculations[[#This Row],[t CO2]],"")</f>
        <v/>
      </c>
      <c r="X57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0.24200427199999999</v>
      </c>
    </row>
    <row r="578" spans="1:24" ht="15" hidden="1" thickTop="1">
      <c r="A578" s="15" t="s">
        <v>350</v>
      </c>
      <c r="B578" s="15" t="s">
        <v>580</v>
      </c>
      <c r="C578" s="16" t="s">
        <v>624</v>
      </c>
      <c r="D578" s="16" t="s">
        <v>895</v>
      </c>
      <c r="E578" s="16" t="s">
        <v>1141</v>
      </c>
      <c r="F578" s="16" t="s">
        <v>312</v>
      </c>
      <c r="G578" s="16" t="s">
        <v>586</v>
      </c>
      <c r="H578" s="16" t="s">
        <v>348</v>
      </c>
      <c r="I578" s="17" t="s">
        <v>348</v>
      </c>
      <c r="J578" s="78">
        <v>3780.59</v>
      </c>
      <c r="K578" s="18" t="s">
        <v>462</v>
      </c>
      <c r="L578" s="94" t="s">
        <v>381</v>
      </c>
      <c r="M578" s="148" t="s">
        <v>492</v>
      </c>
      <c r="N578" s="81" t="str">
        <f>_xlfn.XLOOKUP(Calculations[[#This Row],[For XLOOKUP]],Factors[For XLOOKUP],Factors[Factor],"")</f>
        <v>Σ.Ε. CO₂ eq</v>
      </c>
      <c r="O578" s="81">
        <f>_xlfn.XLOOKUP(Calculations[[#This Row],[For XLOOKUP]],Factors[For XLOOKUP],Factors[Value],"")</f>
        <v>8.4240000000000007E-5</v>
      </c>
      <c r="P578" s="81" t="str">
        <f>_xlfn.XLOOKUP(Calculations[[#This Row],[For XLOOKUP]],Factors[For XLOOKUP],Factors[Units],"")</f>
        <v>tn CO2 eq/ €</v>
      </c>
      <c r="Q578" s="19" t="str">
        <f>_xlfn.XLOOKUP(Calculations[[#This Row],[For XLOOKUP]],Factors[For XLOOKUP],Factors[Source],"")</f>
        <v>EPA 2022</v>
      </c>
      <c r="R57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8" s="81" t="str">
        <f>IF(LEFT(Calculations[[#This Row],[Emission Factor]],7)="Σ.Ε. CH",Calculations[[#This Row],[Value]]*Calculations[[#This Row],[Τιμή]],"-")</f>
        <v>-</v>
      </c>
      <c r="T57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8" s="81" t="str">
        <f>IF(LEFT(Calculations[[#This Row],[Emission Factor]],3)="GWP",Calculations[[#This Row],[Τιμή]],"-")</f>
        <v>-</v>
      </c>
      <c r="V578" s="68">
        <f>IF(OR(Calculations[[#This Row],[Emission Factor]]="Σ.Ε. CO₂ eq",Calculations[[#This Row],[Emission Factor]]="CO₂ eq"),Calculations[[#This Row],[Value]]*Calculations[[#This Row],[Τιμή]],"-")</f>
        <v>0.31847690160000003</v>
      </c>
      <c r="W578" s="81" t="str">
        <f>IF(Calculations[[#This Row],[Πηγή εκπομπών]]="Electricity consumed in office buildings and projects - market based",Calculations[[#This Row],[t CO2]],"")</f>
        <v/>
      </c>
      <c r="X57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0.31847690160000003</v>
      </c>
    </row>
    <row r="579" spans="1:24" ht="15" hidden="1" thickTop="1">
      <c r="A579" s="15" t="s">
        <v>350</v>
      </c>
      <c r="B579" s="15" t="s">
        <v>580</v>
      </c>
      <c r="C579" s="16" t="s">
        <v>624</v>
      </c>
      <c r="D579" s="16" t="s">
        <v>895</v>
      </c>
      <c r="E579" s="16" t="s">
        <v>1141</v>
      </c>
      <c r="F579" s="16" t="s">
        <v>312</v>
      </c>
      <c r="G579" s="16" t="s">
        <v>586</v>
      </c>
      <c r="H579" s="16" t="s">
        <v>348</v>
      </c>
      <c r="I579" s="17" t="s">
        <v>348</v>
      </c>
      <c r="J579" s="78">
        <v>169173</v>
      </c>
      <c r="K579" s="18" t="s">
        <v>462</v>
      </c>
      <c r="L579" s="94" t="s">
        <v>417</v>
      </c>
      <c r="M579" s="148" t="s">
        <v>528</v>
      </c>
      <c r="N579" s="81" t="str">
        <f>_xlfn.XLOOKUP(Calculations[[#This Row],[For XLOOKUP]],Factors[For XLOOKUP],Factors[Factor],"")</f>
        <v>Σ.Ε. CO₂ eq</v>
      </c>
      <c r="O579" s="81">
        <f>_xlfn.XLOOKUP(Calculations[[#This Row],[For XLOOKUP]],Factors[For XLOOKUP],Factors[Value],"")</f>
        <v>1.5163199999999999E-4</v>
      </c>
      <c r="P579" s="81" t="str">
        <f>_xlfn.XLOOKUP(Calculations[[#This Row],[For XLOOKUP]],Factors[For XLOOKUP],Factors[Units],"")</f>
        <v>tn CO2 eq/ €</v>
      </c>
      <c r="Q579" s="19" t="str">
        <f>_xlfn.XLOOKUP(Calculations[[#This Row],[For XLOOKUP]],Factors[For XLOOKUP],Factors[Source],"")</f>
        <v>EPA 2022</v>
      </c>
      <c r="R57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9" s="81" t="str">
        <f>IF(LEFT(Calculations[[#This Row],[Emission Factor]],7)="Σ.Ε. CH",Calculations[[#This Row],[Value]]*Calculations[[#This Row],[Τιμή]],"-")</f>
        <v>-</v>
      </c>
      <c r="T57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9" s="81" t="str">
        <f>IF(LEFT(Calculations[[#This Row],[Emission Factor]],3)="GWP",Calculations[[#This Row],[Τιμή]],"-")</f>
        <v>-</v>
      </c>
      <c r="V579" s="68">
        <f>IF(OR(Calculations[[#This Row],[Emission Factor]]="Σ.Ε. CO₂ eq",Calculations[[#This Row],[Emission Factor]]="CO₂ eq"),Calculations[[#This Row],[Value]]*Calculations[[#This Row],[Τιμή]],"-")</f>
        <v>25.652040335999999</v>
      </c>
      <c r="W579" s="81" t="str">
        <f>IF(Calculations[[#This Row],[Πηγή εκπομπών]]="Electricity consumed in office buildings and projects - market based",Calculations[[#This Row],[t CO2]],"")</f>
        <v/>
      </c>
      <c r="X57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25.652040335999999</v>
      </c>
    </row>
    <row r="580" spans="1:24" ht="15" hidden="1" thickTop="1">
      <c r="A580" s="15" t="s">
        <v>350</v>
      </c>
      <c r="B580" s="15" t="s">
        <v>580</v>
      </c>
      <c r="C580" s="16" t="s">
        <v>624</v>
      </c>
      <c r="D580" s="16" t="s">
        <v>895</v>
      </c>
      <c r="E580" s="16" t="s">
        <v>1141</v>
      </c>
      <c r="F580" s="16" t="s">
        <v>312</v>
      </c>
      <c r="G580" s="16" t="s">
        <v>586</v>
      </c>
      <c r="H580" s="16" t="s">
        <v>348</v>
      </c>
      <c r="I580" s="17" t="s">
        <v>348</v>
      </c>
      <c r="J580" s="78">
        <v>50851.33</v>
      </c>
      <c r="K580" s="18" t="s">
        <v>462</v>
      </c>
      <c r="L580" s="94" t="s">
        <v>418</v>
      </c>
      <c r="M580" s="148" t="s">
        <v>529</v>
      </c>
      <c r="N580" s="81" t="str">
        <f>_xlfn.XLOOKUP(Calculations[[#This Row],[For XLOOKUP]],Factors[For XLOOKUP],Factors[Factor],"")</f>
        <v>Σ.Ε. CO₂ eq</v>
      </c>
      <c r="O580" s="81">
        <f>_xlfn.XLOOKUP(Calculations[[#This Row],[For XLOOKUP]],Factors[For XLOOKUP],Factors[Value],"")</f>
        <v>1.655E-3</v>
      </c>
      <c r="P580" s="81" t="str">
        <f>_xlfn.XLOOKUP(Calculations[[#This Row],[For XLOOKUP]],Factors[For XLOOKUP],Factors[Units],"")</f>
        <v>tn CO2 eq/ €</v>
      </c>
      <c r="Q580" s="19" t="str">
        <f>_xlfn.XLOOKUP(Calculations[[#This Row],[For XLOOKUP]],Factors[For XLOOKUP],Factors[Source],"")</f>
        <v>EXIOBASE 2019 - GR</v>
      </c>
      <c r="R58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0" s="81" t="str">
        <f>IF(LEFT(Calculations[[#This Row],[Emission Factor]],7)="Σ.Ε. CH",Calculations[[#This Row],[Value]]*Calculations[[#This Row],[Τιμή]],"-")</f>
        <v>-</v>
      </c>
      <c r="T58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0" s="81" t="str">
        <f>IF(LEFT(Calculations[[#This Row],[Emission Factor]],3)="GWP",Calculations[[#This Row],[Τιμή]],"-")</f>
        <v>-</v>
      </c>
      <c r="V580" s="68">
        <f>IF(OR(Calculations[[#This Row],[Emission Factor]]="Σ.Ε. CO₂ eq",Calculations[[#This Row],[Emission Factor]]="CO₂ eq"),Calculations[[#This Row],[Value]]*Calculations[[#This Row],[Τιμή]],"-")</f>
        <v>84.158951150000007</v>
      </c>
      <c r="W580" s="81" t="str">
        <f>IF(Calculations[[#This Row],[Πηγή εκπομπών]]="Electricity consumed in office buildings and projects - market based",Calculations[[#This Row],[t CO2]],"")</f>
        <v/>
      </c>
      <c r="X58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84.158951150000007</v>
      </c>
    </row>
    <row r="581" spans="1:24" ht="15" hidden="1" thickTop="1">
      <c r="A581" s="15" t="s">
        <v>350</v>
      </c>
      <c r="B581" s="15" t="s">
        <v>580</v>
      </c>
      <c r="C581" s="16" t="s">
        <v>624</v>
      </c>
      <c r="D581" s="16" t="s">
        <v>895</v>
      </c>
      <c r="E581" s="16" t="s">
        <v>1141</v>
      </c>
      <c r="F581" s="16" t="s">
        <v>312</v>
      </c>
      <c r="G581" s="16" t="s">
        <v>586</v>
      </c>
      <c r="H581" s="15" t="s">
        <v>348</v>
      </c>
      <c r="I581" s="17" t="s">
        <v>348</v>
      </c>
      <c r="J581" s="78">
        <v>2550</v>
      </c>
      <c r="K581" s="90" t="s">
        <v>462</v>
      </c>
      <c r="L581" s="94" t="s">
        <v>396</v>
      </c>
      <c r="M581" s="148" t="s">
        <v>507</v>
      </c>
      <c r="N581" s="81" t="str">
        <f>_xlfn.XLOOKUP(Calculations[[#This Row],[For XLOOKUP]],Factors[For XLOOKUP],Factors[Factor],"")</f>
        <v>Σ.Ε. CO₂ eq</v>
      </c>
      <c r="O581" s="81">
        <f>_xlfn.XLOOKUP(Calculations[[#This Row],[For XLOOKUP]],Factors[For XLOOKUP],Factors[Value],"")</f>
        <v>7.6880000000000004E-4</v>
      </c>
      <c r="P581" s="81" t="str">
        <f>_xlfn.XLOOKUP(Calculations[[#This Row],[For XLOOKUP]],Factors[For XLOOKUP],Factors[Units],"")</f>
        <v>tn CO2 eq/ €</v>
      </c>
      <c r="Q581" s="19" t="str">
        <f>_xlfn.XLOOKUP(Calculations[[#This Row],[For XLOOKUP]],Factors[For XLOOKUP],Factors[Source],"")</f>
        <v>EXIOBASE 2019 - GR</v>
      </c>
      <c r="R58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1" s="81" t="str">
        <f>IF(LEFT(Calculations[[#This Row],[Emission Factor]],7)="Σ.Ε. CH",Calculations[[#This Row],[Value]]*Calculations[[#This Row],[Τιμή]],"-")</f>
        <v>-</v>
      </c>
      <c r="T58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1" s="81" t="str">
        <f>IF(LEFT(Calculations[[#This Row],[Emission Factor]],3)="GWP",Calculations[[#This Row],[Τιμή]],"-")</f>
        <v>-</v>
      </c>
      <c r="V581" s="81">
        <f>IF(OR(Calculations[[#This Row],[Emission Factor]]="Σ.Ε. CO₂ eq",Calculations[[#This Row],[Emission Factor]]="CO₂ eq"),Calculations[[#This Row],[Value]]*Calculations[[#This Row],[Τιμή]],"-")</f>
        <v>1.9604400000000002</v>
      </c>
      <c r="W581" s="81" t="str">
        <f>IF(Calculations[[#This Row],[Πηγή εκπομπών]]="Electricity consumed in office buildings and projects - market based",Calculations[[#This Row],[t CO2]],"")</f>
        <v/>
      </c>
      <c r="X58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1.9604400000000002</v>
      </c>
    </row>
    <row r="582" spans="1:24" ht="15" hidden="1" thickTop="1">
      <c r="A582" s="15" t="s">
        <v>350</v>
      </c>
      <c r="B582" s="15" t="s">
        <v>580</v>
      </c>
      <c r="C582" s="16" t="s">
        <v>624</v>
      </c>
      <c r="D582" s="16" t="s">
        <v>895</v>
      </c>
      <c r="E582" s="16" t="s">
        <v>1141</v>
      </c>
      <c r="F582" s="16" t="s">
        <v>312</v>
      </c>
      <c r="G582" s="16" t="s">
        <v>586</v>
      </c>
      <c r="H582" s="15" t="s">
        <v>348</v>
      </c>
      <c r="I582" s="17" t="s">
        <v>348</v>
      </c>
      <c r="J582" s="78">
        <v>0</v>
      </c>
      <c r="K582" s="90" t="s">
        <v>462</v>
      </c>
      <c r="L582" s="94" t="s">
        <v>362</v>
      </c>
      <c r="M582" s="148" t="s">
        <v>473</v>
      </c>
      <c r="N582" s="81" t="str">
        <f>_xlfn.XLOOKUP(Calculations[[#This Row],[For XLOOKUP]],Factors[For XLOOKUP],Factors[Factor],"")</f>
        <v>Σ.Ε. CO₂ eq</v>
      </c>
      <c r="O582" s="81">
        <f>_xlfn.XLOOKUP(Calculations[[#This Row],[For XLOOKUP]],Factors[For XLOOKUP],Factors[Value],"")</f>
        <v>2.6324999999999997E-4</v>
      </c>
      <c r="P582" s="81" t="str">
        <f>_xlfn.XLOOKUP(Calculations[[#This Row],[For XLOOKUP]],Factors[For XLOOKUP],Factors[Units],"")</f>
        <v>tn CO2 eq/ €</v>
      </c>
      <c r="Q582" s="19" t="str">
        <f>_xlfn.XLOOKUP(Calculations[[#This Row],[For XLOOKUP]],Factors[For XLOOKUP],Factors[Source],"")</f>
        <v>EPA 2022</v>
      </c>
      <c r="R58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2" s="81" t="str">
        <f>IF(LEFT(Calculations[[#This Row],[Emission Factor]],7)="Σ.Ε. CH",Calculations[[#This Row],[Value]]*Calculations[[#This Row],[Τιμή]],"-")</f>
        <v>-</v>
      </c>
      <c r="T58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2" s="81" t="str">
        <f>IF(LEFT(Calculations[[#This Row],[Emission Factor]],3)="GWP",Calculations[[#This Row],[Τιμή]],"-")</f>
        <v>-</v>
      </c>
      <c r="V582" s="81">
        <f>IF(OR(Calculations[[#This Row],[Emission Factor]]="Σ.Ε. CO₂ eq",Calculations[[#This Row],[Emission Factor]]="CO₂ eq"),Calculations[[#This Row],[Value]]*Calculations[[#This Row],[Τιμή]],"-")</f>
        <v>0</v>
      </c>
      <c r="W582" s="81" t="str">
        <f>IF(Calculations[[#This Row],[Πηγή εκπομπών]]="Electricity consumed in office buildings and projects - market based",Calculations[[#This Row],[t CO2]],"")</f>
        <v/>
      </c>
      <c r="X58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583" spans="1:24" ht="15" hidden="1" thickTop="1">
      <c r="A583" s="15" t="s">
        <v>350</v>
      </c>
      <c r="B583" s="15" t="s">
        <v>580</v>
      </c>
      <c r="C583" s="16" t="s">
        <v>624</v>
      </c>
      <c r="D583" s="16" t="s">
        <v>895</v>
      </c>
      <c r="E583" s="16" t="s">
        <v>1141</v>
      </c>
      <c r="F583" s="16" t="s">
        <v>312</v>
      </c>
      <c r="G583" s="16" t="s">
        <v>586</v>
      </c>
      <c r="H583" s="15" t="s">
        <v>348</v>
      </c>
      <c r="I583" s="17" t="s">
        <v>348</v>
      </c>
      <c r="J583" s="78">
        <v>124099.36</v>
      </c>
      <c r="K583" s="90" t="s">
        <v>462</v>
      </c>
      <c r="L583" s="94" t="s">
        <v>390</v>
      </c>
      <c r="M583" s="148" t="s">
        <v>501</v>
      </c>
      <c r="N583" s="81" t="str">
        <f>_xlfn.XLOOKUP(Calculations[[#This Row],[For XLOOKUP]],Factors[For XLOOKUP],Factors[Factor],"")</f>
        <v>Σ.Ε. CO₂ eq</v>
      </c>
      <c r="O583" s="81">
        <f>_xlfn.XLOOKUP(Calculations[[#This Row],[For XLOOKUP]],Factors[For XLOOKUP],Factors[Value],"")</f>
        <v>1.9480499999999999E-4</v>
      </c>
      <c r="P583" s="81" t="str">
        <f>_xlfn.XLOOKUP(Calculations[[#This Row],[For XLOOKUP]],Factors[For XLOOKUP],Factors[Units],"")</f>
        <v>tn CO2 eq/ €</v>
      </c>
      <c r="Q583" s="19" t="str">
        <f>_xlfn.XLOOKUP(Calculations[[#This Row],[For XLOOKUP]],Factors[For XLOOKUP],Factors[Source],"")</f>
        <v>EPA 2022</v>
      </c>
      <c r="R58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3" s="81" t="str">
        <f>IF(LEFT(Calculations[[#This Row],[Emission Factor]],7)="Σ.Ε. CH",Calculations[[#This Row],[Value]]*Calculations[[#This Row],[Τιμή]],"-")</f>
        <v>-</v>
      </c>
      <c r="T58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3" s="81" t="str">
        <f>IF(LEFT(Calculations[[#This Row],[Emission Factor]],3)="GWP",Calculations[[#This Row],[Τιμή]],"-")</f>
        <v>-</v>
      </c>
      <c r="V583" s="81">
        <f>IF(OR(Calculations[[#This Row],[Emission Factor]]="Σ.Ε. CO₂ eq",Calculations[[#This Row],[Emission Factor]]="CO₂ eq"),Calculations[[#This Row],[Value]]*Calculations[[#This Row],[Τιμή]],"-")</f>
        <v>24.1751758248</v>
      </c>
      <c r="W583" s="81" t="str">
        <f>IF(Calculations[[#This Row],[Πηγή εκπομπών]]="Electricity consumed in office buildings and projects - market based",Calculations[[#This Row],[t CO2]],"")</f>
        <v/>
      </c>
      <c r="X58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24.1751758248</v>
      </c>
    </row>
    <row r="584" spans="1:24" ht="15" hidden="1" thickTop="1">
      <c r="A584" s="15" t="s">
        <v>350</v>
      </c>
      <c r="B584" s="15" t="s">
        <v>580</v>
      </c>
      <c r="C584" s="16" t="s">
        <v>624</v>
      </c>
      <c r="D584" s="16" t="s">
        <v>895</v>
      </c>
      <c r="E584" s="16" t="s">
        <v>1141</v>
      </c>
      <c r="F584" s="16" t="s">
        <v>312</v>
      </c>
      <c r="G584" s="16" t="s">
        <v>586</v>
      </c>
      <c r="H584" s="15" t="s">
        <v>348</v>
      </c>
      <c r="I584" s="17" t="s">
        <v>348</v>
      </c>
      <c r="J584" s="78">
        <v>49690.15</v>
      </c>
      <c r="K584" s="90" t="s">
        <v>462</v>
      </c>
      <c r="L584" s="94" t="s">
        <v>384</v>
      </c>
      <c r="M584" s="148" t="s">
        <v>495</v>
      </c>
      <c r="N584" s="81" t="str">
        <f>_xlfn.XLOOKUP(Calculations[[#This Row],[For XLOOKUP]],Factors[For XLOOKUP],Factors[Factor],"")</f>
        <v>Σ.Ε. CO₂ eq</v>
      </c>
      <c r="O584" s="81">
        <f>_xlfn.XLOOKUP(Calculations[[#This Row],[For XLOOKUP]],Factors[For XLOOKUP],Factors[Value],"")</f>
        <v>8.4404124000000004E-4</v>
      </c>
      <c r="P584" s="81" t="str">
        <f>_xlfn.XLOOKUP(Calculations[[#This Row],[For XLOOKUP]],Factors[For XLOOKUP],Factors[Units],"")</f>
        <v>tn CO2 eq/ €</v>
      </c>
      <c r="Q584" s="19" t="str">
        <f>_xlfn.XLOOKUP(Calculations[[#This Row],[For XLOOKUP]],Factors[For XLOOKUP],Factors[Source],"")</f>
        <v>BEIS 2021</v>
      </c>
      <c r="R58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4" s="81" t="str">
        <f>IF(LEFT(Calculations[[#This Row],[Emission Factor]],7)="Σ.Ε. CH",Calculations[[#This Row],[Value]]*Calculations[[#This Row],[Τιμή]],"-")</f>
        <v>-</v>
      </c>
      <c r="T58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4" s="81" t="str">
        <f>IF(LEFT(Calculations[[#This Row],[Emission Factor]],3)="GWP",Calculations[[#This Row],[Τιμή]],"-")</f>
        <v>-</v>
      </c>
      <c r="V584" s="81">
        <f>IF(OR(Calculations[[#This Row],[Emission Factor]]="Σ.Ε. CO₂ eq",Calculations[[#This Row],[Emission Factor]]="CO₂ eq"),Calculations[[#This Row],[Value]]*Calculations[[#This Row],[Τιμή]],"-")</f>
        <v>41.940535821786</v>
      </c>
      <c r="W584" s="81" t="str">
        <f>IF(Calculations[[#This Row],[Πηγή εκπομπών]]="Electricity consumed in office buildings and projects - market based",Calculations[[#This Row],[t CO2]],"")</f>
        <v/>
      </c>
      <c r="X58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41.940535821786</v>
      </c>
    </row>
    <row r="585" spans="1:24" ht="15" hidden="1" thickTop="1">
      <c r="A585" s="15" t="s">
        <v>350</v>
      </c>
      <c r="B585" s="15" t="s">
        <v>580</v>
      </c>
      <c r="C585" s="16" t="s">
        <v>624</v>
      </c>
      <c r="D585" s="16" t="s">
        <v>895</v>
      </c>
      <c r="E585" s="16" t="s">
        <v>1141</v>
      </c>
      <c r="F585" s="16" t="s">
        <v>312</v>
      </c>
      <c r="G585" s="16" t="s">
        <v>586</v>
      </c>
      <c r="H585" s="15" t="s">
        <v>348</v>
      </c>
      <c r="I585" s="17" t="s">
        <v>348</v>
      </c>
      <c r="J585" s="78">
        <v>6000</v>
      </c>
      <c r="K585" s="90" t="s">
        <v>462</v>
      </c>
      <c r="L585" s="94" t="s">
        <v>368</v>
      </c>
      <c r="M585" s="148" t="s">
        <v>479</v>
      </c>
      <c r="N585" s="81" t="str">
        <f>_xlfn.XLOOKUP(Calculations[[#This Row],[For XLOOKUP]],Factors[For XLOOKUP],Factors[Factor],"")</f>
        <v>Σ.Ε. CO₂ eq</v>
      </c>
      <c r="O585" s="81">
        <f>_xlfn.XLOOKUP(Calculations[[#This Row],[For XLOOKUP]],Factors[For XLOOKUP],Factors[Value],"")</f>
        <v>6.0863399999999993E-4</v>
      </c>
      <c r="P585" s="81" t="str">
        <f>_xlfn.XLOOKUP(Calculations[[#This Row],[For XLOOKUP]],Factors[For XLOOKUP],Factors[Units],"")</f>
        <v>tn CO2 eq/ €</v>
      </c>
      <c r="Q585" s="19" t="str">
        <f>_xlfn.XLOOKUP(Calculations[[#This Row],[For XLOOKUP]],Factors[For XLOOKUP],Factors[Source],"")</f>
        <v>EPA 2022</v>
      </c>
      <c r="R58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5" s="81" t="str">
        <f>IF(LEFT(Calculations[[#This Row],[Emission Factor]],7)="Σ.Ε. CH",Calculations[[#This Row],[Value]]*Calculations[[#This Row],[Τιμή]],"-")</f>
        <v>-</v>
      </c>
      <c r="T58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5" s="81" t="str">
        <f>IF(LEFT(Calculations[[#This Row],[Emission Factor]],3)="GWP",Calculations[[#This Row],[Τιμή]],"-")</f>
        <v>-</v>
      </c>
      <c r="V585" s="81">
        <f>IF(OR(Calculations[[#This Row],[Emission Factor]]="Σ.Ε. CO₂ eq",Calculations[[#This Row],[Emission Factor]]="CO₂ eq"),Calculations[[#This Row],[Value]]*Calculations[[#This Row],[Τιμή]],"-")</f>
        <v>3.6518039999999994</v>
      </c>
      <c r="W585" s="81" t="str">
        <f>IF(Calculations[[#This Row],[Πηγή εκπομπών]]="Electricity consumed in office buildings and projects - market based",Calculations[[#This Row],[t CO2]],"")</f>
        <v/>
      </c>
      <c r="X58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3.6518039999999994</v>
      </c>
    </row>
    <row r="586" spans="1:24" ht="15" hidden="1" thickTop="1">
      <c r="A586" s="15" t="s">
        <v>350</v>
      </c>
      <c r="B586" s="15" t="s">
        <v>580</v>
      </c>
      <c r="C586" s="16" t="s">
        <v>624</v>
      </c>
      <c r="D586" s="16" t="s">
        <v>895</v>
      </c>
      <c r="E586" s="16" t="s">
        <v>1141</v>
      </c>
      <c r="F586" s="16" t="s">
        <v>312</v>
      </c>
      <c r="G586" s="16" t="s">
        <v>586</v>
      </c>
      <c r="H586" s="15" t="s">
        <v>348</v>
      </c>
      <c r="I586" s="17" t="s">
        <v>348</v>
      </c>
      <c r="J586" s="78">
        <v>30125.3</v>
      </c>
      <c r="K586" s="90" t="s">
        <v>462</v>
      </c>
      <c r="L586" s="94" t="s">
        <v>898</v>
      </c>
      <c r="M586" s="148" t="s">
        <v>899</v>
      </c>
      <c r="N586" s="81" t="str">
        <f>_xlfn.XLOOKUP(Calculations[[#This Row],[For XLOOKUP]],Factors[For XLOOKUP],Factors[Factor],"")</f>
        <v>Σ.Ε. CO₂ eq</v>
      </c>
      <c r="O586" s="81">
        <f>_xlfn.XLOOKUP(Calculations[[#This Row],[For XLOOKUP]],Factors[For XLOOKUP],Factors[Value],"")</f>
        <v>2.43E-4</v>
      </c>
      <c r="P586" s="81" t="str">
        <f>_xlfn.XLOOKUP(Calculations[[#This Row],[For XLOOKUP]],Factors[For XLOOKUP],Factors[Units],"")</f>
        <v>tn CO2 eq/ €</v>
      </c>
      <c r="Q586" s="19" t="str">
        <f>_xlfn.XLOOKUP(Calculations[[#This Row],[For XLOOKUP]],Factors[For XLOOKUP],Factors[Source],"")</f>
        <v>EXIOBASE 2019 - GR</v>
      </c>
      <c r="R58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6" s="81" t="str">
        <f>IF(LEFT(Calculations[[#This Row],[Emission Factor]],7)="Σ.Ε. CH",Calculations[[#This Row],[Value]]*Calculations[[#This Row],[Τιμή]],"-")</f>
        <v>-</v>
      </c>
      <c r="T58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6" s="81" t="str">
        <f>IF(LEFT(Calculations[[#This Row],[Emission Factor]],3)="GWP",Calculations[[#This Row],[Τιμή]],"-")</f>
        <v>-</v>
      </c>
      <c r="V586" s="81">
        <f>IF(OR(Calculations[[#This Row],[Emission Factor]]="Σ.Ε. CO₂ eq",Calculations[[#This Row],[Emission Factor]]="CO₂ eq"),Calculations[[#This Row],[Value]]*Calculations[[#This Row],[Τιμή]],"-")</f>
        <v>7.3204478999999996</v>
      </c>
      <c r="W586" s="81" t="str">
        <f>IF(Calculations[[#This Row],[Πηγή εκπομπών]]="Electricity consumed in office buildings and projects - market based",Calculations[[#This Row],[t CO2]],"")</f>
        <v/>
      </c>
      <c r="X58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7.3204478999999996</v>
      </c>
    </row>
    <row r="587" spans="1:24" ht="15" hidden="1" thickTop="1">
      <c r="A587" s="15" t="s">
        <v>350</v>
      </c>
      <c r="B587" s="15" t="s">
        <v>580</v>
      </c>
      <c r="C587" s="16" t="s">
        <v>624</v>
      </c>
      <c r="D587" s="16" t="s">
        <v>895</v>
      </c>
      <c r="E587" s="16" t="s">
        <v>1141</v>
      </c>
      <c r="F587" s="16" t="s">
        <v>312</v>
      </c>
      <c r="G587" s="16" t="s">
        <v>586</v>
      </c>
      <c r="H587" s="15" t="s">
        <v>348</v>
      </c>
      <c r="I587" s="17" t="s">
        <v>348</v>
      </c>
      <c r="J587" s="78">
        <v>847641.91</v>
      </c>
      <c r="K587" s="90" t="s">
        <v>462</v>
      </c>
      <c r="L587" s="94" t="s">
        <v>377</v>
      </c>
      <c r="M587" s="148" t="s">
        <v>488</v>
      </c>
      <c r="N587" s="81" t="str">
        <f>_xlfn.XLOOKUP(Calculations[[#This Row],[For XLOOKUP]],Factors[For XLOOKUP],Factors[Factor],"")</f>
        <v>Σ.Ε. CO₂ eq</v>
      </c>
      <c r="O587" s="81">
        <f>_xlfn.XLOOKUP(Calculations[[#This Row],[For XLOOKUP]],Factors[For XLOOKUP],Factors[Value],"")</f>
        <v>2.2370000000000002E-4</v>
      </c>
      <c r="P587" s="81" t="str">
        <f>_xlfn.XLOOKUP(Calculations[[#This Row],[For XLOOKUP]],Factors[For XLOOKUP],Factors[Units],"")</f>
        <v>tn CO2 eq/ €</v>
      </c>
      <c r="Q587" s="19" t="str">
        <f>_xlfn.XLOOKUP(Calculations[[#This Row],[For XLOOKUP]],Factors[For XLOOKUP],Factors[Source],"")</f>
        <v>EXIOBASE 2019 - GR</v>
      </c>
      <c r="R58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7" s="81" t="str">
        <f>IF(LEFT(Calculations[[#This Row],[Emission Factor]],7)="Σ.Ε. CH",Calculations[[#This Row],[Value]]*Calculations[[#This Row],[Τιμή]],"-")</f>
        <v>-</v>
      </c>
      <c r="T58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7" s="81" t="str">
        <f>IF(LEFT(Calculations[[#This Row],[Emission Factor]],3)="GWP",Calculations[[#This Row],[Τιμή]],"-")</f>
        <v>-</v>
      </c>
      <c r="V587" s="81">
        <f>IF(OR(Calculations[[#This Row],[Emission Factor]]="Σ.Ε. CO₂ eq",Calculations[[#This Row],[Emission Factor]]="CO₂ eq"),Calculations[[#This Row],[Value]]*Calculations[[#This Row],[Τιμή]],"-")</f>
        <v>189.61749526700001</v>
      </c>
      <c r="W587" s="81" t="str">
        <f>IF(Calculations[[#This Row],[Πηγή εκπομπών]]="Electricity consumed in office buildings and projects - market based",Calculations[[#This Row],[t CO2]],"")</f>
        <v/>
      </c>
      <c r="X58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189.61749526700001</v>
      </c>
    </row>
    <row r="588" spans="1:24" ht="15" hidden="1" thickTop="1">
      <c r="A588" s="15" t="s">
        <v>350</v>
      </c>
      <c r="B588" s="15" t="s">
        <v>580</v>
      </c>
      <c r="C588" s="16" t="s">
        <v>624</v>
      </c>
      <c r="D588" s="16" t="s">
        <v>895</v>
      </c>
      <c r="E588" s="16" t="s">
        <v>1141</v>
      </c>
      <c r="F588" s="16" t="s">
        <v>312</v>
      </c>
      <c r="G588" s="16" t="s">
        <v>586</v>
      </c>
      <c r="H588" s="15" t="s">
        <v>348</v>
      </c>
      <c r="I588" s="17" t="s">
        <v>348</v>
      </c>
      <c r="J588" s="78">
        <v>2398.4</v>
      </c>
      <c r="K588" s="90" t="s">
        <v>462</v>
      </c>
      <c r="L588" s="94" t="s">
        <v>383</v>
      </c>
      <c r="M588" s="148" t="s">
        <v>494</v>
      </c>
      <c r="N588" s="81" t="str">
        <f>_xlfn.XLOOKUP(Calculations[[#This Row],[For XLOOKUP]],Factors[For XLOOKUP],Factors[Factor],"")</f>
        <v>Σ.Ε. CO₂ eq</v>
      </c>
      <c r="O588" s="81">
        <f>_xlfn.XLOOKUP(Calculations[[#This Row],[For XLOOKUP]],Factors[For XLOOKUP],Factors[Value],"")</f>
        <v>1.3630000000000001E-3</v>
      </c>
      <c r="P588" s="81" t="str">
        <f>_xlfn.XLOOKUP(Calculations[[#This Row],[For XLOOKUP]],Factors[For XLOOKUP],Factors[Units],"")</f>
        <v>tn CO2 eq/ €</v>
      </c>
      <c r="Q588" s="19" t="str">
        <f>_xlfn.XLOOKUP(Calculations[[#This Row],[For XLOOKUP]],Factors[For XLOOKUP],Factors[Source],"")</f>
        <v>EXIOBASE 2019 - GR</v>
      </c>
      <c r="R58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8" s="81" t="str">
        <f>IF(LEFT(Calculations[[#This Row],[Emission Factor]],7)="Σ.Ε. CH",Calculations[[#This Row],[Value]]*Calculations[[#This Row],[Τιμή]],"-")</f>
        <v>-</v>
      </c>
      <c r="T58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8" s="81" t="str">
        <f>IF(LEFT(Calculations[[#This Row],[Emission Factor]],3)="GWP",Calculations[[#This Row],[Τιμή]],"-")</f>
        <v>-</v>
      </c>
      <c r="V588" s="81">
        <f>IF(OR(Calculations[[#This Row],[Emission Factor]]="Σ.Ε. CO₂ eq",Calculations[[#This Row],[Emission Factor]]="CO₂ eq"),Calculations[[#This Row],[Value]]*Calculations[[#This Row],[Τιμή]],"-")</f>
        <v>3.2690192000000002</v>
      </c>
      <c r="W588" s="81" t="str">
        <f>IF(Calculations[[#This Row],[Πηγή εκπομπών]]="Electricity consumed in office buildings and projects - market based",Calculations[[#This Row],[t CO2]],"")</f>
        <v/>
      </c>
      <c r="X58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3.2690192000000002</v>
      </c>
    </row>
    <row r="589" spans="1:24" ht="15" hidden="1" thickTop="1">
      <c r="A589" s="15" t="s">
        <v>350</v>
      </c>
      <c r="B589" s="15" t="s">
        <v>580</v>
      </c>
      <c r="C589" s="16" t="s">
        <v>624</v>
      </c>
      <c r="D589" s="16" t="s">
        <v>1144</v>
      </c>
      <c r="E589" s="16"/>
      <c r="F589" s="209" t="s">
        <v>647</v>
      </c>
      <c r="G589" s="16" t="s">
        <v>586</v>
      </c>
      <c r="H589" s="15" t="s">
        <v>348</v>
      </c>
      <c r="I589" s="17" t="s">
        <v>348</v>
      </c>
      <c r="J589" s="78">
        <v>29397.440000000002</v>
      </c>
      <c r="K589" s="90" t="s">
        <v>462</v>
      </c>
      <c r="L589" s="94" t="s">
        <v>391</v>
      </c>
      <c r="M589" s="148" t="s">
        <v>502</v>
      </c>
      <c r="N589" s="81" t="str">
        <f>_xlfn.XLOOKUP(Calculations[[#This Row],[For XLOOKUP]],Factors[For XLOOKUP],Factors[Factor],"")</f>
        <v>Σ.Ε. CO₂ eq</v>
      </c>
      <c r="O589" s="81">
        <f>_xlfn.XLOOKUP(Calculations[[#This Row],[For XLOOKUP]],Factors[For XLOOKUP],Factors[Value],"")</f>
        <v>4.5980000000000001E-4</v>
      </c>
      <c r="P589" s="81" t="str">
        <f>_xlfn.XLOOKUP(Calculations[[#This Row],[For XLOOKUP]],Factors[For XLOOKUP],Factors[Units],"")</f>
        <v>tn CO2 eq/ €</v>
      </c>
      <c r="Q589" s="19" t="str">
        <f>_xlfn.XLOOKUP(Calculations[[#This Row],[For XLOOKUP]],Factors[For XLOOKUP],Factors[Source],"")</f>
        <v>EXIOBASE 2019 - GR</v>
      </c>
      <c r="R58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9" s="81" t="str">
        <f>IF(LEFT(Calculations[[#This Row],[Emission Factor]],7)="Σ.Ε. CH",Calculations[[#This Row],[Value]]*Calculations[[#This Row],[Τιμή]],"-")</f>
        <v>-</v>
      </c>
      <c r="T58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9" s="81" t="str">
        <f>IF(LEFT(Calculations[[#This Row],[Emission Factor]],3)="GWP",Calculations[[#This Row],[Τιμή]],"-")</f>
        <v>-</v>
      </c>
      <c r="V589" s="81">
        <f>IF(OR(Calculations[[#This Row],[Emission Factor]]="Σ.Ε. CO₂ eq",Calculations[[#This Row],[Emission Factor]]="CO₂ eq"),Calculations[[#This Row],[Value]]*Calculations[[#This Row],[Τιμή]],"-")</f>
        <v>13.516942912000001</v>
      </c>
      <c r="W589" s="81" t="str">
        <f>IF(Calculations[[#This Row],[Πηγή εκπομπών]]="Electricity consumed in office buildings and projects - market based",Calculations[[#This Row],[t CO2]],"")</f>
        <v/>
      </c>
      <c r="X58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13.516942912000001</v>
      </c>
    </row>
    <row r="590" spans="1:24" ht="15" hidden="1" thickTop="1">
      <c r="A590" s="15" t="s">
        <v>350</v>
      </c>
      <c r="B590" s="15" t="s">
        <v>580</v>
      </c>
      <c r="C590" s="16" t="s">
        <v>624</v>
      </c>
      <c r="D590" s="16" t="s">
        <v>1144</v>
      </c>
      <c r="E590" s="16"/>
      <c r="F590" s="209" t="s">
        <v>647</v>
      </c>
      <c r="G590" s="16" t="s">
        <v>586</v>
      </c>
      <c r="H590" s="15" t="s">
        <v>348</v>
      </c>
      <c r="I590" s="17" t="s">
        <v>348</v>
      </c>
      <c r="J590" s="78">
        <v>6691.25</v>
      </c>
      <c r="K590" s="90" t="s">
        <v>462</v>
      </c>
      <c r="L590" s="16" t="s">
        <v>381</v>
      </c>
      <c r="M590" s="148" t="s">
        <v>492</v>
      </c>
      <c r="N590" s="19" t="str">
        <f>_xlfn.XLOOKUP(Calculations[[#This Row],[For XLOOKUP]],Factors[For XLOOKUP],Factors[Factor],"")</f>
        <v>Σ.Ε. CO₂ eq</v>
      </c>
      <c r="O590" s="19">
        <f>_xlfn.XLOOKUP(Calculations[[#This Row],[For XLOOKUP]],Factors[For XLOOKUP],Factors[Value],"")</f>
        <v>8.4240000000000007E-5</v>
      </c>
      <c r="P590" s="19" t="str">
        <f>_xlfn.XLOOKUP(Calculations[[#This Row],[For XLOOKUP]],Factors[For XLOOKUP],Factors[Units],"")</f>
        <v>tn CO2 eq/ €</v>
      </c>
      <c r="Q590" s="19" t="str">
        <f>_xlfn.XLOOKUP(Calculations[[#This Row],[For XLOOKUP]],Factors[For XLOOKUP],Factors[Source],"")</f>
        <v>EPA 2022</v>
      </c>
      <c r="R59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0" s="19" t="str">
        <f>IF(LEFT(Calculations[[#This Row],[Emission Factor]],7)="Σ.Ε. CH",Calculations[[#This Row],[Value]]*Calculations[[#This Row],[Τιμή]],"-")</f>
        <v>-</v>
      </c>
      <c r="T59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0" s="19" t="str">
        <f>IF(LEFT(Calculations[[#This Row],[Emission Factor]],3)="GWP",Calculations[[#This Row],[Τιμή]],"-")</f>
        <v>-</v>
      </c>
      <c r="V590" s="19">
        <f>IF(OR(Calculations[[#This Row],[Emission Factor]]="Σ.Ε. CO₂ eq",Calculations[[#This Row],[Emission Factor]]="CO₂ eq"),Calculations[[#This Row],[Value]]*Calculations[[#This Row],[Τιμή]],"-")</f>
        <v>0.56367090000000009</v>
      </c>
      <c r="W590" s="19" t="str">
        <f>IF(Calculations[[#This Row],[Πηγή εκπομπών]]="Electricity consumed in office buildings and projects - market based",Calculations[[#This Row],[t CO2]],"")</f>
        <v/>
      </c>
      <c r="X59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0.56367090000000009</v>
      </c>
    </row>
    <row r="591" spans="1:24" ht="15" hidden="1" thickTop="1">
      <c r="A591" s="15" t="s">
        <v>350</v>
      </c>
      <c r="B591" s="15" t="s">
        <v>580</v>
      </c>
      <c r="C591" s="16" t="s">
        <v>624</v>
      </c>
      <c r="D591" s="16" t="s">
        <v>1144</v>
      </c>
      <c r="E591" s="16"/>
      <c r="F591" s="209" t="s">
        <v>647</v>
      </c>
      <c r="G591" s="16" t="s">
        <v>586</v>
      </c>
      <c r="H591" s="15" t="s">
        <v>348</v>
      </c>
      <c r="I591" s="17" t="s">
        <v>348</v>
      </c>
      <c r="J591" s="78">
        <v>4900</v>
      </c>
      <c r="K591" s="90" t="s">
        <v>462</v>
      </c>
      <c r="L591" s="16" t="s">
        <v>416</v>
      </c>
      <c r="M591" s="148" t="s">
        <v>527</v>
      </c>
      <c r="N591" s="81" t="str">
        <f>_xlfn.XLOOKUP(Calculations[[#This Row],[For XLOOKUP]],Factors[For XLOOKUP],Factors[Factor],"")</f>
        <v>Σ.Ε. CO₂ eq</v>
      </c>
      <c r="O591" s="81">
        <f>_xlfn.XLOOKUP(Calculations[[#This Row],[For XLOOKUP]],Factors[For XLOOKUP],Factors[Value],"")</f>
        <v>4.749E-4</v>
      </c>
      <c r="P591" s="81" t="str">
        <f>_xlfn.XLOOKUP(Calculations[[#This Row],[For XLOOKUP]],Factors[For XLOOKUP],Factors[Units],"")</f>
        <v>tn CO2 eq/ €</v>
      </c>
      <c r="Q591" s="19" t="str">
        <f>_xlfn.XLOOKUP(Calculations[[#This Row],[For XLOOKUP]],Factors[For XLOOKUP],Factors[Source],"")</f>
        <v>EXIOBASE 2019 - GR</v>
      </c>
      <c r="R59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1" s="81" t="str">
        <f>IF(LEFT(Calculations[[#This Row],[Emission Factor]],7)="Σ.Ε. CH",Calculations[[#This Row],[Value]]*Calculations[[#This Row],[Τιμή]],"-")</f>
        <v>-</v>
      </c>
      <c r="T59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1" s="81" t="str">
        <f>IF(LEFT(Calculations[[#This Row],[Emission Factor]],3)="GWP",Calculations[[#This Row],[Τιμή]],"-")</f>
        <v>-</v>
      </c>
      <c r="V591" s="81">
        <f>IF(OR(Calculations[[#This Row],[Emission Factor]]="Σ.Ε. CO₂ eq",Calculations[[#This Row],[Emission Factor]]="CO₂ eq"),Calculations[[#This Row],[Value]]*Calculations[[#This Row],[Τιμή]],"-")</f>
        <v>2.32701</v>
      </c>
      <c r="W591" s="81" t="str">
        <f>IF(Calculations[[#This Row],[Πηγή εκπομπών]]="Electricity consumed in office buildings and projects - market based",Calculations[[#This Row],[t CO2]],"")</f>
        <v/>
      </c>
      <c r="X59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2.32701</v>
      </c>
    </row>
    <row r="592" spans="1:24" ht="15" hidden="1" thickTop="1">
      <c r="A592" s="15" t="s">
        <v>350</v>
      </c>
      <c r="B592" s="15" t="s">
        <v>580</v>
      </c>
      <c r="C592" s="16" t="s">
        <v>624</v>
      </c>
      <c r="D592" s="16" t="s">
        <v>1144</v>
      </c>
      <c r="E592" s="16"/>
      <c r="F592" s="209" t="s">
        <v>647</v>
      </c>
      <c r="G592" s="16" t="s">
        <v>586</v>
      </c>
      <c r="H592" s="15" t="s">
        <v>348</v>
      </c>
      <c r="I592" s="17" t="s">
        <v>348</v>
      </c>
      <c r="J592" s="78">
        <v>197225</v>
      </c>
      <c r="K592" s="90" t="s">
        <v>462</v>
      </c>
      <c r="L592" s="16" t="s">
        <v>361</v>
      </c>
      <c r="M592" s="148" t="s">
        <v>472</v>
      </c>
      <c r="N592" s="81" t="str">
        <f>_xlfn.XLOOKUP(Calculations[[#This Row],[For XLOOKUP]],Factors[For XLOOKUP],Factors[Factor],"")</f>
        <v>Σ.Ε. CO₂ eq</v>
      </c>
      <c r="O592" s="81">
        <f>_xlfn.XLOOKUP(Calculations[[#This Row],[For XLOOKUP]],Factors[For XLOOKUP],Factors[Value],"")</f>
        <v>4.2049999999999998E-4</v>
      </c>
      <c r="P592" s="81" t="str">
        <f>_xlfn.XLOOKUP(Calculations[[#This Row],[For XLOOKUP]],Factors[For XLOOKUP],Factors[Units],"")</f>
        <v>tn CO2 eq/ €</v>
      </c>
      <c r="Q592" s="19" t="str">
        <f>_xlfn.XLOOKUP(Calculations[[#This Row],[For XLOOKUP]],Factors[For XLOOKUP],Factors[Source],"")</f>
        <v>EXIOBASE 2019 - GR</v>
      </c>
      <c r="R59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2" s="81" t="str">
        <f>IF(LEFT(Calculations[[#This Row],[Emission Factor]],7)="Σ.Ε. CH",Calculations[[#This Row],[Value]]*Calculations[[#This Row],[Τιμή]],"-")</f>
        <v>-</v>
      </c>
      <c r="T59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2" s="81" t="str">
        <f>IF(LEFT(Calculations[[#This Row],[Emission Factor]],3)="GWP",Calculations[[#This Row],[Τιμή]],"-")</f>
        <v>-</v>
      </c>
      <c r="V592" s="81">
        <f>IF(OR(Calculations[[#This Row],[Emission Factor]]="Σ.Ε. CO₂ eq",Calculations[[#This Row],[Emission Factor]]="CO₂ eq"),Calculations[[#This Row],[Value]]*Calculations[[#This Row],[Τιμή]],"-")</f>
        <v>82.933112499999993</v>
      </c>
      <c r="W592" s="81" t="str">
        <f>IF(Calculations[[#This Row],[Πηγή εκπομπών]]="Electricity consumed in office buildings and projects - market based",Calculations[[#This Row],[t CO2]],"")</f>
        <v/>
      </c>
      <c r="X59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82.933112499999993</v>
      </c>
    </row>
    <row r="593" spans="1:24" ht="15" hidden="1" thickTop="1">
      <c r="A593" s="15" t="s">
        <v>350</v>
      </c>
      <c r="B593" s="15" t="s">
        <v>580</v>
      </c>
      <c r="C593" s="16" t="s">
        <v>624</v>
      </c>
      <c r="D593" s="16" t="s">
        <v>894</v>
      </c>
      <c r="E593" s="16"/>
      <c r="F593" s="16" t="s">
        <v>317</v>
      </c>
      <c r="G593" s="16" t="s">
        <v>586</v>
      </c>
      <c r="H593" s="15" t="s">
        <v>348</v>
      </c>
      <c r="I593" s="17" t="s">
        <v>348</v>
      </c>
      <c r="J593" s="78">
        <v>2952216.3800000004</v>
      </c>
      <c r="K593" s="90" t="s">
        <v>462</v>
      </c>
      <c r="L593" s="16" t="s">
        <v>394</v>
      </c>
      <c r="M593" s="148" t="s">
        <v>505</v>
      </c>
      <c r="N593" s="81" t="str">
        <f>_xlfn.XLOOKUP(Calculations[[#This Row],[For XLOOKUP]],Factors[For XLOOKUP],Factors[Factor],"")</f>
        <v>Σ.Ε. CO₂ eq</v>
      </c>
      <c r="O593" s="81">
        <f>_xlfn.XLOOKUP(Calculations[[#This Row],[For XLOOKUP]],Factors[For XLOOKUP],Factors[Value],"")</f>
        <v>8.1360000000000004E-4</v>
      </c>
      <c r="P593" s="81" t="str">
        <f>_xlfn.XLOOKUP(Calculations[[#This Row],[For XLOOKUP]],Factors[For XLOOKUP],Factors[Units],"")</f>
        <v>tn CO2 eq/ €</v>
      </c>
      <c r="Q593" s="19" t="str">
        <f>_xlfn.XLOOKUP(Calculations[[#This Row],[For XLOOKUP]],Factors[For XLOOKUP],Factors[Source],"")</f>
        <v>EXIOBASE 2019 - GR</v>
      </c>
      <c r="R59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3" s="81" t="str">
        <f>IF(LEFT(Calculations[[#This Row],[Emission Factor]],7)="Σ.Ε. CH",Calculations[[#This Row],[Value]]*Calculations[[#This Row],[Τιμή]],"-")</f>
        <v>-</v>
      </c>
      <c r="T59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3" s="81" t="str">
        <f>IF(LEFT(Calculations[[#This Row],[Emission Factor]],3)="GWP",Calculations[[#This Row],[Τιμή]],"-")</f>
        <v>-</v>
      </c>
      <c r="V593" s="81">
        <f>IF(OR(Calculations[[#This Row],[Emission Factor]]="Σ.Ε. CO₂ eq",Calculations[[#This Row],[Emission Factor]]="CO₂ eq"),Calculations[[#This Row],[Value]]*Calculations[[#This Row],[Τιμή]],"-")</f>
        <v>2401.9232467680004</v>
      </c>
      <c r="W593" s="81" t="str">
        <f>IF(Calculations[[#This Row],[Πηγή εκπομπών]]="Electricity consumed in office buildings and projects - market based",Calculations[[#This Row],[t CO2]],"")</f>
        <v/>
      </c>
      <c r="X59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2401.9232467680004</v>
      </c>
    </row>
    <row r="594" spans="1:24" ht="15" hidden="1" thickTop="1">
      <c r="A594" s="15" t="s">
        <v>350</v>
      </c>
      <c r="B594" s="15" t="s">
        <v>580</v>
      </c>
      <c r="C594" s="16" t="s">
        <v>624</v>
      </c>
      <c r="D594" s="16" t="s">
        <v>894</v>
      </c>
      <c r="E594" s="16"/>
      <c r="F594" s="16" t="s">
        <v>317</v>
      </c>
      <c r="G594" s="16" t="s">
        <v>586</v>
      </c>
      <c r="H594" s="15" t="s">
        <v>348</v>
      </c>
      <c r="I594" s="17" t="s">
        <v>348</v>
      </c>
      <c r="J594" s="78">
        <v>103556.2205</v>
      </c>
      <c r="K594" s="90" t="s">
        <v>462</v>
      </c>
      <c r="L594" s="94" t="s">
        <v>416</v>
      </c>
      <c r="M594" s="148" t="s">
        <v>527</v>
      </c>
      <c r="N594" s="19" t="str">
        <f>_xlfn.XLOOKUP(Calculations[[#This Row],[For XLOOKUP]],Factors[For XLOOKUP],Factors[Factor],"")</f>
        <v>Σ.Ε. CO₂ eq</v>
      </c>
      <c r="O594" s="19">
        <f>_xlfn.XLOOKUP(Calculations[[#This Row],[For XLOOKUP]],Factors[For XLOOKUP],Factors[Value],"")</f>
        <v>4.749E-4</v>
      </c>
      <c r="P594" s="19" t="str">
        <f>_xlfn.XLOOKUP(Calculations[[#This Row],[For XLOOKUP]],Factors[For XLOOKUP],Factors[Units],"")</f>
        <v>tn CO2 eq/ €</v>
      </c>
      <c r="Q594" s="19" t="str">
        <f>_xlfn.XLOOKUP(Calculations[[#This Row],[For XLOOKUP]],Factors[For XLOOKUP],Factors[Source],"")</f>
        <v>EXIOBASE 2019 - GR</v>
      </c>
      <c r="R59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4" s="19" t="str">
        <f>IF(LEFT(Calculations[[#This Row],[Emission Factor]],7)="Σ.Ε. CH",Calculations[[#This Row],[Value]]*Calculations[[#This Row],[Τιμή]],"-")</f>
        <v>-</v>
      </c>
      <c r="T59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4" s="19" t="str">
        <f>IF(LEFT(Calculations[[#This Row],[Emission Factor]],3)="GWP",Calculations[[#This Row],[Τιμή]],"-")</f>
        <v>-</v>
      </c>
      <c r="V594" s="19">
        <f>IF(OR(Calculations[[#This Row],[Emission Factor]]="Σ.Ε. CO₂ eq",Calculations[[#This Row],[Emission Factor]]="CO₂ eq"),Calculations[[#This Row],[Value]]*Calculations[[#This Row],[Τιμή]],"-")</f>
        <v>49.178849115449999</v>
      </c>
      <c r="W594" s="19" t="str">
        <f>IF(Calculations[[#This Row],[Πηγή εκπομπών]]="Electricity consumed in office buildings and projects - market based",Calculations[[#This Row],[t CO2]],"")</f>
        <v/>
      </c>
      <c r="X59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49.178849115449999</v>
      </c>
    </row>
    <row r="595" spans="1:24" ht="15" hidden="1" thickTop="1">
      <c r="A595" s="15" t="s">
        <v>350</v>
      </c>
      <c r="B595" s="15" t="s">
        <v>580</v>
      </c>
      <c r="C595" s="16" t="s">
        <v>624</v>
      </c>
      <c r="D595" s="16" t="s">
        <v>894</v>
      </c>
      <c r="E595" s="16"/>
      <c r="F595" s="16" t="s">
        <v>317</v>
      </c>
      <c r="G595" s="16" t="s">
        <v>586</v>
      </c>
      <c r="H595" s="15" t="s">
        <v>348</v>
      </c>
      <c r="I595" s="17" t="s">
        <v>348</v>
      </c>
      <c r="J595" s="78">
        <v>137653</v>
      </c>
      <c r="K595" s="90" t="s">
        <v>462</v>
      </c>
      <c r="L595" s="94" t="s">
        <v>424</v>
      </c>
      <c r="M595" s="148" t="s">
        <v>535</v>
      </c>
      <c r="N595" s="19" t="str">
        <f>_xlfn.XLOOKUP(Calculations[[#This Row],[For XLOOKUP]],Factors[For XLOOKUP],Factors[Factor],"")</f>
        <v>Σ.Ε. CO₂ eq</v>
      </c>
      <c r="O595" s="19">
        <f>_xlfn.XLOOKUP(Calculations[[#This Row],[For XLOOKUP]],Factors[For XLOOKUP],Factors[Value],"")</f>
        <v>1.758E-3</v>
      </c>
      <c r="P595" s="19" t="str">
        <f>_xlfn.XLOOKUP(Calculations[[#This Row],[For XLOOKUP]],Factors[For XLOOKUP],Factors[Units],"")</f>
        <v>tn CO2 eq/ €</v>
      </c>
      <c r="Q595" s="19" t="str">
        <f>_xlfn.XLOOKUP(Calculations[[#This Row],[For XLOOKUP]],Factors[For XLOOKUP],Factors[Source],"")</f>
        <v>EXIOBASE 2019 - GR</v>
      </c>
      <c r="R59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5" s="19" t="str">
        <f>IF(LEFT(Calculations[[#This Row],[Emission Factor]],7)="Σ.Ε. CH",Calculations[[#This Row],[Value]]*Calculations[[#This Row],[Τιμή]],"-")</f>
        <v>-</v>
      </c>
      <c r="T59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5" s="19" t="str">
        <f>IF(LEFT(Calculations[[#This Row],[Emission Factor]],3)="GWP",Calculations[[#This Row],[Τιμή]],"-")</f>
        <v>-</v>
      </c>
      <c r="V595" s="19">
        <f>IF(OR(Calculations[[#This Row],[Emission Factor]]="Σ.Ε. CO₂ eq",Calculations[[#This Row],[Emission Factor]]="CO₂ eq"),Calculations[[#This Row],[Value]]*Calculations[[#This Row],[Τιμή]],"-")</f>
        <v>241.99397400000001</v>
      </c>
      <c r="W595" s="19" t="str">
        <f>IF(Calculations[[#This Row],[Πηγή εκπομπών]]="Electricity consumed in office buildings and projects - market based",Calculations[[#This Row],[t CO2]],"")</f>
        <v/>
      </c>
      <c r="X59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241.99397400000001</v>
      </c>
    </row>
    <row r="596" spans="1:24" ht="15" hidden="1" thickTop="1">
      <c r="A596" s="15" t="s">
        <v>350</v>
      </c>
      <c r="B596" s="15" t="s">
        <v>580</v>
      </c>
      <c r="C596" s="16" t="s">
        <v>624</v>
      </c>
      <c r="D596" s="16" t="s">
        <v>894</v>
      </c>
      <c r="E596" s="16"/>
      <c r="F596" s="16" t="s">
        <v>317</v>
      </c>
      <c r="G596" s="16" t="s">
        <v>586</v>
      </c>
      <c r="H596" s="15" t="s">
        <v>348</v>
      </c>
      <c r="I596" s="17" t="s">
        <v>348</v>
      </c>
      <c r="J596" s="78">
        <v>130908.51</v>
      </c>
      <c r="K596" s="90" t="s">
        <v>462</v>
      </c>
      <c r="L596" s="94" t="s">
        <v>383</v>
      </c>
      <c r="M596" s="148" t="s">
        <v>494</v>
      </c>
      <c r="N596" s="19" t="str">
        <f>_xlfn.XLOOKUP(Calculations[[#This Row],[For XLOOKUP]],Factors[For XLOOKUP],Factors[Factor],"")</f>
        <v>Σ.Ε. CO₂ eq</v>
      </c>
      <c r="O596" s="19">
        <f>_xlfn.XLOOKUP(Calculations[[#This Row],[For XLOOKUP]],Factors[For XLOOKUP],Factors[Value],"")</f>
        <v>1.3630000000000001E-3</v>
      </c>
      <c r="P596" s="19" t="str">
        <f>_xlfn.XLOOKUP(Calculations[[#This Row],[For XLOOKUP]],Factors[For XLOOKUP],Factors[Units],"")</f>
        <v>tn CO2 eq/ €</v>
      </c>
      <c r="Q596" s="19" t="str">
        <f>_xlfn.XLOOKUP(Calculations[[#This Row],[For XLOOKUP]],Factors[For XLOOKUP],Factors[Source],"")</f>
        <v>EXIOBASE 2019 - GR</v>
      </c>
      <c r="R59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6" s="19" t="str">
        <f>IF(LEFT(Calculations[[#This Row],[Emission Factor]],7)="Σ.Ε. CH",Calculations[[#This Row],[Value]]*Calculations[[#This Row],[Τιμή]],"-")</f>
        <v>-</v>
      </c>
      <c r="T59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6" s="19" t="str">
        <f>IF(LEFT(Calculations[[#This Row],[Emission Factor]],3)="GWP",Calculations[[#This Row],[Τιμή]],"-")</f>
        <v>-</v>
      </c>
      <c r="V596" s="19">
        <f>IF(OR(Calculations[[#This Row],[Emission Factor]]="Σ.Ε. CO₂ eq",Calculations[[#This Row],[Emission Factor]]="CO₂ eq"),Calculations[[#This Row],[Value]]*Calculations[[#This Row],[Τιμή]],"-")</f>
        <v>178.42829913</v>
      </c>
      <c r="W596" s="19" t="str">
        <f>IF(Calculations[[#This Row],[Πηγή εκπομπών]]="Electricity consumed in office buildings and projects - market based",Calculations[[#This Row],[t CO2]],"")</f>
        <v/>
      </c>
      <c r="X59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178.42829913</v>
      </c>
    </row>
    <row r="597" spans="1:24" ht="15" hidden="1" thickTop="1">
      <c r="A597" s="15" t="s">
        <v>350</v>
      </c>
      <c r="B597" s="15" t="s">
        <v>580</v>
      </c>
      <c r="C597" s="16" t="s">
        <v>624</v>
      </c>
      <c r="D597" s="16" t="s">
        <v>894</v>
      </c>
      <c r="E597" s="16"/>
      <c r="F597" s="16" t="s">
        <v>317</v>
      </c>
      <c r="G597" s="16" t="s">
        <v>586</v>
      </c>
      <c r="H597" s="15" t="s">
        <v>348</v>
      </c>
      <c r="I597" s="17" t="s">
        <v>348</v>
      </c>
      <c r="J597" s="78">
        <v>429651.25</v>
      </c>
      <c r="K597" s="90" t="s">
        <v>462</v>
      </c>
      <c r="L597" s="94" t="s">
        <v>582</v>
      </c>
      <c r="M597" s="148" t="s">
        <v>581</v>
      </c>
      <c r="N597" s="19" t="str">
        <f>_xlfn.XLOOKUP(Calculations[[#This Row],[For XLOOKUP]],Factors[For XLOOKUP],Factors[Factor],"")</f>
        <v>Σ.Ε. CO₂ eq</v>
      </c>
      <c r="O597" s="19">
        <f>_xlfn.XLOOKUP(Calculations[[#This Row],[For XLOOKUP]],Factors[For XLOOKUP],Factors[Value],"")</f>
        <v>1.6581684E-4</v>
      </c>
      <c r="P597" s="19" t="str">
        <f>_xlfn.XLOOKUP(Calculations[[#This Row],[For XLOOKUP]],Factors[For XLOOKUP],Factors[Units],"")</f>
        <v>tn CO2 eq/ €</v>
      </c>
      <c r="Q597" s="19" t="str">
        <f>_xlfn.XLOOKUP(Calculations[[#This Row],[For XLOOKUP]],Factors[For XLOOKUP],Factors[Source],"")</f>
        <v>BEIS 2021</v>
      </c>
      <c r="R59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7" s="19" t="str">
        <f>IF(LEFT(Calculations[[#This Row],[Emission Factor]],7)="Σ.Ε. CH",Calculations[[#This Row],[Value]]*Calculations[[#This Row],[Τιμή]],"-")</f>
        <v>-</v>
      </c>
      <c r="T59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7" s="19" t="str">
        <f>IF(LEFT(Calculations[[#This Row],[Emission Factor]],3)="GWP",Calculations[[#This Row],[Τιμή]],"-")</f>
        <v>-</v>
      </c>
      <c r="V597" s="19">
        <f>IF(OR(Calculations[[#This Row],[Emission Factor]]="Σ.Ε. CO₂ eq",Calculations[[#This Row],[Emission Factor]]="CO₂ eq"),Calculations[[#This Row],[Value]]*Calculations[[#This Row],[Τιμή]],"-")</f>
        <v>71.243412577049995</v>
      </c>
      <c r="W597" s="19" t="str">
        <f>IF(Calculations[[#This Row],[Πηγή εκπομπών]]="Electricity consumed in office buildings and projects - market based",Calculations[[#This Row],[t CO2]],"")</f>
        <v/>
      </c>
      <c r="X59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71.243412577049995</v>
      </c>
    </row>
    <row r="598" spans="1:24" ht="15" hidden="1" thickTop="1">
      <c r="A598" s="15" t="s">
        <v>350</v>
      </c>
      <c r="B598" s="15" t="s">
        <v>580</v>
      </c>
      <c r="C598" s="16" t="s">
        <v>624</v>
      </c>
      <c r="D598" s="16" t="s">
        <v>894</v>
      </c>
      <c r="E598" s="16"/>
      <c r="F598" s="16" t="s">
        <v>317</v>
      </c>
      <c r="G598" s="16" t="s">
        <v>586</v>
      </c>
      <c r="H598" s="15" t="s">
        <v>348</v>
      </c>
      <c r="I598" s="17" t="s">
        <v>348</v>
      </c>
      <c r="J598" s="78">
        <v>10000</v>
      </c>
      <c r="K598" s="90" t="s">
        <v>462</v>
      </c>
      <c r="L598" s="94" t="s">
        <v>898</v>
      </c>
      <c r="M598" s="148" t="s">
        <v>899</v>
      </c>
      <c r="N598" s="19" t="str">
        <f>_xlfn.XLOOKUP(Calculations[[#This Row],[For XLOOKUP]],Factors[For XLOOKUP],Factors[Factor],"")</f>
        <v>Σ.Ε. CO₂ eq</v>
      </c>
      <c r="O598" s="19">
        <f>_xlfn.XLOOKUP(Calculations[[#This Row],[For XLOOKUP]],Factors[For XLOOKUP],Factors[Value],"")</f>
        <v>2.43E-4</v>
      </c>
      <c r="P598" s="19" t="str">
        <f>_xlfn.XLOOKUP(Calculations[[#This Row],[For XLOOKUP]],Factors[For XLOOKUP],Factors[Units],"")</f>
        <v>tn CO2 eq/ €</v>
      </c>
      <c r="Q598" s="19" t="str">
        <f>_xlfn.XLOOKUP(Calculations[[#This Row],[For XLOOKUP]],Factors[For XLOOKUP],Factors[Source],"")</f>
        <v>EXIOBASE 2019 - GR</v>
      </c>
      <c r="R59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8" s="19" t="str">
        <f>IF(LEFT(Calculations[[#This Row],[Emission Factor]],7)="Σ.Ε. CH",Calculations[[#This Row],[Value]]*Calculations[[#This Row],[Τιμή]],"-")</f>
        <v>-</v>
      </c>
      <c r="T59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8" s="19" t="str">
        <f>IF(LEFT(Calculations[[#This Row],[Emission Factor]],3)="GWP",Calculations[[#This Row],[Τιμή]],"-")</f>
        <v>-</v>
      </c>
      <c r="V598" s="19">
        <f>IF(OR(Calculations[[#This Row],[Emission Factor]]="Σ.Ε. CO₂ eq",Calculations[[#This Row],[Emission Factor]]="CO₂ eq"),Calculations[[#This Row],[Value]]*Calculations[[#This Row],[Τιμή]],"-")</f>
        <v>2.4300000000000002</v>
      </c>
      <c r="W598" s="19" t="str">
        <f>IF(Calculations[[#This Row],[Πηγή εκπομπών]]="Electricity consumed in office buildings and projects - market based",Calculations[[#This Row],[t CO2]],"")</f>
        <v/>
      </c>
      <c r="X59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2.4300000000000002</v>
      </c>
    </row>
    <row r="599" spans="1:24" ht="15" hidden="1" thickTop="1">
      <c r="A599" s="15" t="s">
        <v>350</v>
      </c>
      <c r="B599" s="15" t="s">
        <v>580</v>
      </c>
      <c r="C599" s="16" t="s">
        <v>624</v>
      </c>
      <c r="D599" s="16" t="s">
        <v>897</v>
      </c>
      <c r="E599" s="16"/>
      <c r="F599" s="16" t="s">
        <v>320</v>
      </c>
      <c r="G599" s="16" t="s">
        <v>586</v>
      </c>
      <c r="H599" s="15" t="s">
        <v>348</v>
      </c>
      <c r="I599" s="17" t="s">
        <v>348</v>
      </c>
      <c r="J599" s="78">
        <v>3635</v>
      </c>
      <c r="K599" s="90" t="s">
        <v>462</v>
      </c>
      <c r="L599" s="94" t="s">
        <v>391</v>
      </c>
      <c r="M599" s="148" t="s">
        <v>502</v>
      </c>
      <c r="N599" s="19" t="str">
        <f>_xlfn.XLOOKUP(Calculations[[#This Row],[For XLOOKUP]],Factors[For XLOOKUP],Factors[Factor],"")</f>
        <v>Σ.Ε. CO₂ eq</v>
      </c>
      <c r="O599" s="19">
        <f>_xlfn.XLOOKUP(Calculations[[#This Row],[For XLOOKUP]],Factors[For XLOOKUP],Factors[Value],"")</f>
        <v>4.5980000000000001E-4</v>
      </c>
      <c r="P599" s="19" t="str">
        <f>_xlfn.XLOOKUP(Calculations[[#This Row],[For XLOOKUP]],Factors[For XLOOKUP],Factors[Units],"")</f>
        <v>tn CO2 eq/ €</v>
      </c>
      <c r="Q599" s="19" t="str">
        <f>_xlfn.XLOOKUP(Calculations[[#This Row],[For XLOOKUP]],Factors[For XLOOKUP],Factors[Source],"")</f>
        <v>EXIOBASE 2019 - GR</v>
      </c>
      <c r="R59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9" s="19" t="str">
        <f>IF(LEFT(Calculations[[#This Row],[Emission Factor]],7)="Σ.Ε. CH",Calculations[[#This Row],[Value]]*Calculations[[#This Row],[Τιμή]],"-")</f>
        <v>-</v>
      </c>
      <c r="T59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9" s="19" t="str">
        <f>IF(LEFT(Calculations[[#This Row],[Emission Factor]],3)="GWP",Calculations[[#This Row],[Τιμή]],"-")</f>
        <v>-</v>
      </c>
      <c r="V599" s="19">
        <f>IF(OR(Calculations[[#This Row],[Emission Factor]]="Σ.Ε. CO₂ eq",Calculations[[#This Row],[Emission Factor]]="CO₂ eq"),Calculations[[#This Row],[Value]]*Calculations[[#This Row],[Τιμή]],"-")</f>
        <v>1.671373</v>
      </c>
      <c r="W599" s="19" t="str">
        <f>IF(Calculations[[#This Row],[Πηγή εκπομπών]]="Electricity consumed in office buildings and projects - market based",Calculations[[#This Row],[t CO2]],"")</f>
        <v/>
      </c>
      <c r="X59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1.671373</v>
      </c>
    </row>
    <row r="600" spans="1:24" ht="15" hidden="1" thickTop="1">
      <c r="A600" s="15" t="s">
        <v>350</v>
      </c>
      <c r="B600" s="15" t="s">
        <v>580</v>
      </c>
      <c r="C600" s="16" t="s">
        <v>624</v>
      </c>
      <c r="D600" s="16" t="s">
        <v>897</v>
      </c>
      <c r="E600" s="16" t="s">
        <v>1166</v>
      </c>
      <c r="F600" s="16" t="s">
        <v>320</v>
      </c>
      <c r="G600" s="16" t="s">
        <v>586</v>
      </c>
      <c r="H600" s="15" t="s">
        <v>348</v>
      </c>
      <c r="I600" s="17" t="s">
        <v>348</v>
      </c>
      <c r="J600" s="78">
        <v>7064.52</v>
      </c>
      <c r="K600" s="90" t="s">
        <v>462</v>
      </c>
      <c r="L600" s="94" t="s">
        <v>416</v>
      </c>
      <c r="M600" s="148" t="s">
        <v>527</v>
      </c>
      <c r="N600" s="19" t="str">
        <f>_xlfn.XLOOKUP(Calculations[[#This Row],[For XLOOKUP]],Factors[For XLOOKUP],Factors[Factor],"")</f>
        <v>Σ.Ε. CO₂ eq</v>
      </c>
      <c r="O600" s="19">
        <f>_xlfn.XLOOKUP(Calculations[[#This Row],[For XLOOKUP]],Factors[For XLOOKUP],Factors[Value],"")</f>
        <v>4.749E-4</v>
      </c>
      <c r="P600" s="19" t="str">
        <f>_xlfn.XLOOKUP(Calculations[[#This Row],[For XLOOKUP]],Factors[For XLOOKUP],Factors[Units],"")</f>
        <v>tn CO2 eq/ €</v>
      </c>
      <c r="Q600" s="19" t="str">
        <f>_xlfn.XLOOKUP(Calculations[[#This Row],[For XLOOKUP]],Factors[For XLOOKUP],Factors[Source],"")</f>
        <v>EXIOBASE 2019 - GR</v>
      </c>
      <c r="R60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0" s="19" t="str">
        <f>IF(LEFT(Calculations[[#This Row],[Emission Factor]],7)="Σ.Ε. CH",Calculations[[#This Row],[Value]]*Calculations[[#This Row],[Τιμή]],"-")</f>
        <v>-</v>
      </c>
      <c r="T60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0" s="19" t="str">
        <f>IF(LEFT(Calculations[[#This Row],[Emission Factor]],3)="GWP",Calculations[[#This Row],[Τιμή]],"-")</f>
        <v>-</v>
      </c>
      <c r="V600" s="19">
        <f>IF(OR(Calculations[[#This Row],[Emission Factor]]="Σ.Ε. CO₂ eq",Calculations[[#This Row],[Emission Factor]]="CO₂ eq"),Calculations[[#This Row],[Value]]*Calculations[[#This Row],[Τιμή]],"-")</f>
        <v>3.3549405480000001</v>
      </c>
      <c r="W600" s="19" t="str">
        <f>IF(Calculations[[#This Row],[Πηγή εκπομπών]]="Electricity consumed in office buildings and projects - market based",Calculations[[#This Row],[t CO2]],"")</f>
        <v/>
      </c>
      <c r="X60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3.3549405480000001</v>
      </c>
    </row>
    <row r="601" spans="1:24" ht="15" hidden="1" thickTop="1">
      <c r="A601" s="15" t="s">
        <v>350</v>
      </c>
      <c r="B601" s="15" t="s">
        <v>580</v>
      </c>
      <c r="C601" s="16" t="s">
        <v>624</v>
      </c>
      <c r="D601" s="16" t="s">
        <v>897</v>
      </c>
      <c r="E601" s="16" t="s">
        <v>1166</v>
      </c>
      <c r="F601" s="77" t="s">
        <v>320</v>
      </c>
      <c r="G601" s="16" t="s">
        <v>586</v>
      </c>
      <c r="H601" s="15" t="s">
        <v>348</v>
      </c>
      <c r="I601" s="17" t="s">
        <v>348</v>
      </c>
      <c r="J601" s="78">
        <v>2000</v>
      </c>
      <c r="K601" s="90" t="s">
        <v>462</v>
      </c>
      <c r="L601" s="94" t="s">
        <v>424</v>
      </c>
      <c r="M601" s="148" t="s">
        <v>535</v>
      </c>
      <c r="N601" s="19" t="str">
        <f>_xlfn.XLOOKUP(Calculations[[#This Row],[For XLOOKUP]],Factors[For XLOOKUP],Factors[Factor],"")</f>
        <v>Σ.Ε. CO₂ eq</v>
      </c>
      <c r="O601" s="19">
        <f>_xlfn.XLOOKUP(Calculations[[#This Row],[For XLOOKUP]],Factors[For XLOOKUP],Factors[Value],"")</f>
        <v>1.758E-3</v>
      </c>
      <c r="P601" s="19" t="str">
        <f>_xlfn.XLOOKUP(Calculations[[#This Row],[For XLOOKUP]],Factors[For XLOOKUP],Factors[Units],"")</f>
        <v>tn CO2 eq/ €</v>
      </c>
      <c r="Q601" s="19" t="str">
        <f>_xlfn.XLOOKUP(Calculations[[#This Row],[For XLOOKUP]],Factors[For XLOOKUP],Factors[Source],"")</f>
        <v>EXIOBASE 2019 - GR</v>
      </c>
      <c r="R60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1" s="19" t="str">
        <f>IF(LEFT(Calculations[[#This Row],[Emission Factor]],7)="Σ.Ε. CH",Calculations[[#This Row],[Value]]*Calculations[[#This Row],[Τιμή]],"-")</f>
        <v>-</v>
      </c>
      <c r="T60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1" s="19" t="str">
        <f>IF(LEFT(Calculations[[#This Row],[Emission Factor]],3)="GWP",Calculations[[#This Row],[Τιμή]],"-")</f>
        <v>-</v>
      </c>
      <c r="V601" s="19">
        <f>IF(OR(Calculations[[#This Row],[Emission Factor]]="Σ.Ε. CO₂ eq",Calculations[[#This Row],[Emission Factor]]="CO₂ eq"),Calculations[[#This Row],[Value]]*Calculations[[#This Row],[Τιμή]],"-")</f>
        <v>3.516</v>
      </c>
      <c r="W601" s="19" t="str">
        <f>IF(Calculations[[#This Row],[Πηγή εκπομπών]]="Electricity consumed in office buildings and projects - market based",Calculations[[#This Row],[t CO2]],"")</f>
        <v/>
      </c>
      <c r="X60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3.516</v>
      </c>
    </row>
    <row r="602" spans="1:24" ht="15" hidden="1" thickTop="1">
      <c r="A602" s="15" t="s">
        <v>350</v>
      </c>
      <c r="B602" s="15" t="s">
        <v>580</v>
      </c>
      <c r="C602" s="16" t="s">
        <v>624</v>
      </c>
      <c r="D602" s="16" t="s">
        <v>897</v>
      </c>
      <c r="E602" s="16" t="s">
        <v>1166</v>
      </c>
      <c r="F602" s="77" t="s">
        <v>320</v>
      </c>
      <c r="G602" s="16" t="s">
        <v>586</v>
      </c>
      <c r="H602" s="15" t="s">
        <v>348</v>
      </c>
      <c r="I602" s="17" t="s">
        <v>348</v>
      </c>
      <c r="J602" s="78">
        <v>3959.32</v>
      </c>
      <c r="K602" s="90" t="s">
        <v>462</v>
      </c>
      <c r="L602" s="94" t="s">
        <v>391</v>
      </c>
      <c r="M602" s="148" t="s">
        <v>502</v>
      </c>
      <c r="N602" s="19" t="str">
        <f>_xlfn.XLOOKUP(Calculations[[#This Row],[For XLOOKUP]],Factors[For XLOOKUP],Factors[Factor],"")</f>
        <v>Σ.Ε. CO₂ eq</v>
      </c>
      <c r="O602" s="19">
        <f>_xlfn.XLOOKUP(Calculations[[#This Row],[For XLOOKUP]],Factors[For XLOOKUP],Factors[Value],"")</f>
        <v>4.5980000000000001E-4</v>
      </c>
      <c r="P602" s="19" t="str">
        <f>_xlfn.XLOOKUP(Calculations[[#This Row],[For XLOOKUP]],Factors[For XLOOKUP],Factors[Units],"")</f>
        <v>tn CO2 eq/ €</v>
      </c>
      <c r="Q602" s="19" t="str">
        <f>_xlfn.XLOOKUP(Calculations[[#This Row],[For XLOOKUP]],Factors[For XLOOKUP],Factors[Source],"")</f>
        <v>EXIOBASE 2019 - GR</v>
      </c>
      <c r="R60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2" s="19" t="str">
        <f>IF(LEFT(Calculations[[#This Row],[Emission Factor]],7)="Σ.Ε. CH",Calculations[[#This Row],[Value]]*Calculations[[#This Row],[Τιμή]],"-")</f>
        <v>-</v>
      </c>
      <c r="T60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2" s="19" t="str">
        <f>IF(LEFT(Calculations[[#This Row],[Emission Factor]],3)="GWP",Calculations[[#This Row],[Τιμή]],"-")</f>
        <v>-</v>
      </c>
      <c r="V602" s="19">
        <f>IF(OR(Calculations[[#This Row],[Emission Factor]]="Σ.Ε. CO₂ eq",Calculations[[#This Row],[Emission Factor]]="CO₂ eq"),Calculations[[#This Row],[Value]]*Calculations[[#This Row],[Τιμή]],"-")</f>
        <v>1.820495336</v>
      </c>
      <c r="W602" s="19" t="str">
        <f>IF(Calculations[[#This Row],[Πηγή εκπομπών]]="Electricity consumed in office buildings and projects - market based",Calculations[[#This Row],[t CO2]],"")</f>
        <v/>
      </c>
      <c r="X60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1.820495336</v>
      </c>
    </row>
    <row r="603" spans="1:24" ht="15" hidden="1" thickTop="1">
      <c r="A603" s="15" t="s">
        <v>350</v>
      </c>
      <c r="B603" s="15" t="s">
        <v>583</v>
      </c>
      <c r="C603" s="16" t="s">
        <v>624</v>
      </c>
      <c r="D603" s="16" t="s">
        <v>894</v>
      </c>
      <c r="E603" s="16"/>
      <c r="F603" s="77" t="s">
        <v>317</v>
      </c>
      <c r="G603" s="16" t="s">
        <v>333</v>
      </c>
      <c r="H603" s="15" t="s">
        <v>333</v>
      </c>
      <c r="I603" s="17" t="s">
        <v>334</v>
      </c>
      <c r="J603" s="78">
        <v>51076.46</v>
      </c>
      <c r="K603" s="90" t="s">
        <v>7</v>
      </c>
      <c r="L603" s="94" t="s">
        <v>105</v>
      </c>
      <c r="M603" s="148" t="s">
        <v>606</v>
      </c>
      <c r="N603" s="19" t="str">
        <f>_xlfn.XLOOKUP(Calculations[[#This Row],[For XLOOKUP]],Factors[For XLOOKUP],Factors[Factor],"")</f>
        <v>Σ.Ε. CO₂ eq</v>
      </c>
      <c r="O603" s="19">
        <f>_xlfn.XLOOKUP(Calculations[[#This Row],[For XLOOKUP]],Factors[For XLOOKUP],Factors[Value],"")</f>
        <v>6.0663999999999998E-4</v>
      </c>
      <c r="P603" s="19" t="str">
        <f>_xlfn.XLOOKUP(Calculations[[#This Row],[For XLOOKUP]],Factors[For XLOOKUP],Factors[Units],"")</f>
        <v>t CO2 eq/lt</v>
      </c>
      <c r="Q603" s="19" t="str">
        <f>_xlfn.XLOOKUP(Calculations[[#This Row],[For XLOOKUP]],Factors[For XLOOKUP],Factors[Source],"")</f>
        <v>DEFRA 2024</v>
      </c>
      <c r="R60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3" s="19" t="str">
        <f>IF(LEFT(Calculations[[#This Row],[Emission Factor]],7)="Σ.Ε. CH",Calculations[[#This Row],[Value]]*Calculations[[#This Row],[Τιμή]],"-")</f>
        <v>-</v>
      </c>
      <c r="T60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3" s="19" t="str">
        <f>IF(LEFT(Calculations[[#This Row],[Emission Factor]],3)="GWP",Calculations[[#This Row],[Τιμή]],"-")</f>
        <v>-</v>
      </c>
      <c r="V603" s="19">
        <f>IF(OR(Calculations[[#This Row],[Emission Factor]]="Σ.Ε. CO₂ eq",Calculations[[#This Row],[Emission Factor]]="CO₂ eq"),Calculations[[#This Row],[Value]]*Calculations[[#This Row],[Τιμή]],"-")</f>
        <v>30.985023694399999</v>
      </c>
      <c r="W603" s="19" t="str">
        <f>IF(Calculations[[#This Row],[Πηγή εκπομπών]]="Electricity consumed in office buildings and projects - market based",Calculations[[#This Row],[t CO2]],"")</f>
        <v/>
      </c>
      <c r="X60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30.985023694399999</v>
      </c>
    </row>
    <row r="604" spans="1:24" ht="15" hidden="1" thickTop="1">
      <c r="A604" s="15" t="s">
        <v>350</v>
      </c>
      <c r="B604" s="15" t="s">
        <v>583</v>
      </c>
      <c r="C604" s="16" t="s">
        <v>624</v>
      </c>
      <c r="D604" s="16" t="s">
        <v>895</v>
      </c>
      <c r="E604" s="16" t="s">
        <v>1179</v>
      </c>
      <c r="F604" s="77" t="s">
        <v>318</v>
      </c>
      <c r="G604" s="16" t="s">
        <v>333</v>
      </c>
      <c r="H604" s="15" t="s">
        <v>333</v>
      </c>
      <c r="I604" s="17" t="s">
        <v>334</v>
      </c>
      <c r="J604" s="7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26939</v>
      </c>
      <c r="K604" s="90" t="s">
        <v>7</v>
      </c>
      <c r="L604" s="94" t="s">
        <v>105</v>
      </c>
      <c r="M604" s="148" t="s">
        <v>606</v>
      </c>
      <c r="N604" s="19" t="str">
        <f>_xlfn.XLOOKUP(Calculations[[#This Row],[For XLOOKUP]],Factors[For XLOOKUP],Factors[Factor],"")</f>
        <v>Σ.Ε. CO₂ eq</v>
      </c>
      <c r="O604" s="19">
        <f>_xlfn.XLOOKUP(Calculations[[#This Row],[For XLOOKUP]],Factors[For XLOOKUP],Factors[Value],"")</f>
        <v>6.0663999999999998E-4</v>
      </c>
      <c r="P604" s="19" t="str">
        <f>_xlfn.XLOOKUP(Calculations[[#This Row],[For XLOOKUP]],Factors[For XLOOKUP],Factors[Units],"")</f>
        <v>t CO2 eq/lt</v>
      </c>
      <c r="Q604" s="19" t="str">
        <f>_xlfn.XLOOKUP(Calculations[[#This Row],[For XLOOKUP]],Factors[For XLOOKUP],Factors[Source],"")</f>
        <v>DEFRA 2024</v>
      </c>
      <c r="R60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4" s="19" t="str">
        <f>IF(LEFT(Calculations[[#This Row],[Emission Factor]],7)="Σ.Ε. CH",Calculations[[#This Row],[Value]]*Calculations[[#This Row],[Τιμή]],"-")</f>
        <v>-</v>
      </c>
      <c r="T60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4" s="19" t="str">
        <f>IF(LEFT(Calculations[[#This Row],[Emission Factor]],3)="GWP",Calculations[[#This Row],[Τιμή]],"-")</f>
        <v>-</v>
      </c>
      <c r="V604" s="19">
        <f>IF(OR(Calculations[[#This Row],[Emission Factor]]="Σ.Ε. CO₂ eq",Calculations[[#This Row],[Emission Factor]]="CO₂ eq"),Calculations[[#This Row],[Value]]*Calculations[[#This Row],[Τιμή]],"-")</f>
        <v>16.342274960000001</v>
      </c>
      <c r="W604" s="19" t="str">
        <f>IF(Calculations[[#This Row],[Πηγή εκπομπών]]="Electricity consumed in office buildings and projects - market based",Calculations[[#This Row],[t CO2]],"")</f>
        <v/>
      </c>
      <c r="X60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16.342274960000001</v>
      </c>
    </row>
    <row r="605" spans="1:24" ht="15" hidden="1" thickTop="1">
      <c r="A605" s="15" t="s">
        <v>350</v>
      </c>
      <c r="B605" s="15" t="s">
        <v>583</v>
      </c>
      <c r="C605" s="16" t="s">
        <v>624</v>
      </c>
      <c r="D605" s="16" t="s">
        <v>895</v>
      </c>
      <c r="E605" s="16" t="s">
        <v>1140</v>
      </c>
      <c r="F605" s="77" t="s">
        <v>322</v>
      </c>
      <c r="G605" s="16" t="s">
        <v>333</v>
      </c>
      <c r="H605" s="15" t="s">
        <v>333</v>
      </c>
      <c r="I605" s="17" t="s">
        <v>334</v>
      </c>
      <c r="J605" s="78">
        <f>SUMIFS(Calculations[Τιμή],Calculations[Εταιρεία],Calculations[[#This Row],[Εταιρεία]],Calculations[Πηγή εκπομπών],"Combustion of Petrol in group owned vehicles (owned or leasing)")/3+SUMIFS(Calculations[Τιμή],Calculations[Εταιρεία],Calculations[[#This Row],[Εταιρεία]],Calculations[Πηγή εκπομπών],"Combustion of Petrol")/3</f>
        <v>0</v>
      </c>
      <c r="K605" s="90" t="s">
        <v>7</v>
      </c>
      <c r="L605" s="94" t="s">
        <v>105</v>
      </c>
      <c r="M605" s="148" t="s">
        <v>606</v>
      </c>
      <c r="N605" s="19" t="str">
        <f>_xlfn.XLOOKUP(Calculations[[#This Row],[For XLOOKUP]],Factors[For XLOOKUP],Factors[Factor],"")</f>
        <v>Σ.Ε. CO₂ eq</v>
      </c>
      <c r="O605" s="19">
        <f>_xlfn.XLOOKUP(Calculations[[#This Row],[For XLOOKUP]],Factors[For XLOOKUP],Factors[Value],"")</f>
        <v>6.0663999999999998E-4</v>
      </c>
      <c r="P605" s="19" t="str">
        <f>_xlfn.XLOOKUP(Calculations[[#This Row],[For XLOOKUP]],Factors[For XLOOKUP],Factors[Units],"")</f>
        <v>t CO2 eq/lt</v>
      </c>
      <c r="Q605" s="19" t="str">
        <f>_xlfn.XLOOKUP(Calculations[[#This Row],[For XLOOKUP]],Factors[For XLOOKUP],Factors[Source],"")</f>
        <v>DEFRA 2024</v>
      </c>
      <c r="R60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5" s="19" t="str">
        <f>IF(LEFT(Calculations[[#This Row],[Emission Factor]],7)="Σ.Ε. CH",Calculations[[#This Row],[Value]]*Calculations[[#This Row],[Τιμή]],"-")</f>
        <v>-</v>
      </c>
      <c r="T60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5" s="19" t="str">
        <f>IF(LEFT(Calculations[[#This Row],[Emission Factor]],3)="GWP",Calculations[[#This Row],[Τιμή]],"-")</f>
        <v>-</v>
      </c>
      <c r="V605" s="19">
        <f>IF(OR(Calculations[[#This Row],[Emission Factor]]="Σ.Ε. CO₂ eq",Calculations[[#This Row],[Emission Factor]]="CO₂ eq"),Calculations[[#This Row],[Value]]*Calculations[[#This Row],[Τιμή]],"-")</f>
        <v>0</v>
      </c>
      <c r="W605" s="19" t="str">
        <f>IF(Calculations[[#This Row],[Πηγή εκπομπών]]="Electricity consumed in office buildings and projects - market based",Calculations[[#This Row],[t CO2]],"")</f>
        <v/>
      </c>
      <c r="X60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606" spans="1:24" ht="15" hidden="1" thickTop="1">
      <c r="A606" s="15" t="s">
        <v>350</v>
      </c>
      <c r="B606" s="15" t="s">
        <v>583</v>
      </c>
      <c r="C606" s="16" t="s">
        <v>624</v>
      </c>
      <c r="D606" s="16" t="s">
        <v>895</v>
      </c>
      <c r="E606" s="16" t="s">
        <v>1141</v>
      </c>
      <c r="F606" s="77" t="s">
        <v>312</v>
      </c>
      <c r="G606" s="16" t="s">
        <v>333</v>
      </c>
      <c r="H606" s="15" t="s">
        <v>333</v>
      </c>
      <c r="I606" s="17" t="s">
        <v>334</v>
      </c>
      <c r="J606" s="78">
        <f>SUMIFS(Calculations[Τιμή],Calculations[Εταιρεία],Calculations[[#This Row],[Εταιρεία]],Calculations[Πηγή εκπομπών],"Combustion of Petrol in group owned vehicles (owned or leasing)")/3+SUMIFS(Calculations[Τιμή],Calculations[Εταιρεία],Calculations[[#This Row],[Εταιρεία]],Calculations[Πηγή εκπομπών],"Combustion of Petrol")/3</f>
        <v>33875.870000000003</v>
      </c>
      <c r="K606" s="90" t="s">
        <v>7</v>
      </c>
      <c r="L606" s="94" t="s">
        <v>105</v>
      </c>
      <c r="M606" s="148" t="s">
        <v>606</v>
      </c>
      <c r="N606" s="19" t="str">
        <f>_xlfn.XLOOKUP(Calculations[[#This Row],[For XLOOKUP]],Factors[For XLOOKUP],Factors[Factor],"")</f>
        <v>Σ.Ε. CO₂ eq</v>
      </c>
      <c r="O606" s="19">
        <f>_xlfn.XLOOKUP(Calculations[[#This Row],[For XLOOKUP]],Factors[For XLOOKUP],Factors[Value],"")</f>
        <v>6.0663999999999998E-4</v>
      </c>
      <c r="P606" s="19" t="str">
        <f>_xlfn.XLOOKUP(Calculations[[#This Row],[For XLOOKUP]],Factors[For XLOOKUP],Factors[Units],"")</f>
        <v>t CO2 eq/lt</v>
      </c>
      <c r="Q606" s="19" t="str">
        <f>_xlfn.XLOOKUP(Calculations[[#This Row],[For XLOOKUP]],Factors[For XLOOKUP],Factors[Source],"")</f>
        <v>DEFRA 2024</v>
      </c>
      <c r="R60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6" s="19" t="str">
        <f>IF(LEFT(Calculations[[#This Row],[Emission Factor]],7)="Σ.Ε. CH",Calculations[[#This Row],[Value]]*Calculations[[#This Row],[Τιμή]],"-")</f>
        <v>-</v>
      </c>
      <c r="T60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6" s="19" t="str">
        <f>IF(LEFT(Calculations[[#This Row],[Emission Factor]],3)="GWP",Calculations[[#This Row],[Τιμή]],"-")</f>
        <v>-</v>
      </c>
      <c r="V606" s="19">
        <f>IF(OR(Calculations[[#This Row],[Emission Factor]]="Σ.Ε. CO₂ eq",Calculations[[#This Row],[Emission Factor]]="CO₂ eq"),Calculations[[#This Row],[Value]]*Calculations[[#This Row],[Τιμή]],"-")</f>
        <v>20.550457776800002</v>
      </c>
      <c r="W606" s="19" t="str">
        <f>IF(Calculations[[#This Row],[Πηγή εκπομπών]]="Electricity consumed in office buildings and projects - market based",Calculations[[#This Row],[t CO2]],"")</f>
        <v/>
      </c>
      <c r="X60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20.550457776800002</v>
      </c>
    </row>
    <row r="607" spans="1:24" ht="15" hidden="1" thickTop="1">
      <c r="A607" s="15" t="s">
        <v>350</v>
      </c>
      <c r="B607" s="15" t="s">
        <v>583</v>
      </c>
      <c r="C607" s="16" t="s">
        <v>624</v>
      </c>
      <c r="D607" s="16" t="s">
        <v>1144</v>
      </c>
      <c r="E607" s="16" t="s">
        <v>1146</v>
      </c>
      <c r="F607" s="16" t="s">
        <v>647</v>
      </c>
      <c r="G607" s="16" t="s">
        <v>333</v>
      </c>
      <c r="H607" s="15" t="s">
        <v>333</v>
      </c>
      <c r="I607" s="17" t="s">
        <v>334</v>
      </c>
      <c r="J607" s="7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34767.480000000003</v>
      </c>
      <c r="K607" s="90" t="s">
        <v>7</v>
      </c>
      <c r="L607" s="94" t="s">
        <v>105</v>
      </c>
      <c r="M607" s="148" t="s">
        <v>606</v>
      </c>
      <c r="N607" s="19" t="str">
        <f>_xlfn.XLOOKUP(Calculations[[#This Row],[For XLOOKUP]],Factors[For XLOOKUP],Factors[Factor],"")</f>
        <v>Σ.Ε. CO₂ eq</v>
      </c>
      <c r="O607" s="19">
        <f>_xlfn.XLOOKUP(Calculations[[#This Row],[For XLOOKUP]],Factors[For XLOOKUP],Factors[Value],"")</f>
        <v>6.0663999999999998E-4</v>
      </c>
      <c r="P607" s="19" t="str">
        <f>_xlfn.XLOOKUP(Calculations[[#This Row],[For XLOOKUP]],Factors[For XLOOKUP],Factors[Units],"")</f>
        <v>t CO2 eq/lt</v>
      </c>
      <c r="Q607" s="19" t="str">
        <f>_xlfn.XLOOKUP(Calculations[[#This Row],[For XLOOKUP]],Factors[For XLOOKUP],Factors[Source],"")</f>
        <v>DEFRA 2024</v>
      </c>
      <c r="R60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7" s="19" t="str">
        <f>IF(LEFT(Calculations[[#This Row],[Emission Factor]],7)="Σ.Ε. CH",Calculations[[#This Row],[Value]]*Calculations[[#This Row],[Τιμή]],"-")</f>
        <v>-</v>
      </c>
      <c r="T60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7" s="19" t="str">
        <f>IF(LEFT(Calculations[[#This Row],[Emission Factor]],3)="GWP",Calculations[[#This Row],[Τιμή]],"-")</f>
        <v>-</v>
      </c>
      <c r="V607" s="19">
        <f>IF(OR(Calculations[[#This Row],[Emission Factor]]="Σ.Ε. CO₂ eq",Calculations[[#This Row],[Emission Factor]]="CO₂ eq"),Calculations[[#This Row],[Value]]*Calculations[[#This Row],[Τιμή]],"-")</f>
        <v>21.091344067200001</v>
      </c>
      <c r="W607" s="19" t="str">
        <f>IF(Calculations[[#This Row],[Πηγή εκπομπών]]="Electricity consumed in office buildings and projects - market based",Calculations[[#This Row],[t CO2]],"")</f>
        <v/>
      </c>
      <c r="X60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21.091344067200001</v>
      </c>
    </row>
    <row r="608" spans="1:24" ht="15" hidden="1" thickTop="1">
      <c r="A608" s="15" t="s">
        <v>350</v>
      </c>
      <c r="B608" s="15" t="s">
        <v>583</v>
      </c>
      <c r="C608" s="16" t="s">
        <v>624</v>
      </c>
      <c r="D608" s="16" t="s">
        <v>895</v>
      </c>
      <c r="E608" s="16" t="s">
        <v>1137</v>
      </c>
      <c r="F608" s="16" t="s">
        <v>319</v>
      </c>
      <c r="G608" s="16" t="s">
        <v>333</v>
      </c>
      <c r="H608" s="15" t="s">
        <v>333</v>
      </c>
      <c r="I608" s="17" t="s">
        <v>334</v>
      </c>
      <c r="J608" s="78">
        <f>SUMIFS(Calculations[Τιμή],Calculations[Εταιρεία],Calculations[[#This Row],[Εταιρεία]],Calculations[Πηγή εκπομπών],"Combustion of Petrol in group owned vehicles (owned or leasing)",Calculations[Έργο],"ΝΕΑ ΜΑΡΙΝΑ ΑΛΙΜΟΥ (ΑΚΤΩΡ ΠΑΡΑΧΩΡΗΣΕΙΣ) (01.01.2024-16.09.2024)")/3+SUMIFS(Calculations[Τιμή],Calculations[Εταιρεία],Calculations[[#This Row],[Εταιρεία]],Calculations[Πηγή εκπομπών],"Combustion of Petrol",Calculations[Έργο],"ΝΕΑ ΜΑΡΙΝΑ ΑΛΙΜΟΥ (ΑΚΤΩΡ ΠΑΡΑΧΩΡΗΣΕΙΣ) (01.01.2024-16.09.2024)")/3</f>
        <v>2563.79</v>
      </c>
      <c r="K608" s="90" t="s">
        <v>7</v>
      </c>
      <c r="L608" s="94" t="s">
        <v>105</v>
      </c>
      <c r="M608" s="148" t="s">
        <v>606</v>
      </c>
      <c r="N608" s="81" t="str">
        <f>_xlfn.XLOOKUP(Calculations[[#This Row],[For XLOOKUP]],Factors[For XLOOKUP],Factors[Factor],"")</f>
        <v>Σ.Ε. CO₂ eq</v>
      </c>
      <c r="O608" s="81">
        <f>_xlfn.XLOOKUP(Calculations[[#This Row],[For XLOOKUP]],Factors[For XLOOKUP],Factors[Value],"")</f>
        <v>6.0663999999999998E-4</v>
      </c>
      <c r="P608" s="81" t="str">
        <f>_xlfn.XLOOKUP(Calculations[[#This Row],[For XLOOKUP]],Factors[For XLOOKUP],Factors[Units],"")</f>
        <v>t CO2 eq/lt</v>
      </c>
      <c r="Q608" s="19" t="str">
        <f>_xlfn.XLOOKUP(Calculations[[#This Row],[For XLOOKUP]],Factors[For XLOOKUP],Factors[Source],"")</f>
        <v>DEFRA 2024</v>
      </c>
      <c r="R60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8" s="81" t="str">
        <f>IF(LEFT(Calculations[[#This Row],[Emission Factor]],7)="Σ.Ε. CH",Calculations[[#This Row],[Value]]*Calculations[[#This Row],[Τιμή]],"-")</f>
        <v>-</v>
      </c>
      <c r="T60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8" s="81" t="str">
        <f>IF(LEFT(Calculations[[#This Row],[Emission Factor]],3)="GWP",Calculations[[#This Row],[Τιμή]],"-")</f>
        <v>-</v>
      </c>
      <c r="V608" s="81">
        <f>IF(OR(Calculations[[#This Row],[Emission Factor]]="Σ.Ε. CO₂ eq",Calculations[[#This Row],[Emission Factor]]="CO₂ eq"),Calculations[[#This Row],[Value]]*Calculations[[#This Row],[Τιμή]],"-")</f>
        <v>1.5552975655999999</v>
      </c>
      <c r="W608" s="81" t="str">
        <f>IF(Calculations[[#This Row],[Πηγή εκπομπών]]="Electricity consumed in office buildings and projects - market based",Calculations[[#This Row],[t CO2]],"")</f>
        <v/>
      </c>
      <c r="X60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1.5552975655999999</v>
      </c>
    </row>
    <row r="609" spans="1:24" ht="15" hidden="1" thickTop="1">
      <c r="A609" s="15" t="s">
        <v>350</v>
      </c>
      <c r="B609" s="15" t="s">
        <v>583</v>
      </c>
      <c r="C609" s="16" t="s">
        <v>624</v>
      </c>
      <c r="D609" s="16" t="s">
        <v>895</v>
      </c>
      <c r="E609" s="16" t="s">
        <v>1137</v>
      </c>
      <c r="F609" s="16" t="s">
        <v>319</v>
      </c>
      <c r="G609" s="16" t="s">
        <v>333</v>
      </c>
      <c r="H609" s="15" t="s">
        <v>333</v>
      </c>
      <c r="I609" s="17" t="s">
        <v>598</v>
      </c>
      <c r="J609" s="7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494.55</v>
      </c>
      <c r="K609" s="90" t="s">
        <v>7</v>
      </c>
      <c r="L609" s="94" t="s">
        <v>15</v>
      </c>
      <c r="M609" s="148" t="s">
        <v>607</v>
      </c>
      <c r="N609" s="19" t="str">
        <f>_xlfn.XLOOKUP(Calculations[[#This Row],[For XLOOKUP]],Factors[For XLOOKUP],Factors[Factor],"")</f>
        <v>Σ.Ε. CO₂ eq</v>
      </c>
      <c r="O609" s="19">
        <f>_xlfn.XLOOKUP(Calculations[[#This Row],[For XLOOKUP]],Factors[For XLOOKUP],Factors[Value],"")</f>
        <v>6.2665000000000008E-4</v>
      </c>
      <c r="P609" s="19" t="str">
        <f>_xlfn.XLOOKUP(Calculations[[#This Row],[For XLOOKUP]],Factors[For XLOOKUP],Factors[Units],"")</f>
        <v>t CO₂ eq/lt</v>
      </c>
      <c r="Q609" s="19" t="str">
        <f>_xlfn.XLOOKUP(Calculations[[#This Row],[For XLOOKUP]],Factors[For XLOOKUP],Factors[Source],"")</f>
        <v>DEFRA 2024</v>
      </c>
      <c r="R60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9" s="19" t="str">
        <f>IF(LEFT(Calculations[[#This Row],[Emission Factor]],7)="Σ.Ε. CH",Calculations[[#This Row],[Value]]*Calculations[[#This Row],[Τιμή]],"-")</f>
        <v>-</v>
      </c>
      <c r="T60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9" s="19" t="str">
        <f>IF(LEFT(Calculations[[#This Row],[Emission Factor]],3)="GWP",Calculations[[#This Row],[Τιμή]],"-")</f>
        <v>-</v>
      </c>
      <c r="V609" s="19">
        <f>IF(OR(Calculations[[#This Row],[Emission Factor]]="Σ.Ε. CO₂ eq",Calculations[[#This Row],[Emission Factor]]="CO₂ eq"),Calculations[[#This Row],[Value]]*Calculations[[#This Row],[Τιμή]],"-")</f>
        <v>0.30990975750000005</v>
      </c>
      <c r="W609" s="19" t="str">
        <f>IF(Calculations[[#This Row],[Πηγή εκπομπών]]="Electricity consumed in office buildings and projects - market based",Calculations[[#This Row],[t CO2]],"")</f>
        <v/>
      </c>
      <c r="X60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0.30990975750000005</v>
      </c>
    </row>
    <row r="610" spans="1:24" ht="15" hidden="1" thickTop="1">
      <c r="A610" s="15" t="s">
        <v>350</v>
      </c>
      <c r="B610" s="15" t="s">
        <v>583</v>
      </c>
      <c r="C610" s="16" t="s">
        <v>624</v>
      </c>
      <c r="D610" s="16" t="s">
        <v>895</v>
      </c>
      <c r="E610" s="16" t="s">
        <v>1136</v>
      </c>
      <c r="F610" s="16" t="s">
        <v>319</v>
      </c>
      <c r="G610" s="16" t="s">
        <v>333</v>
      </c>
      <c r="H610" s="15" t="s">
        <v>333</v>
      </c>
      <c r="I610" s="17" t="s">
        <v>334</v>
      </c>
      <c r="J610" s="7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1328.99</v>
      </c>
      <c r="K610" s="90" t="s">
        <v>7</v>
      </c>
      <c r="L610" s="94" t="s">
        <v>105</v>
      </c>
      <c r="M610" s="148" t="s">
        <v>606</v>
      </c>
      <c r="N610" s="81" t="str">
        <f>_xlfn.XLOOKUP(Calculations[[#This Row],[For XLOOKUP]],Factors[For XLOOKUP],Factors[Factor],"")</f>
        <v>Σ.Ε. CO₂ eq</v>
      </c>
      <c r="O610" s="81">
        <f>_xlfn.XLOOKUP(Calculations[[#This Row],[For XLOOKUP]],Factors[For XLOOKUP],Factors[Value],"")</f>
        <v>6.0663999999999998E-4</v>
      </c>
      <c r="P610" s="81" t="str">
        <f>_xlfn.XLOOKUP(Calculations[[#This Row],[For XLOOKUP]],Factors[For XLOOKUP],Factors[Units],"")</f>
        <v>t CO2 eq/lt</v>
      </c>
      <c r="Q610" s="19" t="str">
        <f>_xlfn.XLOOKUP(Calculations[[#This Row],[For XLOOKUP]],Factors[For XLOOKUP],Factors[Source],"")</f>
        <v>DEFRA 2024</v>
      </c>
      <c r="R61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0" s="81" t="str">
        <f>IF(LEFT(Calculations[[#This Row],[Emission Factor]],7)="Σ.Ε. CH",Calculations[[#This Row],[Value]]*Calculations[[#This Row],[Τιμή]],"-")</f>
        <v>-</v>
      </c>
      <c r="T61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0" s="81" t="str">
        <f>IF(LEFT(Calculations[[#This Row],[Emission Factor]],3)="GWP",Calculations[[#This Row],[Τιμή]],"-")</f>
        <v>-</v>
      </c>
      <c r="V610" s="81">
        <f>IF(OR(Calculations[[#This Row],[Emission Factor]]="Σ.Ε. CO₂ eq",Calculations[[#This Row],[Emission Factor]]="CO₂ eq"),Calculations[[#This Row],[Value]]*Calculations[[#This Row],[Τιμή]],"-")</f>
        <v>0.80621849359999997</v>
      </c>
      <c r="W610" s="81" t="str">
        <f>IF(Calculations[[#This Row],[Πηγή εκπομπών]]="Electricity consumed in office buildings and projects - market based",Calculations[[#This Row],[t CO2]],"")</f>
        <v/>
      </c>
      <c r="X61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0.80621849359999997</v>
      </c>
    </row>
    <row r="611" spans="1:24" ht="15" hidden="1" thickTop="1">
      <c r="A611" s="15" t="s">
        <v>350</v>
      </c>
      <c r="B611" s="15" t="s">
        <v>583</v>
      </c>
      <c r="C611" s="16" t="s">
        <v>624</v>
      </c>
      <c r="D611" s="16" t="s">
        <v>897</v>
      </c>
      <c r="E611" s="16" t="s">
        <v>1151</v>
      </c>
      <c r="F611" s="16" t="s">
        <v>320</v>
      </c>
      <c r="G611" s="16" t="s">
        <v>333</v>
      </c>
      <c r="H611" s="15" t="s">
        <v>333</v>
      </c>
      <c r="I611" s="17" t="s">
        <v>334</v>
      </c>
      <c r="J611" s="7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Row],[Εταιρεία]],Calculations[Έργο],"Combustion of Petrol")/3</f>
        <v>1022.41</v>
      </c>
      <c r="K611" s="90" t="s">
        <v>7</v>
      </c>
      <c r="L611" s="94" t="s">
        <v>105</v>
      </c>
      <c r="M611" s="148" t="s">
        <v>606</v>
      </c>
      <c r="N611" s="19" t="str">
        <f>_xlfn.XLOOKUP(Calculations[[#This Row],[For XLOOKUP]],Factors[For XLOOKUP],Factors[Factor],"")</f>
        <v>Σ.Ε. CO₂ eq</v>
      </c>
      <c r="O611" s="19">
        <f>_xlfn.XLOOKUP(Calculations[[#This Row],[For XLOOKUP]],Factors[For XLOOKUP],Factors[Value],"")</f>
        <v>6.0663999999999998E-4</v>
      </c>
      <c r="P611" s="19" t="str">
        <f>_xlfn.XLOOKUP(Calculations[[#This Row],[For XLOOKUP]],Factors[For XLOOKUP],Factors[Units],"")</f>
        <v>t CO2 eq/lt</v>
      </c>
      <c r="Q611" s="19" t="str">
        <f>_xlfn.XLOOKUP(Calculations[[#This Row],[For XLOOKUP]],Factors[For XLOOKUP],Factors[Source],"")</f>
        <v>DEFRA 2024</v>
      </c>
      <c r="R61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1" s="19" t="str">
        <f>IF(LEFT(Calculations[[#This Row],[Emission Factor]],7)="Σ.Ε. CH",Calculations[[#This Row],[Value]]*Calculations[[#This Row],[Τιμή]],"-")</f>
        <v>-</v>
      </c>
      <c r="T61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1" s="19" t="str">
        <f>IF(LEFT(Calculations[[#This Row],[Emission Factor]],3)="GWP",Calculations[[#This Row],[Τιμή]],"-")</f>
        <v>-</v>
      </c>
      <c r="V611" s="19">
        <f>IF(OR(Calculations[[#This Row],[Emission Factor]]="Σ.Ε. CO₂ eq",Calculations[[#This Row],[Emission Factor]]="CO₂ eq"),Calculations[[#This Row],[Value]]*Calculations[[#This Row],[Τιμή]],"-")</f>
        <v>0.62023480239999995</v>
      </c>
      <c r="W611" s="19" t="str">
        <f>IF(Calculations[[#This Row],[Πηγή εκπομπών]]="Electricity consumed in office buildings and projects - market based",Calculations[[#This Row],[t CO2]],"")</f>
        <v/>
      </c>
      <c r="X61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0.62023480239999995</v>
      </c>
    </row>
    <row r="612" spans="1:24" ht="15" hidden="1" thickTop="1">
      <c r="A612" s="15" t="s">
        <v>350</v>
      </c>
      <c r="B612" s="15" t="s">
        <v>583</v>
      </c>
      <c r="C612" s="16" t="s">
        <v>624</v>
      </c>
      <c r="D612" s="77" t="s">
        <v>894</v>
      </c>
      <c r="E612" s="77"/>
      <c r="F612" s="16" t="s">
        <v>317</v>
      </c>
      <c r="G612" s="16" t="s">
        <v>333</v>
      </c>
      <c r="H612" s="15" t="s">
        <v>333</v>
      </c>
      <c r="I612" s="17" t="s">
        <v>598</v>
      </c>
      <c r="J612" s="78">
        <v>1200353.31</v>
      </c>
      <c r="K612" s="90" t="s">
        <v>7</v>
      </c>
      <c r="L612" s="94" t="s">
        <v>15</v>
      </c>
      <c r="M612" s="148" t="s">
        <v>607</v>
      </c>
      <c r="N612" s="81" t="str">
        <f>_xlfn.XLOOKUP(Calculations[[#This Row],[For XLOOKUP]],Factors[For XLOOKUP],Factors[Factor],"")</f>
        <v>Σ.Ε. CO₂ eq</v>
      </c>
      <c r="O612" s="81">
        <f>_xlfn.XLOOKUP(Calculations[[#This Row],[For XLOOKUP]],Factors[For XLOOKUP],Factors[Value],"")</f>
        <v>6.2665000000000008E-4</v>
      </c>
      <c r="P612" s="81" t="str">
        <f>_xlfn.XLOOKUP(Calculations[[#This Row],[For XLOOKUP]],Factors[For XLOOKUP],Factors[Units],"")</f>
        <v>t CO₂ eq/lt</v>
      </c>
      <c r="Q612" s="19" t="str">
        <f>_xlfn.XLOOKUP(Calculations[[#This Row],[For XLOOKUP]],Factors[For XLOOKUP],Factors[Source],"")</f>
        <v>DEFRA 2024</v>
      </c>
      <c r="R61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2" s="81" t="str">
        <f>IF(LEFT(Calculations[[#This Row],[Emission Factor]],7)="Σ.Ε. CH",Calculations[[#This Row],[Value]]*Calculations[[#This Row],[Τιμή]],"-")</f>
        <v>-</v>
      </c>
      <c r="T61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2" s="81" t="str">
        <f>IF(LEFT(Calculations[[#This Row],[Emission Factor]],3)="GWP",Calculations[[#This Row],[Τιμή]],"-")</f>
        <v>-</v>
      </c>
      <c r="V612" s="81">
        <f>IF(OR(Calculations[[#This Row],[Emission Factor]]="Σ.Ε. CO₂ eq",Calculations[[#This Row],[Emission Factor]]="CO₂ eq"),Calculations[[#This Row],[Value]]*Calculations[[#This Row],[Τιμή]],"-")</f>
        <v>752.20140171150013</v>
      </c>
      <c r="W612" s="81" t="str">
        <f>IF(Calculations[[#This Row],[Πηγή εκπομπών]]="Electricity consumed in office buildings and projects - market based",Calculations[[#This Row],[t CO2]],"")</f>
        <v/>
      </c>
      <c r="X61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752.20140171150013</v>
      </c>
    </row>
    <row r="613" spans="1:24" ht="15" hidden="1" thickTop="1">
      <c r="A613" s="15" t="s">
        <v>350</v>
      </c>
      <c r="B613" s="15" t="s">
        <v>583</v>
      </c>
      <c r="C613" s="16" t="s">
        <v>624</v>
      </c>
      <c r="D613" s="77" t="s">
        <v>895</v>
      </c>
      <c r="E613" s="77" t="s">
        <v>1179</v>
      </c>
      <c r="F613" s="16" t="s">
        <v>318</v>
      </c>
      <c r="G613" s="16" t="s">
        <v>333</v>
      </c>
      <c r="H613" s="15" t="s">
        <v>333</v>
      </c>
      <c r="I613" s="17" t="s">
        <v>598</v>
      </c>
      <c r="J613" s="7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408769</v>
      </c>
      <c r="K613" s="90" t="s">
        <v>7</v>
      </c>
      <c r="L613" s="94" t="s">
        <v>15</v>
      </c>
      <c r="M613" s="148" t="s">
        <v>607</v>
      </c>
      <c r="N613" s="19" t="str">
        <f>_xlfn.XLOOKUP(Calculations[[#This Row],[For XLOOKUP]],Factors[For XLOOKUP],Factors[Factor],"")</f>
        <v>Σ.Ε. CO₂ eq</v>
      </c>
      <c r="O613" s="19">
        <f>_xlfn.XLOOKUP(Calculations[[#This Row],[For XLOOKUP]],Factors[For XLOOKUP],Factors[Value],"")</f>
        <v>6.2665000000000008E-4</v>
      </c>
      <c r="P613" s="19" t="str">
        <f>_xlfn.XLOOKUP(Calculations[[#This Row],[For XLOOKUP]],Factors[For XLOOKUP],Factors[Units],"")</f>
        <v>t CO₂ eq/lt</v>
      </c>
      <c r="Q613" s="19" t="str">
        <f>_xlfn.XLOOKUP(Calculations[[#This Row],[For XLOOKUP]],Factors[For XLOOKUP],Factors[Source],"")</f>
        <v>DEFRA 2024</v>
      </c>
      <c r="R61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3" s="19" t="str">
        <f>IF(LEFT(Calculations[[#This Row],[Emission Factor]],7)="Σ.Ε. CH",Calculations[[#This Row],[Value]]*Calculations[[#This Row],[Τιμή]],"-")</f>
        <v>-</v>
      </c>
      <c r="T61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3" s="19" t="str">
        <f>IF(LEFT(Calculations[[#This Row],[Emission Factor]],3)="GWP",Calculations[[#This Row],[Τιμή]],"-")</f>
        <v>-</v>
      </c>
      <c r="V613" s="19">
        <f>IF(OR(Calculations[[#This Row],[Emission Factor]]="Σ.Ε. CO₂ eq",Calculations[[#This Row],[Emission Factor]]="CO₂ eq"),Calculations[[#This Row],[Value]]*Calculations[[#This Row],[Τιμή]],"-")</f>
        <v>256.15509385000001</v>
      </c>
      <c r="W613" s="19" t="str">
        <f>IF(Calculations[[#This Row],[Πηγή εκπομπών]]="Electricity consumed in office buildings and projects - market based",Calculations[[#This Row],[t CO2]],"")</f>
        <v/>
      </c>
      <c r="X61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256.15509385000001</v>
      </c>
    </row>
    <row r="614" spans="1:24" ht="15" hidden="1" thickTop="1">
      <c r="A614" s="15" t="s">
        <v>350</v>
      </c>
      <c r="B614" s="15" t="s">
        <v>583</v>
      </c>
      <c r="C614" s="16" t="s">
        <v>624</v>
      </c>
      <c r="D614" s="77" t="s">
        <v>895</v>
      </c>
      <c r="E614" s="77" t="s">
        <v>1141</v>
      </c>
      <c r="F614" s="16" t="s">
        <v>312</v>
      </c>
      <c r="G614" s="16" t="s">
        <v>333</v>
      </c>
      <c r="H614" s="15" t="s">
        <v>333</v>
      </c>
      <c r="I614" s="17" t="s">
        <v>598</v>
      </c>
      <c r="J614" s="7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396868.35000000003</v>
      </c>
      <c r="K614" s="90" t="s">
        <v>7</v>
      </c>
      <c r="L614" s="94" t="s">
        <v>15</v>
      </c>
      <c r="M614" s="148" t="s">
        <v>607</v>
      </c>
      <c r="N614" s="81" t="str">
        <f>_xlfn.XLOOKUP(Calculations[[#This Row],[For XLOOKUP]],Factors[For XLOOKUP],Factors[Factor],"")</f>
        <v>Σ.Ε. CO₂ eq</v>
      </c>
      <c r="O614" s="81">
        <f>_xlfn.XLOOKUP(Calculations[[#This Row],[For XLOOKUP]],Factors[For XLOOKUP],Factors[Value],"")</f>
        <v>6.2665000000000008E-4</v>
      </c>
      <c r="P614" s="81" t="str">
        <f>_xlfn.XLOOKUP(Calculations[[#This Row],[For XLOOKUP]],Factors[For XLOOKUP],Factors[Units],"")</f>
        <v>t CO₂ eq/lt</v>
      </c>
      <c r="Q614" s="19" t="str">
        <f>_xlfn.XLOOKUP(Calculations[[#This Row],[For XLOOKUP]],Factors[For XLOOKUP],Factors[Source],"")</f>
        <v>DEFRA 2024</v>
      </c>
      <c r="R61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4" s="81" t="str">
        <f>IF(LEFT(Calculations[[#This Row],[Emission Factor]],7)="Σ.Ε. CH",Calculations[[#This Row],[Value]]*Calculations[[#This Row],[Τιμή]],"-")</f>
        <v>-</v>
      </c>
      <c r="T61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4" s="81" t="str">
        <f>IF(LEFT(Calculations[[#This Row],[Emission Factor]],3)="GWP",Calculations[[#This Row],[Τιμή]],"-")</f>
        <v>-</v>
      </c>
      <c r="V614" s="81">
        <f>IF(OR(Calculations[[#This Row],[Emission Factor]]="Σ.Ε. CO₂ eq",Calculations[[#This Row],[Emission Factor]]="CO₂ eq"),Calculations[[#This Row],[Value]]*Calculations[[#This Row],[Τιμή]],"-")</f>
        <v>248.69755152750005</v>
      </c>
      <c r="W614" s="81" t="str">
        <f>IF(Calculations[[#This Row],[Πηγή εκπομπών]]="Electricity consumed in office buildings and projects - market based",Calculations[[#This Row],[t CO2]],"")</f>
        <v/>
      </c>
      <c r="X61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248.69755152750005</v>
      </c>
    </row>
    <row r="615" spans="1:24" ht="15" hidden="1" thickTop="1">
      <c r="A615" s="15" t="s">
        <v>350</v>
      </c>
      <c r="B615" s="15" t="s">
        <v>583</v>
      </c>
      <c r="C615" s="16" t="s">
        <v>624</v>
      </c>
      <c r="D615" s="77" t="s">
        <v>895</v>
      </c>
      <c r="E615" s="77" t="s">
        <v>1142</v>
      </c>
      <c r="F615" s="16" t="s">
        <v>312</v>
      </c>
      <c r="G615" s="16" t="s">
        <v>333</v>
      </c>
      <c r="H615" s="15" t="s">
        <v>333</v>
      </c>
      <c r="I615" s="17" t="s">
        <v>598</v>
      </c>
      <c r="J615" s="7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4310.3500000000004</v>
      </c>
      <c r="K615" s="90" t="s">
        <v>7</v>
      </c>
      <c r="L615" s="94" t="s">
        <v>15</v>
      </c>
      <c r="M615" s="148" t="s">
        <v>607</v>
      </c>
      <c r="N615" s="19" t="str">
        <f>_xlfn.XLOOKUP(Calculations[[#This Row],[For XLOOKUP]],Factors[For XLOOKUP],Factors[Factor],"")</f>
        <v>Σ.Ε. CO₂ eq</v>
      </c>
      <c r="O615" s="19">
        <f>_xlfn.XLOOKUP(Calculations[[#This Row],[For XLOOKUP]],Factors[For XLOOKUP],Factors[Value],"")</f>
        <v>6.2665000000000008E-4</v>
      </c>
      <c r="P615" s="19" t="str">
        <f>_xlfn.XLOOKUP(Calculations[[#This Row],[For XLOOKUP]],Factors[For XLOOKUP],Factors[Units],"")</f>
        <v>t CO₂ eq/lt</v>
      </c>
      <c r="Q615" s="19" t="str">
        <f>_xlfn.XLOOKUP(Calculations[[#This Row],[For XLOOKUP]],Factors[For XLOOKUP],Factors[Source],"")</f>
        <v>DEFRA 2024</v>
      </c>
      <c r="R61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5" s="19" t="str">
        <f>IF(LEFT(Calculations[[#This Row],[Emission Factor]],7)="Σ.Ε. CH",Calculations[[#This Row],[Value]]*Calculations[[#This Row],[Τιμή]],"-")</f>
        <v>-</v>
      </c>
      <c r="T61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5" s="19" t="str">
        <f>IF(LEFT(Calculations[[#This Row],[Emission Factor]],3)="GWP",Calculations[[#This Row],[Τιμή]],"-")</f>
        <v>-</v>
      </c>
      <c r="V615" s="19">
        <f>IF(OR(Calculations[[#This Row],[Emission Factor]]="Σ.Ε. CO₂ eq",Calculations[[#This Row],[Emission Factor]]="CO₂ eq"),Calculations[[#This Row],[Value]]*Calculations[[#This Row],[Τιμή]],"-")</f>
        <v>2.7010808275000007</v>
      </c>
      <c r="W615" s="19" t="str">
        <f>IF(Calculations[[#This Row],[Πηγή εκπομπών]]="Electricity consumed in office buildings and projects - market based",Calculations[[#This Row],[t CO2]],"")</f>
        <v/>
      </c>
      <c r="X61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2.7010808275000007</v>
      </c>
    </row>
    <row r="616" spans="1:24" ht="15" hidden="1" thickTop="1">
      <c r="A616" s="15" t="s">
        <v>350</v>
      </c>
      <c r="B616" s="15" t="s">
        <v>583</v>
      </c>
      <c r="C616" s="16" t="s">
        <v>624</v>
      </c>
      <c r="D616" s="77" t="s">
        <v>1144</v>
      </c>
      <c r="E616" s="77" t="s">
        <v>1146</v>
      </c>
      <c r="F616" s="16" t="s">
        <v>647</v>
      </c>
      <c r="G616" s="16" t="s">
        <v>333</v>
      </c>
      <c r="H616" s="15" t="s">
        <v>333</v>
      </c>
      <c r="I616" s="17" t="s">
        <v>598</v>
      </c>
      <c r="J616" s="7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5872.89</v>
      </c>
      <c r="K616" s="90" t="s">
        <v>7</v>
      </c>
      <c r="L616" s="94" t="s">
        <v>15</v>
      </c>
      <c r="M616" s="148" t="s">
        <v>607</v>
      </c>
      <c r="N616" s="19" t="str">
        <f>_xlfn.XLOOKUP(Calculations[[#This Row],[For XLOOKUP]],Factors[For XLOOKUP],Factors[Factor],"")</f>
        <v>Σ.Ε. CO₂ eq</v>
      </c>
      <c r="O616" s="19">
        <f>_xlfn.XLOOKUP(Calculations[[#This Row],[For XLOOKUP]],Factors[For XLOOKUP],Factors[Value],"")</f>
        <v>6.2665000000000008E-4</v>
      </c>
      <c r="P616" s="19" t="str">
        <f>_xlfn.XLOOKUP(Calculations[[#This Row],[For XLOOKUP]],Factors[For XLOOKUP],Factors[Units],"")</f>
        <v>t CO₂ eq/lt</v>
      </c>
      <c r="Q616" s="19" t="str">
        <f>_xlfn.XLOOKUP(Calculations[[#This Row],[For XLOOKUP]],Factors[For XLOOKUP],Factors[Source],"")</f>
        <v>DEFRA 2024</v>
      </c>
      <c r="R61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6" s="19" t="str">
        <f>IF(LEFT(Calculations[[#This Row],[Emission Factor]],7)="Σ.Ε. CH",Calculations[[#This Row],[Value]]*Calculations[[#This Row],[Τιμή]],"-")</f>
        <v>-</v>
      </c>
      <c r="T61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6" s="19" t="str">
        <f>IF(LEFT(Calculations[[#This Row],[Emission Factor]],3)="GWP",Calculations[[#This Row],[Τιμή]],"-")</f>
        <v>-</v>
      </c>
      <c r="V616" s="19">
        <f>IF(OR(Calculations[[#This Row],[Emission Factor]]="Σ.Ε. CO₂ eq",Calculations[[#This Row],[Emission Factor]]="CO₂ eq"),Calculations[[#This Row],[Value]]*Calculations[[#This Row],[Τιμή]],"-")</f>
        <v>3.6802465185000006</v>
      </c>
      <c r="W616" s="19" t="str">
        <f>IF(Calculations[[#This Row],[Πηγή εκπομπών]]="Electricity consumed in office buildings and projects - market based",Calculations[[#This Row],[t CO2]],"")</f>
        <v/>
      </c>
      <c r="X61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3.6802465185000006</v>
      </c>
    </row>
    <row r="617" spans="1:24" ht="15" hidden="1" thickTop="1">
      <c r="A617" s="15" t="s">
        <v>350</v>
      </c>
      <c r="B617" s="15" t="s">
        <v>583</v>
      </c>
      <c r="C617" s="16" t="s">
        <v>624</v>
      </c>
      <c r="D617" s="77" t="s">
        <v>895</v>
      </c>
      <c r="E617" s="77" t="s">
        <v>1156</v>
      </c>
      <c r="F617" s="16" t="s">
        <v>319</v>
      </c>
      <c r="G617" s="16" t="s">
        <v>333</v>
      </c>
      <c r="H617" s="15" t="s">
        <v>333</v>
      </c>
      <c r="I617" s="17" t="s">
        <v>598</v>
      </c>
      <c r="J617" s="7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1669.43</v>
      </c>
      <c r="K617" s="90" t="s">
        <v>7</v>
      </c>
      <c r="L617" s="94" t="s">
        <v>15</v>
      </c>
      <c r="M617" s="148" t="s">
        <v>607</v>
      </c>
      <c r="N617" s="19" t="str">
        <f>_xlfn.XLOOKUP(Calculations[[#This Row],[For XLOOKUP]],Factors[For XLOOKUP],Factors[Factor],"")</f>
        <v>Σ.Ε. CO₂ eq</v>
      </c>
      <c r="O617" s="19">
        <f>_xlfn.XLOOKUP(Calculations[[#This Row],[For XLOOKUP]],Factors[For XLOOKUP],Factors[Value],"")</f>
        <v>6.2665000000000008E-4</v>
      </c>
      <c r="P617" s="19" t="str">
        <f>_xlfn.XLOOKUP(Calculations[[#This Row],[For XLOOKUP]],Factors[For XLOOKUP],Factors[Units],"")</f>
        <v>t CO₂ eq/lt</v>
      </c>
      <c r="Q617" s="19" t="str">
        <f>_xlfn.XLOOKUP(Calculations[[#This Row],[For XLOOKUP]],Factors[For XLOOKUP],Factors[Source],"")</f>
        <v>DEFRA 2024</v>
      </c>
      <c r="R61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7" s="19" t="str">
        <f>IF(LEFT(Calculations[[#This Row],[Emission Factor]],7)="Σ.Ε. CH",Calculations[[#This Row],[Value]]*Calculations[[#This Row],[Τιμή]],"-")</f>
        <v>-</v>
      </c>
      <c r="T61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7" s="19" t="str">
        <f>IF(LEFT(Calculations[[#This Row],[Emission Factor]],3)="GWP",Calculations[[#This Row],[Τιμή]],"-")</f>
        <v>-</v>
      </c>
      <c r="V617" s="19">
        <f>IF(OR(Calculations[[#This Row],[Emission Factor]]="Σ.Ε. CO₂ eq",Calculations[[#This Row],[Emission Factor]]="CO₂ eq"),Calculations[[#This Row],[Value]]*Calculations[[#This Row],[Τιμή]],"-")</f>
        <v>1.0461483095000002</v>
      </c>
      <c r="W617" s="19" t="str">
        <f>IF(Calculations[[#This Row],[Πηγή εκπομπών]]="Electricity consumed in office buildings and projects - market based",Calculations[[#This Row],[t CO2]],"")</f>
        <v/>
      </c>
      <c r="X61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1.0461483095000002</v>
      </c>
    </row>
    <row r="618" spans="1:24" ht="15" hidden="1" thickTop="1">
      <c r="A618" s="15" t="s">
        <v>350</v>
      </c>
      <c r="B618" s="15" t="s">
        <v>583</v>
      </c>
      <c r="C618" s="16" t="s">
        <v>624</v>
      </c>
      <c r="D618" s="77" t="s">
        <v>897</v>
      </c>
      <c r="E618" s="77" t="s">
        <v>1151</v>
      </c>
      <c r="F618" s="16" t="s">
        <v>320</v>
      </c>
      <c r="G618" s="16" t="s">
        <v>333</v>
      </c>
      <c r="H618" s="15" t="s">
        <v>333</v>
      </c>
      <c r="I618" s="17" t="s">
        <v>598</v>
      </c>
      <c r="J618" s="7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411.87999999999994</v>
      </c>
      <c r="K618" s="90" t="s">
        <v>7</v>
      </c>
      <c r="L618" s="94" t="s">
        <v>15</v>
      </c>
      <c r="M618" s="148" t="s">
        <v>607</v>
      </c>
      <c r="N618" s="19" t="str">
        <f>_xlfn.XLOOKUP(Calculations[[#This Row],[For XLOOKUP]],Factors[For XLOOKUP],Factors[Factor],"")</f>
        <v>Σ.Ε. CO₂ eq</v>
      </c>
      <c r="O618" s="19">
        <f>_xlfn.XLOOKUP(Calculations[[#This Row],[For XLOOKUP]],Factors[For XLOOKUP],Factors[Value],"")</f>
        <v>6.2665000000000008E-4</v>
      </c>
      <c r="P618" s="19" t="str">
        <f>_xlfn.XLOOKUP(Calculations[[#This Row],[For XLOOKUP]],Factors[For XLOOKUP],Factors[Units],"")</f>
        <v>t CO₂ eq/lt</v>
      </c>
      <c r="Q618" s="19" t="str">
        <f>_xlfn.XLOOKUP(Calculations[[#This Row],[For XLOOKUP]],Factors[For XLOOKUP],Factors[Source],"")</f>
        <v>DEFRA 2024</v>
      </c>
      <c r="R61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8" s="19" t="str">
        <f>IF(LEFT(Calculations[[#This Row],[Emission Factor]],7)="Σ.Ε. CH",Calculations[[#This Row],[Value]]*Calculations[[#This Row],[Τιμή]],"-")</f>
        <v>-</v>
      </c>
      <c r="T61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8" s="19" t="str">
        <f>IF(LEFT(Calculations[[#This Row],[Emission Factor]],3)="GWP",Calculations[[#This Row],[Τιμή]],"-")</f>
        <v>-</v>
      </c>
      <c r="V618" s="19">
        <f>IF(OR(Calculations[[#This Row],[Emission Factor]]="Σ.Ε. CO₂ eq",Calculations[[#This Row],[Emission Factor]]="CO₂ eq"),Calculations[[#This Row],[Value]]*Calculations[[#This Row],[Τιμή]],"-")</f>
        <v>0.25810460200000002</v>
      </c>
      <c r="W618" s="19" t="str">
        <f>IF(Calculations[[#This Row],[Πηγή εκπομπών]]="Electricity consumed in office buildings and projects - market based",Calculations[[#This Row],[t CO2]],"")</f>
        <v/>
      </c>
      <c r="X61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0.25810460200000002</v>
      </c>
    </row>
    <row r="619" spans="1:24" ht="15" hidden="1" thickTop="1">
      <c r="A619" s="15" t="s">
        <v>350</v>
      </c>
      <c r="B619" s="15" t="s">
        <v>583</v>
      </c>
      <c r="C619" s="16" t="s">
        <v>624</v>
      </c>
      <c r="D619" s="77" t="s">
        <v>897</v>
      </c>
      <c r="E619" s="77" t="s">
        <v>1150</v>
      </c>
      <c r="F619" s="16" t="s">
        <v>320</v>
      </c>
      <c r="G619" s="16" t="s">
        <v>333</v>
      </c>
      <c r="H619" s="15" t="s">
        <v>333</v>
      </c>
      <c r="I619" s="17" t="s">
        <v>598</v>
      </c>
      <c r="J619" s="7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2972.15</v>
      </c>
      <c r="K619" s="90" t="s">
        <v>7</v>
      </c>
      <c r="L619" s="94" t="s">
        <v>15</v>
      </c>
      <c r="M619" s="148" t="s">
        <v>607</v>
      </c>
      <c r="N619" s="19" t="str">
        <f>_xlfn.XLOOKUP(Calculations[[#This Row],[For XLOOKUP]],Factors[For XLOOKUP],Factors[Factor],"")</f>
        <v>Σ.Ε. CO₂ eq</v>
      </c>
      <c r="O619" s="19">
        <f>_xlfn.XLOOKUP(Calculations[[#This Row],[For XLOOKUP]],Factors[For XLOOKUP],Factors[Value],"")</f>
        <v>6.2665000000000008E-4</v>
      </c>
      <c r="P619" s="19" t="str">
        <f>_xlfn.XLOOKUP(Calculations[[#This Row],[For XLOOKUP]],Factors[For XLOOKUP],Factors[Units],"")</f>
        <v>t CO₂ eq/lt</v>
      </c>
      <c r="Q619" s="19" t="str">
        <f>_xlfn.XLOOKUP(Calculations[[#This Row],[For XLOOKUP]],Factors[For XLOOKUP],Factors[Source],"")</f>
        <v>DEFRA 2024</v>
      </c>
      <c r="R61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9" s="19" t="str">
        <f>IF(LEFT(Calculations[[#This Row],[Emission Factor]],7)="Σ.Ε. CH",Calculations[[#This Row],[Value]]*Calculations[[#This Row],[Τιμή]],"-")</f>
        <v>-</v>
      </c>
      <c r="T61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9" s="19" t="str">
        <f>IF(LEFT(Calculations[[#This Row],[Emission Factor]],3)="GWP",Calculations[[#This Row],[Τιμή]],"-")</f>
        <v>-</v>
      </c>
      <c r="V619" s="19">
        <f>IF(OR(Calculations[[#This Row],[Emission Factor]]="Σ.Ε. CO₂ eq",Calculations[[#This Row],[Emission Factor]]="CO₂ eq"),Calculations[[#This Row],[Value]]*Calculations[[#This Row],[Τιμή]],"-")</f>
        <v>1.8624977975000003</v>
      </c>
      <c r="W619" s="19" t="str">
        <f>IF(Calculations[[#This Row],[Πηγή εκπομπών]]="Electricity consumed in office buildings and projects - market based",Calculations[[#This Row],[t CO2]],"")</f>
        <v/>
      </c>
      <c r="X61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1.8624977975000003</v>
      </c>
    </row>
    <row r="620" spans="1:24" ht="15" hidden="1" thickTop="1">
      <c r="A620" s="15" t="s">
        <v>350</v>
      </c>
      <c r="B620" s="15" t="s">
        <v>583</v>
      </c>
      <c r="C620" s="16" t="s">
        <v>624</v>
      </c>
      <c r="D620" s="77" t="s">
        <v>897</v>
      </c>
      <c r="E620" s="77" t="s">
        <v>1150</v>
      </c>
      <c r="F620" s="16" t="s">
        <v>320</v>
      </c>
      <c r="G620" s="16" t="s">
        <v>333</v>
      </c>
      <c r="H620" s="15" t="s">
        <v>333</v>
      </c>
      <c r="I620" s="17" t="s">
        <v>334</v>
      </c>
      <c r="J620" s="7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Row],[Εταιρεία]],Calculations[Έργο],"Combustion of Petrol")/3</f>
        <v>3156.18</v>
      </c>
      <c r="K620" s="90" t="s">
        <v>7</v>
      </c>
      <c r="L620" s="94" t="s">
        <v>105</v>
      </c>
      <c r="M620" s="148" t="s">
        <v>606</v>
      </c>
      <c r="N620" s="19" t="str">
        <f>_xlfn.XLOOKUP(Calculations[[#This Row],[For XLOOKUP]],Factors[For XLOOKUP],Factors[Factor],"")</f>
        <v>Σ.Ε. CO₂ eq</v>
      </c>
      <c r="O620" s="19">
        <f>_xlfn.XLOOKUP(Calculations[[#This Row],[For XLOOKUP]],Factors[For XLOOKUP],Factors[Value],"")</f>
        <v>6.0663999999999998E-4</v>
      </c>
      <c r="P620" s="19" t="str">
        <f>_xlfn.XLOOKUP(Calculations[[#This Row],[For XLOOKUP]],Factors[For XLOOKUP],Factors[Units],"")</f>
        <v>t CO2 eq/lt</v>
      </c>
      <c r="Q620" s="19" t="str">
        <f>_xlfn.XLOOKUP(Calculations[[#This Row],[For XLOOKUP]],Factors[For XLOOKUP],Factors[Source],"")</f>
        <v>DEFRA 2024</v>
      </c>
      <c r="R62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0" s="19" t="str">
        <f>IF(LEFT(Calculations[[#This Row],[Emission Factor]],7)="Σ.Ε. CH",Calculations[[#This Row],[Value]]*Calculations[[#This Row],[Τιμή]],"-")</f>
        <v>-</v>
      </c>
      <c r="T62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0" s="19" t="str">
        <f>IF(LEFT(Calculations[[#This Row],[Emission Factor]],3)="GWP",Calculations[[#This Row],[Τιμή]],"-")</f>
        <v>-</v>
      </c>
      <c r="V620" s="19">
        <f>IF(OR(Calculations[[#This Row],[Emission Factor]]="Σ.Ε. CO₂ eq",Calculations[[#This Row],[Emission Factor]]="CO₂ eq"),Calculations[[#This Row],[Value]]*Calculations[[#This Row],[Τιμή]],"-")</f>
        <v>1.9146650351999999</v>
      </c>
      <c r="W620" s="19" t="str">
        <f>IF(Calculations[[#This Row],[Πηγή εκπομπών]]="Electricity consumed in office buildings and projects - market based",Calculations[[#This Row],[t CO2]],"")</f>
        <v/>
      </c>
      <c r="X62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1.9146650351999999</v>
      </c>
    </row>
    <row r="621" spans="1:24" ht="15" hidden="1" thickTop="1">
      <c r="A621" s="15" t="s">
        <v>350</v>
      </c>
      <c r="B621" s="15" t="s">
        <v>583</v>
      </c>
      <c r="C621" s="16" t="s">
        <v>624</v>
      </c>
      <c r="D621" s="77" t="s">
        <v>1144</v>
      </c>
      <c r="E621" s="77" t="s">
        <v>1146</v>
      </c>
      <c r="F621" s="16" t="s">
        <v>647</v>
      </c>
      <c r="G621" s="16" t="s">
        <v>333</v>
      </c>
      <c r="H621" s="15" t="s">
        <v>333</v>
      </c>
      <c r="I621" s="17" t="s">
        <v>611</v>
      </c>
      <c r="J621" s="78">
        <f>SUMIFS(Calculations[Τιμή],Calculations[Εταιρεία],Calculations[[#This Row],[Εταιρεία]],Calculations[Πηγή εκπομπών],"Combustion of Natural gas")/3</f>
        <v>54131.141959488705</v>
      </c>
      <c r="K621" s="90" t="s">
        <v>51</v>
      </c>
      <c r="L621" s="94" t="s">
        <v>600</v>
      </c>
      <c r="M621" s="148" t="s">
        <v>608</v>
      </c>
      <c r="N621" s="19" t="str">
        <f>_xlfn.XLOOKUP(Calculations[[#This Row],[For XLOOKUP]],Factors[For XLOOKUP],Factors[Factor],"")</f>
        <v>Σ.Ε. CO₂ eq</v>
      </c>
      <c r="O621" s="19">
        <f>_xlfn.XLOOKUP(Calculations[[#This Row],[For XLOOKUP]],Factors[For XLOOKUP],Factors[Value],"")</f>
        <v>3.021E-5</v>
      </c>
      <c r="P621" s="19" t="str">
        <f>_xlfn.XLOOKUP(Calculations[[#This Row],[For XLOOKUP]],Factors[For XLOOKUP],Factors[Units],"")</f>
        <v>tn CO2 eq/ lt</v>
      </c>
      <c r="Q621" s="19" t="str">
        <f>_xlfn.XLOOKUP(Calculations[[#This Row],[For XLOOKUP]],Factors[For XLOOKUP],Factors[Source],"")</f>
        <v>DEFRA 2024</v>
      </c>
      <c r="R62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1" s="19" t="str">
        <f>IF(LEFT(Calculations[[#This Row],[Emission Factor]],7)="Σ.Ε. CH",Calculations[[#This Row],[Value]]*Calculations[[#This Row],[Τιμή]],"-")</f>
        <v>-</v>
      </c>
      <c r="T62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1" s="19" t="str">
        <f>IF(LEFT(Calculations[[#This Row],[Emission Factor]],3)="GWP",Calculations[[#This Row],[Τιμή]],"-")</f>
        <v>-</v>
      </c>
      <c r="V621" s="19">
        <f>IF(OR(Calculations[[#This Row],[Emission Factor]]="Σ.Ε. CO₂ eq",Calculations[[#This Row],[Emission Factor]]="CO₂ eq"),Calculations[[#This Row],[Value]]*Calculations[[#This Row],[Τιμή]],"-")</f>
        <v>1.6353017985961538</v>
      </c>
      <c r="W621" s="19" t="str">
        <f>IF(Calculations[[#This Row],[Πηγή εκπομπών]]="Electricity consumed in office buildings and projects - market based",Calculations[[#This Row],[t CO2]],"")</f>
        <v/>
      </c>
      <c r="X62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1.6353017985961538</v>
      </c>
    </row>
    <row r="622" spans="1:24" ht="15" hidden="1" thickTop="1">
      <c r="A622" s="15" t="s">
        <v>350</v>
      </c>
      <c r="B622" s="15" t="s">
        <v>583</v>
      </c>
      <c r="C622" s="16" t="s">
        <v>624</v>
      </c>
      <c r="D622" s="77" t="s">
        <v>894</v>
      </c>
      <c r="E622" s="77"/>
      <c r="F622" s="16" t="s">
        <v>317</v>
      </c>
      <c r="G622" s="16" t="s">
        <v>333</v>
      </c>
      <c r="H622" s="15" t="s">
        <v>333</v>
      </c>
      <c r="I622" s="17" t="s">
        <v>611</v>
      </c>
      <c r="J622" s="78">
        <f>SUMIFS(Calculations[Τιμή],Calculations[Εταιρεία],Calculations[[#This Row],[Εταιρεία]],Calculations[Πηγή εκπομπών],"Combustion of Natural gas")/3</f>
        <v>8115388.3399999999</v>
      </c>
      <c r="K622" s="90" t="s">
        <v>51</v>
      </c>
      <c r="L622" s="94" t="s">
        <v>600</v>
      </c>
      <c r="M622" s="148" t="s">
        <v>608</v>
      </c>
      <c r="N622" s="81" t="str">
        <f>_xlfn.XLOOKUP(Calculations[[#This Row],[For XLOOKUP]],Factors[For XLOOKUP],Factors[Factor],"")</f>
        <v>Σ.Ε. CO₂ eq</v>
      </c>
      <c r="O622" s="81">
        <f>_xlfn.XLOOKUP(Calculations[[#This Row],[For XLOOKUP]],Factors[For XLOOKUP],Factors[Value],"")</f>
        <v>3.021E-5</v>
      </c>
      <c r="P622" s="81" t="str">
        <f>_xlfn.XLOOKUP(Calculations[[#This Row],[For XLOOKUP]],Factors[For XLOOKUP],Factors[Units],"")</f>
        <v>tn CO2 eq/ lt</v>
      </c>
      <c r="Q622" s="19" t="str">
        <f>_xlfn.XLOOKUP(Calculations[[#This Row],[For XLOOKUP]],Factors[For XLOOKUP],Factors[Source],"")</f>
        <v>DEFRA 2024</v>
      </c>
      <c r="R62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2" s="81" t="str">
        <f>IF(LEFT(Calculations[[#This Row],[Emission Factor]],7)="Σ.Ε. CH",Calculations[[#This Row],[Value]]*Calculations[[#This Row],[Τιμή]],"-")</f>
        <v>-</v>
      </c>
      <c r="T62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2" s="81" t="str">
        <f>IF(LEFT(Calculations[[#This Row],[Emission Factor]],3)="GWP",Calculations[[#This Row],[Τιμή]],"-")</f>
        <v>-</v>
      </c>
      <c r="V622" s="81">
        <f>IF(OR(Calculations[[#This Row],[Emission Factor]]="Σ.Ε. CO₂ eq",Calculations[[#This Row],[Emission Factor]]="CO₂ eq"),Calculations[[#This Row],[Value]]*Calculations[[#This Row],[Τιμή]],"-")</f>
        <v>245.16588175140001</v>
      </c>
      <c r="W622" s="81" t="str">
        <f>IF(Calculations[[#This Row],[Πηγή εκπομπών]]="Electricity consumed in office buildings and projects - market based",Calculations[[#This Row],[t CO2]],"")</f>
        <v/>
      </c>
      <c r="X62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245.16588175140001</v>
      </c>
    </row>
    <row r="623" spans="1:24" ht="15" hidden="1" thickTop="1">
      <c r="A623" s="15" t="s">
        <v>350</v>
      </c>
      <c r="B623" s="15" t="s">
        <v>583</v>
      </c>
      <c r="C623" s="16" t="s">
        <v>624</v>
      </c>
      <c r="D623" s="77" t="s">
        <v>895</v>
      </c>
      <c r="E623" s="77" t="s">
        <v>1142</v>
      </c>
      <c r="F623" s="16" t="s">
        <v>312</v>
      </c>
      <c r="G623" s="16" t="s">
        <v>333</v>
      </c>
      <c r="H623" s="15" t="s">
        <v>333</v>
      </c>
      <c r="I623" s="17" t="s">
        <v>611</v>
      </c>
      <c r="J623" s="78">
        <f>SUMIFS(Calculations[Τιμή],Calculations[Έργο],Calculations[[#This Row],[Έργο]],Calculations[Πηγή εκπομπών],"Combustion of Natural gas")/3</f>
        <v>1587.4700712480901</v>
      </c>
      <c r="K623" s="90" t="s">
        <v>51</v>
      </c>
      <c r="L623" s="94" t="s">
        <v>600</v>
      </c>
      <c r="M623" s="148" t="s">
        <v>608</v>
      </c>
      <c r="N623" s="19" t="str">
        <f>_xlfn.XLOOKUP(Calculations[[#This Row],[For XLOOKUP]],Factors[For XLOOKUP],Factors[Factor],"")</f>
        <v>Σ.Ε. CO₂ eq</v>
      </c>
      <c r="O623" s="19">
        <f>_xlfn.XLOOKUP(Calculations[[#This Row],[For XLOOKUP]],Factors[For XLOOKUP],Factors[Value],"")</f>
        <v>3.021E-5</v>
      </c>
      <c r="P623" s="19" t="str">
        <f>_xlfn.XLOOKUP(Calculations[[#This Row],[For XLOOKUP]],Factors[For XLOOKUP],Factors[Units],"")</f>
        <v>tn CO2 eq/ lt</v>
      </c>
      <c r="Q623" s="19" t="str">
        <f>_xlfn.XLOOKUP(Calculations[[#This Row],[For XLOOKUP]],Factors[For XLOOKUP],Factors[Source],"")</f>
        <v>DEFRA 2024</v>
      </c>
      <c r="R62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3" s="19" t="str">
        <f>IF(LEFT(Calculations[[#This Row],[Emission Factor]],7)="Σ.Ε. CH",Calculations[[#This Row],[Value]]*Calculations[[#This Row],[Τιμή]],"-")</f>
        <v>-</v>
      </c>
      <c r="T62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3" s="19" t="str">
        <f>IF(LEFT(Calculations[[#This Row],[Emission Factor]],3)="GWP",Calculations[[#This Row],[Τιμή]],"-")</f>
        <v>-</v>
      </c>
      <c r="V623" s="19">
        <f>IF(OR(Calculations[[#This Row],[Emission Factor]]="Σ.Ε. CO₂ eq",Calculations[[#This Row],[Emission Factor]]="CO₂ eq"),Calculations[[#This Row],[Value]]*Calculations[[#This Row],[Τιμή]],"-")</f>
        <v>4.7957470852404802E-2</v>
      </c>
      <c r="W623" s="19" t="str">
        <f>IF(Calculations[[#This Row],[Πηγή εκπομπών]]="Electricity consumed in office buildings and projects - market based",Calculations[[#This Row],[t CO2]],"")</f>
        <v/>
      </c>
      <c r="X62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4.7957470852404802E-2</v>
      </c>
    </row>
    <row r="624" spans="1:24" ht="15" hidden="1" thickTop="1">
      <c r="A624" s="15" t="s">
        <v>350</v>
      </c>
      <c r="B624" s="15" t="s">
        <v>583</v>
      </c>
      <c r="C624" s="16" t="s">
        <v>624</v>
      </c>
      <c r="D624" s="77" t="s">
        <v>895</v>
      </c>
      <c r="E624" s="77" t="s">
        <v>1136</v>
      </c>
      <c r="F624" s="16" t="s">
        <v>319</v>
      </c>
      <c r="G624" s="16" t="s">
        <v>333</v>
      </c>
      <c r="H624" s="15" t="s">
        <v>333</v>
      </c>
      <c r="I624" s="17" t="s">
        <v>611</v>
      </c>
      <c r="J624" s="78">
        <f>SUMIFS(Calculations[Τιμή],Calculations[Εταιρεία],Calculations[[#This Row],[Εταιρεία]],Calculations[Πηγή εκπομπών],"Combustion of Natural gas")/3</f>
        <v>16562.604410021799</v>
      </c>
      <c r="K624" s="90" t="s">
        <v>51</v>
      </c>
      <c r="L624" s="94" t="s">
        <v>600</v>
      </c>
      <c r="M624" s="148" t="s">
        <v>608</v>
      </c>
      <c r="N624" s="81" t="str">
        <f>_xlfn.XLOOKUP(Calculations[[#This Row],[For XLOOKUP]],Factors[For XLOOKUP],Factors[Factor],"")</f>
        <v>Σ.Ε. CO₂ eq</v>
      </c>
      <c r="O624" s="81">
        <f>_xlfn.XLOOKUP(Calculations[[#This Row],[For XLOOKUP]],Factors[For XLOOKUP],Factors[Value],"")</f>
        <v>3.021E-5</v>
      </c>
      <c r="P624" s="81" t="str">
        <f>_xlfn.XLOOKUP(Calculations[[#This Row],[For XLOOKUP]],Factors[For XLOOKUP],Factors[Units],"")</f>
        <v>tn CO2 eq/ lt</v>
      </c>
      <c r="Q624" s="19" t="str">
        <f>_xlfn.XLOOKUP(Calculations[[#This Row],[For XLOOKUP]],Factors[For XLOOKUP],Factors[Source],"")</f>
        <v>DEFRA 2024</v>
      </c>
      <c r="R62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4" s="81" t="str">
        <f>IF(LEFT(Calculations[[#This Row],[Emission Factor]],7)="Σ.Ε. CH",Calculations[[#This Row],[Value]]*Calculations[[#This Row],[Τιμή]],"-")</f>
        <v>-</v>
      </c>
      <c r="T62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4" s="81" t="str">
        <f>IF(LEFT(Calculations[[#This Row],[Emission Factor]],3)="GWP",Calculations[[#This Row],[Τιμή]],"-")</f>
        <v>-</v>
      </c>
      <c r="V624" s="81">
        <f>IF(OR(Calculations[[#This Row],[Emission Factor]]="Σ.Ε. CO₂ eq",Calculations[[#This Row],[Emission Factor]]="CO₂ eq"),Calculations[[#This Row],[Value]]*Calculations[[#This Row],[Τιμή]],"-")</f>
        <v>0.50035627922675852</v>
      </c>
      <c r="W624" s="81" t="str">
        <f>IF(Calculations[[#This Row],[Πηγή εκπομπών]]="Electricity consumed in office buildings and projects - market based",Calculations[[#This Row],[t CO2]],"")</f>
        <v/>
      </c>
      <c r="X62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0.50035627922675852</v>
      </c>
    </row>
    <row r="625" spans="1:24" ht="15" hidden="1" thickTop="1">
      <c r="A625" s="15" t="s">
        <v>350</v>
      </c>
      <c r="B625" s="15" t="s">
        <v>583</v>
      </c>
      <c r="C625" s="16" t="s">
        <v>624</v>
      </c>
      <c r="D625" s="77" t="s">
        <v>897</v>
      </c>
      <c r="E625" s="77" t="s">
        <v>1150</v>
      </c>
      <c r="F625" s="16" t="s">
        <v>320</v>
      </c>
      <c r="G625" s="16" t="s">
        <v>333</v>
      </c>
      <c r="H625" s="15" t="s">
        <v>333</v>
      </c>
      <c r="I625" s="17" t="s">
        <v>611</v>
      </c>
      <c r="J625" s="78">
        <f>SUMIFS(Calculations[Τιμή],Calculations[Εταιρεία],Calculations[[#This Row],[Εταιρεία]],Calculations[Πηγή εκπομπών],"Combustion of Natural gas")/3</f>
        <v>6111.7597743051492</v>
      </c>
      <c r="K625" s="90" t="s">
        <v>51</v>
      </c>
      <c r="L625" s="94" t="s">
        <v>600</v>
      </c>
      <c r="M625" s="148" t="s">
        <v>608</v>
      </c>
      <c r="N625" s="19" t="str">
        <f>_xlfn.XLOOKUP(Calculations[[#This Row],[For XLOOKUP]],Factors[For XLOOKUP],Factors[Factor],"")</f>
        <v>Σ.Ε. CO₂ eq</v>
      </c>
      <c r="O625" s="19">
        <f>_xlfn.XLOOKUP(Calculations[[#This Row],[For XLOOKUP]],Factors[For XLOOKUP],Factors[Value],"")</f>
        <v>3.021E-5</v>
      </c>
      <c r="P625" s="19" t="str">
        <f>_xlfn.XLOOKUP(Calculations[[#This Row],[For XLOOKUP]],Factors[For XLOOKUP],Factors[Units],"")</f>
        <v>tn CO2 eq/ lt</v>
      </c>
      <c r="Q625" s="19" t="str">
        <f>_xlfn.XLOOKUP(Calculations[[#This Row],[For XLOOKUP]],Factors[For XLOOKUP],Factors[Source],"")</f>
        <v>DEFRA 2024</v>
      </c>
      <c r="R62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5" s="19" t="str">
        <f>IF(LEFT(Calculations[[#This Row],[Emission Factor]],7)="Σ.Ε. CH",Calculations[[#This Row],[Value]]*Calculations[[#This Row],[Τιμή]],"-")</f>
        <v>-</v>
      </c>
      <c r="T62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5" s="19" t="str">
        <f>IF(LEFT(Calculations[[#This Row],[Emission Factor]],3)="GWP",Calculations[[#This Row],[Τιμή]],"-")</f>
        <v>-</v>
      </c>
      <c r="V625" s="19">
        <f>IF(OR(Calculations[[#This Row],[Emission Factor]]="Σ.Ε. CO₂ eq",Calculations[[#This Row],[Emission Factor]]="CO₂ eq"),Calculations[[#This Row],[Value]]*Calculations[[#This Row],[Τιμή]],"-")</f>
        <v>0.18463626278175857</v>
      </c>
      <c r="W625" s="19" t="str">
        <f>IF(Calculations[[#This Row],[Πηγή εκπομπών]]="Electricity consumed in office buildings and projects - market based",Calculations[[#This Row],[t CO2]],"")</f>
        <v/>
      </c>
      <c r="X62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0.18463626278175857</v>
      </c>
    </row>
    <row r="626" spans="1:24" ht="15" hidden="1" thickTop="1">
      <c r="A626" s="15" t="s">
        <v>350</v>
      </c>
      <c r="B626" s="15" t="s">
        <v>583</v>
      </c>
      <c r="C626" s="16" t="s">
        <v>624</v>
      </c>
      <c r="D626" s="77" t="s">
        <v>895</v>
      </c>
      <c r="E626" s="77" t="s">
        <v>1141</v>
      </c>
      <c r="F626" s="16" t="s">
        <v>312</v>
      </c>
      <c r="G626" s="16" t="s">
        <v>333</v>
      </c>
      <c r="H626" s="15" t="s">
        <v>333</v>
      </c>
      <c r="I626" s="17" t="s">
        <v>335</v>
      </c>
      <c r="J626" s="78">
        <f>SUMIFS(Calculations[Τιμή],Calculations[Εταιρεία],Calculations[[#This Row],[Εταιρεία]],Calculations[Πηγή εκπομπών],"Combustion of LPG in group owned vehicles (owned or leasing)")/3</f>
        <v>11890.61</v>
      </c>
      <c r="K626" s="90" t="s">
        <v>7</v>
      </c>
      <c r="L626" s="94" t="s">
        <v>44</v>
      </c>
      <c r="M626" s="148" t="s">
        <v>609</v>
      </c>
      <c r="N626" s="81" t="str">
        <f>_xlfn.XLOOKUP(Calculations[[#This Row],[For XLOOKUP]],Factors[For XLOOKUP],Factors[Factor],"")</f>
        <v>Σ.Ε. CO₂ eq</v>
      </c>
      <c r="O626" s="81">
        <f>_xlfn.XLOOKUP(Calculations[[#This Row],[For XLOOKUP]],Factors[For XLOOKUP],Factors[Value],"")</f>
        <v>1.8551E-4</v>
      </c>
      <c r="P626" s="81" t="str">
        <f>_xlfn.XLOOKUP(Calculations[[#This Row],[For XLOOKUP]],Factors[For XLOOKUP],Factors[Units],"")</f>
        <v>tn CO2 eq/ lt</v>
      </c>
      <c r="Q626" s="19" t="str">
        <f>_xlfn.XLOOKUP(Calculations[[#This Row],[For XLOOKUP]],Factors[For XLOOKUP],Factors[Source],"")</f>
        <v>DEFRA 2024</v>
      </c>
      <c r="R62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6" s="81" t="str">
        <f>IF(LEFT(Calculations[[#This Row],[Emission Factor]],7)="Σ.Ε. CH",Calculations[[#This Row],[Value]]*Calculations[[#This Row],[Τιμή]],"-")</f>
        <v>-</v>
      </c>
      <c r="T62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6" s="81" t="str">
        <f>IF(LEFT(Calculations[[#This Row],[Emission Factor]],3)="GWP",Calculations[[#This Row],[Τιμή]],"-")</f>
        <v>-</v>
      </c>
      <c r="V626" s="81">
        <f>IF(OR(Calculations[[#This Row],[Emission Factor]]="Σ.Ε. CO₂ eq",Calculations[[#This Row],[Emission Factor]]="CO₂ eq"),Calculations[[#This Row],[Value]]*Calculations[[#This Row],[Τιμή]],"-")</f>
        <v>2.2058270611000004</v>
      </c>
      <c r="W626" s="81" t="str">
        <f>IF(Calculations[[#This Row],[Πηγή εκπομπών]]="Electricity consumed in office buildings and projects - market based",Calculations[[#This Row],[t CO2]],"")</f>
        <v/>
      </c>
      <c r="X62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2.2058270611000004</v>
      </c>
    </row>
    <row r="627" spans="1:24" ht="15" hidden="1" thickTop="1">
      <c r="A627" s="15" t="s">
        <v>350</v>
      </c>
      <c r="B627" s="15" t="s">
        <v>583</v>
      </c>
      <c r="C627" s="16" t="s">
        <v>328</v>
      </c>
      <c r="D627" s="77" t="s">
        <v>894</v>
      </c>
      <c r="E627" s="77" t="s">
        <v>1188</v>
      </c>
      <c r="F627" s="16" t="s">
        <v>317</v>
      </c>
      <c r="G627" s="16" t="s">
        <v>333</v>
      </c>
      <c r="H627" s="15" t="s">
        <v>333</v>
      </c>
      <c r="I627" s="17" t="s">
        <v>598</v>
      </c>
      <c r="J627" s="7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9342.1299999999992</v>
      </c>
      <c r="K627" s="90" t="s">
        <v>7</v>
      </c>
      <c r="L627" s="94" t="s">
        <v>15</v>
      </c>
      <c r="M627" s="148" t="s">
        <v>607</v>
      </c>
      <c r="N627" s="19" t="str">
        <f>_xlfn.XLOOKUP(Calculations[[#This Row],[For XLOOKUP]],Factors[For XLOOKUP],Factors[Factor],"")</f>
        <v>Σ.Ε. CO₂ eq</v>
      </c>
      <c r="O627" s="19">
        <f>_xlfn.XLOOKUP(Calculations[[#This Row],[For XLOOKUP]],Factors[For XLOOKUP],Factors[Value],"")</f>
        <v>6.2665000000000008E-4</v>
      </c>
      <c r="P627" s="19" t="str">
        <f>_xlfn.XLOOKUP(Calculations[[#This Row],[For XLOOKUP]],Factors[For XLOOKUP],Factors[Units],"")</f>
        <v>t CO₂ eq/lt</v>
      </c>
      <c r="Q627" s="19" t="str">
        <f>_xlfn.XLOOKUP(Calculations[[#This Row],[For XLOOKUP]],Factors[For XLOOKUP],Factors[Source],"")</f>
        <v>DEFRA 2024</v>
      </c>
      <c r="R62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7" s="19" t="str">
        <f>IF(LEFT(Calculations[[#This Row],[Emission Factor]],7)="Σ.Ε. CH",Calculations[[#This Row],[Value]]*Calculations[[#This Row],[Τιμή]],"-")</f>
        <v>-</v>
      </c>
      <c r="T62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7" s="19" t="str">
        <f>IF(LEFT(Calculations[[#This Row],[Emission Factor]],3)="GWP",Calculations[[#This Row],[Τιμή]],"-")</f>
        <v>-</v>
      </c>
      <c r="V627" s="19">
        <f>IF(OR(Calculations[[#This Row],[Emission Factor]]="Σ.Ε. CO₂ eq",Calculations[[#This Row],[Emission Factor]]="CO₂ eq"),Calculations[[#This Row],[Value]]*Calculations[[#This Row],[Τιμή]],"-")</f>
        <v>5.8542457644999999</v>
      </c>
      <c r="W627" s="19" t="str">
        <f>IF(Calculations[[#This Row],[Πηγή εκπομπών]]="Electricity consumed in office buildings and projects - market based",Calculations[[#This Row],[t CO2]],"")</f>
        <v/>
      </c>
      <c r="X62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5.8542457644999999</v>
      </c>
    </row>
    <row r="628" spans="1:24" ht="15" hidden="1" thickTop="1">
      <c r="A628" s="15" t="s">
        <v>350</v>
      </c>
      <c r="B628" s="15" t="s">
        <v>583</v>
      </c>
      <c r="C628" s="16" t="s">
        <v>328</v>
      </c>
      <c r="D628" s="77" t="s">
        <v>894</v>
      </c>
      <c r="E628" s="77" t="s">
        <v>1188</v>
      </c>
      <c r="F628" s="16" t="s">
        <v>317</v>
      </c>
      <c r="G628" s="16" t="s">
        <v>333</v>
      </c>
      <c r="H628" s="15" t="s">
        <v>333</v>
      </c>
      <c r="I628" s="17" t="s">
        <v>334</v>
      </c>
      <c r="J628" s="7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4428.03</v>
      </c>
      <c r="K628" s="90" t="s">
        <v>7</v>
      </c>
      <c r="L628" s="94" t="s">
        <v>105</v>
      </c>
      <c r="M628" s="148" t="s">
        <v>606</v>
      </c>
      <c r="N628" s="81" t="str">
        <f>_xlfn.XLOOKUP(Calculations[[#This Row],[For XLOOKUP]],Factors[For XLOOKUP],Factors[Factor],"")</f>
        <v>Σ.Ε. CO₂ eq</v>
      </c>
      <c r="O628" s="81">
        <f>_xlfn.XLOOKUP(Calculations[[#This Row],[For XLOOKUP]],Factors[For XLOOKUP],Factors[Value],"")</f>
        <v>6.0663999999999998E-4</v>
      </c>
      <c r="P628" s="81" t="str">
        <f>_xlfn.XLOOKUP(Calculations[[#This Row],[For XLOOKUP]],Factors[For XLOOKUP],Factors[Units],"")</f>
        <v>t CO2 eq/lt</v>
      </c>
      <c r="Q628" s="19" t="str">
        <f>_xlfn.XLOOKUP(Calculations[[#This Row],[For XLOOKUP]],Factors[For XLOOKUP],Factors[Source],"")</f>
        <v>DEFRA 2024</v>
      </c>
      <c r="R62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8" s="81" t="str">
        <f>IF(LEFT(Calculations[[#This Row],[Emission Factor]],7)="Σ.Ε. CH",Calculations[[#This Row],[Value]]*Calculations[[#This Row],[Τιμή]],"-")</f>
        <v>-</v>
      </c>
      <c r="T62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8" s="81" t="str">
        <f>IF(LEFT(Calculations[[#This Row],[Emission Factor]],3)="GWP",Calculations[[#This Row],[Τιμή]],"-")</f>
        <v>-</v>
      </c>
      <c r="V628" s="81">
        <f>IF(OR(Calculations[[#This Row],[Emission Factor]]="Σ.Ε. CO₂ eq",Calculations[[#This Row],[Emission Factor]]="CO₂ eq"),Calculations[[#This Row],[Value]]*Calculations[[#This Row],[Τιμή]],"-")</f>
        <v>2.6862201191999997</v>
      </c>
      <c r="W628" s="81" t="str">
        <f>IF(Calculations[[#This Row],[Πηγή εκπομπών]]="Electricity consumed in office buildings and projects - market based",Calculations[[#This Row],[t CO2]],"")</f>
        <v/>
      </c>
      <c r="X62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2.6862201191999997</v>
      </c>
    </row>
    <row r="629" spans="1:24" ht="15" hidden="1" thickTop="1">
      <c r="A629" s="15" t="s">
        <v>350</v>
      </c>
      <c r="B629" s="15" t="s">
        <v>583</v>
      </c>
      <c r="C629" s="16" t="s">
        <v>328</v>
      </c>
      <c r="D629" s="77" t="s">
        <v>894</v>
      </c>
      <c r="E629" s="77" t="s">
        <v>1188</v>
      </c>
      <c r="F629" s="16" t="s">
        <v>317</v>
      </c>
      <c r="G629" s="16" t="s">
        <v>333</v>
      </c>
      <c r="H629" s="15" t="s">
        <v>333</v>
      </c>
      <c r="I629" s="17" t="s">
        <v>614</v>
      </c>
      <c r="J629" s="78">
        <f>SUMIFS(Calculations[Τιμή],Calculations[Εταιρεία],Calculations[[#This Row],[Εταιρεία]],Calculations[Πηγή εκπομπών],"Emissions from Wood Pellet Combustion")</f>
        <v>24434</v>
      </c>
      <c r="K629" s="90" t="s">
        <v>291</v>
      </c>
      <c r="L629" s="94" t="s">
        <v>616</v>
      </c>
      <c r="M629" s="148" t="s">
        <v>617</v>
      </c>
      <c r="N629" s="19" t="str">
        <f>_xlfn.XLOOKUP(Calculations[[#This Row],[For XLOOKUP]],Factors[For XLOOKUP],Factors[Factor],"")</f>
        <v>Σ.Ε. CO₂ eq</v>
      </c>
      <c r="O629" s="19">
        <f>_xlfn.XLOOKUP(Calculations[[#This Row],[For XLOOKUP]],Factors[For XLOOKUP],Factors[Value],"")</f>
        <v>3.7440000000000001E-5</v>
      </c>
      <c r="P629" s="19" t="str">
        <f>_xlfn.XLOOKUP(Calculations[[#This Row],[For XLOOKUP]],Factors[For XLOOKUP],Factors[Units],"")</f>
        <v>tn CO2 eq/ kWh</v>
      </c>
      <c r="Q629" s="19" t="str">
        <f>_xlfn.XLOOKUP(Calculations[[#This Row],[For XLOOKUP]],Factors[For XLOOKUP],Factors[Source],"")</f>
        <v>DEFRA 2024</v>
      </c>
      <c r="R62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9" s="19" t="str">
        <f>IF(LEFT(Calculations[[#This Row],[Emission Factor]],7)="Σ.Ε. CH",Calculations[[#This Row],[Value]]*Calculations[[#This Row],[Τιμή]],"-")</f>
        <v>-</v>
      </c>
      <c r="T62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9" s="19" t="str">
        <f>IF(LEFT(Calculations[[#This Row],[Emission Factor]],3)="GWP",Calculations[[#This Row],[Τιμή]],"-")</f>
        <v>-</v>
      </c>
      <c r="V629" s="19">
        <f>IF(OR(Calculations[[#This Row],[Emission Factor]]="Σ.Ε. CO₂ eq",Calculations[[#This Row],[Emission Factor]]="CO₂ eq"),Calculations[[#This Row],[Value]]*Calculations[[#This Row],[Τιμή]],"-")</f>
        <v>0.91480896</v>
      </c>
      <c r="W629" s="19" t="str">
        <f>IF(Calculations[[#This Row],[Πηγή εκπομπών]]="Electricity consumed in office buildings and projects - market based",Calculations[[#This Row],[t CO2]],"")</f>
        <v/>
      </c>
      <c r="X62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0.91480896</v>
      </c>
    </row>
    <row r="630" spans="1:24" ht="15" hidden="1" thickTop="1">
      <c r="A630" s="15" t="s">
        <v>350</v>
      </c>
      <c r="B630" s="15" t="s">
        <v>583</v>
      </c>
      <c r="C630" s="16" t="s">
        <v>624</v>
      </c>
      <c r="D630" s="77" t="s">
        <v>894</v>
      </c>
      <c r="E630" s="77"/>
      <c r="F630" s="16" t="s">
        <v>317</v>
      </c>
      <c r="G630" s="16" t="s">
        <v>333</v>
      </c>
      <c r="H630" s="15" t="s">
        <v>333</v>
      </c>
      <c r="I630" s="17" t="s">
        <v>615</v>
      </c>
      <c r="J630" s="78">
        <v>1825927.55</v>
      </c>
      <c r="K630" s="90" t="s">
        <v>300</v>
      </c>
      <c r="L630" s="94" t="s">
        <v>75</v>
      </c>
      <c r="M630" s="148" t="s">
        <v>618</v>
      </c>
      <c r="N630" s="81" t="str">
        <f>_xlfn.XLOOKUP(Calculations[[#This Row],[For XLOOKUP]],Factors[For XLOOKUP],Factors[Factor],"")</f>
        <v>Σ.Ε. CO₂ eq</v>
      </c>
      <c r="O630" s="81">
        <f>_xlfn.XLOOKUP(Calculations[[#This Row],[For XLOOKUP]],Factors[For XLOOKUP],Factors[Value],"")</f>
        <v>0</v>
      </c>
      <c r="P630" s="81" t="str">
        <f>_xlfn.XLOOKUP(Calculations[[#This Row],[For XLOOKUP]],Factors[For XLOOKUP],Factors[Units],"")</f>
        <v>tn CO2 eq/ kWh</v>
      </c>
      <c r="Q630" s="19" t="str">
        <f>_xlfn.XLOOKUP(Calculations[[#This Row],[For XLOOKUP]],Factors[For XLOOKUP],Factors[Source],"")</f>
        <v>DEFRA 2024</v>
      </c>
      <c r="R63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0" s="81" t="str">
        <f>IF(LEFT(Calculations[[#This Row],[Emission Factor]],7)="Σ.Ε. CH",Calculations[[#This Row],[Value]]*Calculations[[#This Row],[Τιμή]],"-")</f>
        <v>-</v>
      </c>
      <c r="T63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0" s="81" t="str">
        <f>IF(LEFT(Calculations[[#This Row],[Emission Factor]],3)="GWP",Calculations[[#This Row],[Τιμή]],"-")</f>
        <v>-</v>
      </c>
      <c r="V630" s="81">
        <f>IF(OR(Calculations[[#This Row],[Emission Factor]]="Σ.Ε. CO₂ eq",Calculations[[#This Row],[Emission Factor]]="CO₂ eq"),Calculations[[#This Row],[Value]]*Calculations[[#This Row],[Τιμή]],"-")</f>
        <v>0</v>
      </c>
      <c r="W630" s="81" t="str">
        <f>IF(Calculations[[#This Row],[Πηγή εκπομπών]]="Electricity consumed in office buildings and projects - market based",Calculations[[#This Row],[t CO2]],"")</f>
        <v/>
      </c>
      <c r="X63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631" spans="1:24" ht="15" hidden="1" thickTop="1">
      <c r="A631" s="15" t="s">
        <v>350</v>
      </c>
      <c r="B631" s="15" t="s">
        <v>583</v>
      </c>
      <c r="C631" s="16" t="s">
        <v>327</v>
      </c>
      <c r="D631" s="77" t="s">
        <v>894</v>
      </c>
      <c r="E631" s="77" t="s">
        <v>1187</v>
      </c>
      <c r="F631" s="209" t="s">
        <v>317</v>
      </c>
      <c r="G631" s="16" t="s">
        <v>333</v>
      </c>
      <c r="H631" s="16" t="s">
        <v>333</v>
      </c>
      <c r="I631" s="17" t="s">
        <v>598</v>
      </c>
      <c r="J631" s="7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436445</v>
      </c>
      <c r="K631" s="18" t="s">
        <v>7</v>
      </c>
      <c r="L631" s="94" t="s">
        <v>15</v>
      </c>
      <c r="M631" s="148" t="s">
        <v>607</v>
      </c>
      <c r="N631" s="19" t="str">
        <f>_xlfn.XLOOKUP(Calculations[[#This Row],[For XLOOKUP]],Factors[For XLOOKUP],Factors[Factor],"")</f>
        <v>Σ.Ε. CO₂ eq</v>
      </c>
      <c r="O631" s="19">
        <f>_xlfn.XLOOKUP(Calculations[[#This Row],[For XLOOKUP]],Factors[For XLOOKUP],Factors[Value],"")</f>
        <v>6.2665000000000008E-4</v>
      </c>
      <c r="P631" s="19" t="str">
        <f>_xlfn.XLOOKUP(Calculations[[#This Row],[For XLOOKUP]],Factors[For XLOOKUP],Factors[Units],"")</f>
        <v>t CO₂ eq/lt</v>
      </c>
      <c r="Q631" s="19" t="str">
        <f>_xlfn.XLOOKUP(Calculations[[#This Row],[For XLOOKUP]],Factors[For XLOOKUP],Factors[Source],"")</f>
        <v>DEFRA 2024</v>
      </c>
      <c r="R63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1" s="19" t="str">
        <f>IF(LEFT(Calculations[[#This Row],[Emission Factor]],7)="Σ.Ε. CH",Calculations[[#This Row],[Value]]*Calculations[[#This Row],[Τιμή]],"-")</f>
        <v>-</v>
      </c>
      <c r="T63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1" s="19" t="str">
        <f>IF(LEFT(Calculations[[#This Row],[Emission Factor]],3)="GWP",Calculations[[#This Row],[Τιμή]],"-")</f>
        <v>-</v>
      </c>
      <c r="V631" s="19">
        <f>IF(OR(Calculations[[#This Row],[Emission Factor]]="Σ.Ε. CO₂ eq",Calculations[[#This Row],[Emission Factor]]="CO₂ eq"),Calculations[[#This Row],[Value]]*Calculations[[#This Row],[Τιμή]],"-")</f>
        <v>273.49825925000005</v>
      </c>
      <c r="W631" s="19" t="str">
        <f>IF(Calculations[[#This Row],[Πηγή εκπομπών]]="Electricity consumed in office buildings and projects - market based",Calculations[[#This Row],[t CO2]],"")</f>
        <v/>
      </c>
      <c r="X63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273.49825925000005</v>
      </c>
    </row>
    <row r="632" spans="1:24" ht="13.95" hidden="1" customHeight="1">
      <c r="A632" s="15" t="s">
        <v>350</v>
      </c>
      <c r="B632" s="15" t="s">
        <v>583</v>
      </c>
      <c r="C632" s="16" t="s">
        <v>327</v>
      </c>
      <c r="D632" s="16" t="s">
        <v>894</v>
      </c>
      <c r="E632" s="16" t="s">
        <v>1187</v>
      </c>
      <c r="F632" s="209" t="s">
        <v>317</v>
      </c>
      <c r="G632" s="16" t="s">
        <v>333</v>
      </c>
      <c r="H632" s="16" t="s">
        <v>333</v>
      </c>
      <c r="I632" s="17" t="s">
        <v>334</v>
      </c>
      <c r="J632" s="7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17643</v>
      </c>
      <c r="K632" s="18" t="s">
        <v>7</v>
      </c>
      <c r="L632" s="94" t="s">
        <v>105</v>
      </c>
      <c r="M632" s="148" t="s">
        <v>606</v>
      </c>
      <c r="N632" s="19" t="str">
        <f>_xlfn.XLOOKUP(Calculations[[#This Row],[For XLOOKUP]],Factors[For XLOOKUP],Factors[Factor],"")</f>
        <v>Σ.Ε. CO₂ eq</v>
      </c>
      <c r="O632" s="19">
        <f>_xlfn.XLOOKUP(Calculations[[#This Row],[For XLOOKUP]],Factors[For XLOOKUP],Factors[Value],"")</f>
        <v>6.0663999999999998E-4</v>
      </c>
      <c r="P632" s="19" t="str">
        <f>_xlfn.XLOOKUP(Calculations[[#This Row],[For XLOOKUP]],Factors[For XLOOKUP],Factors[Units],"")</f>
        <v>t CO2 eq/lt</v>
      </c>
      <c r="Q632" s="19" t="str">
        <f>_xlfn.XLOOKUP(Calculations[[#This Row],[For XLOOKUP]],Factors[For XLOOKUP],Factors[Source],"")</f>
        <v>DEFRA 2024</v>
      </c>
      <c r="R63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2" s="19" t="str">
        <f>IF(LEFT(Calculations[[#This Row],[Emission Factor]],7)="Σ.Ε. CH",Calculations[[#This Row],[Value]]*Calculations[[#This Row],[Τιμή]],"-")</f>
        <v>-</v>
      </c>
      <c r="T63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2" s="19" t="str">
        <f>IF(LEFT(Calculations[[#This Row],[Emission Factor]],3)="GWP",Calculations[[#This Row],[Τιμή]],"-")</f>
        <v>-</v>
      </c>
      <c r="V632" s="19">
        <f>IF(OR(Calculations[[#This Row],[Emission Factor]]="Σ.Ε. CO₂ eq",Calculations[[#This Row],[Emission Factor]]="CO₂ eq"),Calculations[[#This Row],[Value]]*Calculations[[#This Row],[Τιμή]],"-")</f>
        <v>10.702949519999999</v>
      </c>
      <c r="W632" s="19" t="str">
        <f>IF(Calculations[[#This Row],[Πηγή εκπομπών]]="Electricity consumed in office buildings and projects - market based",Calculations[[#This Row],[t CO2]],"")</f>
        <v/>
      </c>
      <c r="X63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10.702949519999999</v>
      </c>
    </row>
    <row r="633" spans="1:24" ht="13.95" hidden="1" customHeight="1">
      <c r="A633" s="15" t="s">
        <v>350</v>
      </c>
      <c r="B633" s="15" t="s">
        <v>583</v>
      </c>
      <c r="C633" s="16" t="s">
        <v>624</v>
      </c>
      <c r="D633" s="16" t="s">
        <v>897</v>
      </c>
      <c r="E633" s="16" t="s">
        <v>1149</v>
      </c>
      <c r="F633" s="16" t="s">
        <v>320</v>
      </c>
      <c r="G633" s="16" t="s">
        <v>333</v>
      </c>
      <c r="H633" s="15" t="s">
        <v>623</v>
      </c>
      <c r="I633" s="17" t="s">
        <v>338</v>
      </c>
      <c r="J633" s="238">
        <v>102</v>
      </c>
      <c r="K633" s="90" t="s">
        <v>51</v>
      </c>
      <c r="L633" s="94" t="s">
        <v>627</v>
      </c>
      <c r="M633" s="148" t="s">
        <v>789</v>
      </c>
      <c r="N633" s="19" t="str">
        <f>_xlfn.XLOOKUP(Calculations[[#This Row],[For XLOOKUP]],Factors[For XLOOKUP],Factors[Factor],"")</f>
        <v>Σ.Ε. CO₂</v>
      </c>
      <c r="O633" s="19">
        <f>_xlfn.XLOOKUP(Calculations[[#This Row],[For XLOOKUP]],Factors[For XLOOKUP],Factors[Value],"")</f>
        <v>4.0597972930144582E-5</v>
      </c>
      <c r="P633" s="19" t="str">
        <f>_xlfn.XLOOKUP(Calculations[[#This Row],[For XLOOKUP]],Factors[For XLOOKUP],Factors[Units],"")</f>
        <v>t CO2/kWh</v>
      </c>
      <c r="Q633" s="19">
        <f>_xlfn.XLOOKUP(Calculations[[#This Row],[For XLOOKUP]],Factors[For XLOOKUP],Factors[Source],"")</f>
        <v>0</v>
      </c>
      <c r="R633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4.1409932388747472E-3</v>
      </c>
      <c r="S633" s="19" t="str">
        <f>IF(LEFT(Calculations[[#This Row],[Emission Factor]],7)="Σ.Ε. CH",Calculations[[#This Row],[Value]]*Calculations[[#This Row],[Τιμή]],"-")</f>
        <v>-</v>
      </c>
      <c r="T63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3" s="19" t="str">
        <f>IF(LEFT(Calculations[[#This Row],[Emission Factor]],3)="GWP",Calculations[[#This Row],[Τιμή]],"-")</f>
        <v>-</v>
      </c>
      <c r="V633" s="19" t="str">
        <f>IF(OR(Calculations[[#This Row],[Emission Factor]]="Σ.Ε. CO₂ eq",Calculations[[#This Row],[Emission Factor]]="CO₂ eq"),Calculations[[#This Row],[Value]]*Calculations[[#This Row],[Τιμή]],"-")</f>
        <v>-</v>
      </c>
      <c r="W633" s="19" t="str">
        <f>IF(Calculations[[#This Row],[Πηγή εκπομπών]]="Electricity consumed in office buildings and projects - market based",Calculations[[#This Row],[t CO2]],"")</f>
        <v/>
      </c>
      <c r="X63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4.1409932388747472E-3</v>
      </c>
    </row>
    <row r="634" spans="1:24" ht="13.95" hidden="1" customHeight="1">
      <c r="A634" s="15" t="s">
        <v>350</v>
      </c>
      <c r="B634" s="15" t="s">
        <v>583</v>
      </c>
      <c r="C634" s="16" t="s">
        <v>624</v>
      </c>
      <c r="D634" s="16" t="s">
        <v>897</v>
      </c>
      <c r="E634" s="16" t="s">
        <v>1149</v>
      </c>
      <c r="F634" s="16" t="s">
        <v>320</v>
      </c>
      <c r="G634" s="16" t="s">
        <v>333</v>
      </c>
      <c r="H634" s="16" t="s">
        <v>623</v>
      </c>
      <c r="I634" s="17" t="s">
        <v>338</v>
      </c>
      <c r="J634" s="238">
        <v>102</v>
      </c>
      <c r="K634" s="18" t="s">
        <v>51</v>
      </c>
      <c r="L634" s="94" t="s">
        <v>627</v>
      </c>
      <c r="M634" s="148" t="s">
        <v>849</v>
      </c>
      <c r="N634" s="81" t="str">
        <f>_xlfn.XLOOKUP(Calculations[[#This Row],[For XLOOKUP]],Factors[For XLOOKUP],Factors[Factor],"")</f>
        <v>Σ.Ε. CH₄</v>
      </c>
      <c r="O634" s="81">
        <f>_xlfn.XLOOKUP(Calculations[[#This Row],[For XLOOKUP]],Factors[For XLOOKUP],Factors[Value],"")</f>
        <v>1.0167127296250699E-9</v>
      </c>
      <c r="P634" s="81" t="str">
        <f>_xlfn.XLOOKUP(Calculations[[#This Row],[For XLOOKUP]],Factors[For XLOOKUP],Factors[Units],"")</f>
        <v>t CH4/kWh</v>
      </c>
      <c r="Q634" s="19">
        <f>_xlfn.XLOOKUP(Calculations[[#This Row],[For XLOOKUP]],Factors[For XLOOKUP],Factors[Source],"")</f>
        <v>0</v>
      </c>
      <c r="R63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4" s="81">
        <f>IF(LEFT(Calculations[[#This Row],[Emission Factor]],7)="Σ.Ε. CH",Calculations[[#This Row],[Value]]*Calculations[[#This Row],[Τιμή]],"-")</f>
        <v>1.0370469842175712E-7</v>
      </c>
      <c r="T63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4" s="81" t="str">
        <f>IF(LEFT(Calculations[[#This Row],[Emission Factor]],3)="GWP",Calculations[[#This Row],[Τιμή]],"-")</f>
        <v>-</v>
      </c>
      <c r="V634" s="81" t="str">
        <f>IF(OR(Calculations[[#This Row],[Emission Factor]]="Σ.Ε. CO₂ eq",Calculations[[#This Row],[Emission Factor]]="CO₂ eq"),Calculations[[#This Row],[Value]]*Calculations[[#This Row],[Τιμή]],"-")</f>
        <v>-</v>
      </c>
      <c r="W634" s="81" t="str">
        <f>IF(Calculations[[#This Row],[Πηγή εκπομπών]]="Electricity consumed in office buildings and projects - market based",Calculations[[#This Row],[t CO2]],"")</f>
        <v/>
      </c>
      <c r="X63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2.9037315558091994E-6</v>
      </c>
    </row>
    <row r="635" spans="1:24" ht="13.95" hidden="1" customHeight="1">
      <c r="A635" s="15" t="s">
        <v>350</v>
      </c>
      <c r="B635" s="15" t="s">
        <v>583</v>
      </c>
      <c r="C635" s="16" t="s">
        <v>624</v>
      </c>
      <c r="D635" s="16" t="s">
        <v>897</v>
      </c>
      <c r="E635" s="16" t="s">
        <v>1149</v>
      </c>
      <c r="F635" s="16" t="s">
        <v>320</v>
      </c>
      <c r="G635" s="16" t="s">
        <v>333</v>
      </c>
      <c r="H635" s="16" t="s">
        <v>623</v>
      </c>
      <c r="I635" s="17" t="s">
        <v>338</v>
      </c>
      <c r="J635" s="238">
        <v>102</v>
      </c>
      <c r="K635" s="18" t="s">
        <v>51</v>
      </c>
      <c r="L635" s="94" t="s">
        <v>627</v>
      </c>
      <c r="M635" s="148" t="s">
        <v>850</v>
      </c>
      <c r="N635" s="19" t="str">
        <f>_xlfn.XLOOKUP(Calculations[[#This Row],[For XLOOKUP]],Factors[For XLOOKUP],Factors[Factor],"")</f>
        <v>Σ.Ε. N2O</v>
      </c>
      <c r="O635" s="19">
        <f>_xlfn.XLOOKUP(Calculations[[#This Row],[For XLOOKUP]],Factors[For XLOOKUP],Factors[Value],"")</f>
        <v>4.1863411997580185E-10</v>
      </c>
      <c r="P635" s="19" t="str">
        <f>_xlfn.XLOOKUP(Calculations[[#This Row],[For XLOOKUP]],Factors[For XLOOKUP],Factors[Units],"")</f>
        <v>t N2O/kWh</v>
      </c>
      <c r="Q635" s="19">
        <f>_xlfn.XLOOKUP(Calculations[[#This Row],[For XLOOKUP]],Factors[For XLOOKUP],Factors[Source],"")</f>
        <v>0</v>
      </c>
      <c r="R63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5" s="19" t="str">
        <f>IF(LEFT(Calculations[[#This Row],[Emission Factor]],7)="Σ.Ε. CH",Calculations[[#This Row],[Value]]*Calculations[[#This Row],[Τιμή]],"-")</f>
        <v>-</v>
      </c>
      <c r="T635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4.2700680237531785E-8</v>
      </c>
      <c r="U635" s="19" t="str">
        <f>IF(LEFT(Calculations[[#This Row],[Emission Factor]],3)="GWP",Calculations[[#This Row],[Τιμή]],"-")</f>
        <v>-</v>
      </c>
      <c r="V635" s="19" t="str">
        <f>IF(OR(Calculations[[#This Row],[Emission Factor]]="Σ.Ε. CO₂ eq",Calculations[[#This Row],[Emission Factor]]="CO₂ eq"),Calculations[[#This Row],[Value]]*Calculations[[#This Row],[Τιμή]],"-")</f>
        <v>-</v>
      </c>
      <c r="W635" s="19" t="str">
        <f>IF(Calculations[[#This Row],[Πηγή εκπομπών]]="Electricity consumed in office buildings and projects - market based",Calculations[[#This Row],[t CO2]],"")</f>
        <v/>
      </c>
      <c r="X63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1.1315680262945923E-5</v>
      </c>
    </row>
    <row r="636" spans="1:24" ht="15" hidden="1" customHeight="1">
      <c r="A636" s="15" t="s">
        <v>350</v>
      </c>
      <c r="B636" s="15" t="s">
        <v>583</v>
      </c>
      <c r="C636" s="16" t="s">
        <v>624</v>
      </c>
      <c r="D636" s="77" t="s">
        <v>897</v>
      </c>
      <c r="E636" s="77" t="s">
        <v>1149</v>
      </c>
      <c r="F636" s="16" t="s">
        <v>320</v>
      </c>
      <c r="G636" s="16" t="s">
        <v>333</v>
      </c>
      <c r="H636" s="16" t="s">
        <v>623</v>
      </c>
      <c r="I636" s="17" t="s">
        <v>338</v>
      </c>
      <c r="J636" s="238">
        <v>102</v>
      </c>
      <c r="K636" s="18" t="s">
        <v>51</v>
      </c>
      <c r="L636" s="94" t="s">
        <v>627</v>
      </c>
      <c r="M636" s="148" t="s">
        <v>790</v>
      </c>
      <c r="N636" s="81" t="str">
        <f>_xlfn.XLOOKUP(Calculations[[#This Row],[For XLOOKUP]],Factors[For XLOOKUP],Factors[Factor],"")</f>
        <v>Σ.Ε. CO₂ eq</v>
      </c>
      <c r="O636" s="81">
        <f>_xlfn.XLOOKUP(Calculations[[#This Row],[For XLOOKUP]],Factors[For XLOOKUP],Factors[Value],"")</f>
        <v>7.0153258659686572E-6</v>
      </c>
      <c r="P636" s="81" t="str">
        <f>_xlfn.XLOOKUP(Calculations[[#This Row],[For XLOOKUP]],Factors[For XLOOKUP],Factors[Units],"")</f>
        <v>t CO2 eq/kWh</v>
      </c>
      <c r="Q636" s="19">
        <f>_xlfn.XLOOKUP(Calculations[[#This Row],[For XLOOKUP]],Factors[For XLOOKUP],Factors[Source],"")</f>
        <v>0</v>
      </c>
      <c r="R63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6" s="81" t="str">
        <f>IF(LEFT(Calculations[[#This Row],[Emission Factor]],7)="Σ.Ε. CH",Calculations[[#This Row],[Value]]*Calculations[[#This Row],[Τιμή]],"-")</f>
        <v>-</v>
      </c>
      <c r="T63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6" s="81" t="str">
        <f>IF(LEFT(Calculations[[#This Row],[Emission Factor]],3)="GWP",Calculations[[#This Row],[Τιμή]],"-")</f>
        <v>-</v>
      </c>
      <c r="V636" s="81">
        <f>IF(OR(Calculations[[#This Row],[Emission Factor]]="Σ.Ε. CO₂ eq",Calculations[[#This Row],[Emission Factor]]="CO₂ eq"),Calculations[[#This Row],[Value]]*Calculations[[#This Row],[Τιμή]],"-")</f>
        <v>7.1556323832880299E-4</v>
      </c>
      <c r="W636" s="81" t="str">
        <f>IF(Calculations[[#This Row],[Πηγή εκπομπών]]="Electricity consumed in office buildings and projects - market based",Calculations[[#This Row],[t CO2]],"")</f>
        <v/>
      </c>
      <c r="X63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7.1556323832880299E-4</v>
      </c>
    </row>
    <row r="637" spans="1:24" ht="15" hidden="1" customHeight="1">
      <c r="A637" s="15" t="s">
        <v>350</v>
      </c>
      <c r="B637" s="15" t="s">
        <v>583</v>
      </c>
      <c r="C637" s="16" t="s">
        <v>624</v>
      </c>
      <c r="D637" s="77" t="s">
        <v>897</v>
      </c>
      <c r="E637" s="77" t="s">
        <v>1150</v>
      </c>
      <c r="F637" s="16" t="s">
        <v>320</v>
      </c>
      <c r="G637" s="16" t="s">
        <v>333</v>
      </c>
      <c r="H637" s="16" t="s">
        <v>623</v>
      </c>
      <c r="I637" s="17" t="s">
        <v>338</v>
      </c>
      <c r="J637" s="238">
        <v>30291.9517989251</v>
      </c>
      <c r="K637" s="18" t="s">
        <v>51</v>
      </c>
      <c r="L637" s="94" t="s">
        <v>628</v>
      </c>
      <c r="M637" s="148" t="s">
        <v>791</v>
      </c>
      <c r="N637" s="19" t="str">
        <f>_xlfn.XLOOKUP(Calculations[[#This Row],[For XLOOKUP]],Factors[For XLOOKUP],Factors[Factor],"")</f>
        <v>Σ.Ε. CO₂</v>
      </c>
      <c r="O637" s="19">
        <f>_xlfn.XLOOKUP(Calculations[[#This Row],[For XLOOKUP]],Factors[For XLOOKUP],Factors[Value],"")</f>
        <v>1.505346476770355E-5</v>
      </c>
      <c r="P637" s="19" t="str">
        <f>_xlfn.XLOOKUP(Calculations[[#This Row],[For XLOOKUP]],Factors[For XLOOKUP],Factors[Units],"")</f>
        <v>t CO2/kWh</v>
      </c>
      <c r="Q637" s="19">
        <f>_xlfn.XLOOKUP(Calculations[[#This Row],[For XLOOKUP]],Factors[For XLOOKUP],Factors[Source],"")</f>
        <v>0</v>
      </c>
      <c r="R63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0.45599882915009315</v>
      </c>
      <c r="S637" s="19" t="str">
        <f>IF(LEFT(Calculations[[#This Row],[Emission Factor]],7)="Σ.Ε. CH",Calculations[[#This Row],[Value]]*Calculations[[#This Row],[Τιμή]],"-")</f>
        <v>-</v>
      </c>
      <c r="T63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7" s="19" t="str">
        <f>IF(LEFT(Calculations[[#This Row],[Emission Factor]],3)="GWP",Calculations[[#This Row],[Τιμή]],"-")</f>
        <v>-</v>
      </c>
      <c r="V637" s="19" t="str">
        <f>IF(OR(Calculations[[#This Row],[Emission Factor]]="Σ.Ε. CO₂ eq",Calculations[[#This Row],[Emission Factor]]="CO₂ eq"),Calculations[[#This Row],[Value]]*Calculations[[#This Row],[Τιμή]],"-")</f>
        <v>-</v>
      </c>
      <c r="W637" s="19" t="str">
        <f>IF(Calculations[[#This Row],[Πηγή εκπομπών]]="Electricity consumed in office buildings and projects - market based",Calculations[[#This Row],[t CO2]],"")</f>
        <v/>
      </c>
      <c r="X63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0.45599882915009315</v>
      </c>
    </row>
    <row r="638" spans="1:24" ht="15" hidden="1" customHeight="1">
      <c r="A638" s="15" t="s">
        <v>350</v>
      </c>
      <c r="B638" s="15" t="s">
        <v>583</v>
      </c>
      <c r="C638" s="16" t="s">
        <v>624</v>
      </c>
      <c r="D638" s="77" t="s">
        <v>897</v>
      </c>
      <c r="E638" s="77" t="s">
        <v>1150</v>
      </c>
      <c r="F638" s="16" t="s">
        <v>320</v>
      </c>
      <c r="G638" s="16" t="s">
        <v>333</v>
      </c>
      <c r="H638" s="16" t="s">
        <v>623</v>
      </c>
      <c r="I638" s="17" t="s">
        <v>338</v>
      </c>
      <c r="J638" s="238">
        <v>30291.9517989251</v>
      </c>
      <c r="K638" s="18" t="s">
        <v>51</v>
      </c>
      <c r="L638" s="94" t="s">
        <v>628</v>
      </c>
      <c r="M638" s="148" t="s">
        <v>839</v>
      </c>
      <c r="N638" s="81" t="str">
        <f>_xlfn.XLOOKUP(Calculations[[#This Row],[For XLOOKUP]],Factors[For XLOOKUP],Factors[Factor],"")</f>
        <v>Σ.Ε. CH₄</v>
      </c>
      <c r="O638" s="81">
        <f>_xlfn.XLOOKUP(Calculations[[#This Row],[For XLOOKUP]],Factors[For XLOOKUP],Factors[Value],"")</f>
        <v>3.7699047882566748E-10</v>
      </c>
      <c r="P638" s="81" t="str">
        <f>_xlfn.XLOOKUP(Calculations[[#This Row],[For XLOOKUP]],Factors[For XLOOKUP],Factors[Units],"")</f>
        <v>t CH4/kWh</v>
      </c>
      <c r="Q638" s="19">
        <f>_xlfn.XLOOKUP(Calculations[[#This Row],[For XLOOKUP]],Factors[For XLOOKUP],Factors[Source],"")</f>
        <v>0</v>
      </c>
      <c r="R63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8" s="81">
        <f>IF(LEFT(Calculations[[#This Row],[Emission Factor]],7)="Σ.Ε. CH",Calculations[[#This Row],[Value]]*Calculations[[#This Row],[Τιμή]],"-")</f>
        <v>1.1419777413240813E-5</v>
      </c>
      <c r="T63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8" s="81" t="str">
        <f>IF(LEFT(Calculations[[#This Row],[Emission Factor]],3)="GWP",Calculations[[#This Row],[Τιμή]],"-")</f>
        <v>-</v>
      </c>
      <c r="V638" s="81" t="str">
        <f>IF(OR(Calculations[[#This Row],[Emission Factor]]="Σ.Ε. CO₂ eq",Calculations[[#This Row],[Emission Factor]]="CO₂ eq"),Calculations[[#This Row],[Value]]*Calculations[[#This Row],[Τιμή]],"-")</f>
        <v>-</v>
      </c>
      <c r="W638" s="81" t="str">
        <f>IF(Calculations[[#This Row],[Πηγή εκπομπών]]="Electricity consumed in office buildings and projects - market based",Calculations[[#This Row],[t CO2]],"")</f>
        <v/>
      </c>
      <c r="X63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3.1975376757074274E-4</v>
      </c>
    </row>
    <row r="639" spans="1:24" ht="15" hidden="1" customHeight="1">
      <c r="A639" s="15" t="s">
        <v>350</v>
      </c>
      <c r="B639" s="15" t="s">
        <v>583</v>
      </c>
      <c r="C639" s="16" t="s">
        <v>624</v>
      </c>
      <c r="D639" s="77" t="s">
        <v>897</v>
      </c>
      <c r="E639" s="77" t="s">
        <v>1150</v>
      </c>
      <c r="F639" s="16" t="s">
        <v>320</v>
      </c>
      <c r="G639" s="16" t="s">
        <v>333</v>
      </c>
      <c r="H639" s="16" t="s">
        <v>623</v>
      </c>
      <c r="I639" s="17" t="s">
        <v>338</v>
      </c>
      <c r="J639" s="238">
        <v>30291.9517989251</v>
      </c>
      <c r="K639" s="18" t="s">
        <v>51</v>
      </c>
      <c r="L639" s="94" t="s">
        <v>628</v>
      </c>
      <c r="M639" s="148" t="s">
        <v>844</v>
      </c>
      <c r="N639" s="19" t="str">
        <f>_xlfn.XLOOKUP(Calculations[[#This Row],[For XLOOKUP]],Factors[For XLOOKUP],Factors[Factor],"")</f>
        <v>Σ.Ε. N2O</v>
      </c>
      <c r="O639" s="19">
        <f>_xlfn.XLOOKUP(Calculations[[#This Row],[For XLOOKUP]],Factors[For XLOOKUP],Factors[Value],"")</f>
        <v>1.5522681357657309E-10</v>
      </c>
      <c r="P639" s="19" t="str">
        <f>_xlfn.XLOOKUP(Calculations[[#This Row],[For XLOOKUP]],Factors[For XLOOKUP],Factors[Units],"")</f>
        <v>t N2O/kWh</v>
      </c>
      <c r="Q639" s="19">
        <f>_xlfn.XLOOKUP(Calculations[[#This Row],[For XLOOKUP]],Factors[For XLOOKUP],Factors[Source],"")</f>
        <v>0</v>
      </c>
      <c r="R63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9" s="19" t="str">
        <f>IF(LEFT(Calculations[[#This Row],[Emission Factor]],7)="Σ.Ε. CH",Calculations[[#This Row],[Value]]*Calculations[[#This Row],[Τιμή]],"-")</f>
        <v>-</v>
      </c>
      <c r="T639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4.7021231547622841E-6</v>
      </c>
      <c r="U639" s="19" t="str">
        <f>IF(LEFT(Calculations[[#This Row],[Emission Factor]],3)="GWP",Calculations[[#This Row],[Τιμή]],"-")</f>
        <v>-</v>
      </c>
      <c r="V639" s="19" t="str">
        <f>IF(OR(Calculations[[#This Row],[Emission Factor]]="Σ.Ε. CO₂ eq",Calculations[[#This Row],[Emission Factor]]="CO₂ eq"),Calculations[[#This Row],[Value]]*Calculations[[#This Row],[Τιμή]],"-")</f>
        <v>-</v>
      </c>
      <c r="W639" s="19" t="str">
        <f>IF(Calculations[[#This Row],[Πηγή εκπομπών]]="Electricity consumed in office buildings and projects - market based",Calculations[[#This Row],[t CO2]],"")</f>
        <v/>
      </c>
      <c r="X63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1.2460626360120053E-3</v>
      </c>
    </row>
    <row r="640" spans="1:24" ht="15" hidden="1" customHeight="1">
      <c r="A640" s="15" t="s">
        <v>350</v>
      </c>
      <c r="B640" s="15" t="s">
        <v>583</v>
      </c>
      <c r="C640" s="16" t="s">
        <v>624</v>
      </c>
      <c r="D640" s="77" t="s">
        <v>897</v>
      </c>
      <c r="E640" s="77" t="s">
        <v>1150</v>
      </c>
      <c r="F640" s="16" t="s">
        <v>320</v>
      </c>
      <c r="G640" s="16" t="s">
        <v>333</v>
      </c>
      <c r="H640" s="16" t="s">
        <v>623</v>
      </c>
      <c r="I640" s="17" t="s">
        <v>338</v>
      </c>
      <c r="J640" s="238">
        <v>30291.9517989251</v>
      </c>
      <c r="K640" s="18" t="s">
        <v>51</v>
      </c>
      <c r="L640" s="94" t="s">
        <v>628</v>
      </c>
      <c r="M640" s="148" t="s">
        <v>792</v>
      </c>
      <c r="N640" s="19" t="str">
        <f>_xlfn.XLOOKUP(Calculations[[#This Row],[For XLOOKUP]],Factors[For XLOOKUP],Factors[Factor],"")</f>
        <v>Σ.Ε. CO₂ eq</v>
      </c>
      <c r="O640" s="19">
        <f>_xlfn.XLOOKUP(Calculations[[#This Row],[For XLOOKUP]],Factors[For XLOOKUP],Factors[Value],"")</f>
        <v>2.6012372819458027E-6</v>
      </c>
      <c r="P640" s="19" t="str">
        <f>_xlfn.XLOOKUP(Calculations[[#This Row],[For XLOOKUP]],Factors[For XLOOKUP],Factors[Units],"")</f>
        <v>t CO2 eq/kWh</v>
      </c>
      <c r="Q640" s="19">
        <f>_xlfn.XLOOKUP(Calculations[[#This Row],[For XLOOKUP]],Factors[For XLOOKUP],Factors[Source],"")</f>
        <v>0</v>
      </c>
      <c r="R64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0" s="19" t="str">
        <f>IF(LEFT(Calculations[[#This Row],[Emission Factor]],7)="Σ.Ε. CH",Calculations[[#This Row],[Value]]*Calculations[[#This Row],[Τιμή]],"-")</f>
        <v>-</v>
      </c>
      <c r="T64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0" s="19" t="str">
        <f>IF(LEFT(Calculations[[#This Row],[Emission Factor]],3)="GWP",Calculations[[#This Row],[Τιμή]],"-")</f>
        <v>-</v>
      </c>
      <c r="V640" s="19">
        <f>IF(OR(Calculations[[#This Row],[Emission Factor]]="Σ.Ε. CO₂ eq",Calculations[[#This Row],[Emission Factor]]="CO₂ eq"),Calculations[[#This Row],[Value]]*Calculations[[#This Row],[Τιμή]],"-")</f>
        <v>7.8796554362269192E-2</v>
      </c>
      <c r="W640" s="19" t="str">
        <f>IF(Calculations[[#This Row],[Πηγή εκπομπών]]="Electricity consumed in office buildings and projects - market based",Calculations[[#This Row],[t CO2]],"")</f>
        <v/>
      </c>
      <c r="X64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7.8796554362269192E-2</v>
      </c>
    </row>
    <row r="641" spans="1:24" ht="15" hidden="1" customHeight="1">
      <c r="A641" s="15" t="s">
        <v>350</v>
      </c>
      <c r="B641" s="15" t="s">
        <v>583</v>
      </c>
      <c r="C641" s="16" t="s">
        <v>624</v>
      </c>
      <c r="D641" s="77" t="s">
        <v>897</v>
      </c>
      <c r="E641" s="77" t="s">
        <v>1151</v>
      </c>
      <c r="F641" s="16" t="s">
        <v>320</v>
      </c>
      <c r="G641" s="16" t="s">
        <v>333</v>
      </c>
      <c r="H641" s="16" t="s">
        <v>623</v>
      </c>
      <c r="I641" s="17" t="s">
        <v>338</v>
      </c>
      <c r="J641" s="238">
        <v>97634.4</v>
      </c>
      <c r="K641" s="18" t="s">
        <v>51</v>
      </c>
      <c r="L641" s="94" t="s">
        <v>628</v>
      </c>
      <c r="M641" s="148" t="s">
        <v>791</v>
      </c>
      <c r="N641" s="19" t="str">
        <f>_xlfn.XLOOKUP(Calculations[[#This Row],[For XLOOKUP]],Factors[For XLOOKUP],Factors[Factor],"")</f>
        <v>Σ.Ε. CO₂</v>
      </c>
      <c r="O641" s="19">
        <f>_xlfn.XLOOKUP(Calculations[[#This Row],[For XLOOKUP]],Factors[For XLOOKUP],Factors[Value],"")</f>
        <v>1.505346476770355E-5</v>
      </c>
      <c r="P641" s="19" t="str">
        <f>_xlfn.XLOOKUP(Calculations[[#This Row],[For XLOOKUP]],Factors[For XLOOKUP],Factors[Units],"")</f>
        <v>t CO2/kWh</v>
      </c>
      <c r="Q641" s="19">
        <f>_xlfn.XLOOKUP(Calculations[[#This Row],[For XLOOKUP]],Factors[For XLOOKUP],Factors[Source],"")</f>
        <v>0</v>
      </c>
      <c r="R641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1.4697360005158755</v>
      </c>
      <c r="S641" s="19" t="str">
        <f>IF(LEFT(Calculations[[#This Row],[Emission Factor]],7)="Σ.Ε. CH",Calculations[[#This Row],[Value]]*Calculations[[#This Row],[Τιμή]],"-")</f>
        <v>-</v>
      </c>
      <c r="T64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1" s="19" t="str">
        <f>IF(LEFT(Calculations[[#This Row],[Emission Factor]],3)="GWP",Calculations[[#This Row],[Τιμή]],"-")</f>
        <v>-</v>
      </c>
      <c r="V641" s="19" t="str">
        <f>IF(OR(Calculations[[#This Row],[Emission Factor]]="Σ.Ε. CO₂ eq",Calculations[[#This Row],[Emission Factor]]="CO₂ eq"),Calculations[[#This Row],[Value]]*Calculations[[#This Row],[Τιμή]],"-")</f>
        <v>-</v>
      </c>
      <c r="W641" s="19" t="str">
        <f>IF(Calculations[[#This Row],[Πηγή εκπομπών]]="Electricity consumed in office buildings and projects - market based",Calculations[[#This Row],[t CO2]],"")</f>
        <v/>
      </c>
      <c r="X64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1.4697360005158755</v>
      </c>
    </row>
    <row r="642" spans="1:24" ht="15" hidden="1" customHeight="1">
      <c r="A642" s="15" t="s">
        <v>350</v>
      </c>
      <c r="B642" s="15" t="s">
        <v>583</v>
      </c>
      <c r="C642" s="16" t="s">
        <v>624</v>
      </c>
      <c r="D642" s="77" t="s">
        <v>897</v>
      </c>
      <c r="E642" s="77" t="s">
        <v>1151</v>
      </c>
      <c r="F642" s="16" t="s">
        <v>320</v>
      </c>
      <c r="G642" s="16" t="s">
        <v>333</v>
      </c>
      <c r="H642" s="16" t="s">
        <v>623</v>
      </c>
      <c r="I642" s="17" t="s">
        <v>338</v>
      </c>
      <c r="J642" s="238">
        <v>97634.4</v>
      </c>
      <c r="K642" s="18" t="s">
        <v>51</v>
      </c>
      <c r="L642" s="94" t="s">
        <v>628</v>
      </c>
      <c r="M642" s="148" t="s">
        <v>839</v>
      </c>
      <c r="N642" s="19" t="str">
        <f>_xlfn.XLOOKUP(Calculations[[#This Row],[For XLOOKUP]],Factors[For XLOOKUP],Factors[Factor],"")</f>
        <v>Σ.Ε. CH₄</v>
      </c>
      <c r="O642" s="19">
        <f>_xlfn.XLOOKUP(Calculations[[#This Row],[For XLOOKUP]],Factors[For XLOOKUP],Factors[Value],"")</f>
        <v>3.7699047882566748E-10</v>
      </c>
      <c r="P642" s="19" t="str">
        <f>_xlfn.XLOOKUP(Calculations[[#This Row],[For XLOOKUP]],Factors[For XLOOKUP],Factors[Units],"")</f>
        <v>t CH4/kWh</v>
      </c>
      <c r="Q642" s="19">
        <f>_xlfn.XLOOKUP(Calculations[[#This Row],[For XLOOKUP]],Factors[For XLOOKUP],Factors[Source],"")</f>
        <v>0</v>
      </c>
      <c r="R64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2" s="19">
        <f>IF(LEFT(Calculations[[#This Row],[Emission Factor]],7)="Σ.Ε. CH",Calculations[[#This Row],[Value]]*Calculations[[#This Row],[Τιμή]],"-")</f>
        <v>3.6807239205856744E-5</v>
      </c>
      <c r="T64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2" s="19" t="str">
        <f>IF(LEFT(Calculations[[#This Row],[Emission Factor]],3)="GWP",Calculations[[#This Row],[Τιμή]],"-")</f>
        <v>-</v>
      </c>
      <c r="V642" s="19" t="str">
        <f>IF(OR(Calculations[[#This Row],[Emission Factor]]="Σ.Ε. CO₂ eq",Calculations[[#This Row],[Emission Factor]]="CO₂ eq"),Calculations[[#This Row],[Value]]*Calculations[[#This Row],[Τιμή]],"-")</f>
        <v>-</v>
      </c>
      <c r="W642" s="19" t="str">
        <f>IF(Calculations[[#This Row],[Πηγή εκπομπών]]="Electricity consumed in office buildings and projects - market based",Calculations[[#This Row],[t CO2]],"")</f>
        <v/>
      </c>
      <c r="X64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1.0306026977639888E-3</v>
      </c>
    </row>
    <row r="643" spans="1:24" ht="15" hidden="1" customHeight="1">
      <c r="A643" s="15" t="s">
        <v>350</v>
      </c>
      <c r="B643" s="15" t="s">
        <v>583</v>
      </c>
      <c r="C643" s="16" t="s">
        <v>624</v>
      </c>
      <c r="D643" s="77" t="s">
        <v>897</v>
      </c>
      <c r="E643" s="77" t="s">
        <v>1151</v>
      </c>
      <c r="F643" s="16" t="s">
        <v>320</v>
      </c>
      <c r="G643" s="16" t="s">
        <v>333</v>
      </c>
      <c r="H643" s="16" t="s">
        <v>623</v>
      </c>
      <c r="I643" s="17" t="s">
        <v>338</v>
      </c>
      <c r="J643" s="238">
        <v>97634.4</v>
      </c>
      <c r="K643" s="18" t="s">
        <v>51</v>
      </c>
      <c r="L643" s="94" t="s">
        <v>628</v>
      </c>
      <c r="M643" s="148" t="s">
        <v>844</v>
      </c>
      <c r="N643" s="19" t="str">
        <f>_xlfn.XLOOKUP(Calculations[[#This Row],[For XLOOKUP]],Factors[For XLOOKUP],Factors[Factor],"")</f>
        <v>Σ.Ε. N2O</v>
      </c>
      <c r="O643" s="19">
        <f>_xlfn.XLOOKUP(Calculations[[#This Row],[For XLOOKUP]],Factors[For XLOOKUP],Factors[Value],"")</f>
        <v>1.5522681357657309E-10</v>
      </c>
      <c r="P643" s="19" t="str">
        <f>_xlfn.XLOOKUP(Calculations[[#This Row],[For XLOOKUP]],Factors[For XLOOKUP],Factors[Units],"")</f>
        <v>t N2O/kWh</v>
      </c>
      <c r="Q643" s="19">
        <f>_xlfn.XLOOKUP(Calculations[[#This Row],[For XLOOKUP]],Factors[For XLOOKUP],Factors[Source],"")</f>
        <v>0</v>
      </c>
      <c r="R64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3" s="19" t="str">
        <f>IF(LEFT(Calculations[[#This Row],[Emission Factor]],7)="Σ.Ε. CH",Calculations[[#This Row],[Value]]*Calculations[[#This Row],[Τιμή]],"-")</f>
        <v>-</v>
      </c>
      <c r="T64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1.5155476807460568E-5</v>
      </c>
      <c r="U643" s="19" t="str">
        <f>IF(LEFT(Calculations[[#This Row],[Emission Factor]],3)="GWP",Calculations[[#This Row],[Τιμή]],"-")</f>
        <v>-</v>
      </c>
      <c r="V643" s="19" t="str">
        <f>IF(OR(Calculations[[#This Row],[Emission Factor]]="Σ.Ε. CO₂ eq",Calculations[[#This Row],[Emission Factor]]="CO₂ eq"),Calculations[[#This Row],[Value]]*Calculations[[#This Row],[Τιμή]],"-")</f>
        <v>-</v>
      </c>
      <c r="W643" s="19" t="str">
        <f>IF(Calculations[[#This Row],[Πηγή εκπομπών]]="Electricity consumed in office buildings and projects - market based",Calculations[[#This Row],[t CO2]],"")</f>
        <v/>
      </c>
      <c r="X64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4.0162013539770504E-3</v>
      </c>
    </row>
    <row r="644" spans="1:24" ht="15" hidden="1" customHeight="1">
      <c r="A644" s="15" t="s">
        <v>350</v>
      </c>
      <c r="B644" s="15" t="s">
        <v>583</v>
      </c>
      <c r="C644" s="16" t="s">
        <v>624</v>
      </c>
      <c r="D644" s="77" t="s">
        <v>897</v>
      </c>
      <c r="E644" s="16" t="s">
        <v>1151</v>
      </c>
      <c r="F644" s="16" t="s">
        <v>320</v>
      </c>
      <c r="G644" s="16" t="s">
        <v>333</v>
      </c>
      <c r="H644" s="16" t="s">
        <v>623</v>
      </c>
      <c r="I644" s="17" t="s">
        <v>338</v>
      </c>
      <c r="J644" s="238">
        <v>97634.4</v>
      </c>
      <c r="K644" s="18" t="s">
        <v>51</v>
      </c>
      <c r="L644" s="94" t="s">
        <v>628</v>
      </c>
      <c r="M644" s="148" t="s">
        <v>792</v>
      </c>
      <c r="N644" s="19" t="str">
        <f>_xlfn.XLOOKUP(Calculations[[#This Row],[For XLOOKUP]],Factors[For XLOOKUP],Factors[Factor],"")</f>
        <v>Σ.Ε. CO₂ eq</v>
      </c>
      <c r="O644" s="19">
        <f>_xlfn.XLOOKUP(Calculations[[#This Row],[For XLOOKUP]],Factors[For XLOOKUP],Factors[Value],"")</f>
        <v>2.6012372819458027E-6</v>
      </c>
      <c r="P644" s="19" t="str">
        <f>_xlfn.XLOOKUP(Calculations[[#This Row],[For XLOOKUP]],Factors[For XLOOKUP],Factors[Units],"")</f>
        <v>t CO2 eq/kWh</v>
      </c>
      <c r="Q644" s="19">
        <f>_xlfn.XLOOKUP(Calculations[[#This Row],[For XLOOKUP]],Factors[For XLOOKUP],Factors[Source],"")</f>
        <v>0</v>
      </c>
      <c r="R64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4" s="19" t="str">
        <f>IF(LEFT(Calculations[[#This Row],[Emission Factor]],7)="Σ.Ε. CH",Calculations[[#This Row],[Value]]*Calculations[[#This Row],[Τιμή]],"-")</f>
        <v>-</v>
      </c>
      <c r="T64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4" s="19" t="str">
        <f>IF(LEFT(Calculations[[#This Row],[Emission Factor]],3)="GWP",Calculations[[#This Row],[Τιμή]],"-")</f>
        <v>-</v>
      </c>
      <c r="V644" s="19">
        <f>IF(OR(Calculations[[#This Row],[Emission Factor]]="Σ.Ε. CO₂ eq",Calculations[[#This Row],[Emission Factor]]="CO₂ eq"),Calculations[[#This Row],[Value]]*Calculations[[#This Row],[Τιμή]],"-")</f>
        <v>0.25397024128040929</v>
      </c>
      <c r="W644" s="19" t="str">
        <f>IF(Calculations[[#This Row],[Πηγή εκπομπών]]="Electricity consumed in office buildings and projects - market based",Calculations[[#This Row],[t CO2]],"")</f>
        <v/>
      </c>
      <c r="X64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0.25397024128040929</v>
      </c>
    </row>
    <row r="645" spans="1:24" ht="15" hidden="1" customHeight="1">
      <c r="A645" s="15" t="s">
        <v>350</v>
      </c>
      <c r="B645" s="15" t="s">
        <v>583</v>
      </c>
      <c r="C645" s="16" t="s">
        <v>1152</v>
      </c>
      <c r="D645" s="77" t="s">
        <v>1144</v>
      </c>
      <c r="E645" s="16" t="s">
        <v>1143</v>
      </c>
      <c r="F645" s="209" t="s">
        <v>647</v>
      </c>
      <c r="G645" s="16" t="s">
        <v>333</v>
      </c>
      <c r="H645" s="16" t="s">
        <v>623</v>
      </c>
      <c r="I645" s="17" t="s">
        <v>338</v>
      </c>
      <c r="J645" s="238">
        <v>30749</v>
      </c>
      <c r="K645" s="18" t="s">
        <v>51</v>
      </c>
      <c r="L645" s="94" t="s">
        <v>627</v>
      </c>
      <c r="M645" s="148" t="s">
        <v>1337</v>
      </c>
      <c r="N645" s="19" t="str">
        <f>_xlfn.XLOOKUP(Calculations[[#This Row],[For XLOOKUP]],Factors[For XLOOKUP],Factors[Factor],"")</f>
        <v>Σ.Ε. CO₂</v>
      </c>
      <c r="O645" s="19">
        <f>_xlfn.XLOOKUP(Calculations[[#This Row],[For XLOOKUP]],Factors[For XLOOKUP],Factors[Value],"")</f>
        <v>2.9732520251613239E-5</v>
      </c>
      <c r="P645" s="19" t="str">
        <f>_xlfn.XLOOKUP(Calculations[[#This Row],[For XLOOKUP]],Factors[For XLOOKUP],Factors[Units],"")</f>
        <v>t CO2 eq/kWh</v>
      </c>
      <c r="Q645" s="19">
        <f>_xlfn.XLOOKUP(Calculations[[#This Row],[For XLOOKUP]],Factors[For XLOOKUP],Factors[Source],"")</f>
        <v>0</v>
      </c>
      <c r="R64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0.91424526521685545</v>
      </c>
      <c r="S645" s="19" t="str">
        <f>IF(LEFT(Calculations[[#This Row],[Emission Factor]],7)="Σ.Ε. CH",Calculations[[#This Row],[Value]]*Calculations[[#This Row],[Τιμή]],"-")</f>
        <v>-</v>
      </c>
      <c r="T64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5" s="19" t="str">
        <f>IF(LEFT(Calculations[[#This Row],[Emission Factor]],3)="GWP",Calculations[[#This Row],[Τιμή]],"-")</f>
        <v>-</v>
      </c>
      <c r="V645" s="19" t="str">
        <f>IF(OR(Calculations[[#This Row],[Emission Factor]]="Σ.Ε. CO₂ eq",Calculations[[#This Row],[Emission Factor]]="CO₂ eq"),Calculations[[#This Row],[Value]]*Calculations[[#This Row],[Τιμή]],"-")</f>
        <v>-</v>
      </c>
      <c r="W645" s="19" t="str">
        <f>IF(Calculations[[#This Row],[Πηγή εκπομπών]]="Electricity consumed in office buildings and projects - market based",Calculations[[#This Row],[t CO2]],"")</f>
        <v/>
      </c>
      <c r="X64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0.91424526521685545</v>
      </c>
    </row>
    <row r="646" spans="1:24" ht="15" hidden="1" customHeight="1">
      <c r="A646" s="15" t="s">
        <v>350</v>
      </c>
      <c r="B646" s="15" t="s">
        <v>583</v>
      </c>
      <c r="C646" s="16" t="s">
        <v>1152</v>
      </c>
      <c r="D646" s="77" t="s">
        <v>1144</v>
      </c>
      <c r="E646" s="16" t="s">
        <v>1143</v>
      </c>
      <c r="F646" s="209" t="s">
        <v>647</v>
      </c>
      <c r="G646" s="16" t="s">
        <v>333</v>
      </c>
      <c r="H646" s="16" t="s">
        <v>623</v>
      </c>
      <c r="I646" s="17" t="s">
        <v>338</v>
      </c>
      <c r="J646" s="238">
        <v>30749</v>
      </c>
      <c r="K646" s="18" t="s">
        <v>51</v>
      </c>
      <c r="L646" s="94" t="s">
        <v>627</v>
      </c>
      <c r="M646" s="148" t="s">
        <v>1338</v>
      </c>
      <c r="N646" s="81" t="str">
        <f>_xlfn.XLOOKUP(Calculations[[#This Row],[For XLOOKUP]],Factors[For XLOOKUP],Factors[Factor],"")</f>
        <v>Σ.Ε. CO₂ eq</v>
      </c>
      <c r="O646" s="81">
        <f>_xlfn.XLOOKUP(Calculations[[#This Row],[For XLOOKUP]],Factors[For XLOOKUP],Factors[Value],"")</f>
        <v>5.3081256837243912E-6</v>
      </c>
      <c r="P646" s="81" t="str">
        <f>_xlfn.XLOOKUP(Calculations[[#This Row],[For XLOOKUP]],Factors[For XLOOKUP],Factors[Units],"")</f>
        <v>t CO2 eq/kWh</v>
      </c>
      <c r="Q646" s="19">
        <f>_xlfn.XLOOKUP(Calculations[[#This Row],[For XLOOKUP]],Factors[For XLOOKUP],Factors[Source],"")</f>
        <v>0</v>
      </c>
      <c r="R64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6" s="81" t="str">
        <f>IF(LEFT(Calculations[[#This Row],[Emission Factor]],7)="Σ.Ε. CH",Calculations[[#This Row],[Value]]*Calculations[[#This Row],[Τιμή]],"-")</f>
        <v>-</v>
      </c>
      <c r="T64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6" s="81" t="str">
        <f>IF(LEFT(Calculations[[#This Row],[Emission Factor]],3)="GWP",Calculations[[#This Row],[Τιμή]],"-")</f>
        <v>-</v>
      </c>
      <c r="V646" s="81">
        <f>IF(OR(Calculations[[#This Row],[Emission Factor]]="Σ.Ε. CO₂ eq",Calculations[[#This Row],[Emission Factor]]="CO₂ eq"),Calculations[[#This Row],[Value]]*Calculations[[#This Row],[Τιμή]],"-")</f>
        <v>0.1632195566488413</v>
      </c>
      <c r="W646" s="81" t="str">
        <f>IF(Calculations[[#This Row],[Πηγή εκπομπών]]="Electricity consumed in office buildings and projects - market based",Calculations[[#This Row],[t CO2]],"")</f>
        <v/>
      </c>
      <c r="X64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0.1632195566488413</v>
      </c>
    </row>
    <row r="647" spans="1:24" ht="15" hidden="1" customHeight="1">
      <c r="A647" s="15" t="s">
        <v>350</v>
      </c>
      <c r="B647" s="15" t="s">
        <v>583</v>
      </c>
      <c r="C647" s="16" t="s">
        <v>624</v>
      </c>
      <c r="D647" s="77" t="s">
        <v>1144</v>
      </c>
      <c r="E647" s="16" t="s">
        <v>1146</v>
      </c>
      <c r="F647" s="209" t="s">
        <v>647</v>
      </c>
      <c r="G647" s="16" t="s">
        <v>333</v>
      </c>
      <c r="H647" s="16" t="s">
        <v>623</v>
      </c>
      <c r="I647" s="17" t="s">
        <v>338</v>
      </c>
      <c r="J647" s="238">
        <v>268292.27646533703</v>
      </c>
      <c r="K647" s="18" t="s">
        <v>51</v>
      </c>
      <c r="L647" s="94" t="s">
        <v>628</v>
      </c>
      <c r="M647" s="148" t="s">
        <v>791</v>
      </c>
      <c r="N647" s="19" t="str">
        <f>_xlfn.XLOOKUP(Calculations[[#This Row],[For XLOOKUP]],Factors[For XLOOKUP],Factors[Factor],"")</f>
        <v>Σ.Ε. CO₂</v>
      </c>
      <c r="O647" s="19">
        <f>_xlfn.XLOOKUP(Calculations[[#This Row],[For XLOOKUP]],Factors[For XLOOKUP],Factors[Value],"")</f>
        <v>1.505346476770355E-5</v>
      </c>
      <c r="P647" s="19" t="str">
        <f>_xlfn.XLOOKUP(Calculations[[#This Row],[For XLOOKUP]],Factors[For XLOOKUP],Factors[Units],"")</f>
        <v>t CO2/kWh</v>
      </c>
      <c r="Q647" s="19">
        <f>_xlfn.XLOOKUP(Calculations[[#This Row],[For XLOOKUP]],Factors[For XLOOKUP],Factors[Source],"")</f>
        <v>0</v>
      </c>
      <c r="R64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4.0387283312179312</v>
      </c>
      <c r="S647" s="19" t="str">
        <f>IF(LEFT(Calculations[[#This Row],[Emission Factor]],7)="Σ.Ε. CH",Calculations[[#This Row],[Value]]*Calculations[[#This Row],[Τιμή]],"-")</f>
        <v>-</v>
      </c>
      <c r="T64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7" s="19" t="str">
        <f>IF(LEFT(Calculations[[#This Row],[Emission Factor]],3)="GWP",Calculations[[#This Row],[Τιμή]],"-")</f>
        <v>-</v>
      </c>
      <c r="V647" s="19" t="str">
        <f>IF(OR(Calculations[[#This Row],[Emission Factor]]="Σ.Ε. CO₂ eq",Calculations[[#This Row],[Emission Factor]]="CO₂ eq"),Calculations[[#This Row],[Value]]*Calculations[[#This Row],[Τιμή]],"-")</f>
        <v>-</v>
      </c>
      <c r="W647" s="19" t="str">
        <f>IF(Calculations[[#This Row],[Πηγή εκπομπών]]="Electricity consumed in office buildings and projects - market based",Calculations[[#This Row],[t CO2]],"")</f>
        <v/>
      </c>
      <c r="X64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4.0387283312179312</v>
      </c>
    </row>
    <row r="648" spans="1:24" ht="15" hidden="1" customHeight="1">
      <c r="A648" s="15" t="s">
        <v>350</v>
      </c>
      <c r="B648" s="15" t="s">
        <v>583</v>
      </c>
      <c r="C648" s="16" t="s">
        <v>624</v>
      </c>
      <c r="D648" s="77" t="s">
        <v>1144</v>
      </c>
      <c r="E648" s="77" t="s">
        <v>1146</v>
      </c>
      <c r="F648" s="209" t="s">
        <v>647</v>
      </c>
      <c r="G648" s="16" t="s">
        <v>333</v>
      </c>
      <c r="H648" s="16" t="s">
        <v>623</v>
      </c>
      <c r="I648" s="17" t="s">
        <v>338</v>
      </c>
      <c r="J648" s="238">
        <v>268292.27646533703</v>
      </c>
      <c r="K648" s="18" t="s">
        <v>51</v>
      </c>
      <c r="L648" s="94" t="s">
        <v>628</v>
      </c>
      <c r="M648" s="148" t="s">
        <v>839</v>
      </c>
      <c r="N648" s="81" t="str">
        <f>_xlfn.XLOOKUP(Calculations[[#This Row],[For XLOOKUP]],Factors[For XLOOKUP],Factors[Factor],"")</f>
        <v>Σ.Ε. CH₄</v>
      </c>
      <c r="O648" s="81">
        <f>_xlfn.XLOOKUP(Calculations[[#This Row],[For XLOOKUP]],Factors[For XLOOKUP],Factors[Value],"")</f>
        <v>3.7699047882566748E-10</v>
      </c>
      <c r="P648" s="81" t="str">
        <f>_xlfn.XLOOKUP(Calculations[[#This Row],[For XLOOKUP]],Factors[For XLOOKUP],Factors[Units],"")</f>
        <v>t CH4/kWh</v>
      </c>
      <c r="Q648" s="19">
        <f>_xlfn.XLOOKUP(Calculations[[#This Row],[For XLOOKUP]],Factors[For XLOOKUP],Factors[Source],"")</f>
        <v>0</v>
      </c>
      <c r="R64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8" s="81">
        <f>IF(LEFT(Calculations[[#This Row],[Emission Factor]],7)="Σ.Ε. CH",Calculations[[#This Row],[Value]]*Calculations[[#This Row],[Τιμή]],"-")</f>
        <v>1.0114363376989577E-4</v>
      </c>
      <c r="T64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8" s="81" t="str">
        <f>IF(LEFT(Calculations[[#This Row],[Emission Factor]],3)="GWP",Calculations[[#This Row],[Τιμή]],"-")</f>
        <v>-</v>
      </c>
      <c r="V648" s="81" t="str">
        <f>IF(OR(Calculations[[#This Row],[Emission Factor]]="Σ.Ε. CO₂ eq",Calculations[[#This Row],[Emission Factor]]="CO₂ eq"),Calculations[[#This Row],[Value]]*Calculations[[#This Row],[Τιμή]],"-")</f>
        <v>-</v>
      </c>
      <c r="W648" s="81" t="str">
        <f>IF(Calculations[[#This Row],[Πηγή εκπομπών]]="Electricity consumed in office buildings and projects - market based",Calculations[[#This Row],[t CO2]],"")</f>
        <v/>
      </c>
      <c r="X64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2.8320217455570815E-3</v>
      </c>
    </row>
    <row r="649" spans="1:24" ht="15" hidden="1" customHeight="1">
      <c r="A649" s="15" t="s">
        <v>350</v>
      </c>
      <c r="B649" s="15" t="s">
        <v>583</v>
      </c>
      <c r="C649" s="16" t="s">
        <v>624</v>
      </c>
      <c r="D649" s="77" t="s">
        <v>1144</v>
      </c>
      <c r="E649" s="77" t="s">
        <v>1146</v>
      </c>
      <c r="F649" s="209" t="s">
        <v>647</v>
      </c>
      <c r="G649" s="16" t="s">
        <v>333</v>
      </c>
      <c r="H649" s="16" t="s">
        <v>623</v>
      </c>
      <c r="I649" s="17" t="s">
        <v>338</v>
      </c>
      <c r="J649" s="238">
        <v>268292.27646533703</v>
      </c>
      <c r="K649" s="18" t="s">
        <v>51</v>
      </c>
      <c r="L649" s="94" t="s">
        <v>628</v>
      </c>
      <c r="M649" s="148" t="s">
        <v>844</v>
      </c>
      <c r="N649" s="19" t="str">
        <f>_xlfn.XLOOKUP(Calculations[[#This Row],[For XLOOKUP]],Factors[For XLOOKUP],Factors[Factor],"")</f>
        <v>Σ.Ε. N2O</v>
      </c>
      <c r="O649" s="19">
        <f>_xlfn.XLOOKUP(Calculations[[#This Row],[For XLOOKUP]],Factors[For XLOOKUP],Factors[Value],"")</f>
        <v>1.5522681357657309E-10</v>
      </c>
      <c r="P649" s="19" t="str">
        <f>_xlfn.XLOOKUP(Calculations[[#This Row],[For XLOOKUP]],Factors[For XLOOKUP],Factors[Units],"")</f>
        <v>t N2O/kWh</v>
      </c>
      <c r="Q649" s="19">
        <f>_xlfn.XLOOKUP(Calculations[[#This Row],[For XLOOKUP]],Factors[For XLOOKUP],Factors[Source],"")</f>
        <v>0</v>
      </c>
      <c r="R64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9" s="19" t="str">
        <f>IF(LEFT(Calculations[[#This Row],[Emission Factor]],7)="Σ.Ε. CH",Calculations[[#This Row],[Value]]*Calculations[[#This Row],[Τιμή]],"-")</f>
        <v>-</v>
      </c>
      <c r="T649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4.1646155182919277E-5</v>
      </c>
      <c r="U649" s="19" t="str">
        <f>IF(LEFT(Calculations[[#This Row],[Emission Factor]],3)="GWP",Calculations[[#This Row],[Τιμή]],"-")</f>
        <v>-</v>
      </c>
      <c r="V649" s="19" t="str">
        <f>IF(OR(Calculations[[#This Row],[Emission Factor]]="Σ.Ε. CO₂ eq",Calculations[[#This Row],[Emission Factor]]="CO₂ eq"),Calculations[[#This Row],[Value]]*Calculations[[#This Row],[Τιμή]],"-")</f>
        <v>-</v>
      </c>
      <c r="W649" s="19" t="str">
        <f>IF(Calculations[[#This Row],[Πηγή εκπομπών]]="Electricity consumed in office buildings and projects - market based",Calculations[[#This Row],[t CO2]],"")</f>
        <v/>
      </c>
      <c r="X64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1.1036231123473609E-2</v>
      </c>
    </row>
    <row r="650" spans="1:24" ht="15" hidden="1" customHeight="1">
      <c r="A650" s="15" t="s">
        <v>350</v>
      </c>
      <c r="B650" s="15" t="s">
        <v>583</v>
      </c>
      <c r="C650" s="16" t="s">
        <v>624</v>
      </c>
      <c r="D650" s="77" t="s">
        <v>1144</v>
      </c>
      <c r="E650" s="77" t="s">
        <v>1146</v>
      </c>
      <c r="F650" s="209" t="s">
        <v>647</v>
      </c>
      <c r="G650" s="16" t="s">
        <v>333</v>
      </c>
      <c r="H650" s="16" t="s">
        <v>623</v>
      </c>
      <c r="I650" s="17" t="s">
        <v>338</v>
      </c>
      <c r="J650" s="238">
        <v>268292.27646533703</v>
      </c>
      <c r="K650" s="18" t="s">
        <v>51</v>
      </c>
      <c r="L650" s="94" t="s">
        <v>628</v>
      </c>
      <c r="M650" s="148" t="s">
        <v>792</v>
      </c>
      <c r="N650" s="81" t="str">
        <f>_xlfn.XLOOKUP(Calculations[[#This Row],[For XLOOKUP]],Factors[For XLOOKUP],Factors[Factor],"")</f>
        <v>Σ.Ε. CO₂ eq</v>
      </c>
      <c r="O650" s="81">
        <f>_xlfn.XLOOKUP(Calculations[[#This Row],[For XLOOKUP]],Factors[For XLOOKUP],Factors[Value],"")</f>
        <v>2.6012372819458027E-6</v>
      </c>
      <c r="P650" s="81" t="str">
        <f>_xlfn.XLOOKUP(Calculations[[#This Row],[For XLOOKUP]],Factors[For XLOOKUP],Factors[Units],"")</f>
        <v>t CO2 eq/kWh</v>
      </c>
      <c r="Q650" s="19">
        <f>_xlfn.XLOOKUP(Calculations[[#This Row],[For XLOOKUP]],Factors[For XLOOKUP],Factors[Source],"")</f>
        <v>0</v>
      </c>
      <c r="R65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0" s="81" t="str">
        <f>IF(LEFT(Calculations[[#This Row],[Emission Factor]],7)="Σ.Ε. CH",Calculations[[#This Row],[Value]]*Calculations[[#This Row],[Τιμή]],"-")</f>
        <v>-</v>
      </c>
      <c r="T65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0" s="81" t="str">
        <f>IF(LEFT(Calculations[[#This Row],[Emission Factor]],3)="GWP",Calculations[[#This Row],[Τιμή]],"-")</f>
        <v>-</v>
      </c>
      <c r="V650" s="81">
        <f>IF(OR(Calculations[[#This Row],[Emission Factor]]="Σ.Ε. CO₂ eq",Calculations[[#This Row],[Emission Factor]]="CO₂ eq"),Calculations[[#This Row],[Value]]*Calculations[[#This Row],[Τιμή]],"-")</f>
        <v>0.69789187199974512</v>
      </c>
      <c r="W650" s="81" t="str">
        <f>IF(Calculations[[#This Row],[Πηγή εκπομπών]]="Electricity consumed in office buildings and projects - market based",Calculations[[#This Row],[t CO2]],"")</f>
        <v/>
      </c>
      <c r="X65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0.69789187199974512</v>
      </c>
    </row>
    <row r="651" spans="1:24" ht="15" hidden="1" customHeight="1">
      <c r="A651" s="15" t="s">
        <v>350</v>
      </c>
      <c r="B651" s="15" t="s">
        <v>583</v>
      </c>
      <c r="C651" s="16" t="s">
        <v>624</v>
      </c>
      <c r="D651" s="77" t="s">
        <v>895</v>
      </c>
      <c r="E651" s="77" t="s">
        <v>1140</v>
      </c>
      <c r="F651" s="16" t="s">
        <v>1321</v>
      </c>
      <c r="G651" s="16" t="s">
        <v>333</v>
      </c>
      <c r="H651" s="16" t="s">
        <v>623</v>
      </c>
      <c r="I651" s="17" t="s">
        <v>338</v>
      </c>
      <c r="J651" s="238">
        <v>2789786</v>
      </c>
      <c r="K651" s="18" t="s">
        <v>51</v>
      </c>
      <c r="L651" s="94" t="s">
        <v>627</v>
      </c>
      <c r="M651" s="148" t="s">
        <v>789</v>
      </c>
      <c r="N651" s="19" t="str">
        <f>_xlfn.XLOOKUP(Calculations[[#This Row],[For XLOOKUP]],Factors[For XLOOKUP],Factors[Factor],"")</f>
        <v>Σ.Ε. CO₂</v>
      </c>
      <c r="O651" s="19">
        <f>_xlfn.XLOOKUP(Calculations[[#This Row],[For XLOOKUP]],Factors[For XLOOKUP],Factors[Value],"")</f>
        <v>4.0597972930144582E-5</v>
      </c>
      <c r="P651" s="19" t="str">
        <f>_xlfn.XLOOKUP(Calculations[[#This Row],[For XLOOKUP]],Factors[For XLOOKUP],Factors[Units],"")</f>
        <v>t CO2/kWh</v>
      </c>
      <c r="Q651" s="19">
        <f>_xlfn.XLOOKUP(Calculations[[#This Row],[For XLOOKUP]],Factors[For XLOOKUP],Factors[Source],"")</f>
        <v>0</v>
      </c>
      <c r="R651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113.25965650889633</v>
      </c>
      <c r="S651" s="19" t="str">
        <f>IF(LEFT(Calculations[[#This Row],[Emission Factor]],7)="Σ.Ε. CH",Calculations[[#This Row],[Value]]*Calculations[[#This Row],[Τιμή]],"-")</f>
        <v>-</v>
      </c>
      <c r="T65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1" s="19" t="str">
        <f>IF(LEFT(Calculations[[#This Row],[Emission Factor]],3)="GWP",Calculations[[#This Row],[Τιμή]],"-")</f>
        <v>-</v>
      </c>
      <c r="V651" s="19" t="str">
        <f>IF(OR(Calculations[[#This Row],[Emission Factor]]="Σ.Ε. CO₂ eq",Calculations[[#This Row],[Emission Factor]]="CO₂ eq"),Calculations[[#This Row],[Value]]*Calculations[[#This Row],[Τιμή]],"-")</f>
        <v>-</v>
      </c>
      <c r="W651" s="19" t="str">
        <f>IF(Calculations[[#This Row],[Πηγή εκπομπών]]="Electricity consumed in office buildings and projects - market based",Calculations[[#This Row],[t CO2]],"")</f>
        <v/>
      </c>
      <c r="X65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113.25965650889633</v>
      </c>
    </row>
    <row r="652" spans="1:24" ht="15" hidden="1" customHeight="1">
      <c r="A652" s="15" t="s">
        <v>350</v>
      </c>
      <c r="B652" s="15" t="s">
        <v>583</v>
      </c>
      <c r="C652" s="16" t="s">
        <v>624</v>
      </c>
      <c r="D652" s="77" t="s">
        <v>895</v>
      </c>
      <c r="E652" s="77" t="s">
        <v>1140</v>
      </c>
      <c r="F652" s="16" t="s">
        <v>1321</v>
      </c>
      <c r="G652" s="16" t="s">
        <v>333</v>
      </c>
      <c r="H652" s="16" t="s">
        <v>623</v>
      </c>
      <c r="I652" s="17" t="s">
        <v>338</v>
      </c>
      <c r="J652" s="238">
        <v>2789786</v>
      </c>
      <c r="K652" s="18" t="s">
        <v>51</v>
      </c>
      <c r="L652" s="94" t="s">
        <v>627</v>
      </c>
      <c r="M652" s="148" t="s">
        <v>849</v>
      </c>
      <c r="N652" s="81" t="str">
        <f>_xlfn.XLOOKUP(Calculations[[#This Row],[For XLOOKUP]],Factors[For XLOOKUP],Factors[Factor],"")</f>
        <v>Σ.Ε. CH₄</v>
      </c>
      <c r="O652" s="81">
        <f>_xlfn.XLOOKUP(Calculations[[#This Row],[For XLOOKUP]],Factors[For XLOOKUP],Factors[Value],"")</f>
        <v>1.0167127296250699E-9</v>
      </c>
      <c r="P652" s="81" t="str">
        <f>_xlfn.XLOOKUP(Calculations[[#This Row],[For XLOOKUP]],Factors[For XLOOKUP],Factors[Units],"")</f>
        <v>t CH4/kWh</v>
      </c>
      <c r="Q652" s="19">
        <f>_xlfn.XLOOKUP(Calculations[[#This Row],[For XLOOKUP]],Factors[For XLOOKUP],Factors[Source],"")</f>
        <v>0</v>
      </c>
      <c r="R65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2" s="81">
        <f>IF(LEFT(Calculations[[#This Row],[Emission Factor]],7)="Σ.Ε. CH",Calculations[[#This Row],[Value]]*Calculations[[#This Row],[Τιμή]],"-")</f>
        <v>2.8364109391298053E-3</v>
      </c>
      <c r="T65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2" s="81" t="str">
        <f>IF(LEFT(Calculations[[#This Row],[Emission Factor]],3)="GWP",Calculations[[#This Row],[Τιμή]],"-")</f>
        <v>-</v>
      </c>
      <c r="V652" s="81" t="str">
        <f>IF(OR(Calculations[[#This Row],[Emission Factor]]="Σ.Ε. CO₂ eq",Calculations[[#This Row],[Emission Factor]]="CO₂ eq"),Calculations[[#This Row],[Value]]*Calculations[[#This Row],[Τιμή]],"-")</f>
        <v>-</v>
      </c>
      <c r="W652" s="81" t="str">
        <f>IF(Calculations[[#This Row],[Πηγή εκπομπών]]="Electricity consumed in office buildings and projects - market based",Calculations[[#This Row],[t CO2]],"")</f>
        <v/>
      </c>
      <c r="X65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7.9419506295634545E-2</v>
      </c>
    </row>
    <row r="653" spans="1:24" ht="15" hidden="1" customHeight="1">
      <c r="A653" s="15" t="s">
        <v>350</v>
      </c>
      <c r="B653" s="15" t="s">
        <v>583</v>
      </c>
      <c r="C653" s="16" t="s">
        <v>624</v>
      </c>
      <c r="D653" s="77" t="s">
        <v>895</v>
      </c>
      <c r="E653" s="77" t="s">
        <v>1140</v>
      </c>
      <c r="F653" s="16" t="s">
        <v>1321</v>
      </c>
      <c r="G653" s="16" t="s">
        <v>333</v>
      </c>
      <c r="H653" s="16" t="s">
        <v>623</v>
      </c>
      <c r="I653" s="17" t="s">
        <v>338</v>
      </c>
      <c r="J653" s="238">
        <v>2789786</v>
      </c>
      <c r="K653" s="18" t="s">
        <v>51</v>
      </c>
      <c r="L653" s="94" t="s">
        <v>627</v>
      </c>
      <c r="M653" s="148" t="s">
        <v>850</v>
      </c>
      <c r="N653" s="19" t="str">
        <f>_xlfn.XLOOKUP(Calculations[[#This Row],[For XLOOKUP]],Factors[For XLOOKUP],Factors[Factor],"")</f>
        <v>Σ.Ε. N2O</v>
      </c>
      <c r="O653" s="19">
        <f>_xlfn.XLOOKUP(Calculations[[#This Row],[For XLOOKUP]],Factors[For XLOOKUP],Factors[Value],"")</f>
        <v>4.1863411997580185E-10</v>
      </c>
      <c r="P653" s="19" t="str">
        <f>_xlfn.XLOOKUP(Calculations[[#This Row],[For XLOOKUP]],Factors[For XLOOKUP],Factors[Units],"")</f>
        <v>t N2O/kWh</v>
      </c>
      <c r="Q653" s="19">
        <f>_xlfn.XLOOKUP(Calculations[[#This Row],[For XLOOKUP]],Factors[For XLOOKUP],Factors[Source],"")</f>
        <v>0</v>
      </c>
      <c r="R65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3" s="19" t="str">
        <f>IF(LEFT(Calculations[[#This Row],[Emission Factor]],7)="Σ.Ε. CH",Calculations[[#This Row],[Value]]*Calculations[[#This Row],[Τιμή]],"-")</f>
        <v>-</v>
      </c>
      <c r="T65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1.1678996070308124E-3</v>
      </c>
      <c r="U653" s="19" t="str">
        <f>IF(LEFT(Calculations[[#This Row],[Emission Factor]],3)="GWP",Calculations[[#This Row],[Τιμή]],"-")</f>
        <v>-</v>
      </c>
      <c r="V653" s="19" t="str">
        <f>IF(OR(Calculations[[#This Row],[Emission Factor]]="Σ.Ε. CO₂ eq",Calculations[[#This Row],[Emission Factor]]="CO₂ eq"),Calculations[[#This Row],[Value]]*Calculations[[#This Row],[Τιμή]],"-")</f>
        <v>-</v>
      </c>
      <c r="W653" s="19" t="str">
        <f>IF(Calculations[[#This Row],[Πηγή εκπομπών]]="Electricity consumed in office buildings and projects - market based",Calculations[[#This Row],[t CO2]],"")</f>
        <v/>
      </c>
      <c r="X65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0.30949339586316527</v>
      </c>
    </row>
    <row r="654" spans="1:24" ht="15" hidden="1" customHeight="1">
      <c r="A654" s="15" t="s">
        <v>350</v>
      </c>
      <c r="B654" s="15" t="s">
        <v>583</v>
      </c>
      <c r="C654" s="16" t="s">
        <v>624</v>
      </c>
      <c r="D654" s="77" t="s">
        <v>895</v>
      </c>
      <c r="E654" s="77" t="s">
        <v>1140</v>
      </c>
      <c r="F654" s="16" t="s">
        <v>1321</v>
      </c>
      <c r="G654" s="16" t="s">
        <v>333</v>
      </c>
      <c r="H654" s="16" t="s">
        <v>623</v>
      </c>
      <c r="I654" s="17" t="s">
        <v>338</v>
      </c>
      <c r="J654" s="238">
        <v>2789786</v>
      </c>
      <c r="K654" s="18" t="s">
        <v>51</v>
      </c>
      <c r="L654" s="94" t="s">
        <v>627</v>
      </c>
      <c r="M654" s="148" t="s">
        <v>790</v>
      </c>
      <c r="N654" s="81" t="str">
        <f>_xlfn.XLOOKUP(Calculations[[#This Row],[For XLOOKUP]],Factors[For XLOOKUP],Factors[Factor],"")</f>
        <v>Σ.Ε. CO₂ eq</v>
      </c>
      <c r="O654" s="81">
        <f>_xlfn.XLOOKUP(Calculations[[#This Row],[For XLOOKUP]],Factors[For XLOOKUP],Factors[Value],"")</f>
        <v>7.0153258659686572E-6</v>
      </c>
      <c r="P654" s="81" t="str">
        <f>_xlfn.XLOOKUP(Calculations[[#This Row],[For XLOOKUP]],Factors[For XLOOKUP],Factors[Units],"")</f>
        <v>t CO2 eq/kWh</v>
      </c>
      <c r="Q654" s="19">
        <f>_xlfn.XLOOKUP(Calculations[[#This Row],[For XLOOKUP]],Factors[For XLOOKUP],Factors[Source],"")</f>
        <v>0</v>
      </c>
      <c r="R65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4" s="81" t="str">
        <f>IF(LEFT(Calculations[[#This Row],[Emission Factor]],7)="Σ.Ε. CH",Calculations[[#This Row],[Value]]*Calculations[[#This Row],[Τιμή]],"-")</f>
        <v>-</v>
      </c>
      <c r="T65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4" s="81" t="str">
        <f>IF(LEFT(Calculations[[#This Row],[Emission Factor]],3)="GWP",Calculations[[#This Row],[Τιμή]],"-")</f>
        <v>-</v>
      </c>
      <c r="V654" s="81">
        <f>IF(OR(Calculations[[#This Row],[Emission Factor]]="Σ.Ε. CO₂ eq",Calculations[[#This Row],[Emission Factor]]="CO₂ eq"),Calculations[[#This Row],[Value]]*Calculations[[#This Row],[Τιμή]],"-")</f>
        <v>19.571257886317238</v>
      </c>
      <c r="W654" s="81" t="str">
        <f>IF(Calculations[[#This Row],[Πηγή εκπομπών]]="Electricity consumed in office buildings and projects - market based",Calculations[[#This Row],[t CO2]],"")</f>
        <v/>
      </c>
      <c r="X65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19.571257886317238</v>
      </c>
    </row>
    <row r="655" spans="1:24" ht="15" hidden="1" customHeight="1">
      <c r="A655" s="15" t="s">
        <v>350</v>
      </c>
      <c r="B655" s="15" t="s">
        <v>583</v>
      </c>
      <c r="C655" s="16" t="s">
        <v>624</v>
      </c>
      <c r="D655" s="77" t="s">
        <v>895</v>
      </c>
      <c r="E655" s="77" t="s">
        <v>1140</v>
      </c>
      <c r="F655" s="16" t="s">
        <v>1321</v>
      </c>
      <c r="G655" s="16" t="s">
        <v>333</v>
      </c>
      <c r="H655" s="16" t="s">
        <v>623</v>
      </c>
      <c r="I655" s="17" t="s">
        <v>338</v>
      </c>
      <c r="J655" s="238">
        <v>22175081</v>
      </c>
      <c r="K655" s="18" t="s">
        <v>51</v>
      </c>
      <c r="L655" s="94" t="s">
        <v>628</v>
      </c>
      <c r="M655" s="148" t="s">
        <v>791</v>
      </c>
      <c r="N655" s="19" t="str">
        <f>_xlfn.XLOOKUP(Calculations[[#This Row],[For XLOOKUP]],Factors[For XLOOKUP],Factors[Factor],"")</f>
        <v>Σ.Ε. CO₂</v>
      </c>
      <c r="O655" s="19">
        <f>_xlfn.XLOOKUP(Calculations[[#This Row],[For XLOOKUP]],Factors[For XLOOKUP],Factors[Value],"")</f>
        <v>1.505346476770355E-5</v>
      </c>
      <c r="P655" s="19" t="str">
        <f>_xlfn.XLOOKUP(Calculations[[#This Row],[For XLOOKUP]],Factors[For XLOOKUP],Factors[Units],"")</f>
        <v>t CO2/kWh</v>
      </c>
      <c r="Q655" s="19">
        <f>_xlfn.XLOOKUP(Calculations[[#This Row],[For XLOOKUP]],Factors[For XLOOKUP],Factors[Source],"")</f>
        <v>0</v>
      </c>
      <c r="R65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333.81180055447243</v>
      </c>
      <c r="S655" s="19" t="str">
        <f>IF(LEFT(Calculations[[#This Row],[Emission Factor]],7)="Σ.Ε. CH",Calculations[[#This Row],[Value]]*Calculations[[#This Row],[Τιμή]],"-")</f>
        <v>-</v>
      </c>
      <c r="T65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5" s="19" t="str">
        <f>IF(LEFT(Calculations[[#This Row],[Emission Factor]],3)="GWP",Calculations[[#This Row],[Τιμή]],"-")</f>
        <v>-</v>
      </c>
      <c r="V655" s="19" t="str">
        <f>IF(OR(Calculations[[#This Row],[Emission Factor]]="Σ.Ε. CO₂ eq",Calculations[[#This Row],[Emission Factor]]="CO₂ eq"),Calculations[[#This Row],[Value]]*Calculations[[#This Row],[Τιμή]],"-")</f>
        <v>-</v>
      </c>
      <c r="W655" s="19" t="str">
        <f>IF(Calculations[[#This Row],[Πηγή εκπομπών]]="Electricity consumed in office buildings and projects - market based",Calculations[[#This Row],[t CO2]],"")</f>
        <v/>
      </c>
      <c r="X65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333.81180055447243</v>
      </c>
    </row>
    <row r="656" spans="1:24" ht="15" hidden="1" customHeight="1">
      <c r="A656" s="15" t="s">
        <v>350</v>
      </c>
      <c r="B656" s="15" t="s">
        <v>583</v>
      </c>
      <c r="C656" s="16" t="s">
        <v>624</v>
      </c>
      <c r="D656" s="77" t="s">
        <v>895</v>
      </c>
      <c r="E656" s="77" t="s">
        <v>1140</v>
      </c>
      <c r="F656" s="16" t="s">
        <v>1321</v>
      </c>
      <c r="G656" s="16" t="s">
        <v>333</v>
      </c>
      <c r="H656" s="16" t="s">
        <v>623</v>
      </c>
      <c r="I656" s="17" t="s">
        <v>338</v>
      </c>
      <c r="J656" s="238">
        <v>22175081</v>
      </c>
      <c r="K656" s="18" t="s">
        <v>51</v>
      </c>
      <c r="L656" s="94" t="s">
        <v>628</v>
      </c>
      <c r="M656" s="148" t="s">
        <v>839</v>
      </c>
      <c r="N656" s="81" t="str">
        <f>_xlfn.XLOOKUP(Calculations[[#This Row],[For XLOOKUP]],Factors[For XLOOKUP],Factors[Factor],"")</f>
        <v>Σ.Ε. CH₄</v>
      </c>
      <c r="O656" s="81">
        <f>_xlfn.XLOOKUP(Calculations[[#This Row],[For XLOOKUP]],Factors[For XLOOKUP],Factors[Value],"")</f>
        <v>3.7699047882566748E-10</v>
      </c>
      <c r="P656" s="81" t="str">
        <f>_xlfn.XLOOKUP(Calculations[[#This Row],[For XLOOKUP]],Factors[For XLOOKUP],Factors[Units],"")</f>
        <v>t CH4/kWh</v>
      </c>
      <c r="Q656" s="19">
        <f>_xlfn.XLOOKUP(Calculations[[#This Row],[For XLOOKUP]],Factors[For XLOOKUP],Factors[Source],"")</f>
        <v>0</v>
      </c>
      <c r="R65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6" s="81">
        <f>IF(LEFT(Calculations[[#This Row],[Emission Factor]],7)="Σ.Ε. CH",Calculations[[#This Row],[Value]]*Calculations[[#This Row],[Τιμή]],"-")</f>
        <v>8.3597944041879611E-3</v>
      </c>
      <c r="T65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6" s="81" t="str">
        <f>IF(LEFT(Calculations[[#This Row],[Emission Factor]],3)="GWP",Calculations[[#This Row],[Τιμή]],"-")</f>
        <v>-</v>
      </c>
      <c r="V656" s="81" t="str">
        <f>IF(OR(Calculations[[#This Row],[Emission Factor]]="Σ.Ε. CO₂ eq",Calculations[[#This Row],[Emission Factor]]="CO₂ eq"),Calculations[[#This Row],[Value]]*Calculations[[#This Row],[Τιμή]],"-")</f>
        <v>-</v>
      </c>
      <c r="W656" s="81" t="str">
        <f>IF(Calculations[[#This Row],[Πηγή εκπομπών]]="Electricity consumed in office buildings and projects - market based",Calculations[[#This Row],[t CO2]],"")</f>
        <v/>
      </c>
      <c r="X65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0.2340742433172629</v>
      </c>
    </row>
    <row r="657" spans="1:24" ht="15" hidden="1" customHeight="1">
      <c r="A657" s="15" t="s">
        <v>350</v>
      </c>
      <c r="B657" s="15" t="s">
        <v>583</v>
      </c>
      <c r="C657" s="16" t="s">
        <v>624</v>
      </c>
      <c r="D657" s="77" t="s">
        <v>895</v>
      </c>
      <c r="E657" s="77" t="s">
        <v>1140</v>
      </c>
      <c r="F657" s="16" t="s">
        <v>1321</v>
      </c>
      <c r="G657" s="16" t="s">
        <v>333</v>
      </c>
      <c r="H657" s="16" t="s">
        <v>623</v>
      </c>
      <c r="I657" s="17" t="s">
        <v>338</v>
      </c>
      <c r="J657" s="238">
        <v>22175081</v>
      </c>
      <c r="K657" s="18" t="s">
        <v>51</v>
      </c>
      <c r="L657" s="94" t="s">
        <v>628</v>
      </c>
      <c r="M657" s="148" t="s">
        <v>844</v>
      </c>
      <c r="N657" s="19" t="str">
        <f>_xlfn.XLOOKUP(Calculations[[#This Row],[For XLOOKUP]],Factors[For XLOOKUP],Factors[Factor],"")</f>
        <v>Σ.Ε. N2O</v>
      </c>
      <c r="O657" s="19">
        <f>_xlfn.XLOOKUP(Calculations[[#This Row],[For XLOOKUP]],Factors[For XLOOKUP],Factors[Value],"")</f>
        <v>1.5522681357657309E-10</v>
      </c>
      <c r="P657" s="19" t="str">
        <f>_xlfn.XLOOKUP(Calculations[[#This Row],[For XLOOKUP]],Factors[For XLOOKUP],Factors[Units],"")</f>
        <v>t N2O/kWh</v>
      </c>
      <c r="Q657" s="19">
        <f>_xlfn.XLOOKUP(Calculations[[#This Row],[For XLOOKUP]],Factors[For XLOOKUP],Factors[Source],"")</f>
        <v>0</v>
      </c>
      <c r="R65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7" s="19" t="str">
        <f>IF(LEFT(Calculations[[#This Row],[Emission Factor]],7)="Σ.Ε. CH",Calculations[[#This Row],[Value]]*Calculations[[#This Row],[Τιμή]],"-")</f>
        <v>-</v>
      </c>
      <c r="T657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3.4421671644324081E-3</v>
      </c>
      <c r="U657" s="19" t="str">
        <f>IF(LEFT(Calculations[[#This Row],[Emission Factor]],3)="GWP",Calculations[[#This Row],[Τιμή]],"-")</f>
        <v>-</v>
      </c>
      <c r="V657" s="19" t="str">
        <f>IF(OR(Calculations[[#This Row],[Emission Factor]]="Σ.Ε. CO₂ eq",Calculations[[#This Row],[Emission Factor]]="CO₂ eq"),Calculations[[#This Row],[Value]]*Calculations[[#This Row],[Τιμή]],"-")</f>
        <v>-</v>
      </c>
      <c r="W657" s="19" t="str">
        <f>IF(Calculations[[#This Row],[Πηγή εκπομπών]]="Electricity consumed in office buildings and projects - market based",Calculations[[#This Row],[t CO2]],"")</f>
        <v/>
      </c>
      <c r="X65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0.9121742985745882</v>
      </c>
    </row>
    <row r="658" spans="1:24" ht="15" hidden="1" customHeight="1">
      <c r="A658" s="15" t="s">
        <v>350</v>
      </c>
      <c r="B658" s="15" t="s">
        <v>583</v>
      </c>
      <c r="C658" s="16" t="s">
        <v>624</v>
      </c>
      <c r="D658" s="77" t="s">
        <v>895</v>
      </c>
      <c r="E658" s="77" t="s">
        <v>1140</v>
      </c>
      <c r="F658" s="16" t="s">
        <v>1321</v>
      </c>
      <c r="G658" s="16" t="s">
        <v>333</v>
      </c>
      <c r="H658" s="16" t="s">
        <v>623</v>
      </c>
      <c r="I658" s="17" t="s">
        <v>338</v>
      </c>
      <c r="J658" s="238">
        <v>22175081</v>
      </c>
      <c r="K658" s="18" t="s">
        <v>51</v>
      </c>
      <c r="L658" s="94" t="s">
        <v>628</v>
      </c>
      <c r="M658" s="148" t="s">
        <v>792</v>
      </c>
      <c r="N658" s="81" t="str">
        <f>_xlfn.XLOOKUP(Calculations[[#This Row],[For XLOOKUP]],Factors[For XLOOKUP],Factors[Factor],"")</f>
        <v>Σ.Ε. CO₂ eq</v>
      </c>
      <c r="O658" s="81">
        <f>_xlfn.XLOOKUP(Calculations[[#This Row],[For XLOOKUP]],Factors[For XLOOKUP],Factors[Value],"")</f>
        <v>2.6012372819458027E-6</v>
      </c>
      <c r="P658" s="81" t="str">
        <f>_xlfn.XLOOKUP(Calculations[[#This Row],[For XLOOKUP]],Factors[For XLOOKUP],Factors[Units],"")</f>
        <v>t CO2 eq/kWh</v>
      </c>
      <c r="Q658" s="19">
        <f>_xlfn.XLOOKUP(Calculations[[#This Row],[For XLOOKUP]],Factors[For XLOOKUP],Factors[Source],"")</f>
        <v>0</v>
      </c>
      <c r="R65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8" s="81" t="str">
        <f>IF(LEFT(Calculations[[#This Row],[Emission Factor]],7)="Σ.Ε. CH",Calculations[[#This Row],[Value]]*Calculations[[#This Row],[Τιμή]],"-")</f>
        <v>-</v>
      </c>
      <c r="T65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8" s="81" t="str">
        <f>IF(LEFT(Calculations[[#This Row],[Emission Factor]],3)="GWP",Calculations[[#This Row],[Τιμή]],"-")</f>
        <v>-</v>
      </c>
      <c r="V658" s="81">
        <f>IF(OR(Calculations[[#This Row],[Emission Factor]]="Σ.Ε. CO₂ eq",Calculations[[#This Row],[Emission Factor]]="CO₂ eq"),Calculations[[#This Row],[Value]]*Calculations[[#This Row],[Τιμή]],"-")</f>
        <v>57.682647427368011</v>
      </c>
      <c r="W658" s="81" t="str">
        <f>IF(Calculations[[#This Row],[Πηγή εκπομπών]]="Electricity consumed in office buildings and projects - market based",Calculations[[#This Row],[t CO2]],"")</f>
        <v/>
      </c>
      <c r="X65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57.682647427368011</v>
      </c>
    </row>
    <row r="659" spans="1:24" ht="15" hidden="1" customHeight="1">
      <c r="A659" s="15" t="s">
        <v>350</v>
      </c>
      <c r="B659" s="15" t="s">
        <v>583</v>
      </c>
      <c r="C659" s="16" t="s">
        <v>624</v>
      </c>
      <c r="D659" s="77" t="s">
        <v>895</v>
      </c>
      <c r="E659" s="77" t="s">
        <v>1136</v>
      </c>
      <c r="F659" s="16" t="s">
        <v>319</v>
      </c>
      <c r="G659" s="16" t="s">
        <v>333</v>
      </c>
      <c r="H659" s="16" t="s">
        <v>623</v>
      </c>
      <c r="I659" s="17" t="s">
        <v>338</v>
      </c>
      <c r="J659" s="238">
        <v>82089.878035182206</v>
      </c>
      <c r="K659" s="18" t="s">
        <v>51</v>
      </c>
      <c r="L659" s="94" t="s">
        <v>628</v>
      </c>
      <c r="M659" s="148" t="s">
        <v>791</v>
      </c>
      <c r="N659" s="19" t="str">
        <f>_xlfn.XLOOKUP(Calculations[[#This Row],[For XLOOKUP]],Factors[For XLOOKUP],Factors[Factor],"")</f>
        <v>Σ.Ε. CO₂</v>
      </c>
      <c r="O659" s="19">
        <f>_xlfn.XLOOKUP(Calculations[[#This Row],[For XLOOKUP]],Factors[For XLOOKUP],Factors[Value],"")</f>
        <v>1.505346476770355E-5</v>
      </c>
      <c r="P659" s="19" t="str">
        <f>_xlfn.XLOOKUP(Calculations[[#This Row],[For XLOOKUP]],Factors[For XLOOKUP],Factors[Units],"")</f>
        <v>t CO2/kWh</v>
      </c>
      <c r="Q659" s="19">
        <f>_xlfn.XLOOKUP(Calculations[[#This Row],[For XLOOKUP]],Factors[For XLOOKUP],Factors[Source],"")</f>
        <v>0</v>
      </c>
      <c r="R659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1.2357370867876969</v>
      </c>
      <c r="S659" s="19" t="str">
        <f>IF(LEFT(Calculations[[#This Row],[Emission Factor]],7)="Σ.Ε. CH",Calculations[[#This Row],[Value]]*Calculations[[#This Row],[Τιμή]],"-")</f>
        <v>-</v>
      </c>
      <c r="T65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9" s="19" t="str">
        <f>IF(LEFT(Calculations[[#This Row],[Emission Factor]],3)="GWP",Calculations[[#This Row],[Τιμή]],"-")</f>
        <v>-</v>
      </c>
      <c r="V659" s="19" t="str">
        <f>IF(OR(Calculations[[#This Row],[Emission Factor]]="Σ.Ε. CO₂ eq",Calculations[[#This Row],[Emission Factor]]="CO₂ eq"),Calculations[[#This Row],[Value]]*Calculations[[#This Row],[Τιμή]],"-")</f>
        <v>-</v>
      </c>
      <c r="W659" s="19" t="str">
        <f>IF(Calculations[[#This Row],[Πηγή εκπομπών]]="Electricity consumed in office buildings and projects - market based",Calculations[[#This Row],[t CO2]],"")</f>
        <v/>
      </c>
      <c r="X65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1.2357370867876969</v>
      </c>
    </row>
    <row r="660" spans="1:24" ht="15" hidden="1" customHeight="1">
      <c r="A660" s="15" t="s">
        <v>350</v>
      </c>
      <c r="B660" s="15" t="s">
        <v>583</v>
      </c>
      <c r="C660" s="16" t="s">
        <v>624</v>
      </c>
      <c r="D660" s="77" t="s">
        <v>895</v>
      </c>
      <c r="E660" s="77" t="s">
        <v>1136</v>
      </c>
      <c r="F660" s="16" t="s">
        <v>319</v>
      </c>
      <c r="G660" s="16" t="s">
        <v>333</v>
      </c>
      <c r="H660" s="16" t="s">
        <v>623</v>
      </c>
      <c r="I660" s="17" t="s">
        <v>338</v>
      </c>
      <c r="J660" s="238">
        <v>82089.878035182206</v>
      </c>
      <c r="K660" s="18" t="s">
        <v>51</v>
      </c>
      <c r="L660" s="94" t="s">
        <v>628</v>
      </c>
      <c r="M660" s="148" t="s">
        <v>839</v>
      </c>
      <c r="N660" s="81" t="str">
        <f>_xlfn.XLOOKUP(Calculations[[#This Row],[For XLOOKUP]],Factors[For XLOOKUP],Factors[Factor],"")</f>
        <v>Σ.Ε. CH₄</v>
      </c>
      <c r="O660" s="81">
        <f>_xlfn.XLOOKUP(Calculations[[#This Row],[For XLOOKUP]],Factors[For XLOOKUP],Factors[Value],"")</f>
        <v>3.7699047882566748E-10</v>
      </c>
      <c r="P660" s="81" t="str">
        <f>_xlfn.XLOOKUP(Calculations[[#This Row],[For XLOOKUP]],Factors[For XLOOKUP],Factors[Units],"")</f>
        <v>t CH4/kWh</v>
      </c>
      <c r="Q660" s="19">
        <f>_xlfn.XLOOKUP(Calculations[[#This Row],[For XLOOKUP]],Factors[For XLOOKUP],Factors[Source],"")</f>
        <v>0</v>
      </c>
      <c r="R66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0" s="81">
        <f>IF(LEFT(Calculations[[#This Row],[Emission Factor]],7)="Σ.Ε. CH",Calculations[[#This Row],[Value]]*Calculations[[#This Row],[Τιμή]],"-")</f>
        <v>3.0947102427223984E-5</v>
      </c>
      <c r="T66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0" s="81" t="str">
        <f>IF(LEFT(Calculations[[#This Row],[Emission Factor]],3)="GWP",Calculations[[#This Row],[Τιμή]],"-")</f>
        <v>-</v>
      </c>
      <c r="V660" s="81" t="str">
        <f>IF(OR(Calculations[[#This Row],[Emission Factor]]="Σ.Ε. CO₂ eq",Calculations[[#This Row],[Emission Factor]]="CO₂ eq"),Calculations[[#This Row],[Value]]*Calculations[[#This Row],[Τιμή]],"-")</f>
        <v>-</v>
      </c>
      <c r="W660" s="81" t="str">
        <f>IF(Calculations[[#This Row],[Πηγή εκπομπών]]="Electricity consumed in office buildings and projects - market based",Calculations[[#This Row],[t CO2]],"")</f>
        <v/>
      </c>
      <c r="X66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8.6651886796227154E-4</v>
      </c>
    </row>
    <row r="661" spans="1:24" ht="15" hidden="1" customHeight="1">
      <c r="A661" s="15" t="s">
        <v>350</v>
      </c>
      <c r="B661" s="15" t="s">
        <v>583</v>
      </c>
      <c r="C661" s="16" t="s">
        <v>624</v>
      </c>
      <c r="D661" s="77" t="s">
        <v>895</v>
      </c>
      <c r="E661" s="77" t="s">
        <v>1136</v>
      </c>
      <c r="F661" s="16" t="s">
        <v>319</v>
      </c>
      <c r="G661" s="16" t="s">
        <v>333</v>
      </c>
      <c r="H661" s="16" t="s">
        <v>623</v>
      </c>
      <c r="I661" s="17" t="s">
        <v>338</v>
      </c>
      <c r="J661" s="238">
        <v>82089.878035182206</v>
      </c>
      <c r="K661" s="18" t="s">
        <v>51</v>
      </c>
      <c r="L661" s="94" t="s">
        <v>628</v>
      </c>
      <c r="M661" s="148" t="s">
        <v>844</v>
      </c>
      <c r="N661" s="19" t="str">
        <f>_xlfn.XLOOKUP(Calculations[[#This Row],[For XLOOKUP]],Factors[For XLOOKUP],Factors[Factor],"")</f>
        <v>Σ.Ε. N2O</v>
      </c>
      <c r="O661" s="19">
        <f>_xlfn.XLOOKUP(Calculations[[#This Row],[For XLOOKUP]],Factors[For XLOOKUP],Factors[Value],"")</f>
        <v>1.5522681357657309E-10</v>
      </c>
      <c r="P661" s="19" t="str">
        <f>_xlfn.XLOOKUP(Calculations[[#This Row],[For XLOOKUP]],Factors[For XLOOKUP],Factors[Units],"")</f>
        <v>t N2O/kWh</v>
      </c>
      <c r="Q661" s="19">
        <f>_xlfn.XLOOKUP(Calculations[[#This Row],[For XLOOKUP]],Factors[For XLOOKUP],Factors[Source],"")</f>
        <v>0</v>
      </c>
      <c r="R66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1" s="19" t="str">
        <f>IF(LEFT(Calculations[[#This Row],[Emission Factor]],7)="Σ.Ε. CH",Calculations[[#This Row],[Value]]*Calculations[[#This Row],[Τιμή]],"-")</f>
        <v>-</v>
      </c>
      <c r="T661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1.2742550194290851E-5</v>
      </c>
      <c r="U661" s="19" t="str">
        <f>IF(LEFT(Calculations[[#This Row],[Emission Factor]],3)="GWP",Calculations[[#This Row],[Τιμή]],"-")</f>
        <v>-</v>
      </c>
      <c r="V661" s="19" t="str">
        <f>IF(OR(Calculations[[#This Row],[Emission Factor]]="Σ.Ε. CO₂ eq",Calculations[[#This Row],[Emission Factor]]="CO₂ eq"),Calculations[[#This Row],[Value]]*Calculations[[#This Row],[Τιμή]],"-")</f>
        <v>-</v>
      </c>
      <c r="W661" s="19" t="str">
        <f>IF(Calculations[[#This Row],[Πηγή εκπομπών]]="Electricity consumed in office buildings and projects - market based",Calculations[[#This Row],[t CO2]],"")</f>
        <v/>
      </c>
      <c r="X66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3.3767758014870753E-3</v>
      </c>
    </row>
    <row r="662" spans="1:24" ht="15" hidden="1" customHeight="1">
      <c r="A662" s="15" t="s">
        <v>350</v>
      </c>
      <c r="B662" s="15" t="s">
        <v>583</v>
      </c>
      <c r="C662" s="16" t="s">
        <v>624</v>
      </c>
      <c r="D662" s="77" t="s">
        <v>895</v>
      </c>
      <c r="E662" s="77" t="s">
        <v>1136</v>
      </c>
      <c r="F662" s="16" t="s">
        <v>319</v>
      </c>
      <c r="G662" s="16" t="s">
        <v>333</v>
      </c>
      <c r="H662" s="16" t="s">
        <v>623</v>
      </c>
      <c r="I662" s="17" t="s">
        <v>338</v>
      </c>
      <c r="J662" s="238">
        <v>82089.878035182206</v>
      </c>
      <c r="K662" s="18" t="s">
        <v>51</v>
      </c>
      <c r="L662" s="94" t="s">
        <v>628</v>
      </c>
      <c r="M662" s="148" t="s">
        <v>792</v>
      </c>
      <c r="N662" s="81" t="str">
        <f>_xlfn.XLOOKUP(Calculations[[#This Row],[For XLOOKUP]],Factors[For XLOOKUP],Factors[Factor],"")</f>
        <v>Σ.Ε. CO₂ eq</v>
      </c>
      <c r="O662" s="81">
        <f>_xlfn.XLOOKUP(Calculations[[#This Row],[For XLOOKUP]],Factors[For XLOOKUP],Factors[Value],"")</f>
        <v>2.6012372819458027E-6</v>
      </c>
      <c r="P662" s="81" t="str">
        <f>_xlfn.XLOOKUP(Calculations[[#This Row],[For XLOOKUP]],Factors[For XLOOKUP],Factors[Units],"")</f>
        <v>t CO2 eq/kWh</v>
      </c>
      <c r="Q662" s="19">
        <f>_xlfn.XLOOKUP(Calculations[[#This Row],[For XLOOKUP]],Factors[For XLOOKUP],Factors[Source],"")</f>
        <v>0</v>
      </c>
      <c r="R66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2" s="81" t="str">
        <f>IF(LEFT(Calculations[[#This Row],[Emission Factor]],7)="Σ.Ε. CH",Calculations[[#This Row],[Value]]*Calculations[[#This Row],[Τιμή]],"-")</f>
        <v>-</v>
      </c>
      <c r="T66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2" s="81" t="str">
        <f>IF(LEFT(Calculations[[#This Row],[Emission Factor]],3)="GWP",Calculations[[#This Row],[Τιμή]],"-")</f>
        <v>-</v>
      </c>
      <c r="V662" s="81">
        <f>IF(OR(Calculations[[#This Row],[Emission Factor]]="Σ.Ε. CO₂ eq",Calculations[[#This Row],[Emission Factor]]="CO₂ eq"),Calculations[[#This Row],[Value]]*Calculations[[#This Row],[Τιμή]],"-")</f>
        <v>0.21353525121549982</v>
      </c>
      <c r="W662" s="81" t="str">
        <f>IF(Calculations[[#This Row],[Πηγή εκπομπών]]="Electricity consumed in office buildings and projects - market based",Calculations[[#This Row],[t CO2]],"")</f>
        <v/>
      </c>
      <c r="X66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0.21353525121549982</v>
      </c>
    </row>
    <row r="663" spans="1:24" ht="15" hidden="1" customHeight="1">
      <c r="A663" s="15" t="s">
        <v>350</v>
      </c>
      <c r="B663" s="15" t="s">
        <v>583</v>
      </c>
      <c r="C663" s="16" t="s">
        <v>624</v>
      </c>
      <c r="D663" s="77" t="s">
        <v>895</v>
      </c>
      <c r="E663" s="77" t="s">
        <v>1141</v>
      </c>
      <c r="F663" s="16" t="s">
        <v>312</v>
      </c>
      <c r="G663" s="16" t="s">
        <v>333</v>
      </c>
      <c r="H663" s="16" t="s">
        <v>623</v>
      </c>
      <c r="I663" s="17" t="s">
        <v>338</v>
      </c>
      <c r="J663" s="238">
        <v>4808330.25</v>
      </c>
      <c r="K663" s="18" t="s">
        <v>51</v>
      </c>
      <c r="L663" s="94" t="s">
        <v>627</v>
      </c>
      <c r="M663" s="148" t="s">
        <v>789</v>
      </c>
      <c r="N663" s="19" t="str">
        <f>_xlfn.XLOOKUP(Calculations[[#This Row],[For XLOOKUP]],Factors[For XLOOKUP],Factors[Factor],"")</f>
        <v>Σ.Ε. CO₂</v>
      </c>
      <c r="O663" s="19">
        <f>_xlfn.XLOOKUP(Calculations[[#This Row],[For XLOOKUP]],Factors[For XLOOKUP],Factors[Value],"")</f>
        <v>4.0597972930144582E-5</v>
      </c>
      <c r="P663" s="19" t="str">
        <f>_xlfn.XLOOKUP(Calculations[[#This Row],[For XLOOKUP]],Factors[For XLOOKUP],Factors[Units],"")</f>
        <v>t CO2/kWh</v>
      </c>
      <c r="Q663" s="19">
        <f>_xlfn.XLOOKUP(Calculations[[#This Row],[For XLOOKUP]],Factors[For XLOOKUP],Factors[Source],"")</f>
        <v>0</v>
      </c>
      <c r="R663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195.20846132869534</v>
      </c>
      <c r="S663" s="19" t="str">
        <f>IF(LEFT(Calculations[[#This Row],[Emission Factor]],7)="Σ.Ε. CH",Calculations[[#This Row],[Value]]*Calculations[[#This Row],[Τιμή]],"-")</f>
        <v>-</v>
      </c>
      <c r="T663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3" s="19" t="str">
        <f>IF(LEFT(Calculations[[#This Row],[Emission Factor]],3)="GWP",Calculations[[#This Row],[Τιμή]],"-")</f>
        <v>-</v>
      </c>
      <c r="V663" s="19" t="str">
        <f>IF(OR(Calculations[[#This Row],[Emission Factor]]="Σ.Ε. CO₂ eq",Calculations[[#This Row],[Emission Factor]]="CO₂ eq"),Calculations[[#This Row],[Value]]*Calculations[[#This Row],[Τιμή]],"-")</f>
        <v>-</v>
      </c>
      <c r="W663" s="19" t="str">
        <f>IF(Calculations[[#This Row],[Πηγή εκπομπών]]="Electricity consumed in office buildings and projects - market based",Calculations[[#This Row],[t CO2]],"")</f>
        <v/>
      </c>
      <c r="X66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195.20846132869534</v>
      </c>
    </row>
    <row r="664" spans="1:24" ht="15" hidden="1" customHeight="1">
      <c r="A664" s="15" t="s">
        <v>350</v>
      </c>
      <c r="B664" s="15" t="s">
        <v>583</v>
      </c>
      <c r="C664" s="16" t="s">
        <v>624</v>
      </c>
      <c r="D664" s="77" t="s">
        <v>895</v>
      </c>
      <c r="E664" s="77" t="s">
        <v>1141</v>
      </c>
      <c r="F664" s="16" t="s">
        <v>312</v>
      </c>
      <c r="G664" s="16" t="s">
        <v>333</v>
      </c>
      <c r="H664" s="16" t="s">
        <v>623</v>
      </c>
      <c r="I664" s="17" t="s">
        <v>338</v>
      </c>
      <c r="J664" s="238">
        <v>4808330.25</v>
      </c>
      <c r="K664" s="18" t="s">
        <v>51</v>
      </c>
      <c r="L664" s="94" t="s">
        <v>627</v>
      </c>
      <c r="M664" s="148" t="s">
        <v>849</v>
      </c>
      <c r="N664" s="19" t="str">
        <f>_xlfn.XLOOKUP(Calculations[[#This Row],[For XLOOKUP]],Factors[For XLOOKUP],Factors[Factor],"")</f>
        <v>Σ.Ε. CH₄</v>
      </c>
      <c r="O664" s="19">
        <f>_xlfn.XLOOKUP(Calculations[[#This Row],[For XLOOKUP]],Factors[For XLOOKUP],Factors[Value],"")</f>
        <v>1.0167127296250699E-9</v>
      </c>
      <c r="P664" s="19" t="str">
        <f>_xlfn.XLOOKUP(Calculations[[#This Row],[For XLOOKUP]],Factors[For XLOOKUP],Factors[Units],"")</f>
        <v>t CH4/kWh</v>
      </c>
      <c r="Q664" s="19">
        <f>_xlfn.XLOOKUP(Calculations[[#This Row],[For XLOOKUP]],Factors[For XLOOKUP],Factors[Source],"")</f>
        <v>0</v>
      </c>
      <c r="R66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4" s="19">
        <f>IF(LEFT(Calculations[[#This Row],[Emission Factor]],7)="Σ.Ε. CH",Calculations[[#This Row],[Value]]*Calculations[[#This Row],[Τιμή]],"-")</f>
        <v>4.8886905734162947E-3</v>
      </c>
      <c r="T66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4" s="19" t="str">
        <f>IF(LEFT(Calculations[[#This Row],[Emission Factor]],3)="GWP",Calculations[[#This Row],[Τιμή]],"-")</f>
        <v>-</v>
      </c>
      <c r="V664" s="19" t="str">
        <f>IF(OR(Calculations[[#This Row],[Emission Factor]]="Σ.Ε. CO₂ eq",Calculations[[#This Row],[Emission Factor]]="CO₂ eq"),Calculations[[#This Row],[Value]]*Calculations[[#This Row],[Τιμή]],"-")</f>
        <v>-</v>
      </c>
      <c r="W664" s="19" t="str">
        <f>IF(Calculations[[#This Row],[Πηγή εκπομπών]]="Electricity consumed in office buildings and projects - market based",Calculations[[#This Row],[t CO2]],"")</f>
        <v/>
      </c>
      <c r="X66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0.13688333605565625</v>
      </c>
    </row>
    <row r="665" spans="1:24" ht="15" hidden="1" customHeight="1">
      <c r="A665" s="15" t="s">
        <v>350</v>
      </c>
      <c r="B665" s="15" t="s">
        <v>583</v>
      </c>
      <c r="C665" s="16" t="s">
        <v>624</v>
      </c>
      <c r="D665" s="77" t="s">
        <v>895</v>
      </c>
      <c r="E665" s="77" t="s">
        <v>1141</v>
      </c>
      <c r="F665" s="16" t="s">
        <v>312</v>
      </c>
      <c r="G665" s="16" t="s">
        <v>333</v>
      </c>
      <c r="H665" s="16" t="s">
        <v>623</v>
      </c>
      <c r="I665" s="17" t="s">
        <v>338</v>
      </c>
      <c r="J665" s="238">
        <v>4808330.25</v>
      </c>
      <c r="K665" s="18" t="s">
        <v>51</v>
      </c>
      <c r="L665" s="94" t="s">
        <v>627</v>
      </c>
      <c r="M665" s="148" t="s">
        <v>850</v>
      </c>
      <c r="N665" s="19" t="str">
        <f>_xlfn.XLOOKUP(Calculations[[#This Row],[For XLOOKUP]],Factors[For XLOOKUP],Factors[Factor],"")</f>
        <v>Σ.Ε. N2O</v>
      </c>
      <c r="O665" s="19">
        <f>_xlfn.XLOOKUP(Calculations[[#This Row],[For XLOOKUP]],Factors[For XLOOKUP],Factors[Value],"")</f>
        <v>4.1863411997580185E-10</v>
      </c>
      <c r="P665" s="19" t="str">
        <f>_xlfn.XLOOKUP(Calculations[[#This Row],[For XLOOKUP]],Factors[For XLOOKUP],Factors[Units],"")</f>
        <v>t N2O/kWh</v>
      </c>
      <c r="Q665" s="19">
        <f>_xlfn.XLOOKUP(Calculations[[#This Row],[For XLOOKUP]],Factors[For XLOOKUP],Factors[Source],"")</f>
        <v>0</v>
      </c>
      <c r="R66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5" s="19" t="str">
        <f>IF(LEFT(Calculations[[#This Row],[Emission Factor]],7)="Σ.Ε. CH",Calculations[[#This Row],[Value]]*Calculations[[#This Row],[Τιμή]],"-")</f>
        <v>-</v>
      </c>
      <c r="T665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2.0129311027617773E-3</v>
      </c>
      <c r="U665" s="19" t="str">
        <f>IF(LEFT(Calculations[[#This Row],[Emission Factor]],3)="GWP",Calculations[[#This Row],[Τιμή]],"-")</f>
        <v>-</v>
      </c>
      <c r="V665" s="19" t="str">
        <f>IF(OR(Calculations[[#This Row],[Emission Factor]]="Σ.Ε. CO₂ eq",Calculations[[#This Row],[Emission Factor]]="CO₂ eq"),Calculations[[#This Row],[Value]]*Calculations[[#This Row],[Τιμή]],"-")</f>
        <v>-</v>
      </c>
      <c r="W665" s="19" t="str">
        <f>IF(Calculations[[#This Row],[Πηγή εκπομπών]]="Electricity consumed in office buildings and projects - market based",Calculations[[#This Row],[t CO2]],"")</f>
        <v/>
      </c>
      <c r="X66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0.53342674223187103</v>
      </c>
    </row>
    <row r="666" spans="1:24" ht="15" hidden="1" customHeight="1">
      <c r="A666" s="15" t="s">
        <v>350</v>
      </c>
      <c r="B666" s="15" t="s">
        <v>583</v>
      </c>
      <c r="C666" s="16" t="s">
        <v>624</v>
      </c>
      <c r="D666" s="77" t="s">
        <v>895</v>
      </c>
      <c r="E666" s="77" t="s">
        <v>1141</v>
      </c>
      <c r="F666" s="16" t="s">
        <v>312</v>
      </c>
      <c r="G666" s="16" t="s">
        <v>333</v>
      </c>
      <c r="H666" s="16" t="s">
        <v>623</v>
      </c>
      <c r="I666" s="17" t="s">
        <v>338</v>
      </c>
      <c r="J666" s="238">
        <v>4808330.25</v>
      </c>
      <c r="K666" s="18" t="s">
        <v>51</v>
      </c>
      <c r="L666" s="94" t="s">
        <v>627</v>
      </c>
      <c r="M666" s="148" t="s">
        <v>790</v>
      </c>
      <c r="N666" s="81" t="str">
        <f>_xlfn.XLOOKUP(Calculations[[#This Row],[For XLOOKUP]],Factors[For XLOOKUP],Factors[Factor],"")</f>
        <v>Σ.Ε. CO₂ eq</v>
      </c>
      <c r="O666" s="81">
        <f>_xlfn.XLOOKUP(Calculations[[#This Row],[For XLOOKUP]],Factors[For XLOOKUP],Factors[Value],"")</f>
        <v>7.0153258659686572E-6</v>
      </c>
      <c r="P666" s="81" t="str">
        <f>_xlfn.XLOOKUP(Calculations[[#This Row],[For XLOOKUP]],Factors[For XLOOKUP],Factors[Units],"")</f>
        <v>t CO2 eq/kWh</v>
      </c>
      <c r="Q666" s="19">
        <f>_xlfn.XLOOKUP(Calculations[[#This Row],[For XLOOKUP]],Factors[For XLOOKUP],Factors[Source],"")</f>
        <v>0</v>
      </c>
      <c r="R66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6" s="81" t="str">
        <f>IF(LEFT(Calculations[[#This Row],[Emission Factor]],7)="Σ.Ε. CH",Calculations[[#This Row],[Value]]*Calculations[[#This Row],[Τιμή]],"-")</f>
        <v>-</v>
      </c>
      <c r="T66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6" s="81" t="str">
        <f>IF(LEFT(Calculations[[#This Row],[Emission Factor]],3)="GWP",Calculations[[#This Row],[Τιμή]],"-")</f>
        <v>-</v>
      </c>
      <c r="V666" s="81">
        <f>IF(OR(Calculations[[#This Row],[Emission Factor]]="Σ.Ε. CO₂ eq",Calculations[[#This Row],[Emission Factor]]="CO₂ eq"),Calculations[[#This Row],[Value]]*Calculations[[#This Row],[Τιμή]],"-")</f>
        <v>33.732003574944542</v>
      </c>
      <c r="W666" s="81" t="str">
        <f>IF(Calculations[[#This Row],[Πηγή εκπομπών]]="Electricity consumed in office buildings and projects - market based",Calculations[[#This Row],[t CO2]],"")</f>
        <v/>
      </c>
      <c r="X66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33.732003574944542</v>
      </c>
    </row>
    <row r="667" spans="1:24" ht="15" hidden="1" customHeight="1">
      <c r="A667" s="15" t="s">
        <v>350</v>
      </c>
      <c r="B667" s="15" t="s">
        <v>583</v>
      </c>
      <c r="C667" s="16" t="s">
        <v>624</v>
      </c>
      <c r="D667" s="77" t="s">
        <v>895</v>
      </c>
      <c r="E667" s="77" t="s">
        <v>1141</v>
      </c>
      <c r="F667" s="16" t="s">
        <v>312</v>
      </c>
      <c r="G667" s="16" t="s">
        <v>333</v>
      </c>
      <c r="H667" s="16" t="s">
        <v>623</v>
      </c>
      <c r="I667" s="17" t="s">
        <v>338</v>
      </c>
      <c r="J667" s="238">
        <v>8149339.8399999999</v>
      </c>
      <c r="K667" s="18" t="s">
        <v>51</v>
      </c>
      <c r="L667" s="94" t="s">
        <v>628</v>
      </c>
      <c r="M667" s="148" t="s">
        <v>791</v>
      </c>
      <c r="N667" s="19" t="str">
        <f>_xlfn.XLOOKUP(Calculations[[#This Row],[For XLOOKUP]],Factors[For XLOOKUP],Factors[Factor],"")</f>
        <v>Σ.Ε. CO₂</v>
      </c>
      <c r="O667" s="19">
        <f>_xlfn.XLOOKUP(Calculations[[#This Row],[For XLOOKUP]],Factors[For XLOOKUP],Factors[Value],"")</f>
        <v>1.505346476770355E-5</v>
      </c>
      <c r="P667" s="19" t="str">
        <f>_xlfn.XLOOKUP(Calculations[[#This Row],[For XLOOKUP]],Factors[For XLOOKUP],Factors[Units],"")</f>
        <v>t CO2/kWh</v>
      </c>
      <c r="Q667" s="19">
        <f>_xlfn.XLOOKUP(Calculations[[#This Row],[For XLOOKUP]],Factors[For XLOOKUP],Factors[Source],"")</f>
        <v>0</v>
      </c>
      <c r="R66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122.67580016148288</v>
      </c>
      <c r="S667" s="19" t="str">
        <f>IF(LEFT(Calculations[[#This Row],[Emission Factor]],7)="Σ.Ε. CH",Calculations[[#This Row],[Value]]*Calculations[[#This Row],[Τιμή]],"-")</f>
        <v>-</v>
      </c>
      <c r="T66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7" s="19" t="str">
        <f>IF(LEFT(Calculations[[#This Row],[Emission Factor]],3)="GWP",Calculations[[#This Row],[Τιμή]],"-")</f>
        <v>-</v>
      </c>
      <c r="V667" s="19" t="str">
        <f>IF(OR(Calculations[[#This Row],[Emission Factor]]="Σ.Ε. CO₂ eq",Calculations[[#This Row],[Emission Factor]]="CO₂ eq"),Calculations[[#This Row],[Value]]*Calculations[[#This Row],[Τιμή]],"-")</f>
        <v>-</v>
      </c>
      <c r="W667" s="19" t="str">
        <f>IF(Calculations[[#This Row],[Πηγή εκπομπών]]="Electricity consumed in office buildings and projects - market based",Calculations[[#This Row],[t CO2]],"")</f>
        <v/>
      </c>
      <c r="X66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122.67580016148288</v>
      </c>
    </row>
    <row r="668" spans="1:24" ht="15" hidden="1" customHeight="1">
      <c r="A668" s="15" t="s">
        <v>350</v>
      </c>
      <c r="B668" s="15" t="s">
        <v>583</v>
      </c>
      <c r="C668" s="16" t="s">
        <v>624</v>
      </c>
      <c r="D668" s="16" t="s">
        <v>895</v>
      </c>
      <c r="E668" s="16" t="s">
        <v>1141</v>
      </c>
      <c r="F668" s="16" t="s">
        <v>312</v>
      </c>
      <c r="G668" s="16" t="s">
        <v>333</v>
      </c>
      <c r="H668" s="16" t="s">
        <v>623</v>
      </c>
      <c r="I668" s="17" t="s">
        <v>338</v>
      </c>
      <c r="J668" s="238">
        <v>8149339.8399999999</v>
      </c>
      <c r="K668" s="18" t="s">
        <v>51</v>
      </c>
      <c r="L668" s="94" t="s">
        <v>628</v>
      </c>
      <c r="M668" s="148" t="s">
        <v>839</v>
      </c>
      <c r="N668" s="19" t="str">
        <f>_xlfn.XLOOKUP(Calculations[[#This Row],[For XLOOKUP]],Factors[For XLOOKUP],Factors[Factor],"")</f>
        <v>Σ.Ε. CH₄</v>
      </c>
      <c r="O668" s="19">
        <f>_xlfn.XLOOKUP(Calculations[[#This Row],[For XLOOKUP]],Factors[For XLOOKUP],Factors[Value],"")</f>
        <v>3.7699047882566748E-10</v>
      </c>
      <c r="P668" s="19" t="str">
        <f>_xlfn.XLOOKUP(Calculations[[#This Row],[For XLOOKUP]],Factors[For XLOOKUP],Factors[Units],"")</f>
        <v>t CH4/kWh</v>
      </c>
      <c r="Q668" s="19">
        <f>_xlfn.XLOOKUP(Calculations[[#This Row],[For XLOOKUP]],Factors[For XLOOKUP],Factors[Source],"")</f>
        <v>0</v>
      </c>
      <c r="R66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8" s="19">
        <f>IF(LEFT(Calculations[[#This Row],[Emission Factor]],7)="Σ.Ε. CH",Calculations[[#This Row],[Value]]*Calculations[[#This Row],[Τιμή]],"-")</f>
        <v>3.0722235283946885E-3</v>
      </c>
      <c r="T66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8" s="19" t="str">
        <f>IF(LEFT(Calculations[[#This Row],[Emission Factor]],3)="GWP",Calculations[[#This Row],[Τιμή]],"-")</f>
        <v>-</v>
      </c>
      <c r="V668" s="19" t="str">
        <f>IF(OR(Calculations[[#This Row],[Emission Factor]]="Σ.Ε. CO₂ eq",Calculations[[#This Row],[Emission Factor]]="CO₂ eq"),Calculations[[#This Row],[Value]]*Calculations[[#This Row],[Τιμή]],"-")</f>
        <v>-</v>
      </c>
      <c r="W668" s="19" t="str">
        <f>IF(Calculations[[#This Row],[Πηγή εκπομπών]]="Electricity consumed in office buildings and projects - market based",Calculations[[#This Row],[t CO2]],"")</f>
        <v/>
      </c>
      <c r="X66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8.6022258795051279E-2</v>
      </c>
    </row>
    <row r="669" spans="1:24" ht="15" hidden="1" customHeight="1">
      <c r="A669" s="15" t="s">
        <v>350</v>
      </c>
      <c r="B669" s="15" t="s">
        <v>583</v>
      </c>
      <c r="C669" s="16" t="s">
        <v>624</v>
      </c>
      <c r="D669" s="77" t="s">
        <v>895</v>
      </c>
      <c r="E669" s="77" t="s">
        <v>1141</v>
      </c>
      <c r="F669" s="16" t="s">
        <v>312</v>
      </c>
      <c r="G669" s="16" t="s">
        <v>333</v>
      </c>
      <c r="H669" s="16" t="s">
        <v>623</v>
      </c>
      <c r="I669" s="17" t="s">
        <v>338</v>
      </c>
      <c r="J669" s="238">
        <v>8149339.8399999999</v>
      </c>
      <c r="K669" s="18" t="s">
        <v>51</v>
      </c>
      <c r="L669" s="94" t="s">
        <v>628</v>
      </c>
      <c r="M669" s="148" t="s">
        <v>844</v>
      </c>
      <c r="N669" s="19" t="str">
        <f>_xlfn.XLOOKUP(Calculations[[#This Row],[For XLOOKUP]],Factors[For XLOOKUP],Factors[Factor],"")</f>
        <v>Σ.Ε. N2O</v>
      </c>
      <c r="O669" s="19">
        <f>_xlfn.XLOOKUP(Calculations[[#This Row],[For XLOOKUP]],Factors[For XLOOKUP],Factors[Value],"")</f>
        <v>1.5522681357657309E-10</v>
      </c>
      <c r="P669" s="19" t="str">
        <f>_xlfn.XLOOKUP(Calculations[[#This Row],[For XLOOKUP]],Factors[For XLOOKUP],Factors[Units],"")</f>
        <v>t N2O/kWh</v>
      </c>
      <c r="Q669" s="19">
        <f>_xlfn.XLOOKUP(Calculations[[#This Row],[For XLOOKUP]],Factors[For XLOOKUP],Factors[Source],"")</f>
        <v>0</v>
      </c>
      <c r="R66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9" s="19" t="str">
        <f>IF(LEFT(Calculations[[#This Row],[Emission Factor]],7)="Σ.Ε. CH",Calculations[[#This Row],[Value]]*Calculations[[#This Row],[Τιμή]],"-")</f>
        <v>-</v>
      </c>
      <c r="T669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1.2649960561158199E-3</v>
      </c>
      <c r="U669" s="19" t="str">
        <f>IF(LEFT(Calculations[[#This Row],[Emission Factor]],3)="GWP",Calculations[[#This Row],[Τιμή]],"-")</f>
        <v>-</v>
      </c>
      <c r="V669" s="19" t="str">
        <f>IF(OR(Calculations[[#This Row],[Emission Factor]]="Σ.Ε. CO₂ eq",Calculations[[#This Row],[Emission Factor]]="CO₂ eq"),Calculations[[#This Row],[Value]]*Calculations[[#This Row],[Τιμή]],"-")</f>
        <v>-</v>
      </c>
      <c r="W669" s="19" t="str">
        <f>IF(Calculations[[#This Row],[Πηγή εκπομπών]]="Electricity consumed in office buildings and projects - market based",Calculations[[#This Row],[t CO2]],"")</f>
        <v/>
      </c>
      <c r="X66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0.33522395487069229</v>
      </c>
    </row>
    <row r="670" spans="1:24" ht="15" hidden="1" customHeight="1">
      <c r="A670" s="15" t="s">
        <v>350</v>
      </c>
      <c r="B670" s="15" t="s">
        <v>583</v>
      </c>
      <c r="C670" s="16" t="s">
        <v>624</v>
      </c>
      <c r="D670" s="77" t="s">
        <v>895</v>
      </c>
      <c r="E670" s="77" t="s">
        <v>1141</v>
      </c>
      <c r="F670" s="16" t="s">
        <v>312</v>
      </c>
      <c r="G670" s="16" t="s">
        <v>333</v>
      </c>
      <c r="H670" s="16" t="s">
        <v>623</v>
      </c>
      <c r="I670" s="17" t="s">
        <v>338</v>
      </c>
      <c r="J670" s="238">
        <v>8149339.8399999999</v>
      </c>
      <c r="K670" s="18" t="s">
        <v>51</v>
      </c>
      <c r="L670" s="94" t="s">
        <v>628</v>
      </c>
      <c r="M670" s="148" t="s">
        <v>792</v>
      </c>
      <c r="N670" s="19" t="str">
        <f>_xlfn.XLOOKUP(Calculations[[#This Row],[For XLOOKUP]],Factors[For XLOOKUP],Factors[Factor],"")</f>
        <v>Σ.Ε. CO₂ eq</v>
      </c>
      <c r="O670" s="19">
        <f>_xlfn.XLOOKUP(Calculations[[#This Row],[For XLOOKUP]],Factors[For XLOOKUP],Factors[Value],"")</f>
        <v>2.6012372819458027E-6</v>
      </c>
      <c r="P670" s="19" t="str">
        <f>_xlfn.XLOOKUP(Calculations[[#This Row],[For XLOOKUP]],Factors[For XLOOKUP],Factors[Units],"")</f>
        <v>t CO2 eq/kWh</v>
      </c>
      <c r="Q670" s="19">
        <f>_xlfn.XLOOKUP(Calculations[[#This Row],[For XLOOKUP]],Factors[For XLOOKUP],Factors[Source],"")</f>
        <v>0</v>
      </c>
      <c r="R67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0" s="19" t="str">
        <f>IF(LEFT(Calculations[[#This Row],[Emission Factor]],7)="Σ.Ε. CH",Calculations[[#This Row],[Value]]*Calculations[[#This Row],[Τιμή]],"-")</f>
        <v>-</v>
      </c>
      <c r="T67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0" s="19" t="str">
        <f>IF(LEFT(Calculations[[#This Row],[Emission Factor]],3)="GWP",Calculations[[#This Row],[Τιμή]],"-")</f>
        <v>-</v>
      </c>
      <c r="V670" s="19">
        <f>IF(OR(Calculations[[#This Row],[Emission Factor]]="Σ.Ε. CO₂ eq",Calculations[[#This Row],[Emission Factor]]="CO₂ eq"),Calculations[[#This Row],[Value]]*Calculations[[#This Row],[Τιμή]],"-")</f>
        <v>21.198366615054244</v>
      </c>
      <c r="W670" s="19" t="str">
        <f>IF(Calculations[[#This Row],[Πηγή εκπομπών]]="Electricity consumed in office buildings and projects - market based",Calculations[[#This Row],[t CO2]],"")</f>
        <v/>
      </c>
      <c r="X67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21.198366615054244</v>
      </c>
    </row>
    <row r="671" spans="1:24" ht="15" hidden="1" customHeight="1">
      <c r="A671" s="15" t="s">
        <v>350</v>
      </c>
      <c r="B671" s="15" t="s">
        <v>583</v>
      </c>
      <c r="C671" s="16" t="s">
        <v>624</v>
      </c>
      <c r="D671" s="77" t="s">
        <v>895</v>
      </c>
      <c r="E671" s="77" t="s">
        <v>1142</v>
      </c>
      <c r="F671" s="16" t="s">
        <v>312</v>
      </c>
      <c r="G671" s="16" t="s">
        <v>333</v>
      </c>
      <c r="H671" s="16" t="s">
        <v>623</v>
      </c>
      <c r="I671" s="17" t="s">
        <v>338</v>
      </c>
      <c r="J671" s="238">
        <v>7868.0394282922298</v>
      </c>
      <c r="K671" s="18" t="s">
        <v>51</v>
      </c>
      <c r="L671" s="94" t="s">
        <v>628</v>
      </c>
      <c r="M671" s="148" t="s">
        <v>791</v>
      </c>
      <c r="N671" s="19" t="str">
        <f>_xlfn.XLOOKUP(Calculations[[#This Row],[For XLOOKUP]],Factors[For XLOOKUP],Factors[Factor],"")</f>
        <v>Σ.Ε. CO₂</v>
      </c>
      <c r="O671" s="19">
        <f>_xlfn.XLOOKUP(Calculations[[#This Row],[For XLOOKUP]],Factors[For XLOOKUP],Factors[Value],"")</f>
        <v>1.505346476770355E-5</v>
      </c>
      <c r="P671" s="19" t="str">
        <f>_xlfn.XLOOKUP(Calculations[[#This Row],[For XLOOKUP]],Factors[For XLOOKUP],Factors[Units],"")</f>
        <v>t CO2/kWh</v>
      </c>
      <c r="Q671" s="19">
        <f>_xlfn.XLOOKUP(Calculations[[#This Row],[For XLOOKUP]],Factors[For XLOOKUP],Factors[Source],"")</f>
        <v>0</v>
      </c>
      <c r="R671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0.11844125432469947</v>
      </c>
      <c r="S671" s="19" t="str">
        <f>IF(LEFT(Calculations[[#This Row],[Emission Factor]],7)="Σ.Ε. CH",Calculations[[#This Row],[Value]]*Calculations[[#This Row],[Τιμή]],"-")</f>
        <v>-</v>
      </c>
      <c r="T67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1" s="19" t="str">
        <f>IF(LEFT(Calculations[[#This Row],[Emission Factor]],3)="GWP",Calculations[[#This Row],[Τιμή]],"-")</f>
        <v>-</v>
      </c>
      <c r="V671" s="19" t="str">
        <f>IF(OR(Calculations[[#This Row],[Emission Factor]]="Σ.Ε. CO₂ eq",Calculations[[#This Row],[Emission Factor]]="CO₂ eq"),Calculations[[#This Row],[Value]]*Calculations[[#This Row],[Τιμή]],"-")</f>
        <v>-</v>
      </c>
      <c r="W671" s="19" t="str">
        <f>IF(Calculations[[#This Row],[Πηγή εκπομπών]]="Electricity consumed in office buildings and projects - market based",Calculations[[#This Row],[t CO2]],"")</f>
        <v/>
      </c>
      <c r="X67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0.11844125432469947</v>
      </c>
    </row>
    <row r="672" spans="1:24" ht="15" hidden="1" customHeight="1">
      <c r="A672" s="15" t="s">
        <v>350</v>
      </c>
      <c r="B672" s="15" t="s">
        <v>583</v>
      </c>
      <c r="C672" s="16" t="s">
        <v>624</v>
      </c>
      <c r="D672" s="77" t="s">
        <v>895</v>
      </c>
      <c r="E672" s="77" t="s">
        <v>1142</v>
      </c>
      <c r="F672" s="16" t="s">
        <v>312</v>
      </c>
      <c r="G672" s="16" t="s">
        <v>333</v>
      </c>
      <c r="H672" s="16" t="s">
        <v>623</v>
      </c>
      <c r="I672" s="17" t="s">
        <v>338</v>
      </c>
      <c r="J672" s="238">
        <v>7868.0394282922298</v>
      </c>
      <c r="K672" s="18" t="s">
        <v>51</v>
      </c>
      <c r="L672" s="94" t="s">
        <v>628</v>
      </c>
      <c r="M672" s="148" t="s">
        <v>839</v>
      </c>
      <c r="N672" s="19" t="str">
        <f>_xlfn.XLOOKUP(Calculations[[#This Row],[For XLOOKUP]],Factors[For XLOOKUP],Factors[Factor],"")</f>
        <v>Σ.Ε. CH₄</v>
      </c>
      <c r="O672" s="19">
        <f>_xlfn.XLOOKUP(Calculations[[#This Row],[For XLOOKUP]],Factors[For XLOOKUP],Factors[Value],"")</f>
        <v>3.7699047882566748E-10</v>
      </c>
      <c r="P672" s="19" t="str">
        <f>_xlfn.XLOOKUP(Calculations[[#This Row],[For XLOOKUP]],Factors[For XLOOKUP],Factors[Units],"")</f>
        <v>t CH4/kWh</v>
      </c>
      <c r="Q672" s="19">
        <f>_xlfn.XLOOKUP(Calculations[[#This Row],[For XLOOKUP]],Factors[For XLOOKUP],Factors[Source],"")</f>
        <v>0</v>
      </c>
      <c r="R67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2" s="19">
        <f>IF(LEFT(Calculations[[#This Row],[Emission Factor]],7)="Σ.Ε. CH",Calculations[[#This Row],[Value]]*Calculations[[#This Row],[Τιμή]],"-")</f>
        <v>2.9661759514911188E-6</v>
      </c>
      <c r="T67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2" s="19" t="str">
        <f>IF(LEFT(Calculations[[#This Row],[Emission Factor]],3)="GWP",Calculations[[#This Row],[Τιμή]],"-")</f>
        <v>-</v>
      </c>
      <c r="V672" s="19" t="str">
        <f>IF(OR(Calculations[[#This Row],[Emission Factor]]="Σ.Ε. CO₂ eq",Calculations[[#This Row],[Emission Factor]]="CO₂ eq"),Calculations[[#This Row],[Value]]*Calculations[[#This Row],[Τιμή]],"-")</f>
        <v>-</v>
      </c>
      <c r="W672" s="19" t="str">
        <f>IF(Calculations[[#This Row],[Πηγή εκπομπών]]="Electricity consumed in office buildings and projects - market based",Calculations[[#This Row],[t CO2]],"")</f>
        <v/>
      </c>
      <c r="X67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8.3052926641751331E-5</v>
      </c>
    </row>
    <row r="673" spans="1:24" ht="15" hidden="1" customHeight="1">
      <c r="A673" s="15" t="s">
        <v>350</v>
      </c>
      <c r="B673" s="15" t="s">
        <v>583</v>
      </c>
      <c r="C673" s="16" t="s">
        <v>624</v>
      </c>
      <c r="D673" s="77" t="s">
        <v>895</v>
      </c>
      <c r="E673" s="77" t="s">
        <v>1142</v>
      </c>
      <c r="F673" s="77" t="s">
        <v>312</v>
      </c>
      <c r="G673" s="16" t="s">
        <v>333</v>
      </c>
      <c r="H673" s="16" t="s">
        <v>623</v>
      </c>
      <c r="I673" s="17" t="s">
        <v>338</v>
      </c>
      <c r="J673" s="238">
        <v>7868.0394282922298</v>
      </c>
      <c r="K673" s="18" t="s">
        <v>51</v>
      </c>
      <c r="L673" s="94" t="s">
        <v>628</v>
      </c>
      <c r="M673" s="148" t="s">
        <v>844</v>
      </c>
      <c r="N673" s="19" t="str">
        <f>_xlfn.XLOOKUP(Calculations[[#This Row],[For XLOOKUP]],Factors[For XLOOKUP],Factors[Factor],"")</f>
        <v>Σ.Ε. N2O</v>
      </c>
      <c r="O673" s="19">
        <f>_xlfn.XLOOKUP(Calculations[[#This Row],[For XLOOKUP]],Factors[For XLOOKUP],Factors[Value],"")</f>
        <v>1.5522681357657309E-10</v>
      </c>
      <c r="P673" s="19" t="str">
        <f>_xlfn.XLOOKUP(Calculations[[#This Row],[For XLOOKUP]],Factors[For XLOOKUP],Factors[Units],"")</f>
        <v>t N2O/kWh</v>
      </c>
      <c r="Q673" s="19">
        <f>_xlfn.XLOOKUP(Calculations[[#This Row],[For XLOOKUP]],Factors[For XLOOKUP],Factors[Source],"")</f>
        <v>0</v>
      </c>
      <c r="R67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3" s="19" t="str">
        <f>IF(LEFT(Calculations[[#This Row],[Emission Factor]],7)="Σ.Ε. CH",Calculations[[#This Row],[Value]]*Calculations[[#This Row],[Τιμή]],"-")</f>
        <v>-</v>
      </c>
      <c r="T67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1.2213306895486447E-6</v>
      </c>
      <c r="U673" s="19" t="str">
        <f>IF(LEFT(Calculations[[#This Row],[Emission Factor]],3)="GWP",Calculations[[#This Row],[Τιμή]],"-")</f>
        <v>-</v>
      </c>
      <c r="V673" s="19" t="str">
        <f>IF(OR(Calculations[[#This Row],[Emission Factor]]="Σ.Ε. CO₂ eq",Calculations[[#This Row],[Emission Factor]]="CO₂ eq"),Calculations[[#This Row],[Value]]*Calculations[[#This Row],[Τιμή]],"-")</f>
        <v>-</v>
      </c>
      <c r="W673" s="19" t="str">
        <f>IF(Calculations[[#This Row],[Πηγή εκπομπών]]="Electricity consumed in office buildings and projects - market based",Calculations[[#This Row],[t CO2]],"")</f>
        <v/>
      </c>
      <c r="X67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3.2365263273039088E-4</v>
      </c>
    </row>
    <row r="674" spans="1:24" ht="15" hidden="1" customHeight="1">
      <c r="A674" s="15" t="s">
        <v>350</v>
      </c>
      <c r="B674" s="15" t="s">
        <v>583</v>
      </c>
      <c r="C674" s="16" t="s">
        <v>624</v>
      </c>
      <c r="D674" s="77" t="s">
        <v>895</v>
      </c>
      <c r="E674" s="77" t="s">
        <v>1142</v>
      </c>
      <c r="F674" s="77" t="s">
        <v>312</v>
      </c>
      <c r="G674" s="16" t="s">
        <v>333</v>
      </c>
      <c r="H674" s="16" t="s">
        <v>623</v>
      </c>
      <c r="I674" s="17" t="s">
        <v>338</v>
      </c>
      <c r="J674" s="238">
        <v>7868.0394282922298</v>
      </c>
      <c r="K674" s="18" t="s">
        <v>51</v>
      </c>
      <c r="L674" s="94" t="s">
        <v>628</v>
      </c>
      <c r="M674" s="148" t="s">
        <v>792</v>
      </c>
      <c r="N674" s="19" t="str">
        <f>_xlfn.XLOOKUP(Calculations[[#This Row],[For XLOOKUP]],Factors[For XLOOKUP],Factors[Factor],"")</f>
        <v>Σ.Ε. CO₂ eq</v>
      </c>
      <c r="O674" s="19">
        <f>_xlfn.XLOOKUP(Calculations[[#This Row],[For XLOOKUP]],Factors[For XLOOKUP],Factors[Value],"")</f>
        <v>2.6012372819458027E-6</v>
      </c>
      <c r="P674" s="19" t="str">
        <f>_xlfn.XLOOKUP(Calculations[[#This Row],[For XLOOKUP]],Factors[For XLOOKUP],Factors[Units],"")</f>
        <v>t CO2 eq/kWh</v>
      </c>
      <c r="Q674" s="19">
        <f>_xlfn.XLOOKUP(Calculations[[#This Row],[For XLOOKUP]],Factors[For XLOOKUP],Factors[Source],"")</f>
        <v>0</v>
      </c>
      <c r="R67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4" s="19" t="str">
        <f>IF(LEFT(Calculations[[#This Row],[Emission Factor]],7)="Σ.Ε. CH",Calculations[[#This Row],[Value]]*Calculations[[#This Row],[Τιμή]],"-")</f>
        <v>-</v>
      </c>
      <c r="T67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4" s="19" t="str">
        <f>IF(LEFT(Calculations[[#This Row],[Emission Factor]],3)="GWP",Calculations[[#This Row],[Τιμή]],"-")</f>
        <v>-</v>
      </c>
      <c r="V674" s="19">
        <f>IF(OR(Calculations[[#This Row],[Emission Factor]]="Σ.Ε. CO₂ eq",Calculations[[#This Row],[Emission Factor]]="CO₂ eq"),Calculations[[#This Row],[Value]]*Calculations[[#This Row],[Τιμή]],"-")</f>
        <v>2.0466637496693287E-2</v>
      </c>
      <c r="W674" s="19" t="str">
        <f>IF(Calculations[[#This Row],[Πηγή εκπομπών]]="Electricity consumed in office buildings and projects - market based",Calculations[[#This Row],[t CO2]],"")</f>
        <v/>
      </c>
      <c r="X67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2.0466637496693287E-2</v>
      </c>
    </row>
    <row r="675" spans="1:24" ht="15" hidden="1" customHeight="1">
      <c r="A675" s="15" t="s">
        <v>350</v>
      </c>
      <c r="B675" s="15" t="s">
        <v>583</v>
      </c>
      <c r="C675" s="16" t="s">
        <v>624</v>
      </c>
      <c r="D675" s="77" t="s">
        <v>895</v>
      </c>
      <c r="E675" s="77" t="s">
        <v>1137</v>
      </c>
      <c r="F675" s="16" t="s">
        <v>319</v>
      </c>
      <c r="G675" s="16" t="s">
        <v>333</v>
      </c>
      <c r="H675" s="16" t="s">
        <v>623</v>
      </c>
      <c r="I675" s="17" t="s">
        <v>338</v>
      </c>
      <c r="J675" s="238">
        <v>117309.65</v>
      </c>
      <c r="K675" s="18" t="s">
        <v>51</v>
      </c>
      <c r="L675" s="94" t="s">
        <v>628</v>
      </c>
      <c r="M675" s="148" t="s">
        <v>791</v>
      </c>
      <c r="N675" s="19" t="str">
        <f>_xlfn.XLOOKUP(Calculations[[#This Row],[For XLOOKUP]],Factors[For XLOOKUP],Factors[Factor],"")</f>
        <v>Σ.Ε. CO₂</v>
      </c>
      <c r="O675" s="19">
        <f>_xlfn.XLOOKUP(Calculations[[#This Row],[For XLOOKUP]],Factors[For XLOOKUP],Factors[Value],"")</f>
        <v>1.505346476770355E-5</v>
      </c>
      <c r="P675" s="19" t="str">
        <f>_xlfn.XLOOKUP(Calculations[[#This Row],[For XLOOKUP]],Factors[For XLOOKUP],Factors[Units],"")</f>
        <v>t CO2/kWh</v>
      </c>
      <c r="Q675" s="19">
        <f>_xlfn.XLOOKUP(Calculations[[#This Row],[For XLOOKUP]],Factors[For XLOOKUP],Factors[Source],"")</f>
        <v>0</v>
      </c>
      <c r="R67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1.7659166831866346</v>
      </c>
      <c r="S675" s="19" t="str">
        <f>IF(LEFT(Calculations[[#This Row],[Emission Factor]],7)="Σ.Ε. CH",Calculations[[#This Row],[Value]]*Calculations[[#This Row],[Τιμή]],"-")</f>
        <v>-</v>
      </c>
      <c r="T67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5" s="19" t="str">
        <f>IF(LEFT(Calculations[[#This Row],[Emission Factor]],3)="GWP",Calculations[[#This Row],[Τιμή]],"-")</f>
        <v>-</v>
      </c>
      <c r="V675" s="19" t="str">
        <f>IF(OR(Calculations[[#This Row],[Emission Factor]]="Σ.Ε. CO₂ eq",Calculations[[#This Row],[Emission Factor]]="CO₂ eq"),Calculations[[#This Row],[Value]]*Calculations[[#This Row],[Τιμή]],"-")</f>
        <v>-</v>
      </c>
      <c r="W675" s="19" t="str">
        <f>IF(Calculations[[#This Row],[Πηγή εκπομπών]]="Electricity consumed in office buildings and projects - market based",Calculations[[#This Row],[t CO2]],"")</f>
        <v/>
      </c>
      <c r="X67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1.7659166831866346</v>
      </c>
    </row>
    <row r="676" spans="1:24" ht="15" hidden="1" customHeight="1">
      <c r="A676" s="15" t="s">
        <v>350</v>
      </c>
      <c r="B676" s="15" t="s">
        <v>583</v>
      </c>
      <c r="C676" s="16" t="s">
        <v>624</v>
      </c>
      <c r="D676" s="77" t="s">
        <v>895</v>
      </c>
      <c r="E676" s="77" t="s">
        <v>1137</v>
      </c>
      <c r="F676" s="16" t="s">
        <v>319</v>
      </c>
      <c r="G676" s="16" t="s">
        <v>333</v>
      </c>
      <c r="H676" s="16" t="s">
        <v>623</v>
      </c>
      <c r="I676" s="17" t="s">
        <v>338</v>
      </c>
      <c r="J676" s="238">
        <v>117309.65</v>
      </c>
      <c r="K676" s="18" t="s">
        <v>51</v>
      </c>
      <c r="L676" s="94" t="s">
        <v>628</v>
      </c>
      <c r="M676" s="148" t="s">
        <v>839</v>
      </c>
      <c r="N676" s="19" t="str">
        <f>_xlfn.XLOOKUP(Calculations[[#This Row],[For XLOOKUP]],Factors[For XLOOKUP],Factors[Factor],"")</f>
        <v>Σ.Ε. CH₄</v>
      </c>
      <c r="O676" s="19">
        <f>_xlfn.XLOOKUP(Calculations[[#This Row],[For XLOOKUP]],Factors[For XLOOKUP],Factors[Value],"")</f>
        <v>3.7699047882566748E-10</v>
      </c>
      <c r="P676" s="19" t="str">
        <f>_xlfn.XLOOKUP(Calculations[[#This Row],[For XLOOKUP]],Factors[For XLOOKUP],Factors[Units],"")</f>
        <v>t CH4/kWh</v>
      </c>
      <c r="Q676" s="19">
        <f>_xlfn.XLOOKUP(Calculations[[#This Row],[For XLOOKUP]],Factors[For XLOOKUP],Factors[Source],"")</f>
        <v>0</v>
      </c>
      <c r="R67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6" s="19">
        <f>IF(LEFT(Calculations[[#This Row],[Emission Factor]],7)="Σ.Ε. CH",Calculations[[#This Row],[Value]]*Calculations[[#This Row],[Τιμή]],"-")</f>
        <v>4.4224621124371461E-5</v>
      </c>
      <c r="T67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6" s="19" t="str">
        <f>IF(LEFT(Calculations[[#This Row],[Emission Factor]],3)="GWP",Calculations[[#This Row],[Τιμή]],"-")</f>
        <v>-</v>
      </c>
      <c r="V676" s="19" t="str">
        <f>IF(OR(Calculations[[#This Row],[Emission Factor]]="Σ.Ε. CO₂ eq",Calculations[[#This Row],[Emission Factor]]="CO₂ eq"),Calculations[[#This Row],[Value]]*Calculations[[#This Row],[Τιμή]],"-")</f>
        <v>-</v>
      </c>
      <c r="W676" s="19" t="str">
        <f>IF(Calculations[[#This Row],[Πηγή εκπομπών]]="Electricity consumed in office buildings and projects - market based",Calculations[[#This Row],[t CO2]],"")</f>
        <v/>
      </c>
      <c r="X67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1.2382893914824008E-3</v>
      </c>
    </row>
    <row r="677" spans="1:24" ht="15" hidden="1" customHeight="1">
      <c r="A677" s="15" t="s">
        <v>350</v>
      </c>
      <c r="B677" s="15" t="s">
        <v>583</v>
      </c>
      <c r="C677" s="16" t="s">
        <v>624</v>
      </c>
      <c r="D677" s="16" t="s">
        <v>895</v>
      </c>
      <c r="E677" s="16" t="s">
        <v>1137</v>
      </c>
      <c r="F677" s="16" t="s">
        <v>319</v>
      </c>
      <c r="G677" s="16" t="s">
        <v>333</v>
      </c>
      <c r="H677" s="16" t="s">
        <v>623</v>
      </c>
      <c r="I677" s="17" t="s">
        <v>338</v>
      </c>
      <c r="J677" s="238">
        <v>117309.65</v>
      </c>
      <c r="K677" s="18" t="s">
        <v>51</v>
      </c>
      <c r="L677" s="94" t="s">
        <v>628</v>
      </c>
      <c r="M677" s="148" t="s">
        <v>844</v>
      </c>
      <c r="N677" s="19" t="str">
        <f>_xlfn.XLOOKUP(Calculations[[#This Row],[For XLOOKUP]],Factors[For XLOOKUP],Factors[Factor],"")</f>
        <v>Σ.Ε. N2O</v>
      </c>
      <c r="O677" s="19">
        <f>_xlfn.XLOOKUP(Calculations[[#This Row],[For XLOOKUP]],Factors[For XLOOKUP],Factors[Value],"")</f>
        <v>1.5522681357657309E-10</v>
      </c>
      <c r="P677" s="19" t="str">
        <f>_xlfn.XLOOKUP(Calculations[[#This Row],[For XLOOKUP]],Factors[For XLOOKUP],Factors[Units],"")</f>
        <v>t N2O/kWh</v>
      </c>
      <c r="Q677" s="19">
        <f>_xlfn.XLOOKUP(Calculations[[#This Row],[For XLOOKUP]],Factors[For XLOOKUP],Factors[Source],"")</f>
        <v>0</v>
      </c>
      <c r="R67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7" s="19" t="str">
        <f>IF(LEFT(Calculations[[#This Row],[Emission Factor]],7)="Σ.Ε. CH",Calculations[[#This Row],[Value]]*Calculations[[#This Row],[Τιμή]],"-")</f>
        <v>-</v>
      </c>
      <c r="T677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1.8209603171283036E-5</v>
      </c>
      <c r="U677" s="19" t="str">
        <f>IF(LEFT(Calculations[[#This Row],[Emission Factor]],3)="GWP",Calculations[[#This Row],[Τιμή]],"-")</f>
        <v>-</v>
      </c>
      <c r="V677" s="19" t="str">
        <f>IF(OR(Calculations[[#This Row],[Emission Factor]]="Σ.Ε. CO₂ eq",Calculations[[#This Row],[Emission Factor]]="CO₂ eq"),Calculations[[#This Row],[Value]]*Calculations[[#This Row],[Τιμή]],"-")</f>
        <v>-</v>
      </c>
      <c r="W677" s="19" t="str">
        <f>IF(Calculations[[#This Row],[Πηγή εκπομπών]]="Electricity consumed in office buildings and projects - market based",Calculations[[#This Row],[t CO2]],"")</f>
        <v/>
      </c>
      <c r="X67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4.8255448403900043E-3</v>
      </c>
    </row>
    <row r="678" spans="1:24" ht="15" hidden="1" customHeight="1">
      <c r="A678" s="15" t="s">
        <v>350</v>
      </c>
      <c r="B678" s="15" t="s">
        <v>583</v>
      </c>
      <c r="C678" s="16" t="s">
        <v>624</v>
      </c>
      <c r="D678" s="77" t="s">
        <v>895</v>
      </c>
      <c r="E678" s="77" t="s">
        <v>1137</v>
      </c>
      <c r="F678" s="16" t="s">
        <v>319</v>
      </c>
      <c r="G678" s="16" t="s">
        <v>333</v>
      </c>
      <c r="H678" s="16" t="s">
        <v>623</v>
      </c>
      <c r="I678" s="17" t="s">
        <v>338</v>
      </c>
      <c r="J678" s="238">
        <v>117309.65</v>
      </c>
      <c r="K678" s="18" t="s">
        <v>51</v>
      </c>
      <c r="L678" s="94" t="s">
        <v>628</v>
      </c>
      <c r="M678" s="17" t="s">
        <v>792</v>
      </c>
      <c r="N678" s="81" t="str">
        <f>_xlfn.XLOOKUP(Calculations[[#This Row],[For XLOOKUP]],Factors[For XLOOKUP],Factors[Factor],"")</f>
        <v>Σ.Ε. CO₂ eq</v>
      </c>
      <c r="O678" s="81">
        <f>_xlfn.XLOOKUP(Calculations[[#This Row],[For XLOOKUP]],Factors[For XLOOKUP],Factors[Value],"")</f>
        <v>2.6012372819458027E-6</v>
      </c>
      <c r="P678" s="81" t="str">
        <f>_xlfn.XLOOKUP(Calculations[[#This Row],[For XLOOKUP]],Factors[For XLOOKUP],Factors[Units],"")</f>
        <v>t CO2 eq/kWh</v>
      </c>
      <c r="Q678" s="19">
        <f>_xlfn.XLOOKUP(Calculations[[#This Row],[For XLOOKUP]],Factors[For XLOOKUP],Factors[Source],"")</f>
        <v>0</v>
      </c>
      <c r="R67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8" s="81" t="str">
        <f>IF(LEFT(Calculations[[#This Row],[Emission Factor]],7)="Σ.Ε. CH",Calculations[[#This Row],[Value]]*Calculations[[#This Row],[Τιμή]],"-")</f>
        <v>-</v>
      </c>
      <c r="T67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8" s="81" t="str">
        <f>IF(LEFT(Calculations[[#This Row],[Emission Factor]],3)="GWP",Calculations[[#This Row],[Τιμή]],"-")</f>
        <v>-</v>
      </c>
      <c r="V678" s="81">
        <f>IF(OR(Calculations[[#This Row],[Emission Factor]]="Σ.Ε. CO₂ eq",Calculations[[#This Row],[Emission Factor]]="CO₂ eq"),Calculations[[#This Row],[Value]]*Calculations[[#This Row],[Τιμή]],"-")</f>
        <v>0.30515023511201345</v>
      </c>
      <c r="W678" s="81" t="str">
        <f>IF(Calculations[[#This Row],[Πηγή εκπομπών]]="Electricity consumed in office buildings and projects - market based",Calculations[[#This Row],[t CO2]],"")</f>
        <v/>
      </c>
      <c r="X67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0.30515023511201345</v>
      </c>
    </row>
    <row r="679" spans="1:24" ht="15" hidden="1" customHeight="1">
      <c r="A679" s="15" t="s">
        <v>350</v>
      </c>
      <c r="B679" s="15" t="s">
        <v>583</v>
      </c>
      <c r="C679" s="16" t="s">
        <v>624</v>
      </c>
      <c r="D679" s="77" t="s">
        <v>895</v>
      </c>
      <c r="E679" s="77" t="s">
        <v>1139</v>
      </c>
      <c r="F679" s="16" t="s">
        <v>319</v>
      </c>
      <c r="G679" s="16" t="s">
        <v>333</v>
      </c>
      <c r="H679" s="16" t="s">
        <v>623</v>
      </c>
      <c r="I679" s="17" t="s">
        <v>338</v>
      </c>
      <c r="J679" s="238">
        <v>50842</v>
      </c>
      <c r="K679" s="18" t="s">
        <v>51</v>
      </c>
      <c r="L679" s="94" t="s">
        <v>627</v>
      </c>
      <c r="M679" s="148" t="s">
        <v>789</v>
      </c>
      <c r="N679" s="81" t="str">
        <f>_xlfn.XLOOKUP(Calculations[[#This Row],[For XLOOKUP]],Factors[For XLOOKUP],Factors[Factor],"")</f>
        <v>Σ.Ε. CO₂</v>
      </c>
      <c r="O679" s="81">
        <f>_xlfn.XLOOKUP(Calculations[[#This Row],[For XLOOKUP]],Factors[For XLOOKUP],Factors[Value],"")</f>
        <v>4.0597972930144582E-5</v>
      </c>
      <c r="P679" s="81" t="str">
        <f>_xlfn.XLOOKUP(Calculations[[#This Row],[For XLOOKUP]],Factors[For XLOOKUP],Factors[Units],"")</f>
        <v>t CO2/kWh</v>
      </c>
      <c r="Q679" s="19">
        <f>_xlfn.XLOOKUP(Calculations[[#This Row],[For XLOOKUP]],Factors[For XLOOKUP],Factors[Source],"")</f>
        <v>0</v>
      </c>
      <c r="R679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2.0640821397144107</v>
      </c>
      <c r="S679" s="81" t="str">
        <f>IF(LEFT(Calculations[[#This Row],[Emission Factor]],7)="Σ.Ε. CH",Calculations[[#This Row],[Value]]*Calculations[[#This Row],[Τιμή]],"-")</f>
        <v>-</v>
      </c>
      <c r="T67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9" s="81" t="str">
        <f>IF(LEFT(Calculations[[#This Row],[Emission Factor]],3)="GWP",Calculations[[#This Row],[Τιμή]],"-")</f>
        <v>-</v>
      </c>
      <c r="V679" s="81" t="str">
        <f>IF(OR(Calculations[[#This Row],[Emission Factor]]="Σ.Ε. CO₂ eq",Calculations[[#This Row],[Emission Factor]]="CO₂ eq"),Calculations[[#This Row],[Value]]*Calculations[[#This Row],[Τιμή]],"-")</f>
        <v>-</v>
      </c>
      <c r="W679" s="81" t="str">
        <f>IF(Calculations[[#This Row],[Πηγή εκπομπών]]="Electricity consumed in office buildings and projects - market based",Calculations[[#This Row],[t CO2]],"")</f>
        <v/>
      </c>
      <c r="X67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2.0640821397144107</v>
      </c>
    </row>
    <row r="680" spans="1:24" ht="15" hidden="1" customHeight="1">
      <c r="A680" s="15" t="s">
        <v>350</v>
      </c>
      <c r="B680" s="15" t="s">
        <v>583</v>
      </c>
      <c r="C680" s="16" t="s">
        <v>624</v>
      </c>
      <c r="D680" s="77" t="s">
        <v>895</v>
      </c>
      <c r="E680" s="77" t="s">
        <v>1139</v>
      </c>
      <c r="F680" s="16" t="s">
        <v>319</v>
      </c>
      <c r="G680" s="16" t="s">
        <v>333</v>
      </c>
      <c r="H680" s="16" t="s">
        <v>623</v>
      </c>
      <c r="I680" s="17" t="s">
        <v>338</v>
      </c>
      <c r="J680" s="238">
        <v>50842</v>
      </c>
      <c r="K680" s="18" t="s">
        <v>51</v>
      </c>
      <c r="L680" s="94" t="s">
        <v>627</v>
      </c>
      <c r="M680" s="148" t="s">
        <v>849</v>
      </c>
      <c r="N680" s="81" t="str">
        <f>_xlfn.XLOOKUP(Calculations[[#This Row],[For XLOOKUP]],Factors[For XLOOKUP],Factors[Factor],"")</f>
        <v>Σ.Ε. CH₄</v>
      </c>
      <c r="O680" s="81">
        <f>_xlfn.XLOOKUP(Calculations[[#This Row],[For XLOOKUP]],Factors[For XLOOKUP],Factors[Value],"")</f>
        <v>1.0167127296250699E-9</v>
      </c>
      <c r="P680" s="81" t="str">
        <f>_xlfn.XLOOKUP(Calculations[[#This Row],[For XLOOKUP]],Factors[For XLOOKUP],Factors[Units],"")</f>
        <v>t CH4/kWh</v>
      </c>
      <c r="Q680" s="19">
        <f>_xlfn.XLOOKUP(Calculations[[#This Row],[For XLOOKUP]],Factors[For XLOOKUP],Factors[Source],"")</f>
        <v>0</v>
      </c>
      <c r="R68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0" s="81">
        <f>IF(LEFT(Calculations[[#This Row],[Emission Factor]],7)="Σ.Ε. CH",Calculations[[#This Row],[Value]]*Calculations[[#This Row],[Τιμή]],"-")</f>
        <v>5.1691708599597805E-5</v>
      </c>
      <c r="T68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0" s="81" t="str">
        <f>IF(LEFT(Calculations[[#This Row],[Emission Factor]],3)="GWP",Calculations[[#This Row],[Τιμή]],"-")</f>
        <v>-</v>
      </c>
      <c r="V680" s="81" t="str">
        <f>IF(OR(Calculations[[#This Row],[Emission Factor]]="Σ.Ε. CO₂ eq",Calculations[[#This Row],[Emission Factor]]="CO₂ eq"),Calculations[[#This Row],[Value]]*Calculations[[#This Row],[Τιμή]],"-")</f>
        <v>-</v>
      </c>
      <c r="W680" s="81" t="str">
        <f>IF(Calculations[[#This Row],[Πηγή εκπομπών]]="Electricity consumed in office buildings and projects - market based",Calculations[[#This Row],[t CO2]],"")</f>
        <v/>
      </c>
      <c r="X68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1.4473678407887385E-3</v>
      </c>
    </row>
    <row r="681" spans="1:24" ht="15" hidden="1" customHeight="1">
      <c r="A681" s="15" t="s">
        <v>350</v>
      </c>
      <c r="B681" s="15" t="s">
        <v>583</v>
      </c>
      <c r="C681" s="16" t="s">
        <v>624</v>
      </c>
      <c r="D681" s="77" t="s">
        <v>895</v>
      </c>
      <c r="E681" s="77" t="s">
        <v>1139</v>
      </c>
      <c r="F681" s="16" t="s">
        <v>319</v>
      </c>
      <c r="G681" s="16" t="s">
        <v>333</v>
      </c>
      <c r="H681" s="16" t="s">
        <v>623</v>
      </c>
      <c r="I681" s="17" t="s">
        <v>338</v>
      </c>
      <c r="J681" s="238">
        <v>50842</v>
      </c>
      <c r="K681" s="18" t="s">
        <v>51</v>
      </c>
      <c r="L681" s="94" t="s">
        <v>627</v>
      </c>
      <c r="M681" s="148" t="s">
        <v>850</v>
      </c>
      <c r="N681" s="81" t="str">
        <f>_xlfn.XLOOKUP(Calculations[[#This Row],[For XLOOKUP]],Factors[For XLOOKUP],Factors[Factor],"")</f>
        <v>Σ.Ε. N2O</v>
      </c>
      <c r="O681" s="81">
        <f>_xlfn.XLOOKUP(Calculations[[#This Row],[For XLOOKUP]],Factors[For XLOOKUP],Factors[Value],"")</f>
        <v>4.1863411997580185E-10</v>
      </c>
      <c r="P681" s="81" t="str">
        <f>_xlfn.XLOOKUP(Calculations[[#This Row],[For XLOOKUP]],Factors[For XLOOKUP],Factors[Units],"")</f>
        <v>t N2O/kWh</v>
      </c>
      <c r="Q681" s="19">
        <f>_xlfn.XLOOKUP(Calculations[[#This Row],[For XLOOKUP]],Factors[For XLOOKUP],Factors[Source],"")</f>
        <v>0</v>
      </c>
      <c r="R68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1" s="81" t="str">
        <f>IF(LEFT(Calculations[[#This Row],[Emission Factor]],7)="Σ.Ε. CH",Calculations[[#This Row],[Value]]*Calculations[[#This Row],[Τιμή]],"-")</f>
        <v>-</v>
      </c>
      <c r="T681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2.1284195927809717E-5</v>
      </c>
      <c r="U681" s="81" t="str">
        <f>IF(LEFT(Calculations[[#This Row],[Emission Factor]],3)="GWP",Calculations[[#This Row],[Τιμή]],"-")</f>
        <v>-</v>
      </c>
      <c r="V681" s="81" t="str">
        <f>IF(OR(Calculations[[#This Row],[Emission Factor]]="Σ.Ε. CO₂ eq",Calculations[[#This Row],[Emission Factor]]="CO₂ eq"),Calculations[[#This Row],[Value]]*Calculations[[#This Row],[Τιμή]],"-")</f>
        <v>-</v>
      </c>
      <c r="W681" s="81" t="str">
        <f>IF(Calculations[[#This Row],[Πηγή εκπομπών]]="Electricity consumed in office buildings and projects - market based",Calculations[[#This Row],[t CO2]],"")</f>
        <v/>
      </c>
      <c r="X68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5.6403119208695753E-3</v>
      </c>
    </row>
    <row r="682" spans="1:24" ht="15" hidden="1" customHeight="1">
      <c r="A682" s="15" t="s">
        <v>350</v>
      </c>
      <c r="B682" s="15" t="s">
        <v>583</v>
      </c>
      <c r="C682" s="16" t="s">
        <v>624</v>
      </c>
      <c r="D682" s="77" t="s">
        <v>895</v>
      </c>
      <c r="E682" s="77" t="s">
        <v>1139</v>
      </c>
      <c r="F682" s="16" t="s">
        <v>319</v>
      </c>
      <c r="G682" s="16" t="s">
        <v>333</v>
      </c>
      <c r="H682" s="16" t="s">
        <v>623</v>
      </c>
      <c r="I682" s="17" t="s">
        <v>338</v>
      </c>
      <c r="J682" s="238">
        <v>50842</v>
      </c>
      <c r="K682" s="18" t="s">
        <v>51</v>
      </c>
      <c r="L682" s="94" t="s">
        <v>627</v>
      </c>
      <c r="M682" s="148" t="s">
        <v>790</v>
      </c>
      <c r="N682" s="81" t="str">
        <f>_xlfn.XLOOKUP(Calculations[[#This Row],[For XLOOKUP]],Factors[For XLOOKUP],Factors[Factor],"")</f>
        <v>Σ.Ε. CO₂ eq</v>
      </c>
      <c r="O682" s="81">
        <f>_xlfn.XLOOKUP(Calculations[[#This Row],[For XLOOKUP]],Factors[For XLOOKUP],Factors[Value],"")</f>
        <v>7.0153258659686572E-6</v>
      </c>
      <c r="P682" s="81" t="str">
        <f>_xlfn.XLOOKUP(Calculations[[#This Row],[For XLOOKUP]],Factors[For XLOOKUP],Factors[Units],"")</f>
        <v>t CO2 eq/kWh</v>
      </c>
      <c r="Q682" s="19">
        <f>_xlfn.XLOOKUP(Calculations[[#This Row],[For XLOOKUP]],Factors[For XLOOKUP],Factors[Source],"")</f>
        <v>0</v>
      </c>
      <c r="R68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2" s="81" t="str">
        <f>IF(LEFT(Calculations[[#This Row],[Emission Factor]],7)="Σ.Ε. CH",Calculations[[#This Row],[Value]]*Calculations[[#This Row],[Τιμή]],"-")</f>
        <v>-</v>
      </c>
      <c r="T68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2" s="81" t="str">
        <f>IF(LEFT(Calculations[[#This Row],[Emission Factor]],3)="GWP",Calculations[[#This Row],[Τιμή]],"-")</f>
        <v>-</v>
      </c>
      <c r="V682" s="81">
        <f>IF(OR(Calculations[[#This Row],[Emission Factor]]="Σ.Ε. CO₂ eq",Calculations[[#This Row],[Emission Factor]]="CO₂ eq"),Calculations[[#This Row],[Value]]*Calculations[[#This Row],[Τιμή]],"-")</f>
        <v>0.35667319767757849</v>
      </c>
      <c r="W682" s="81" t="str">
        <f>IF(Calculations[[#This Row],[Πηγή εκπομπών]]="Electricity consumed in office buildings and projects - market based",Calculations[[#This Row],[t CO2]],"")</f>
        <v/>
      </c>
      <c r="X68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0.35667319767757849</v>
      </c>
    </row>
    <row r="683" spans="1:24" ht="15" hidden="1" customHeight="1">
      <c r="A683" s="15" t="s">
        <v>350</v>
      </c>
      <c r="B683" s="15" t="s">
        <v>583</v>
      </c>
      <c r="C683" s="16" t="s">
        <v>624</v>
      </c>
      <c r="D683" s="77" t="s">
        <v>895</v>
      </c>
      <c r="E683" s="77" t="s">
        <v>1134</v>
      </c>
      <c r="F683" s="16" t="s">
        <v>319</v>
      </c>
      <c r="G683" s="16" t="s">
        <v>333</v>
      </c>
      <c r="H683" s="16" t="s">
        <v>623</v>
      </c>
      <c r="I683" s="17" t="s">
        <v>338</v>
      </c>
      <c r="J683" s="238">
        <v>287309</v>
      </c>
      <c r="K683" s="18" t="s">
        <v>51</v>
      </c>
      <c r="L683" s="94" t="s">
        <v>627</v>
      </c>
      <c r="M683" s="148" t="s">
        <v>789</v>
      </c>
      <c r="N683" s="81" t="str">
        <f>_xlfn.XLOOKUP(Calculations[[#This Row],[For XLOOKUP]],Factors[For XLOOKUP],Factors[Factor],"")</f>
        <v>Σ.Ε. CO₂</v>
      </c>
      <c r="O683" s="81">
        <f>_xlfn.XLOOKUP(Calculations[[#This Row],[For XLOOKUP]],Factors[For XLOOKUP],Factors[Value],"")</f>
        <v>4.0597972930144582E-5</v>
      </c>
      <c r="P683" s="81" t="str">
        <f>_xlfn.XLOOKUP(Calculations[[#This Row],[For XLOOKUP]],Factors[For XLOOKUP],Factors[Units],"")</f>
        <v>t CO2/kWh</v>
      </c>
      <c r="Q683" s="19">
        <f>_xlfn.XLOOKUP(Calculations[[#This Row],[For XLOOKUP]],Factors[For XLOOKUP],Factors[Source],"")</f>
        <v>0</v>
      </c>
      <c r="R683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11.664163004586911</v>
      </c>
      <c r="S683" s="81" t="str">
        <f>IF(LEFT(Calculations[[#This Row],[Emission Factor]],7)="Σ.Ε. CH",Calculations[[#This Row],[Value]]*Calculations[[#This Row],[Τιμή]],"-")</f>
        <v>-</v>
      </c>
      <c r="T68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3" s="81" t="str">
        <f>IF(LEFT(Calculations[[#This Row],[Emission Factor]],3)="GWP",Calculations[[#This Row],[Τιμή]],"-")</f>
        <v>-</v>
      </c>
      <c r="V683" s="81" t="str">
        <f>IF(OR(Calculations[[#This Row],[Emission Factor]]="Σ.Ε. CO₂ eq",Calculations[[#This Row],[Emission Factor]]="CO₂ eq"),Calculations[[#This Row],[Value]]*Calculations[[#This Row],[Τιμή]],"-")</f>
        <v>-</v>
      </c>
      <c r="W683" s="81" t="str">
        <f>IF(Calculations[[#This Row],[Πηγή εκπομπών]]="Electricity consumed in office buildings and projects - market based",Calculations[[#This Row],[t CO2]],"")</f>
        <v/>
      </c>
      <c r="X68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11.664163004586911</v>
      </c>
    </row>
    <row r="684" spans="1:24" ht="15" hidden="1" customHeight="1">
      <c r="A684" s="15" t="s">
        <v>350</v>
      </c>
      <c r="B684" s="15" t="s">
        <v>583</v>
      </c>
      <c r="C684" s="16" t="s">
        <v>624</v>
      </c>
      <c r="D684" s="77" t="s">
        <v>895</v>
      </c>
      <c r="E684" s="77" t="s">
        <v>1134</v>
      </c>
      <c r="F684" s="16" t="s">
        <v>319</v>
      </c>
      <c r="G684" s="16" t="s">
        <v>333</v>
      </c>
      <c r="H684" s="16" t="s">
        <v>623</v>
      </c>
      <c r="I684" s="17" t="s">
        <v>338</v>
      </c>
      <c r="J684" s="238">
        <v>287309</v>
      </c>
      <c r="K684" s="18" t="s">
        <v>51</v>
      </c>
      <c r="L684" s="94" t="s">
        <v>627</v>
      </c>
      <c r="M684" s="148" t="s">
        <v>849</v>
      </c>
      <c r="N684" s="81" t="str">
        <f>_xlfn.XLOOKUP(Calculations[[#This Row],[For XLOOKUP]],Factors[For XLOOKUP],Factors[Factor],"")</f>
        <v>Σ.Ε. CH₄</v>
      </c>
      <c r="O684" s="81">
        <f>_xlfn.XLOOKUP(Calculations[[#This Row],[For XLOOKUP]],Factors[For XLOOKUP],Factors[Value],"")</f>
        <v>1.0167127296250699E-9</v>
      </c>
      <c r="P684" s="81" t="str">
        <f>_xlfn.XLOOKUP(Calculations[[#This Row],[For XLOOKUP]],Factors[For XLOOKUP],Factors[Units],"")</f>
        <v>t CH4/kWh</v>
      </c>
      <c r="Q684" s="19">
        <f>_xlfn.XLOOKUP(Calculations[[#This Row],[For XLOOKUP]],Factors[For XLOOKUP],Factors[Source],"")</f>
        <v>0</v>
      </c>
      <c r="R68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4" s="81">
        <f>IF(LEFT(Calculations[[#This Row],[Emission Factor]],7)="Σ.Ε. CH",Calculations[[#This Row],[Value]]*Calculations[[#This Row],[Τιμή]],"-")</f>
        <v>2.9211071763584923E-4</v>
      </c>
      <c r="T68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4" s="81" t="str">
        <f>IF(LEFT(Calculations[[#This Row],[Emission Factor]],3)="GWP",Calculations[[#This Row],[Τιμή]],"-")</f>
        <v>-</v>
      </c>
      <c r="V684" s="81" t="str">
        <f>IF(OR(Calculations[[#This Row],[Emission Factor]]="Σ.Ε. CO₂ eq",Calculations[[#This Row],[Emission Factor]]="CO₂ eq"),Calculations[[#This Row],[Value]]*Calculations[[#This Row],[Τιμή]],"-")</f>
        <v>-</v>
      </c>
      <c r="W684" s="81" t="str">
        <f>IF(Calculations[[#This Row],[Πηγή εκπομπών]]="Electricity consumed in office buildings and projects - market based",Calculations[[#This Row],[t CO2]],"")</f>
        <v/>
      </c>
      <c r="X68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8.1791000938037789E-3</v>
      </c>
    </row>
    <row r="685" spans="1:24" ht="15" hidden="1" customHeight="1">
      <c r="A685" s="15" t="s">
        <v>350</v>
      </c>
      <c r="B685" s="15" t="s">
        <v>583</v>
      </c>
      <c r="C685" s="16" t="s">
        <v>624</v>
      </c>
      <c r="D685" s="77" t="s">
        <v>895</v>
      </c>
      <c r="E685" s="77" t="s">
        <v>1134</v>
      </c>
      <c r="F685" s="16" t="s">
        <v>319</v>
      </c>
      <c r="G685" s="16" t="s">
        <v>333</v>
      </c>
      <c r="H685" s="16" t="s">
        <v>623</v>
      </c>
      <c r="I685" s="17" t="s">
        <v>338</v>
      </c>
      <c r="J685" s="238">
        <v>287309</v>
      </c>
      <c r="K685" s="18" t="s">
        <v>51</v>
      </c>
      <c r="L685" s="94" t="s">
        <v>627</v>
      </c>
      <c r="M685" s="148" t="s">
        <v>850</v>
      </c>
      <c r="N685" s="81" t="str">
        <f>_xlfn.XLOOKUP(Calculations[[#This Row],[For XLOOKUP]],Factors[For XLOOKUP],Factors[Factor],"")</f>
        <v>Σ.Ε. N2O</v>
      </c>
      <c r="O685" s="81">
        <f>_xlfn.XLOOKUP(Calculations[[#This Row],[For XLOOKUP]],Factors[For XLOOKUP],Factors[Value],"")</f>
        <v>4.1863411997580185E-10</v>
      </c>
      <c r="P685" s="81" t="str">
        <f>_xlfn.XLOOKUP(Calculations[[#This Row],[For XLOOKUP]],Factors[For XLOOKUP],Factors[Units],"")</f>
        <v>t N2O/kWh</v>
      </c>
      <c r="Q685" s="19">
        <f>_xlfn.XLOOKUP(Calculations[[#This Row],[For XLOOKUP]],Factors[For XLOOKUP],Factors[Source],"")</f>
        <v>0</v>
      </c>
      <c r="R68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5" s="81" t="str">
        <f>IF(LEFT(Calculations[[#This Row],[Emission Factor]],7)="Σ.Ε. CH",Calculations[[#This Row],[Value]]*Calculations[[#This Row],[Τιμή]],"-")</f>
        <v>-</v>
      </c>
      <c r="T685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1.2027735037612765E-4</v>
      </c>
      <c r="U685" s="81" t="str">
        <f>IF(LEFT(Calculations[[#This Row],[Emission Factor]],3)="GWP",Calculations[[#This Row],[Τιμή]],"-")</f>
        <v>-</v>
      </c>
      <c r="V685" s="81" t="str">
        <f>IF(OR(Calculations[[#This Row],[Emission Factor]]="Σ.Ε. CO₂ eq",Calculations[[#This Row],[Emission Factor]]="CO₂ eq"),Calculations[[#This Row],[Value]]*Calculations[[#This Row],[Τιμή]],"-")</f>
        <v>-</v>
      </c>
      <c r="W685" s="81" t="str">
        <f>IF(Calculations[[#This Row],[Πηγή εκπομπών]]="Electricity consumed in office buildings and projects - market based",Calculations[[#This Row],[t CO2]],"")</f>
        <v/>
      </c>
      <c r="X68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3.1873497849673825E-2</v>
      </c>
    </row>
    <row r="686" spans="1:24" ht="15" hidden="1" thickTop="1">
      <c r="A686" s="15" t="s">
        <v>350</v>
      </c>
      <c r="B686" s="15" t="s">
        <v>583</v>
      </c>
      <c r="C686" s="16" t="s">
        <v>624</v>
      </c>
      <c r="D686" s="77" t="s">
        <v>895</v>
      </c>
      <c r="E686" s="77" t="s">
        <v>1134</v>
      </c>
      <c r="F686" s="16" t="s">
        <v>319</v>
      </c>
      <c r="G686" s="16" t="s">
        <v>333</v>
      </c>
      <c r="H686" s="16" t="s">
        <v>623</v>
      </c>
      <c r="I686" s="17" t="s">
        <v>338</v>
      </c>
      <c r="J686" s="238">
        <v>287309</v>
      </c>
      <c r="K686" s="18" t="s">
        <v>51</v>
      </c>
      <c r="L686" s="94" t="s">
        <v>627</v>
      </c>
      <c r="M686" s="148" t="s">
        <v>790</v>
      </c>
      <c r="N686" s="81" t="str">
        <f>_xlfn.XLOOKUP(Calculations[[#This Row],[For XLOOKUP]],Factors[For XLOOKUP],Factors[Factor],"")</f>
        <v>Σ.Ε. CO₂ eq</v>
      </c>
      <c r="O686" s="81">
        <f>_xlfn.XLOOKUP(Calculations[[#This Row],[For XLOOKUP]],Factors[For XLOOKUP],Factors[Value],"")</f>
        <v>7.0153258659686572E-6</v>
      </c>
      <c r="P686" s="81" t="str">
        <f>_xlfn.XLOOKUP(Calculations[[#This Row],[For XLOOKUP]],Factors[For XLOOKUP],Factors[Units],"")</f>
        <v>t CO2 eq/kWh</v>
      </c>
      <c r="Q686" s="19">
        <f>_xlfn.XLOOKUP(Calculations[[#This Row],[For XLOOKUP]],Factors[For XLOOKUP],Factors[Source],"")</f>
        <v>0</v>
      </c>
      <c r="R68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6" s="81" t="str">
        <f>IF(LEFT(Calculations[[#This Row],[Emission Factor]],7)="Σ.Ε. CH",Calculations[[#This Row],[Value]]*Calculations[[#This Row],[Τιμή]],"-")</f>
        <v>-</v>
      </c>
      <c r="T68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6" s="81" t="str">
        <f>IF(LEFT(Calculations[[#This Row],[Emission Factor]],3)="GWP",Calculations[[#This Row],[Τιμή]],"-")</f>
        <v>-</v>
      </c>
      <c r="V686" s="81">
        <f>IF(OR(Calculations[[#This Row],[Emission Factor]]="Σ.Ε. CO₂ eq",Calculations[[#This Row],[Emission Factor]]="CO₂ eq"),Calculations[[#This Row],[Value]]*Calculations[[#This Row],[Τιμή]],"-")</f>
        <v>2.0155662592255887</v>
      </c>
      <c r="W686" s="81" t="str">
        <f>IF(Calculations[[#This Row],[Πηγή εκπομπών]]="Electricity consumed in office buildings and projects - market based",Calculations[[#This Row],[t CO2]],"")</f>
        <v/>
      </c>
      <c r="X68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2.0155662592255887</v>
      </c>
    </row>
    <row r="687" spans="1:24" ht="15" hidden="1" thickTop="1">
      <c r="A687" s="15" t="s">
        <v>350</v>
      </c>
      <c r="B687" s="15" t="s">
        <v>583</v>
      </c>
      <c r="C687" s="16" t="s">
        <v>624</v>
      </c>
      <c r="D687" s="77" t="s">
        <v>895</v>
      </c>
      <c r="E687" s="77" t="s">
        <v>1138</v>
      </c>
      <c r="F687" s="16" t="s">
        <v>319</v>
      </c>
      <c r="G687" s="16" t="s">
        <v>333</v>
      </c>
      <c r="H687" s="16" t="s">
        <v>623</v>
      </c>
      <c r="I687" s="17" t="s">
        <v>338</v>
      </c>
      <c r="J687" s="238">
        <v>213387</v>
      </c>
      <c r="K687" s="18" t="s">
        <v>51</v>
      </c>
      <c r="L687" s="94" t="s">
        <v>627</v>
      </c>
      <c r="M687" s="148" t="s">
        <v>789</v>
      </c>
      <c r="N687" s="19" t="str">
        <f>_xlfn.XLOOKUP(Calculations[[#This Row],[For XLOOKUP]],Factors[For XLOOKUP],Factors[Factor],"")</f>
        <v>Σ.Ε. CO₂</v>
      </c>
      <c r="O687" s="19">
        <f>_xlfn.XLOOKUP(Calculations[[#This Row],[For XLOOKUP]],Factors[For XLOOKUP],Factors[Value],"")</f>
        <v>4.0597972930144582E-5</v>
      </c>
      <c r="P687" s="19" t="str">
        <f>_xlfn.XLOOKUP(Calculations[[#This Row],[For XLOOKUP]],Factors[For XLOOKUP],Factors[Units],"")</f>
        <v>t CO2/kWh</v>
      </c>
      <c r="Q687" s="19">
        <f>_xlfn.XLOOKUP(Calculations[[#This Row],[For XLOOKUP]],Factors[For XLOOKUP],Factors[Source],"")</f>
        <v>0</v>
      </c>
      <c r="R68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8.6630796496447626</v>
      </c>
      <c r="S687" s="19" t="str">
        <f>IF(LEFT(Calculations[[#This Row],[Emission Factor]],7)="Σ.Ε. CH",Calculations[[#This Row],[Value]]*Calculations[[#This Row],[Τιμή]],"-")</f>
        <v>-</v>
      </c>
      <c r="T68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7" s="19" t="str">
        <f>IF(LEFT(Calculations[[#This Row],[Emission Factor]],3)="GWP",Calculations[[#This Row],[Τιμή]],"-")</f>
        <v>-</v>
      </c>
      <c r="V687" s="19" t="str">
        <f>IF(OR(Calculations[[#This Row],[Emission Factor]]="Σ.Ε. CO₂ eq",Calculations[[#This Row],[Emission Factor]]="CO₂ eq"),Calculations[[#This Row],[Value]]*Calculations[[#This Row],[Τιμή]],"-")</f>
        <v>-</v>
      </c>
      <c r="W687" s="19" t="str">
        <f>IF(Calculations[[#This Row],[Πηγή εκπομπών]]="Electricity consumed in office buildings and projects - market based",Calculations[[#This Row],[t CO2]],"")</f>
        <v/>
      </c>
      <c r="X68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8.6630796496447626</v>
      </c>
    </row>
    <row r="688" spans="1:24" ht="15" hidden="1" thickTop="1">
      <c r="A688" s="15" t="s">
        <v>350</v>
      </c>
      <c r="B688" s="15" t="s">
        <v>583</v>
      </c>
      <c r="C688" s="16" t="s">
        <v>624</v>
      </c>
      <c r="D688" s="77" t="s">
        <v>895</v>
      </c>
      <c r="E688" s="77" t="s">
        <v>1138</v>
      </c>
      <c r="F688" s="16" t="s">
        <v>319</v>
      </c>
      <c r="G688" s="16" t="s">
        <v>333</v>
      </c>
      <c r="H688" s="16" t="s">
        <v>623</v>
      </c>
      <c r="I688" s="17" t="s">
        <v>338</v>
      </c>
      <c r="J688" s="238">
        <v>213387</v>
      </c>
      <c r="K688" s="18" t="s">
        <v>51</v>
      </c>
      <c r="L688" s="94" t="s">
        <v>627</v>
      </c>
      <c r="M688" s="148" t="s">
        <v>849</v>
      </c>
      <c r="N688" s="81" t="str">
        <f>_xlfn.XLOOKUP(Calculations[[#This Row],[For XLOOKUP]],Factors[For XLOOKUP],Factors[Factor],"")</f>
        <v>Σ.Ε. CH₄</v>
      </c>
      <c r="O688" s="81">
        <f>_xlfn.XLOOKUP(Calculations[[#This Row],[For XLOOKUP]],Factors[For XLOOKUP],Factors[Value],"")</f>
        <v>1.0167127296250699E-9</v>
      </c>
      <c r="P688" s="81" t="str">
        <f>_xlfn.XLOOKUP(Calculations[[#This Row],[For XLOOKUP]],Factors[For XLOOKUP],Factors[Units],"")</f>
        <v>t CH4/kWh</v>
      </c>
      <c r="Q688" s="19">
        <f>_xlfn.XLOOKUP(Calculations[[#This Row],[For XLOOKUP]],Factors[For XLOOKUP],Factors[Source],"")</f>
        <v>0</v>
      </c>
      <c r="R68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8" s="81">
        <f>IF(LEFT(Calculations[[#This Row],[Emission Factor]],7)="Σ.Ε. CH",Calculations[[#This Row],[Value]]*Calculations[[#This Row],[Τιμή]],"-")</f>
        <v>2.169532792365048E-4</v>
      </c>
      <c r="T68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8" s="81" t="str">
        <f>IF(LEFT(Calculations[[#This Row],[Emission Factor]],3)="GWP",Calculations[[#This Row],[Τιμή]],"-")</f>
        <v>-</v>
      </c>
      <c r="V688" s="81" t="str">
        <f>IF(OR(Calculations[[#This Row],[Emission Factor]]="Σ.Ε. CO₂ eq",Calculations[[#This Row],[Emission Factor]]="CO₂ eq"),Calculations[[#This Row],[Value]]*Calculations[[#This Row],[Τιμή]],"-")</f>
        <v>-</v>
      </c>
      <c r="W688" s="81" t="str">
        <f>IF(Calculations[[#This Row],[Πηγή εκπομπών]]="Electricity consumed in office buildings and projects - market based",Calculations[[#This Row],[t CO2]],"")</f>
        <v/>
      </c>
      <c r="X68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6.0746918186221346E-3</v>
      </c>
    </row>
    <row r="689" spans="1:24" ht="15" hidden="1" thickTop="1">
      <c r="A689" s="15" t="s">
        <v>350</v>
      </c>
      <c r="B689" s="15" t="s">
        <v>583</v>
      </c>
      <c r="C689" s="16" t="s">
        <v>624</v>
      </c>
      <c r="D689" s="77" t="s">
        <v>895</v>
      </c>
      <c r="E689" s="77" t="s">
        <v>1138</v>
      </c>
      <c r="F689" s="16" t="s">
        <v>319</v>
      </c>
      <c r="G689" s="16" t="s">
        <v>333</v>
      </c>
      <c r="H689" s="16" t="s">
        <v>623</v>
      </c>
      <c r="I689" s="17" t="s">
        <v>338</v>
      </c>
      <c r="J689" s="238">
        <v>213387</v>
      </c>
      <c r="K689" s="18" t="s">
        <v>51</v>
      </c>
      <c r="L689" s="94" t="s">
        <v>627</v>
      </c>
      <c r="M689" s="148" t="s">
        <v>850</v>
      </c>
      <c r="N689" s="81" t="str">
        <f>_xlfn.XLOOKUP(Calculations[[#This Row],[For XLOOKUP]],Factors[For XLOOKUP],Factors[Factor],"")</f>
        <v>Σ.Ε. N2O</v>
      </c>
      <c r="O689" s="81">
        <f>_xlfn.XLOOKUP(Calculations[[#This Row],[For XLOOKUP]],Factors[For XLOOKUP],Factors[Value],"")</f>
        <v>4.1863411997580185E-10</v>
      </c>
      <c r="P689" s="81" t="str">
        <f>_xlfn.XLOOKUP(Calculations[[#This Row],[For XLOOKUP]],Factors[For XLOOKUP],Factors[Units],"")</f>
        <v>t N2O/kWh</v>
      </c>
      <c r="Q689" s="19">
        <f>_xlfn.XLOOKUP(Calculations[[#This Row],[For XLOOKUP]],Factors[For XLOOKUP],Factors[Source],"")</f>
        <v>0</v>
      </c>
      <c r="R68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9" s="81" t="str">
        <f>IF(LEFT(Calculations[[#This Row],[Emission Factor]],7)="Σ.Ε. CH",Calculations[[#This Row],[Value]]*Calculations[[#This Row],[Τιμή]],"-")</f>
        <v>-</v>
      </c>
      <c r="T689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8.933107895927643E-5</v>
      </c>
      <c r="U689" s="81" t="str">
        <f>IF(LEFT(Calculations[[#This Row],[Emission Factor]],3)="GWP",Calculations[[#This Row],[Τιμή]],"-")</f>
        <v>-</v>
      </c>
      <c r="V689" s="81" t="str">
        <f>IF(OR(Calculations[[#This Row],[Emission Factor]]="Σ.Ε. CO₂ eq",Calculations[[#This Row],[Emission Factor]]="CO₂ eq"),Calculations[[#This Row],[Value]]*Calculations[[#This Row],[Τιμή]],"-")</f>
        <v>-</v>
      </c>
      <c r="W689" s="81" t="str">
        <f>IF(Calculations[[#This Row],[Πηγή εκπομπών]]="Electricity consumed in office buildings and projects - market based",Calculations[[#This Row],[t CO2]],"")</f>
        <v/>
      </c>
      <c r="X68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2.3672735924208255E-2</v>
      </c>
    </row>
    <row r="690" spans="1:24" ht="15" hidden="1" thickTop="1">
      <c r="A690" s="15" t="s">
        <v>350</v>
      </c>
      <c r="B690" s="15" t="s">
        <v>583</v>
      </c>
      <c r="C690" s="16" t="s">
        <v>624</v>
      </c>
      <c r="D690" s="16" t="s">
        <v>895</v>
      </c>
      <c r="E690" s="77" t="s">
        <v>1138</v>
      </c>
      <c r="F690" s="16" t="s">
        <v>319</v>
      </c>
      <c r="G690" s="16" t="s">
        <v>333</v>
      </c>
      <c r="H690" s="16" t="s">
        <v>623</v>
      </c>
      <c r="I690" s="17" t="s">
        <v>338</v>
      </c>
      <c r="J690" s="238">
        <v>213387</v>
      </c>
      <c r="K690" s="18" t="s">
        <v>51</v>
      </c>
      <c r="L690" s="94" t="s">
        <v>627</v>
      </c>
      <c r="M690" s="148" t="s">
        <v>790</v>
      </c>
      <c r="N690" s="19" t="str">
        <f>_xlfn.XLOOKUP(Calculations[[#This Row],[For XLOOKUP]],Factors[For XLOOKUP],Factors[Factor],"")</f>
        <v>Σ.Ε. CO₂ eq</v>
      </c>
      <c r="O690" s="19">
        <f>_xlfn.XLOOKUP(Calculations[[#This Row],[For XLOOKUP]],Factors[For XLOOKUP],Factors[Value],"")</f>
        <v>7.0153258659686572E-6</v>
      </c>
      <c r="P690" s="19" t="str">
        <f>_xlfn.XLOOKUP(Calculations[[#This Row],[For XLOOKUP]],Factors[For XLOOKUP],Factors[Units],"")</f>
        <v>t CO2 eq/kWh</v>
      </c>
      <c r="Q690" s="19">
        <f>_xlfn.XLOOKUP(Calculations[[#This Row],[For XLOOKUP]],Factors[For XLOOKUP],Factors[Source],"")</f>
        <v>0</v>
      </c>
      <c r="R69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0" s="19" t="str">
        <f>IF(LEFT(Calculations[[#This Row],[Emission Factor]],7)="Σ.Ε. CH",Calculations[[#This Row],[Value]]*Calculations[[#This Row],[Τιμή]],"-")</f>
        <v>-</v>
      </c>
      <c r="T69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0" s="19" t="str">
        <f>IF(LEFT(Calculations[[#This Row],[Emission Factor]],3)="GWP",Calculations[[#This Row],[Τιμή]],"-")</f>
        <v>-</v>
      </c>
      <c r="V690" s="19">
        <f>IF(OR(Calculations[[#This Row],[Emission Factor]]="Σ.Ε. CO₂ eq",Calculations[[#This Row],[Emission Factor]]="CO₂ eq"),Calculations[[#This Row],[Value]]*Calculations[[#This Row],[Τιμή]],"-")</f>
        <v>1.4969793405614538</v>
      </c>
      <c r="W690" s="19" t="str">
        <f>IF(Calculations[[#This Row],[Πηγή εκπομπών]]="Electricity consumed in office buildings and projects - market based",Calculations[[#This Row],[t CO2]],"")</f>
        <v/>
      </c>
      <c r="X69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1.4969793405614538</v>
      </c>
    </row>
    <row r="691" spans="1:24" ht="15" hidden="1" thickTop="1">
      <c r="A691" s="15" t="s">
        <v>350</v>
      </c>
      <c r="B691" s="15" t="s">
        <v>583</v>
      </c>
      <c r="C691" s="16" t="s">
        <v>624</v>
      </c>
      <c r="D691" s="77" t="s">
        <v>894</v>
      </c>
      <c r="E691" s="77"/>
      <c r="F691" s="16" t="s">
        <v>317</v>
      </c>
      <c r="G691" s="16" t="s">
        <v>333</v>
      </c>
      <c r="H691" s="16" t="s">
        <v>623</v>
      </c>
      <c r="I691" s="17" t="s">
        <v>338</v>
      </c>
      <c r="J691" s="238">
        <v>14630790.699999999</v>
      </c>
      <c r="K691" s="18" t="s">
        <v>51</v>
      </c>
      <c r="L691" s="94" t="s">
        <v>628</v>
      </c>
      <c r="M691" s="148" t="s">
        <v>791</v>
      </c>
      <c r="N691" s="81" t="str">
        <f>_xlfn.XLOOKUP(Calculations[[#This Row],[For XLOOKUP]],Factors[For XLOOKUP],Factors[Factor],"")</f>
        <v>Σ.Ε. CO₂</v>
      </c>
      <c r="O691" s="81">
        <f>_xlfn.XLOOKUP(Calculations[[#This Row],[For XLOOKUP]],Factors[For XLOOKUP],Factors[Value],"")</f>
        <v>1.505346476770355E-5</v>
      </c>
      <c r="P691" s="81" t="str">
        <f>_xlfn.XLOOKUP(Calculations[[#This Row],[For XLOOKUP]],Factors[For XLOOKUP],Factors[Units],"")</f>
        <v>t CO2/kWh</v>
      </c>
      <c r="Q691" s="19">
        <f>_xlfn.XLOOKUP(Calculations[[#This Row],[For XLOOKUP]],Factors[For XLOOKUP],Factors[Source],"")</f>
        <v>0</v>
      </c>
      <c r="R691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220.24409232609474</v>
      </c>
      <c r="S691" s="81" t="str">
        <f>IF(LEFT(Calculations[[#This Row],[Emission Factor]],7)="Σ.Ε. CH",Calculations[[#This Row],[Value]]*Calculations[[#This Row],[Τιμή]],"-")</f>
        <v>-</v>
      </c>
      <c r="T69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1" s="81" t="str">
        <f>IF(LEFT(Calculations[[#This Row],[Emission Factor]],3)="GWP",Calculations[[#This Row],[Τιμή]],"-")</f>
        <v>-</v>
      </c>
      <c r="V691" s="81" t="str">
        <f>IF(OR(Calculations[[#This Row],[Emission Factor]]="Σ.Ε. CO₂ eq",Calculations[[#This Row],[Emission Factor]]="CO₂ eq"),Calculations[[#This Row],[Value]]*Calculations[[#This Row],[Τιμή]],"-")</f>
        <v>-</v>
      </c>
      <c r="W691" s="81" t="str">
        <f>IF(Calculations[[#This Row],[Πηγή εκπομπών]]="Electricity consumed in office buildings and projects - market based",Calculations[[#This Row],[t CO2]],"")</f>
        <v/>
      </c>
      <c r="X69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220.24409232609474</v>
      </c>
    </row>
    <row r="692" spans="1:24" ht="15" hidden="1" thickTop="1">
      <c r="A692" s="15" t="s">
        <v>350</v>
      </c>
      <c r="B692" s="15" t="s">
        <v>583</v>
      </c>
      <c r="C692" s="16" t="s">
        <v>624</v>
      </c>
      <c r="D692" s="77" t="s">
        <v>894</v>
      </c>
      <c r="E692" s="77"/>
      <c r="F692" s="16" t="s">
        <v>317</v>
      </c>
      <c r="G692" s="16" t="s">
        <v>333</v>
      </c>
      <c r="H692" s="16" t="s">
        <v>623</v>
      </c>
      <c r="I692" s="17" t="s">
        <v>338</v>
      </c>
      <c r="J692" s="238">
        <v>14630790.699999999</v>
      </c>
      <c r="K692" s="18" t="s">
        <v>51</v>
      </c>
      <c r="L692" s="94" t="s">
        <v>628</v>
      </c>
      <c r="M692" s="148" t="s">
        <v>839</v>
      </c>
      <c r="N692" s="81" t="str">
        <f>_xlfn.XLOOKUP(Calculations[[#This Row],[For XLOOKUP]],Factors[For XLOOKUP],Factors[Factor],"")</f>
        <v>Σ.Ε. CH₄</v>
      </c>
      <c r="O692" s="81">
        <f>_xlfn.XLOOKUP(Calculations[[#This Row],[For XLOOKUP]],Factors[For XLOOKUP],Factors[Value],"")</f>
        <v>3.7699047882566748E-10</v>
      </c>
      <c r="P692" s="81" t="str">
        <f>_xlfn.XLOOKUP(Calculations[[#This Row],[For XLOOKUP]],Factors[For XLOOKUP],Factors[Units],"")</f>
        <v>t CH4/kWh</v>
      </c>
      <c r="Q692" s="19">
        <f>_xlfn.XLOOKUP(Calculations[[#This Row],[For XLOOKUP]],Factors[For XLOOKUP],Factors[Source],"")</f>
        <v>0</v>
      </c>
      <c r="R69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2" s="81">
        <f>IF(LEFT(Calculations[[#This Row],[Emission Factor]],7)="Σ.Ε. CH",Calculations[[#This Row],[Value]]*Calculations[[#This Row],[Τιμή]],"-")</f>
        <v>5.5156687915911221E-3</v>
      </c>
      <c r="T69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2" s="81" t="str">
        <f>IF(LEFT(Calculations[[#This Row],[Emission Factor]],3)="GWP",Calculations[[#This Row],[Τιμή]],"-")</f>
        <v>-</v>
      </c>
      <c r="V692" s="81" t="str">
        <f>IF(OR(Calculations[[#This Row],[Emission Factor]]="Σ.Ε. CO₂ eq",Calculations[[#This Row],[Emission Factor]]="CO₂ eq"),Calculations[[#This Row],[Value]]*Calculations[[#This Row],[Τιμή]],"-")</f>
        <v>-</v>
      </c>
      <c r="W692" s="81" t="str">
        <f>IF(Calculations[[#This Row],[Πηγή εκπομπών]]="Electricity consumed in office buildings and projects - market based",Calculations[[#This Row],[t CO2]],"")</f>
        <v/>
      </c>
      <c r="X69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0.15443872616455143</v>
      </c>
    </row>
    <row r="693" spans="1:24" ht="15" hidden="1" thickTop="1">
      <c r="A693" s="15" t="s">
        <v>350</v>
      </c>
      <c r="B693" s="15" t="s">
        <v>583</v>
      </c>
      <c r="C693" s="16" t="s">
        <v>624</v>
      </c>
      <c r="D693" s="77" t="s">
        <v>894</v>
      </c>
      <c r="E693" s="77"/>
      <c r="F693" s="16" t="s">
        <v>317</v>
      </c>
      <c r="G693" s="16" t="s">
        <v>333</v>
      </c>
      <c r="H693" s="16" t="s">
        <v>623</v>
      </c>
      <c r="I693" s="17" t="s">
        <v>338</v>
      </c>
      <c r="J693" s="238">
        <v>14630790.699999999</v>
      </c>
      <c r="K693" s="18" t="s">
        <v>51</v>
      </c>
      <c r="L693" s="94" t="s">
        <v>628</v>
      </c>
      <c r="M693" s="148" t="s">
        <v>844</v>
      </c>
      <c r="N693" s="81" t="str">
        <f>_xlfn.XLOOKUP(Calculations[[#This Row],[For XLOOKUP]],Factors[For XLOOKUP],Factors[Factor],"")</f>
        <v>Σ.Ε. N2O</v>
      </c>
      <c r="O693" s="81">
        <f>_xlfn.XLOOKUP(Calculations[[#This Row],[For XLOOKUP]],Factors[For XLOOKUP],Factors[Value],"")</f>
        <v>1.5522681357657309E-10</v>
      </c>
      <c r="P693" s="81" t="str">
        <f>_xlfn.XLOOKUP(Calculations[[#This Row],[For XLOOKUP]],Factors[For XLOOKUP],Factors[Units],"")</f>
        <v>t N2O/kWh</v>
      </c>
      <c r="Q693" s="19">
        <f>_xlfn.XLOOKUP(Calculations[[#This Row],[For XLOOKUP]],Factors[For XLOOKUP],Factors[Source],"")</f>
        <v>0</v>
      </c>
      <c r="R69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3" s="81" t="str">
        <f>IF(LEFT(Calculations[[#This Row],[Emission Factor]],7)="Σ.Ε. CH",Calculations[[#This Row],[Value]]*Calculations[[#This Row],[Τιμή]],"-")</f>
        <v>-</v>
      </c>
      <c r="T693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2.2710910204667592E-3</v>
      </c>
      <c r="U693" s="81" t="str">
        <f>IF(LEFT(Calculations[[#This Row],[Emission Factor]],3)="GWP",Calculations[[#This Row],[Τιμή]],"-")</f>
        <v>-</v>
      </c>
      <c r="V693" s="81" t="str">
        <f>IF(OR(Calculations[[#This Row],[Emission Factor]]="Σ.Ε. CO₂ eq",Calculations[[#This Row],[Emission Factor]]="CO₂ eq"),Calculations[[#This Row],[Value]]*Calculations[[#This Row],[Τιμή]],"-")</f>
        <v>-</v>
      </c>
      <c r="W693" s="81" t="str">
        <f>IF(Calculations[[#This Row],[Πηγή εκπομπών]]="Electricity consumed in office buildings and projects - market based",Calculations[[#This Row],[t CO2]],"")</f>
        <v/>
      </c>
      <c r="X69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0.60183912042369114</v>
      </c>
    </row>
    <row r="694" spans="1:24" ht="15" hidden="1" thickTop="1">
      <c r="A694" s="15" t="s">
        <v>350</v>
      </c>
      <c r="B694" s="15" t="s">
        <v>583</v>
      </c>
      <c r="C694" s="16" t="s">
        <v>624</v>
      </c>
      <c r="D694" s="77" t="s">
        <v>894</v>
      </c>
      <c r="E694" s="77"/>
      <c r="F694" s="16" t="s">
        <v>317</v>
      </c>
      <c r="G694" s="16" t="s">
        <v>333</v>
      </c>
      <c r="H694" s="16" t="s">
        <v>623</v>
      </c>
      <c r="I694" s="17" t="s">
        <v>338</v>
      </c>
      <c r="J694" s="238">
        <v>14630790.699999999</v>
      </c>
      <c r="K694" s="18" t="s">
        <v>51</v>
      </c>
      <c r="L694" s="94" t="s">
        <v>628</v>
      </c>
      <c r="M694" s="148" t="s">
        <v>792</v>
      </c>
      <c r="N694" s="19" t="str">
        <f>_xlfn.XLOOKUP(Calculations[[#This Row],[For XLOOKUP]],Factors[For XLOOKUP],Factors[Factor],"")</f>
        <v>Σ.Ε. CO₂ eq</v>
      </c>
      <c r="O694" s="19">
        <f>_xlfn.XLOOKUP(Calculations[[#This Row],[For XLOOKUP]],Factors[For XLOOKUP],Factors[Value],"")</f>
        <v>2.6012372819458027E-6</v>
      </c>
      <c r="P694" s="19" t="str">
        <f>_xlfn.XLOOKUP(Calculations[[#This Row],[For XLOOKUP]],Factors[For XLOOKUP],Factors[Units],"")</f>
        <v>t CO2 eq/kWh</v>
      </c>
      <c r="Q694" s="19">
        <f>_xlfn.XLOOKUP(Calculations[[#This Row],[For XLOOKUP]],Factors[For XLOOKUP],Factors[Source],"")</f>
        <v>0</v>
      </c>
      <c r="R69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4" s="19" t="str">
        <f>IF(LEFT(Calculations[[#This Row],[Emission Factor]],7)="Σ.Ε. CH",Calculations[[#This Row],[Value]]*Calculations[[#This Row],[Τιμή]],"-")</f>
        <v>-</v>
      </c>
      <c r="T69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4" s="19" t="str">
        <f>IF(LEFT(Calculations[[#This Row],[Emission Factor]],3)="GWP",Calculations[[#This Row],[Τιμή]],"-")</f>
        <v>-</v>
      </c>
      <c r="V694" s="19">
        <f>IF(OR(Calculations[[#This Row],[Emission Factor]]="Σ.Ε. CO₂ eq",Calculations[[#This Row],[Emission Factor]]="CO₂ eq"),Calculations[[#This Row],[Value]]*Calculations[[#This Row],[Τιμή]],"-")</f>
        <v>38.058158233185928</v>
      </c>
      <c r="W694" s="19" t="str">
        <f>IF(Calculations[[#This Row],[Πηγή εκπομπών]]="Electricity consumed in office buildings and projects - market based",Calculations[[#This Row],[t CO2]],"")</f>
        <v/>
      </c>
      <c r="X69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38.058158233185928</v>
      </c>
    </row>
    <row r="695" spans="1:24" ht="15" hidden="1" thickTop="1">
      <c r="A695" s="15" t="s">
        <v>350</v>
      </c>
      <c r="B695" s="15" t="s">
        <v>583</v>
      </c>
      <c r="C695" s="16" t="s">
        <v>624</v>
      </c>
      <c r="D695" s="16" t="s">
        <v>894</v>
      </c>
      <c r="E695" s="16"/>
      <c r="F695" s="16" t="s">
        <v>317</v>
      </c>
      <c r="G695" s="16" t="s">
        <v>333</v>
      </c>
      <c r="H695" s="16" t="s">
        <v>623</v>
      </c>
      <c r="I695" s="17" t="s">
        <v>338</v>
      </c>
      <c r="J695" s="238">
        <v>1189911.584</v>
      </c>
      <c r="K695" s="18" t="s">
        <v>51</v>
      </c>
      <c r="L695" s="94" t="s">
        <v>627</v>
      </c>
      <c r="M695" s="148" t="s">
        <v>789</v>
      </c>
      <c r="N695" s="19" t="str">
        <f>_xlfn.XLOOKUP(Calculations[[#This Row],[For XLOOKUP]],Factors[For XLOOKUP],Factors[Factor],"")</f>
        <v>Σ.Ε. CO₂</v>
      </c>
      <c r="O695" s="19">
        <f>_xlfn.XLOOKUP(Calculations[[#This Row],[For XLOOKUP]],Factors[For XLOOKUP],Factors[Value],"")</f>
        <v>4.0597972930144582E-5</v>
      </c>
      <c r="P695" s="19" t="str">
        <f>_xlfn.XLOOKUP(Calculations[[#This Row],[For XLOOKUP]],Factors[For XLOOKUP],Factors[Units],"")</f>
        <v>t CO2/kWh</v>
      </c>
      <c r="Q695" s="19">
        <f>_xlfn.XLOOKUP(Calculations[[#This Row],[For XLOOKUP]],Factors[For XLOOKUP],Factors[Source],"")</f>
        <v>0</v>
      </c>
      <c r="R695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48.307998276497464</v>
      </c>
      <c r="S695" s="19" t="str">
        <f>IF(LEFT(Calculations[[#This Row],[Emission Factor]],7)="Σ.Ε. CH",Calculations[[#This Row],[Value]]*Calculations[[#This Row],[Τιμή]],"-")</f>
        <v>-</v>
      </c>
      <c r="T69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5" s="19" t="str">
        <f>IF(LEFT(Calculations[[#This Row],[Emission Factor]],3)="GWP",Calculations[[#This Row],[Τιμή]],"-")</f>
        <v>-</v>
      </c>
      <c r="V695" s="19" t="str">
        <f>IF(OR(Calculations[[#This Row],[Emission Factor]]="Σ.Ε. CO₂ eq",Calculations[[#This Row],[Emission Factor]]="CO₂ eq"),Calculations[[#This Row],[Value]]*Calculations[[#This Row],[Τιμή]],"-")</f>
        <v>-</v>
      </c>
      <c r="W695" s="19" t="str">
        <f>IF(Calculations[[#This Row],[Πηγή εκπομπών]]="Electricity consumed in office buildings and projects - market based",Calculations[[#This Row],[t CO2]],"")</f>
        <v/>
      </c>
      <c r="X69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48.307998276497464</v>
      </c>
    </row>
    <row r="696" spans="1:24" ht="15" hidden="1" thickTop="1">
      <c r="A696" s="15" t="s">
        <v>350</v>
      </c>
      <c r="B696" s="15" t="s">
        <v>583</v>
      </c>
      <c r="C696" s="16" t="s">
        <v>624</v>
      </c>
      <c r="D696" s="16" t="s">
        <v>894</v>
      </c>
      <c r="E696" s="16"/>
      <c r="F696" s="16" t="s">
        <v>317</v>
      </c>
      <c r="G696" s="16" t="s">
        <v>333</v>
      </c>
      <c r="H696" s="16" t="s">
        <v>623</v>
      </c>
      <c r="I696" s="17" t="s">
        <v>338</v>
      </c>
      <c r="J696" s="238">
        <v>1189911.584</v>
      </c>
      <c r="K696" s="18" t="s">
        <v>51</v>
      </c>
      <c r="L696" s="94" t="s">
        <v>627</v>
      </c>
      <c r="M696" s="148" t="s">
        <v>849</v>
      </c>
      <c r="N696" s="19" t="str">
        <f>_xlfn.XLOOKUP(Calculations[[#This Row],[For XLOOKUP]],Factors[For XLOOKUP],Factors[Factor],"")</f>
        <v>Σ.Ε. CH₄</v>
      </c>
      <c r="O696" s="19">
        <f>_xlfn.XLOOKUP(Calculations[[#This Row],[For XLOOKUP]],Factors[For XLOOKUP],Factors[Value],"")</f>
        <v>1.0167127296250699E-9</v>
      </c>
      <c r="P696" s="19" t="str">
        <f>_xlfn.XLOOKUP(Calculations[[#This Row],[For XLOOKUP]],Factors[For XLOOKUP],Factors[Units],"")</f>
        <v>t CH4/kWh</v>
      </c>
      <c r="Q696" s="19">
        <f>_xlfn.XLOOKUP(Calculations[[#This Row],[For XLOOKUP]],Factors[For XLOOKUP],Factors[Source],"")</f>
        <v>0</v>
      </c>
      <c r="R69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6" s="19">
        <f>IF(LEFT(Calculations[[#This Row],[Emission Factor]],7)="Σ.Ε. CH",Calculations[[#This Row],[Value]]*Calculations[[#This Row],[Τιμή]],"-")</f>
        <v>1.2097982545811307E-3</v>
      </c>
      <c r="T69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6" s="19" t="str">
        <f>IF(LEFT(Calculations[[#This Row],[Emission Factor]],3)="GWP",Calculations[[#This Row],[Τιμή]],"-")</f>
        <v>-</v>
      </c>
      <c r="V696" s="19" t="str">
        <f>IF(OR(Calculations[[#This Row],[Emission Factor]]="Σ.Ε. CO₂ eq",Calculations[[#This Row],[Emission Factor]]="CO₂ eq"),Calculations[[#This Row],[Value]]*Calculations[[#This Row],[Τιμή]],"-")</f>
        <v>-</v>
      </c>
      <c r="W696" s="19" t="str">
        <f>IF(Calculations[[#This Row],[Πηγή εκπομπών]]="Electricity consumed in office buildings and projects - market based",Calculations[[#This Row],[t CO2]],"")</f>
        <v/>
      </c>
      <c r="X69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3.3874351128271661E-2</v>
      </c>
    </row>
    <row r="697" spans="1:24" ht="15" hidden="1" thickTop="1">
      <c r="A697" s="15" t="s">
        <v>350</v>
      </c>
      <c r="B697" s="15" t="s">
        <v>583</v>
      </c>
      <c r="C697" s="16" t="s">
        <v>624</v>
      </c>
      <c r="D697" s="16" t="s">
        <v>894</v>
      </c>
      <c r="E697" s="16"/>
      <c r="F697" s="16" t="s">
        <v>317</v>
      </c>
      <c r="G697" s="16" t="s">
        <v>333</v>
      </c>
      <c r="H697" s="16" t="s">
        <v>623</v>
      </c>
      <c r="I697" s="17" t="s">
        <v>338</v>
      </c>
      <c r="J697" s="238">
        <v>1189911.584</v>
      </c>
      <c r="K697" s="18" t="s">
        <v>51</v>
      </c>
      <c r="L697" s="94" t="s">
        <v>627</v>
      </c>
      <c r="M697" s="148" t="s">
        <v>850</v>
      </c>
      <c r="N697" s="19" t="str">
        <f>_xlfn.XLOOKUP(Calculations[[#This Row],[For XLOOKUP]],Factors[For XLOOKUP],Factors[Factor],"")</f>
        <v>Σ.Ε. N2O</v>
      </c>
      <c r="O697" s="19">
        <f>_xlfn.XLOOKUP(Calculations[[#This Row],[For XLOOKUP]],Factors[For XLOOKUP],Factors[Value],"")</f>
        <v>4.1863411997580185E-10</v>
      </c>
      <c r="P697" s="19" t="str">
        <f>_xlfn.XLOOKUP(Calculations[[#This Row],[For XLOOKUP]],Factors[For XLOOKUP],Factors[Units],"")</f>
        <v>t N2O/kWh</v>
      </c>
      <c r="Q697" s="19">
        <f>_xlfn.XLOOKUP(Calculations[[#This Row],[For XLOOKUP]],Factors[For XLOOKUP],Factors[Source],"")</f>
        <v>0</v>
      </c>
      <c r="R69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7" s="19" t="str">
        <f>IF(LEFT(Calculations[[#This Row],[Emission Factor]],7)="Σ.Ε. CH",Calculations[[#This Row],[Value]]*Calculations[[#This Row],[Τιμή]],"-")</f>
        <v>-</v>
      </c>
      <c r="T697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4.9813758881685243E-4</v>
      </c>
      <c r="U697" s="19" t="str">
        <f>IF(LEFT(Calculations[[#This Row],[Emission Factor]],3)="GWP",Calculations[[#This Row],[Τιμή]],"-")</f>
        <v>-</v>
      </c>
      <c r="V697" s="19" t="str">
        <f>IF(OR(Calculations[[#This Row],[Emission Factor]]="Σ.Ε. CO₂ eq",Calculations[[#This Row],[Emission Factor]]="CO₂ eq"),Calculations[[#This Row],[Value]]*Calculations[[#This Row],[Τιμή]],"-")</f>
        <v>-</v>
      </c>
      <c r="W697" s="19" t="str">
        <f>IF(Calculations[[#This Row],[Πηγή εκπομπών]]="Electricity consumed in office buildings and projects - market based",Calculations[[#This Row],[t CO2]],"")</f>
        <v/>
      </c>
      <c r="X69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0.13200646103646591</v>
      </c>
    </row>
    <row r="698" spans="1:24" ht="15" hidden="1" thickTop="1">
      <c r="A698" s="15" t="s">
        <v>350</v>
      </c>
      <c r="B698" s="15" t="s">
        <v>583</v>
      </c>
      <c r="C698" s="16" t="s">
        <v>624</v>
      </c>
      <c r="D698" s="77" t="s">
        <v>894</v>
      </c>
      <c r="E698" s="16"/>
      <c r="F698" s="16" t="s">
        <v>317</v>
      </c>
      <c r="G698" s="16" t="s">
        <v>333</v>
      </c>
      <c r="H698" s="16" t="s">
        <v>623</v>
      </c>
      <c r="I698" s="17" t="s">
        <v>338</v>
      </c>
      <c r="J698" s="238">
        <v>1189911.584</v>
      </c>
      <c r="K698" s="18" t="s">
        <v>51</v>
      </c>
      <c r="L698" s="94" t="s">
        <v>627</v>
      </c>
      <c r="M698" s="148" t="s">
        <v>790</v>
      </c>
      <c r="N698" s="81" t="str">
        <f>_xlfn.XLOOKUP(Calculations[[#This Row],[For XLOOKUP]],Factors[For XLOOKUP],Factors[Factor],"")</f>
        <v>Σ.Ε. CO₂ eq</v>
      </c>
      <c r="O698" s="81">
        <f>_xlfn.XLOOKUP(Calculations[[#This Row],[For XLOOKUP]],Factors[For XLOOKUP],Factors[Value],"")</f>
        <v>7.0153258659686572E-6</v>
      </c>
      <c r="P698" s="81" t="str">
        <f>_xlfn.XLOOKUP(Calculations[[#This Row],[For XLOOKUP]],Factors[For XLOOKUP],Factors[Units],"")</f>
        <v>t CO2 eq/kWh</v>
      </c>
      <c r="Q698" s="19">
        <f>_xlfn.XLOOKUP(Calculations[[#This Row],[For XLOOKUP]],Factors[For XLOOKUP],Factors[Source],"")</f>
        <v>0</v>
      </c>
      <c r="R69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8" s="81" t="str">
        <f>IF(LEFT(Calculations[[#This Row],[Emission Factor]],7)="Σ.Ε. CH",Calculations[[#This Row],[Value]]*Calculations[[#This Row],[Τιμή]],"-")</f>
        <v>-</v>
      </c>
      <c r="T69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8" s="81" t="str">
        <f>IF(LEFT(Calculations[[#This Row],[Emission Factor]],3)="GWP",Calculations[[#This Row],[Τιμή]],"-")</f>
        <v>-</v>
      </c>
      <c r="V698" s="81">
        <f>IF(OR(Calculations[[#This Row],[Emission Factor]]="Σ.Ε. CO₂ eq",Calculations[[#This Row],[Emission Factor]]="CO₂ eq"),Calculations[[#This Row],[Value]]*Calculations[[#This Row],[Τιμή]],"-")</f>
        <v>8.3476175134509365</v>
      </c>
      <c r="W698" s="81" t="str">
        <f>IF(Calculations[[#This Row],[Πηγή εκπομπών]]="Electricity consumed in office buildings and projects - market based",Calculations[[#This Row],[t CO2]],"")</f>
        <v/>
      </c>
      <c r="X69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8.3476175134509365</v>
      </c>
    </row>
    <row r="699" spans="1:24" ht="15" hidden="1" thickTop="1">
      <c r="A699" s="15" t="s">
        <v>350</v>
      </c>
      <c r="B699" s="15" t="s">
        <v>583</v>
      </c>
      <c r="C699" s="16" t="s">
        <v>328</v>
      </c>
      <c r="D699" s="77" t="s">
        <v>894</v>
      </c>
      <c r="E699" s="16" t="s">
        <v>1188</v>
      </c>
      <c r="F699" s="16" t="s">
        <v>317</v>
      </c>
      <c r="G699" s="16" t="s">
        <v>333</v>
      </c>
      <c r="H699" s="16" t="s">
        <v>623</v>
      </c>
      <c r="I699" s="17" t="s">
        <v>338</v>
      </c>
      <c r="J699" s="238">
        <v>32192</v>
      </c>
      <c r="K699" s="18" t="s">
        <v>51</v>
      </c>
      <c r="L699" s="94" t="s">
        <v>627</v>
      </c>
      <c r="M699" s="148" t="s">
        <v>866</v>
      </c>
      <c r="N699" s="81" t="str">
        <f>_xlfn.XLOOKUP(Calculations[[#This Row],[For XLOOKUP]],Factors[For XLOOKUP],Factors[Factor],"")</f>
        <v>Σ.Ε. CO₂</v>
      </c>
      <c r="O699" s="81">
        <f>_xlfn.XLOOKUP(Calculations[[#This Row],[For XLOOKUP]],Factors[For XLOOKUP],Factors[Value],"")</f>
        <v>1.8211292961862379E-5</v>
      </c>
      <c r="P699" s="81" t="str">
        <f>_xlfn.XLOOKUP(Calculations[[#This Row],[For XLOOKUP]],Factors[For XLOOKUP],Factors[Units],"")</f>
        <v>t CO2 eq/kWh</v>
      </c>
      <c r="Q699" s="19">
        <f>_xlfn.XLOOKUP(Calculations[[#This Row],[For XLOOKUP]],Factors[For XLOOKUP],Factors[Source],"")</f>
        <v>0</v>
      </c>
      <c r="R699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0.58625794302827372</v>
      </c>
      <c r="S699" s="81" t="str">
        <f>IF(LEFT(Calculations[[#This Row],[Emission Factor]],7)="Σ.Ε. CH",Calculations[[#This Row],[Value]]*Calculations[[#This Row],[Τιμή]],"-")</f>
        <v>-</v>
      </c>
      <c r="T69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9" s="81" t="str">
        <f>IF(LEFT(Calculations[[#This Row],[Emission Factor]],3)="GWP",Calculations[[#This Row],[Τιμή]],"-")</f>
        <v>-</v>
      </c>
      <c r="V699" s="81" t="str">
        <f>IF(OR(Calculations[[#This Row],[Emission Factor]]="Σ.Ε. CO₂ eq",Calculations[[#This Row],[Emission Factor]]="CO₂ eq"),Calculations[[#This Row],[Value]]*Calculations[[#This Row],[Τιμή]],"-")</f>
        <v>-</v>
      </c>
      <c r="W699" s="81" t="str">
        <f>IF(Calculations[[#This Row],[Πηγή εκπομπών]]="Electricity consumed in office buildings and projects - market based",Calculations[[#This Row],[t CO2]],"")</f>
        <v/>
      </c>
      <c r="X69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0.58625794302827372</v>
      </c>
    </row>
    <row r="700" spans="1:24" ht="15" hidden="1" thickTop="1">
      <c r="A700" s="15" t="s">
        <v>350</v>
      </c>
      <c r="B700" s="15" t="s">
        <v>583</v>
      </c>
      <c r="C700" s="16" t="s">
        <v>328</v>
      </c>
      <c r="D700" s="77" t="s">
        <v>894</v>
      </c>
      <c r="E700" s="16" t="s">
        <v>1188</v>
      </c>
      <c r="F700" s="16" t="s">
        <v>317</v>
      </c>
      <c r="G700" s="16" t="s">
        <v>333</v>
      </c>
      <c r="H700" s="16" t="s">
        <v>623</v>
      </c>
      <c r="I700" s="17" t="s">
        <v>338</v>
      </c>
      <c r="J700" s="238">
        <v>32192</v>
      </c>
      <c r="K700" s="18" t="s">
        <v>51</v>
      </c>
      <c r="L700" s="94" t="s">
        <v>627</v>
      </c>
      <c r="M700" s="148" t="s">
        <v>867</v>
      </c>
      <c r="N700" s="19" t="str">
        <f>_xlfn.XLOOKUP(Calculations[[#This Row],[For XLOOKUP]],Factors[For XLOOKUP],Factors[Factor],"")</f>
        <v>Σ.Ε. CO₂ eq</v>
      </c>
      <c r="O700" s="19">
        <f>_xlfn.XLOOKUP(Calculations[[#This Row],[For XLOOKUP]],Factors[For XLOOKUP],Factors[Value],"")</f>
        <v>3.7446374694277741E-6</v>
      </c>
      <c r="P700" s="19" t="str">
        <f>_xlfn.XLOOKUP(Calculations[[#This Row],[For XLOOKUP]],Factors[For XLOOKUP],Factors[Units],"")</f>
        <v>t CO2 eq/kWh</v>
      </c>
      <c r="Q700" s="19">
        <f>_xlfn.XLOOKUP(Calculations[[#This Row],[For XLOOKUP]],Factors[For XLOOKUP],Factors[Source],"")</f>
        <v>0</v>
      </c>
      <c r="R70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0" s="19" t="str">
        <f>IF(LEFT(Calculations[[#This Row],[Emission Factor]],7)="Σ.Ε. CH",Calculations[[#This Row],[Value]]*Calculations[[#This Row],[Τιμή]],"-")</f>
        <v>-</v>
      </c>
      <c r="T70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0" s="19" t="str">
        <f>IF(LEFT(Calculations[[#This Row],[Emission Factor]],3)="GWP",Calculations[[#This Row],[Τιμή]],"-")</f>
        <v>-</v>
      </c>
      <c r="V700" s="19">
        <f>IF(OR(Calculations[[#This Row],[Emission Factor]]="Σ.Ε. CO₂ eq",Calculations[[#This Row],[Emission Factor]]="CO₂ eq"),Calculations[[#This Row],[Value]]*Calculations[[#This Row],[Τιμή]],"-")</f>
        <v>0.12054736941581891</v>
      </c>
      <c r="W700" s="19" t="str">
        <f>IF(Calculations[[#This Row],[Πηγή εκπομπών]]="Electricity consumed in office buildings and projects - market based",Calculations[[#This Row],[t CO2]],"")</f>
        <v/>
      </c>
      <c r="X70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0.12054736941581891</v>
      </c>
    </row>
    <row r="701" spans="1:24" ht="15" hidden="1" thickTop="1">
      <c r="A701" s="15" t="s">
        <v>350</v>
      </c>
      <c r="B701" s="15" t="s">
        <v>583</v>
      </c>
      <c r="C701" s="16" t="s">
        <v>327</v>
      </c>
      <c r="D701" s="77" t="s">
        <v>894</v>
      </c>
      <c r="E701" s="16" t="s">
        <v>1187</v>
      </c>
      <c r="F701" s="16" t="s">
        <v>317</v>
      </c>
      <c r="G701" s="16" t="s">
        <v>333</v>
      </c>
      <c r="H701" s="16" t="s">
        <v>623</v>
      </c>
      <c r="I701" s="17" t="s">
        <v>338</v>
      </c>
      <c r="J701" s="238">
        <v>10571303</v>
      </c>
      <c r="K701" s="18" t="s">
        <v>51</v>
      </c>
      <c r="L701" s="94" t="s">
        <v>628</v>
      </c>
      <c r="M701" s="148" t="s">
        <v>862</v>
      </c>
      <c r="N701" s="81" t="str">
        <f>_xlfn.XLOOKUP(Calculations[[#This Row],[For XLOOKUP]],Factors[For XLOOKUP],Factors[Factor],"")</f>
        <v>Σ.Ε. CO₂</v>
      </c>
      <c r="O701" s="81">
        <f>_xlfn.XLOOKUP(Calculations[[#This Row],[For XLOOKUP]],Factors[For XLOOKUP],Factors[Value],"")</f>
        <v>3.2819195317204351E-5</v>
      </c>
      <c r="P701" s="81" t="str">
        <f>_xlfn.XLOOKUP(Calculations[[#This Row],[For XLOOKUP]],Factors[For XLOOKUP],Factors[Units],"")</f>
        <v>t CO2 eq/kWh</v>
      </c>
      <c r="Q701" s="19">
        <f>_xlfn.XLOOKUP(Calculations[[#This Row],[For XLOOKUP]],Factors[For XLOOKUP],Factors[Source],"")</f>
        <v>0</v>
      </c>
      <c r="R701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346.9416579143483</v>
      </c>
      <c r="S701" s="81" t="str">
        <f>IF(LEFT(Calculations[[#This Row],[Emission Factor]],7)="Σ.Ε. CH",Calculations[[#This Row],[Value]]*Calculations[[#This Row],[Τιμή]],"-")</f>
        <v>-</v>
      </c>
      <c r="T70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1" s="81" t="str">
        <f>IF(LEFT(Calculations[[#This Row],[Emission Factor]],3)="GWP",Calculations[[#This Row],[Τιμή]],"-")</f>
        <v>-</v>
      </c>
      <c r="V701" s="81" t="str">
        <f>IF(OR(Calculations[[#This Row],[Emission Factor]]="Σ.Ε. CO₂ eq",Calculations[[#This Row],[Emission Factor]]="CO₂ eq"),Calculations[[#This Row],[Value]]*Calculations[[#This Row],[Τιμή]],"-")</f>
        <v>-</v>
      </c>
      <c r="W701" s="81" t="str">
        <f>IF(Calculations[[#This Row],[Πηγή εκπομπών]]="Electricity consumed in office buildings and projects - market based",Calculations[[#This Row],[t CO2]],"")</f>
        <v/>
      </c>
      <c r="X70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346.9416579143483</v>
      </c>
    </row>
    <row r="702" spans="1:24" ht="15" hidden="1" thickTop="1">
      <c r="A702" s="15" t="s">
        <v>350</v>
      </c>
      <c r="B702" s="15" t="s">
        <v>583</v>
      </c>
      <c r="C702" s="16" t="s">
        <v>327</v>
      </c>
      <c r="D702" s="77" t="s">
        <v>894</v>
      </c>
      <c r="E702" s="16" t="s">
        <v>1187</v>
      </c>
      <c r="F702" s="16" t="s">
        <v>317</v>
      </c>
      <c r="G702" s="16" t="s">
        <v>333</v>
      </c>
      <c r="H702" s="16" t="s">
        <v>623</v>
      </c>
      <c r="I702" s="17" t="s">
        <v>338</v>
      </c>
      <c r="J702" s="238">
        <v>10571303</v>
      </c>
      <c r="K702" s="18" t="s">
        <v>51</v>
      </c>
      <c r="L702" s="94" t="s">
        <v>628</v>
      </c>
      <c r="M702" s="148" t="s">
        <v>863</v>
      </c>
      <c r="N702" s="81" t="str">
        <f>_xlfn.XLOOKUP(Calculations[[#This Row],[For XLOOKUP]],Factors[For XLOOKUP],Factors[Factor],"")</f>
        <v>Σ.Ε. CO₂ eq</v>
      </c>
      <c r="O702" s="81">
        <f>_xlfn.XLOOKUP(Calculations[[#This Row],[For XLOOKUP]],Factors[For XLOOKUP],Factors[Value],"")</f>
        <v>6.6808039823331862E-6</v>
      </c>
      <c r="P702" s="81" t="str">
        <f>_xlfn.XLOOKUP(Calculations[[#This Row],[For XLOOKUP]],Factors[For XLOOKUP],Factors[Units],"")</f>
        <v>t CO2 eq/kWh</v>
      </c>
      <c r="Q702" s="19" t="str">
        <f>_xlfn.XLOOKUP(Calculations[[#This Row],[For XLOOKUP]],Factors[For XLOOKUP],Factors[Source],"")</f>
        <v>Editorial deadline: 29 November 2023</v>
      </c>
      <c r="R70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2" s="81" t="str">
        <f>IF(LEFT(Calculations[[#This Row],[Emission Factor]],7)="Σ.Ε. CH",Calculations[[#This Row],[Value]]*Calculations[[#This Row],[Τιμή]],"-")</f>
        <v>-</v>
      </c>
      <c r="T70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2" s="81" t="str">
        <f>IF(LEFT(Calculations[[#This Row],[Emission Factor]],3)="GWP",Calculations[[#This Row],[Τιμή]],"-")</f>
        <v>-</v>
      </c>
      <c r="V702" s="81">
        <f>IF(OR(Calculations[[#This Row],[Emission Factor]]="Σ.Ε. CO₂ eq",Calculations[[#This Row],[Emission Factor]]="CO₂ eq"),Calculations[[#This Row],[Value]]*Calculations[[#This Row],[Τιμή]],"-")</f>
        <v>70.624803180850762</v>
      </c>
      <c r="W702" s="81" t="str">
        <f>IF(Calculations[[#This Row],[Πηγή εκπομπών]]="Electricity consumed in office buildings and projects - market based",Calculations[[#This Row],[t CO2]],"")</f>
        <v/>
      </c>
      <c r="X70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70.624803180850762</v>
      </c>
    </row>
    <row r="703" spans="1:24" ht="15" hidden="1" thickTop="1">
      <c r="A703" s="15" t="s">
        <v>350</v>
      </c>
      <c r="B703" s="15" t="s">
        <v>583</v>
      </c>
      <c r="C703" s="16" t="s">
        <v>624</v>
      </c>
      <c r="D703" s="77" t="s">
        <v>894</v>
      </c>
      <c r="E703" s="77"/>
      <c r="F703" s="16" t="s">
        <v>317</v>
      </c>
      <c r="G703" s="16" t="s">
        <v>333</v>
      </c>
      <c r="H703" s="16" t="s">
        <v>623</v>
      </c>
      <c r="I703" s="17" t="s">
        <v>338</v>
      </c>
      <c r="J703" s="238">
        <v>7624026</v>
      </c>
      <c r="K703" s="18" t="s">
        <v>51</v>
      </c>
      <c r="L703" s="94" t="s">
        <v>1322</v>
      </c>
      <c r="M703" s="148" t="s">
        <v>1323</v>
      </c>
      <c r="N703" s="81" t="str">
        <f>_xlfn.XLOOKUP(Calculations[[#This Row],[For XLOOKUP]],Factors[For XLOOKUP],Factors[Factor],"")</f>
        <v>Σ.Ε. CO₂</v>
      </c>
      <c r="O703" s="81">
        <f>_xlfn.XLOOKUP(Calculations[[#This Row],[For XLOOKUP]],Factors[For XLOOKUP],Factors[Value],"")</f>
        <v>5.5839349741521721E-6</v>
      </c>
      <c r="P703" s="81" t="str">
        <f>_xlfn.XLOOKUP(Calculations[[#This Row],[For XLOOKUP]],Factors[For XLOOKUP],Factors[Units],"")</f>
        <v>t CO2/kWh</v>
      </c>
      <c r="Q703" s="19">
        <f>_xlfn.XLOOKUP(Calculations[[#This Row],[For XLOOKUP]],Factors[For XLOOKUP],Factors[Source],"")</f>
        <v>0</v>
      </c>
      <c r="R703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42.572065425245491</v>
      </c>
      <c r="S703" s="81" t="str">
        <f>IF(LEFT(Calculations[[#This Row],[Emission Factor]],7)="Σ.Ε. CH",Calculations[[#This Row],[Value]]*Calculations[[#This Row],[Τιμή]],"-")</f>
        <v>-</v>
      </c>
      <c r="T70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3" s="81" t="str">
        <f>IF(LEFT(Calculations[[#This Row],[Emission Factor]],3)="GWP",Calculations[[#This Row],[Τιμή]],"-")</f>
        <v>-</v>
      </c>
      <c r="V703" s="81" t="str">
        <f>IF(OR(Calculations[[#This Row],[Emission Factor]]="Σ.Ε. CO₂ eq",Calculations[[#This Row],[Emission Factor]]="CO₂ eq"),Calculations[[#This Row],[Value]]*Calculations[[#This Row],[Τιμή]],"-")</f>
        <v>-</v>
      </c>
      <c r="W703" s="81" t="str">
        <f>IF(Calculations[[#This Row],[Πηγή εκπομπών]]="Electricity consumed in office buildings and projects - market based",Calculations[[#This Row],[t CO2]],"")</f>
        <v/>
      </c>
      <c r="X70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42.572065425245491</v>
      </c>
    </row>
    <row r="704" spans="1:24" ht="15" hidden="1" thickTop="1">
      <c r="A704" s="15" t="s">
        <v>350</v>
      </c>
      <c r="B704" s="15" t="s">
        <v>583</v>
      </c>
      <c r="C704" s="16" t="s">
        <v>624</v>
      </c>
      <c r="D704" s="77" t="s">
        <v>894</v>
      </c>
      <c r="E704" s="77"/>
      <c r="F704" s="16" t="s">
        <v>317</v>
      </c>
      <c r="G704" s="16" t="s">
        <v>333</v>
      </c>
      <c r="H704" s="16" t="s">
        <v>623</v>
      </c>
      <c r="I704" s="17" t="s">
        <v>338</v>
      </c>
      <c r="J704" s="238">
        <v>7624026</v>
      </c>
      <c r="K704" s="18" t="s">
        <v>51</v>
      </c>
      <c r="L704" s="94" t="s">
        <v>1322</v>
      </c>
      <c r="M704" s="148" t="s">
        <v>1324</v>
      </c>
      <c r="N704" s="81" t="str">
        <f>_xlfn.XLOOKUP(Calculations[[#This Row],[For XLOOKUP]],Factors[For XLOOKUP],Factors[Factor],"")</f>
        <v>Σ.Ε. CH₄</v>
      </c>
      <c r="O704" s="81">
        <f>_xlfn.XLOOKUP(Calculations[[#This Row],[For XLOOKUP]],Factors[For XLOOKUP],Factors[Value],"")</f>
        <v>1.3984091716568692E-10</v>
      </c>
      <c r="P704" s="81" t="str">
        <f>_xlfn.XLOOKUP(Calculations[[#This Row],[For XLOOKUP]],Factors[For XLOOKUP],Factors[Units],"")</f>
        <v>t CH4/kWh</v>
      </c>
      <c r="Q704" s="19">
        <f>_xlfn.XLOOKUP(Calculations[[#This Row],[For XLOOKUP]],Factors[For XLOOKUP],Factors[Source],"")</f>
        <v>0</v>
      </c>
      <c r="R70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4" s="81">
        <f>IF(LEFT(Calculations[[#This Row],[Emission Factor]],7)="Σ.Ε. CH",Calculations[[#This Row],[Value]]*Calculations[[#This Row],[Τιμή]],"-")</f>
        <v>1.0661507883350434E-3</v>
      </c>
      <c r="T70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4" s="81" t="str">
        <f>IF(LEFT(Calculations[[#This Row],[Emission Factor]],3)="GWP",Calculations[[#This Row],[Τιμή]],"-")</f>
        <v>-</v>
      </c>
      <c r="V704" s="81" t="str">
        <f>IF(OR(Calculations[[#This Row],[Emission Factor]]="Σ.Ε. CO₂ eq",Calculations[[#This Row],[Emission Factor]]="CO₂ eq"),Calculations[[#This Row],[Value]]*Calculations[[#This Row],[Τιμή]],"-")</f>
        <v>-</v>
      </c>
      <c r="W704" s="81" t="str">
        <f>IF(Calculations[[#This Row],[Πηγή εκπομπών]]="Electricity consumed in office buildings and projects - market based",Calculations[[#This Row],[t CO2]],"")</f>
        <v/>
      </c>
      <c r="X70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2.9852222073381215E-2</v>
      </c>
    </row>
    <row r="705" spans="1:24" ht="15" hidden="1" thickTop="1">
      <c r="A705" s="15" t="s">
        <v>350</v>
      </c>
      <c r="B705" s="15" t="s">
        <v>583</v>
      </c>
      <c r="C705" s="16" t="s">
        <v>624</v>
      </c>
      <c r="D705" s="77" t="s">
        <v>894</v>
      </c>
      <c r="E705" s="77"/>
      <c r="F705" s="16" t="s">
        <v>317</v>
      </c>
      <c r="G705" s="16" t="s">
        <v>333</v>
      </c>
      <c r="H705" s="16" t="s">
        <v>623</v>
      </c>
      <c r="I705" s="17" t="s">
        <v>338</v>
      </c>
      <c r="J705" s="238">
        <v>7624026</v>
      </c>
      <c r="K705" s="18" t="s">
        <v>51</v>
      </c>
      <c r="L705" s="94" t="s">
        <v>1322</v>
      </c>
      <c r="M705" s="148" t="s">
        <v>1325</v>
      </c>
      <c r="N705" s="81" t="str">
        <f>_xlfn.XLOOKUP(Calculations[[#This Row],[For XLOOKUP]],Factors[For XLOOKUP],Factors[Factor],"")</f>
        <v>Σ.Ε. N2O</v>
      </c>
      <c r="O705" s="81">
        <f>_xlfn.XLOOKUP(Calculations[[#This Row],[For XLOOKUP]],Factors[For XLOOKUP],Factors[Value],"")</f>
        <v>5.7579862618475113E-11</v>
      </c>
      <c r="P705" s="81" t="str">
        <f>_xlfn.XLOOKUP(Calculations[[#This Row],[For XLOOKUP]],Factors[For XLOOKUP],Factors[Units],"")</f>
        <v>t N2O/kWh</v>
      </c>
      <c r="Q705" s="19">
        <f>_xlfn.XLOOKUP(Calculations[[#This Row],[For XLOOKUP]],Factors[For XLOOKUP],Factors[Source],"")</f>
        <v>0</v>
      </c>
      <c r="R70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5" s="81" t="str">
        <f>IF(LEFT(Calculations[[#This Row],[Emission Factor]],7)="Σ.Ε. CH",Calculations[[#This Row],[Value]]*Calculations[[#This Row],[Τιμή]],"-")</f>
        <v>-</v>
      </c>
      <c r="T705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4.3899036967968232E-4</v>
      </c>
      <c r="U705" s="81" t="str">
        <f>IF(LEFT(Calculations[[#This Row],[Emission Factor]],3)="GWP",Calculations[[#This Row],[Τιμή]],"-")</f>
        <v>-</v>
      </c>
      <c r="V705" s="81" t="str">
        <f>IF(OR(Calculations[[#This Row],[Emission Factor]]="Σ.Ε. CO₂ eq",Calculations[[#This Row],[Emission Factor]]="CO₂ eq"),Calculations[[#This Row],[Value]]*Calculations[[#This Row],[Τιμή]],"-")</f>
        <v>-</v>
      </c>
      <c r="W705" s="81" t="str">
        <f>IF(Calculations[[#This Row],[Πηγή εκπομπών]]="Electricity consumed in office buildings and projects - market based",Calculations[[#This Row],[t CO2]],"")</f>
        <v/>
      </c>
      <c r="X70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0.11633244796511581</v>
      </c>
    </row>
    <row r="706" spans="1:24" ht="15" hidden="1" thickTop="1">
      <c r="A706" s="15" t="s">
        <v>350</v>
      </c>
      <c r="B706" s="15" t="s">
        <v>583</v>
      </c>
      <c r="C706" s="16" t="s">
        <v>624</v>
      </c>
      <c r="D706" s="77" t="s">
        <v>894</v>
      </c>
      <c r="E706" s="16"/>
      <c r="F706" s="16" t="s">
        <v>317</v>
      </c>
      <c r="G706" s="16" t="s">
        <v>333</v>
      </c>
      <c r="H706" s="16" t="s">
        <v>623</v>
      </c>
      <c r="I706" s="17" t="s">
        <v>338</v>
      </c>
      <c r="J706" s="238">
        <v>7624026</v>
      </c>
      <c r="K706" s="18" t="s">
        <v>51</v>
      </c>
      <c r="L706" s="94" t="s">
        <v>1322</v>
      </c>
      <c r="M706" s="148" t="s">
        <v>1326</v>
      </c>
      <c r="N706" s="19" t="str">
        <f>_xlfn.XLOOKUP(Calculations[[#This Row],[For XLOOKUP]],Factors[For XLOOKUP],Factors[Factor],"")</f>
        <v>Σ.Ε. CO₂ eq</v>
      </c>
      <c r="O706" s="19">
        <f>_xlfn.XLOOKUP(Calculations[[#This Row],[For XLOOKUP]],Factors[For XLOOKUP],Factors[Value],"")</f>
        <v>9.649034331211682E-7</v>
      </c>
      <c r="P706" s="19" t="str">
        <f>_xlfn.XLOOKUP(Calculations[[#This Row],[For XLOOKUP]],Factors[For XLOOKUP],Factors[Units],"")</f>
        <v>t CO2 eq/kWh</v>
      </c>
      <c r="Q706" s="19">
        <f>_xlfn.XLOOKUP(Calculations[[#This Row],[For XLOOKUP]],Factors[For XLOOKUP],Factors[Source],"")</f>
        <v>0</v>
      </c>
      <c r="R70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6" s="19" t="str">
        <f>IF(LEFT(Calculations[[#This Row],[Emission Factor]],7)="Σ.Ε. CH",Calculations[[#This Row],[Value]]*Calculations[[#This Row],[Τιμή]],"-")</f>
        <v>-</v>
      </c>
      <c r="T706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6" s="19" t="str">
        <f>IF(LEFT(Calculations[[#This Row],[Emission Factor]],3)="GWP",Calculations[[#This Row],[Τιμή]],"-")</f>
        <v>-</v>
      </c>
      <c r="V706" s="19">
        <f>IF(OR(Calculations[[#This Row],[Emission Factor]]="Σ.Ε. CO₂ eq",Calculations[[#This Row],[Emission Factor]]="CO₂ eq"),Calculations[[#This Row],[Value]]*Calculations[[#This Row],[Τιμή]],"-")</f>
        <v>7.3564488616050472</v>
      </c>
      <c r="W706" s="19" t="str">
        <f>IF(Calculations[[#This Row],[Πηγή εκπομπών]]="Electricity consumed in office buildings and projects - market based",Calculations[[#This Row],[t CO2]],"")</f>
        <v/>
      </c>
      <c r="X70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7.3564488616050472</v>
      </c>
    </row>
    <row r="707" spans="1:24" ht="15" hidden="1" thickTop="1">
      <c r="A707" s="15" t="s">
        <v>350</v>
      </c>
      <c r="B707" s="15" t="s">
        <v>583</v>
      </c>
      <c r="C707" s="16" t="s">
        <v>624</v>
      </c>
      <c r="D707" s="77" t="s">
        <v>895</v>
      </c>
      <c r="E707" s="16" t="s">
        <v>1140</v>
      </c>
      <c r="F707" s="16" t="s">
        <v>322</v>
      </c>
      <c r="G707" s="16" t="s">
        <v>333</v>
      </c>
      <c r="H707" s="16" t="s">
        <v>339</v>
      </c>
      <c r="I707" s="17" t="s">
        <v>340</v>
      </c>
      <c r="J707" s="238">
        <v>24964867</v>
      </c>
      <c r="K707" s="18" t="s">
        <v>51</v>
      </c>
      <c r="L707" s="94"/>
      <c r="M707" s="148" t="s">
        <v>819</v>
      </c>
      <c r="N707" s="81" t="str">
        <f>_xlfn.XLOOKUP(Calculations[[#This Row],[For XLOOKUP]],Factors[For XLOOKUP],Factors[Factor],"")</f>
        <v>Σ.Ε. CO₂ eq</v>
      </c>
      <c r="O707" s="81">
        <f>_xlfn.XLOOKUP(Calculations[[#This Row],[For XLOOKUP]],Factors[For XLOOKUP],Factors[Value],"")</f>
        <v>4.3621849940847108E-5</v>
      </c>
      <c r="P707" s="81">
        <f>_xlfn.XLOOKUP(Calculations[[#This Row],[For XLOOKUP]],Factors[For XLOOKUP],Factors[Units],"")</f>
        <v>0</v>
      </c>
      <c r="Q707" s="19" t="str">
        <f>_xlfn.XLOOKUP(Calculations[[#This Row],[For XLOOKUP]],Factors[For XLOOKUP],Factors[Source],"")</f>
        <v>Sheet "Scope 3_Scope 2 Upstream CO2eq"</v>
      </c>
      <c r="R70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7" s="81" t="str">
        <f>IF(LEFT(Calculations[[#This Row],[Emission Factor]],7)="Σ.Ε. CH",Calculations[[#This Row],[Value]]*Calculations[[#This Row],[Τιμή]],"-")</f>
        <v>-</v>
      </c>
      <c r="T70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7" s="81" t="str">
        <f>IF(LEFT(Calculations[[#This Row],[Emission Factor]],3)="GWP",Calculations[[#This Row],[Τιμή]],"-")</f>
        <v>-</v>
      </c>
      <c r="V707" s="81">
        <f>IF(OR(Calculations[[#This Row],[Emission Factor]]="Σ.Ε. CO₂ eq",Calculations[[#This Row],[Emission Factor]]="CO₂ eq"),Calculations[[#This Row],[Value]]*Calculations[[#This Row],[Τιμή]],"-")</f>
        <v>1089.013682067206</v>
      </c>
      <c r="W707" s="81" t="str">
        <f>IF(Calculations[[#This Row],[Πηγή εκπομπών]]="Electricity consumed in office buildings and projects - market based",Calculations[[#This Row],[t CO2]],"")</f>
        <v/>
      </c>
      <c r="X70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1089.013682067206</v>
      </c>
    </row>
    <row r="708" spans="1:24" ht="15" hidden="1" thickTop="1">
      <c r="A708" s="15" t="s">
        <v>350</v>
      </c>
      <c r="B708" s="15" t="s">
        <v>583</v>
      </c>
      <c r="C708" s="16" t="s">
        <v>624</v>
      </c>
      <c r="D708" s="77" t="s">
        <v>895</v>
      </c>
      <c r="E708" s="16" t="s">
        <v>1136</v>
      </c>
      <c r="F708" s="16" t="s">
        <v>319</v>
      </c>
      <c r="G708" s="16" t="s">
        <v>333</v>
      </c>
      <c r="H708" s="16" t="s">
        <v>339</v>
      </c>
      <c r="I708" s="17" t="s">
        <v>340</v>
      </c>
      <c r="J708" s="238">
        <v>82089.878035182206</v>
      </c>
      <c r="K708" s="18" t="s">
        <v>51</v>
      </c>
      <c r="L708" s="94"/>
      <c r="M708" s="148" t="s">
        <v>819</v>
      </c>
      <c r="N708" s="81" t="str">
        <f>_xlfn.XLOOKUP(Calculations[[#This Row],[For XLOOKUP]],Factors[For XLOOKUP],Factors[Factor],"")</f>
        <v>Σ.Ε. CO₂ eq</v>
      </c>
      <c r="O708" s="81">
        <f>_xlfn.XLOOKUP(Calculations[[#This Row],[For XLOOKUP]],Factors[For XLOOKUP],Factors[Value],"")</f>
        <v>4.3621849940847108E-5</v>
      </c>
      <c r="P708" s="81">
        <f>_xlfn.XLOOKUP(Calculations[[#This Row],[For XLOOKUP]],Factors[For XLOOKUP],Factors[Units],"")</f>
        <v>0</v>
      </c>
      <c r="Q708" s="19" t="str">
        <f>_xlfn.XLOOKUP(Calculations[[#This Row],[For XLOOKUP]],Factors[For XLOOKUP],Factors[Source],"")</f>
        <v>Sheet "Scope 3_Scope 2 Upstream CO2eq"</v>
      </c>
      <c r="R70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8" s="81" t="str">
        <f>IF(LEFT(Calculations[[#This Row],[Emission Factor]],7)="Σ.Ε. CH",Calculations[[#This Row],[Value]]*Calculations[[#This Row],[Τιμή]],"-")</f>
        <v>-</v>
      </c>
      <c r="T70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8" s="81" t="str">
        <f>IF(LEFT(Calculations[[#This Row],[Emission Factor]],3)="GWP",Calculations[[#This Row],[Τιμή]],"-")</f>
        <v>-</v>
      </c>
      <c r="V708" s="81">
        <f>IF(OR(Calculations[[#This Row],[Emission Factor]]="Σ.Ε. CO₂ eq",Calculations[[#This Row],[Emission Factor]]="CO₂ eq"),Calculations[[#This Row],[Value]]*Calculations[[#This Row],[Τιμή]],"-")</f>
        <v>3.5809123413131592</v>
      </c>
      <c r="W708" s="81" t="str">
        <f>IF(Calculations[[#This Row],[Πηγή εκπομπών]]="Electricity consumed in office buildings and projects - market based",Calculations[[#This Row],[t CO2]],"")</f>
        <v/>
      </c>
      <c r="X70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3.5809123413131592</v>
      </c>
    </row>
    <row r="709" spans="1:24" ht="15" hidden="1" thickTop="1">
      <c r="A709" s="15" t="s">
        <v>350</v>
      </c>
      <c r="B709" s="15" t="s">
        <v>583</v>
      </c>
      <c r="C709" s="16" t="s">
        <v>624</v>
      </c>
      <c r="D709" s="16" t="s">
        <v>895</v>
      </c>
      <c r="E709" s="16" t="s">
        <v>1141</v>
      </c>
      <c r="F709" s="16" t="s">
        <v>312</v>
      </c>
      <c r="G709" s="16" t="s">
        <v>333</v>
      </c>
      <c r="H709" s="16" t="s">
        <v>339</v>
      </c>
      <c r="I709" s="17" t="s">
        <v>340</v>
      </c>
      <c r="J709" s="238">
        <v>10032391.66</v>
      </c>
      <c r="K709" s="18" t="s">
        <v>51</v>
      </c>
      <c r="L709" s="94"/>
      <c r="M709" s="148" t="s">
        <v>819</v>
      </c>
      <c r="N709" s="19" t="str">
        <f>_xlfn.XLOOKUP(Calculations[[#This Row],[For XLOOKUP]],Factors[For XLOOKUP],Factors[Factor],"")</f>
        <v>Σ.Ε. CO₂ eq</v>
      </c>
      <c r="O709" s="19">
        <f>_xlfn.XLOOKUP(Calculations[[#This Row],[For XLOOKUP]],Factors[For XLOOKUP],Factors[Value],"")</f>
        <v>4.3621849940847108E-5</v>
      </c>
      <c r="P709" s="19">
        <f>_xlfn.XLOOKUP(Calculations[[#This Row],[For XLOOKUP]],Factors[For XLOOKUP],Factors[Units],"")</f>
        <v>0</v>
      </c>
      <c r="Q709" s="19" t="str">
        <f>_xlfn.XLOOKUP(Calculations[[#This Row],[For XLOOKUP]],Factors[For XLOOKUP],Factors[Source],"")</f>
        <v>Sheet "Scope 3_Scope 2 Upstream CO2eq"</v>
      </c>
      <c r="R70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9" s="19" t="str">
        <f>IF(LEFT(Calculations[[#This Row],[Emission Factor]],7)="Σ.Ε. CH",Calculations[[#This Row],[Value]]*Calculations[[#This Row],[Τιμή]],"-")</f>
        <v>-</v>
      </c>
      <c r="T70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9" s="19" t="str">
        <f>IF(LEFT(Calculations[[#This Row],[Emission Factor]],3)="GWP",Calculations[[#This Row],[Τιμή]],"-")</f>
        <v>-</v>
      </c>
      <c r="V709" s="19">
        <f>IF(OR(Calculations[[#This Row],[Emission Factor]]="Σ.Ε. CO₂ eq",Calculations[[#This Row],[Emission Factor]]="CO₂ eq"),Calculations[[#This Row],[Value]]*Calculations[[#This Row],[Τιμή]],"-")</f>
        <v>437.63148354032603</v>
      </c>
      <c r="W709" s="19" t="str">
        <f>IF(Calculations[[#This Row],[Πηγή εκπομπών]]="Electricity consumed in office buildings and projects - market based",Calculations[[#This Row],[t CO2]],"")</f>
        <v/>
      </c>
      <c r="X70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437.63148354032603</v>
      </c>
    </row>
    <row r="710" spans="1:24" ht="15" hidden="1" thickTop="1">
      <c r="A710" s="15" t="s">
        <v>350</v>
      </c>
      <c r="B710" s="15" t="s">
        <v>583</v>
      </c>
      <c r="C710" s="16" t="s">
        <v>624</v>
      </c>
      <c r="D710" s="16" t="s">
        <v>895</v>
      </c>
      <c r="E710" s="16" t="s">
        <v>1141</v>
      </c>
      <c r="F710" s="16" t="s">
        <v>312</v>
      </c>
      <c r="G710" s="16" t="s">
        <v>333</v>
      </c>
      <c r="H710" s="16" t="s">
        <v>339</v>
      </c>
      <c r="I710" s="17" t="s">
        <v>340</v>
      </c>
      <c r="J710" s="238">
        <v>2925278.43</v>
      </c>
      <c r="K710" s="18" t="s">
        <v>51</v>
      </c>
      <c r="L710" s="94"/>
      <c r="M710" s="148" t="s">
        <v>819</v>
      </c>
      <c r="N710" s="81" t="str">
        <f>_xlfn.XLOOKUP(Calculations[[#This Row],[For XLOOKUP]],Factors[For XLOOKUP],Factors[Factor],"")</f>
        <v>Σ.Ε. CO₂ eq</v>
      </c>
      <c r="O710" s="81">
        <f>_xlfn.XLOOKUP(Calculations[[#This Row],[For XLOOKUP]],Factors[For XLOOKUP],Factors[Value],"")</f>
        <v>4.3621849940847108E-5</v>
      </c>
      <c r="P710" s="81">
        <f>_xlfn.XLOOKUP(Calculations[[#This Row],[For XLOOKUP]],Factors[For XLOOKUP],Factors[Units],"")</f>
        <v>0</v>
      </c>
      <c r="Q710" s="19" t="str">
        <f>_xlfn.XLOOKUP(Calculations[[#This Row],[For XLOOKUP]],Factors[For XLOOKUP],Factors[Source],"")</f>
        <v>Sheet "Scope 3_Scope 2 Upstream CO2eq"</v>
      </c>
      <c r="R71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0" s="81" t="str">
        <f>IF(LEFT(Calculations[[#This Row],[Emission Factor]],7)="Σ.Ε. CH",Calculations[[#This Row],[Value]]*Calculations[[#This Row],[Τιμή]],"-")</f>
        <v>-</v>
      </c>
      <c r="T71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0" s="81" t="str">
        <f>IF(LEFT(Calculations[[#This Row],[Emission Factor]],3)="GWP",Calculations[[#This Row],[Τιμή]],"-")</f>
        <v>-</v>
      </c>
      <c r="V710" s="81">
        <f>IF(OR(Calculations[[#This Row],[Emission Factor]]="Σ.Ε. CO₂ eq",Calculations[[#This Row],[Emission Factor]]="CO₂ eq"),Calculations[[#This Row],[Value]]*Calculations[[#This Row],[Τιμή]],"-")</f>
        <v>127.60605670865682</v>
      </c>
      <c r="W710" s="81" t="str">
        <f>IF(Calculations[[#This Row],[Πηγή εκπομπών]]="Electricity consumed in office buildings and projects - market based",Calculations[[#This Row],[t CO2]],"")</f>
        <v/>
      </c>
      <c r="X71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127.60605670865682</v>
      </c>
    </row>
    <row r="711" spans="1:24" ht="15" hidden="1" thickTop="1">
      <c r="A711" s="15" t="s">
        <v>350</v>
      </c>
      <c r="B711" s="15" t="s">
        <v>583</v>
      </c>
      <c r="C711" s="16" t="s">
        <v>624</v>
      </c>
      <c r="D711" s="16" t="s">
        <v>895</v>
      </c>
      <c r="E711" s="16" t="s">
        <v>1142</v>
      </c>
      <c r="F711" s="16" t="s">
        <v>312</v>
      </c>
      <c r="G711" s="16" t="s">
        <v>333</v>
      </c>
      <c r="H711" s="16" t="s">
        <v>339</v>
      </c>
      <c r="I711" s="17" t="s">
        <v>340</v>
      </c>
      <c r="J711" s="238">
        <v>7868.0394282922298</v>
      </c>
      <c r="K711" s="18" t="s">
        <v>51</v>
      </c>
      <c r="L711" s="94"/>
      <c r="M711" s="148" t="s">
        <v>819</v>
      </c>
      <c r="N711" s="81" t="str">
        <f>_xlfn.XLOOKUP(Calculations[[#This Row],[For XLOOKUP]],Factors[For XLOOKUP],Factors[Factor],"")</f>
        <v>Σ.Ε. CO₂ eq</v>
      </c>
      <c r="O711" s="81">
        <f>_xlfn.XLOOKUP(Calculations[[#This Row],[For XLOOKUP]],Factors[For XLOOKUP],Factors[Value],"")</f>
        <v>4.3621849940847108E-5</v>
      </c>
      <c r="P711" s="81">
        <f>_xlfn.XLOOKUP(Calculations[[#This Row],[For XLOOKUP]],Factors[For XLOOKUP],Factors[Units],"")</f>
        <v>0</v>
      </c>
      <c r="Q711" s="19" t="str">
        <f>_xlfn.XLOOKUP(Calculations[[#This Row],[For XLOOKUP]],Factors[For XLOOKUP],Factors[Source],"")</f>
        <v>Sheet "Scope 3_Scope 2 Upstream CO2eq"</v>
      </c>
      <c r="R71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1" s="81" t="str">
        <f>IF(LEFT(Calculations[[#This Row],[Emission Factor]],7)="Σ.Ε. CH",Calculations[[#This Row],[Value]]*Calculations[[#This Row],[Τιμή]],"-")</f>
        <v>-</v>
      </c>
      <c r="T71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1" s="81" t="str">
        <f>IF(LEFT(Calculations[[#This Row],[Emission Factor]],3)="GWP",Calculations[[#This Row],[Τιμή]],"-")</f>
        <v>-</v>
      </c>
      <c r="V711" s="81">
        <f>IF(OR(Calculations[[#This Row],[Emission Factor]]="Σ.Ε. CO₂ eq",Calculations[[#This Row],[Emission Factor]]="CO₂ eq"),Calculations[[#This Row],[Value]]*Calculations[[#This Row],[Τιμή]],"-")</f>
        <v>0.34321843526963214</v>
      </c>
      <c r="W711" s="81" t="str">
        <f>IF(Calculations[[#This Row],[Πηγή εκπομπών]]="Electricity consumed in office buildings and projects - market based",Calculations[[#This Row],[t CO2]],"")</f>
        <v/>
      </c>
      <c r="X71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0.34321843526963214</v>
      </c>
    </row>
    <row r="712" spans="1:24" ht="15" hidden="1" thickTop="1">
      <c r="A712" s="15" t="s">
        <v>350</v>
      </c>
      <c r="B712" s="15" t="s">
        <v>583</v>
      </c>
      <c r="C712" s="16" t="s">
        <v>624</v>
      </c>
      <c r="D712" s="16" t="s">
        <v>895</v>
      </c>
      <c r="E712" s="16" t="s">
        <v>1137</v>
      </c>
      <c r="F712" s="16" t="s">
        <v>319</v>
      </c>
      <c r="G712" s="16" t="s">
        <v>333</v>
      </c>
      <c r="H712" s="16" t="s">
        <v>339</v>
      </c>
      <c r="I712" s="17" t="s">
        <v>340</v>
      </c>
      <c r="J712" s="238">
        <v>37261.56</v>
      </c>
      <c r="K712" s="18" t="s">
        <v>51</v>
      </c>
      <c r="L712" s="94"/>
      <c r="M712" s="148" t="s">
        <v>819</v>
      </c>
      <c r="N712" s="19" t="str">
        <f>_xlfn.XLOOKUP(Calculations[[#This Row],[For XLOOKUP]],Factors[For XLOOKUP],Factors[Factor],"")</f>
        <v>Σ.Ε. CO₂ eq</v>
      </c>
      <c r="O712" s="19">
        <f>_xlfn.XLOOKUP(Calculations[[#This Row],[For XLOOKUP]],Factors[For XLOOKUP],Factors[Value],"")</f>
        <v>4.3621849940847108E-5</v>
      </c>
      <c r="P712" s="19">
        <f>_xlfn.XLOOKUP(Calculations[[#This Row],[For XLOOKUP]],Factors[For XLOOKUP],Factors[Units],"")</f>
        <v>0</v>
      </c>
      <c r="Q712" s="19" t="str">
        <f>_xlfn.XLOOKUP(Calculations[[#This Row],[For XLOOKUP]],Factors[For XLOOKUP],Factors[Source],"")</f>
        <v>Sheet "Scope 3_Scope 2 Upstream CO2eq"</v>
      </c>
      <c r="R71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2" s="19" t="str">
        <f>IF(LEFT(Calculations[[#This Row],[Emission Factor]],7)="Σ.Ε. CH",Calculations[[#This Row],[Value]]*Calculations[[#This Row],[Τιμή]],"-")</f>
        <v>-</v>
      </c>
      <c r="T712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2" s="19" t="str">
        <f>IF(LEFT(Calculations[[#This Row],[Emission Factor]],3)="GWP",Calculations[[#This Row],[Τιμή]],"-")</f>
        <v>-</v>
      </c>
      <c r="V712" s="19">
        <f>IF(OR(Calculations[[#This Row],[Emission Factor]]="Σ.Ε. CO₂ eq",Calculations[[#This Row],[Emission Factor]]="CO₂ eq"),Calculations[[#This Row],[Value]]*Calculations[[#This Row],[Τιμή]],"-")</f>
        <v>1.6254181788818709</v>
      </c>
      <c r="W712" s="19" t="str">
        <f>IF(Calculations[[#This Row],[Πηγή εκπομπών]]="Electricity consumed in office buildings and projects - market based",Calculations[[#This Row],[t CO2]],"")</f>
        <v/>
      </c>
      <c r="X71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1.6254181788818709</v>
      </c>
    </row>
    <row r="713" spans="1:24" ht="15" hidden="1" thickTop="1">
      <c r="A713" s="15" t="s">
        <v>350</v>
      </c>
      <c r="B713" s="15" t="s">
        <v>583</v>
      </c>
      <c r="C713" s="16" t="s">
        <v>624</v>
      </c>
      <c r="D713" s="77" t="s">
        <v>895</v>
      </c>
      <c r="E713" s="16" t="s">
        <v>1137</v>
      </c>
      <c r="F713" s="16" t="s">
        <v>319</v>
      </c>
      <c r="G713" s="16" t="s">
        <v>333</v>
      </c>
      <c r="H713" s="16" t="s">
        <v>339</v>
      </c>
      <c r="I713" s="17" t="s">
        <v>340</v>
      </c>
      <c r="J713" s="238">
        <v>80048.09</v>
      </c>
      <c r="K713" s="18" t="s">
        <v>51</v>
      </c>
      <c r="L713" s="94"/>
      <c r="M713" s="148" t="s">
        <v>819</v>
      </c>
      <c r="N713" s="81" t="str">
        <f>_xlfn.XLOOKUP(Calculations[[#This Row],[For XLOOKUP]],Factors[For XLOOKUP],Factors[Factor],"")</f>
        <v>Σ.Ε. CO₂ eq</v>
      </c>
      <c r="O713" s="81">
        <f>_xlfn.XLOOKUP(Calculations[[#This Row],[For XLOOKUP]],Factors[For XLOOKUP],Factors[Value],"")</f>
        <v>4.3621849940847108E-5</v>
      </c>
      <c r="P713" s="81">
        <f>_xlfn.XLOOKUP(Calculations[[#This Row],[For XLOOKUP]],Factors[For XLOOKUP],Factors[Units],"")</f>
        <v>0</v>
      </c>
      <c r="Q713" s="19" t="str">
        <f>_xlfn.XLOOKUP(Calculations[[#This Row],[For XLOOKUP]],Factors[For XLOOKUP],Factors[Source],"")</f>
        <v>Sheet "Scope 3_Scope 2 Upstream CO2eq"</v>
      </c>
      <c r="R71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3" s="81" t="str">
        <f>IF(LEFT(Calculations[[#This Row],[Emission Factor]],7)="Σ.Ε. CH",Calculations[[#This Row],[Value]]*Calculations[[#This Row],[Τιμή]],"-")</f>
        <v>-</v>
      </c>
      <c r="T71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3" s="81" t="str">
        <f>IF(LEFT(Calculations[[#This Row],[Emission Factor]],3)="GWP",Calculations[[#This Row],[Τιμή]],"-")</f>
        <v>-</v>
      </c>
      <c r="V713" s="81">
        <f>IF(OR(Calculations[[#This Row],[Emission Factor]]="Σ.Ε. CO₂ eq",Calculations[[#This Row],[Emission Factor]]="CO₂ eq"),Calculations[[#This Row],[Value]]*Calculations[[#This Row],[Τιμή]],"-")</f>
        <v>3.491845770031424</v>
      </c>
      <c r="W713" s="81" t="str">
        <f>IF(Calculations[[#This Row],[Πηγή εκπομπών]]="Electricity consumed in office buildings and projects - market based",Calculations[[#This Row],[t CO2]],"")</f>
        <v/>
      </c>
      <c r="X71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3.491845770031424</v>
      </c>
    </row>
    <row r="714" spans="1:24" ht="15" hidden="1" thickTop="1">
      <c r="A714" s="15" t="s">
        <v>350</v>
      </c>
      <c r="B714" s="15" t="s">
        <v>583</v>
      </c>
      <c r="C714" s="16" t="s">
        <v>624</v>
      </c>
      <c r="D714" s="77" t="s">
        <v>895</v>
      </c>
      <c r="E714" s="16" t="s">
        <v>1139</v>
      </c>
      <c r="F714" s="16" t="s">
        <v>319</v>
      </c>
      <c r="G714" s="16" t="s">
        <v>333</v>
      </c>
      <c r="H714" s="16" t="s">
        <v>339</v>
      </c>
      <c r="I714" s="17" t="s">
        <v>340</v>
      </c>
      <c r="J714" s="238">
        <v>50842</v>
      </c>
      <c r="K714" s="18" t="s">
        <v>51</v>
      </c>
      <c r="L714" s="94"/>
      <c r="M714" s="148" t="s">
        <v>819</v>
      </c>
      <c r="N714" s="81" t="str">
        <f>_xlfn.XLOOKUP(Calculations[[#This Row],[For XLOOKUP]],Factors[For XLOOKUP],Factors[Factor],"")</f>
        <v>Σ.Ε. CO₂ eq</v>
      </c>
      <c r="O714" s="81">
        <f>_xlfn.XLOOKUP(Calculations[[#This Row],[For XLOOKUP]],Factors[For XLOOKUP],Factors[Value],"")</f>
        <v>4.3621849940847108E-5</v>
      </c>
      <c r="P714" s="81">
        <f>_xlfn.XLOOKUP(Calculations[[#This Row],[For XLOOKUP]],Factors[For XLOOKUP],Factors[Units],"")</f>
        <v>0</v>
      </c>
      <c r="Q714" s="19" t="str">
        <f>_xlfn.XLOOKUP(Calculations[[#This Row],[For XLOOKUP]],Factors[For XLOOKUP],Factors[Source],"")</f>
        <v>Sheet "Scope 3_Scope 2 Upstream CO2eq"</v>
      </c>
      <c r="R71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4" s="81" t="str">
        <f>IF(LEFT(Calculations[[#This Row],[Emission Factor]],7)="Σ.Ε. CH",Calculations[[#This Row],[Value]]*Calculations[[#This Row],[Τιμή]],"-")</f>
        <v>-</v>
      </c>
      <c r="T71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4" s="81" t="str">
        <f>IF(LEFT(Calculations[[#This Row],[Emission Factor]],3)="GWP",Calculations[[#This Row],[Τιμή]],"-")</f>
        <v>-</v>
      </c>
      <c r="V714" s="81">
        <f>IF(OR(Calculations[[#This Row],[Emission Factor]]="Σ.Ε. CO₂ eq",Calculations[[#This Row],[Emission Factor]]="CO₂ eq"),Calculations[[#This Row],[Value]]*Calculations[[#This Row],[Τιμή]],"-")</f>
        <v>2.2178220946925489</v>
      </c>
      <c r="W714" s="81" t="str">
        <f>IF(Calculations[[#This Row],[Πηγή εκπομπών]]="Electricity consumed in office buildings and projects - market based",Calculations[[#This Row],[t CO2]],"")</f>
        <v/>
      </c>
      <c r="X71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2.2178220946925489</v>
      </c>
    </row>
    <row r="715" spans="1:24" ht="15" hidden="1" thickTop="1">
      <c r="A715" s="15" t="s">
        <v>350</v>
      </c>
      <c r="B715" s="15" t="s">
        <v>583</v>
      </c>
      <c r="C715" s="16" t="s">
        <v>624</v>
      </c>
      <c r="D715" s="77" t="s">
        <v>895</v>
      </c>
      <c r="E715" s="77" t="s">
        <v>1134</v>
      </c>
      <c r="F715" s="16" t="s">
        <v>319</v>
      </c>
      <c r="G715" s="16" t="s">
        <v>333</v>
      </c>
      <c r="H715" s="16" t="s">
        <v>339</v>
      </c>
      <c r="I715" s="17" t="s">
        <v>340</v>
      </c>
      <c r="J715" s="238">
        <v>287309</v>
      </c>
      <c r="K715" s="18" t="s">
        <v>51</v>
      </c>
      <c r="L715" s="94"/>
      <c r="M715" s="148" t="s">
        <v>819</v>
      </c>
      <c r="N715" s="81" t="str">
        <f>_xlfn.XLOOKUP(Calculations[[#This Row],[For XLOOKUP]],Factors[For XLOOKUP],Factors[Factor],"")</f>
        <v>Σ.Ε. CO₂ eq</v>
      </c>
      <c r="O715" s="81">
        <f>_xlfn.XLOOKUP(Calculations[[#This Row],[For XLOOKUP]],Factors[For XLOOKUP],Factors[Value],"")</f>
        <v>4.3621849940847108E-5</v>
      </c>
      <c r="P715" s="81">
        <f>_xlfn.XLOOKUP(Calculations[[#This Row],[For XLOOKUP]],Factors[For XLOOKUP],Factors[Units],"")</f>
        <v>0</v>
      </c>
      <c r="Q715" s="19" t="str">
        <f>_xlfn.XLOOKUP(Calculations[[#This Row],[For XLOOKUP]],Factors[For XLOOKUP],Factors[Source],"")</f>
        <v>Sheet "Scope 3_Scope 2 Upstream CO2eq"</v>
      </c>
      <c r="R71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5" s="81" t="str">
        <f>IF(LEFT(Calculations[[#This Row],[Emission Factor]],7)="Σ.Ε. CH",Calculations[[#This Row],[Value]]*Calculations[[#This Row],[Τιμή]],"-")</f>
        <v>-</v>
      </c>
      <c r="T71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5" s="81" t="str">
        <f>IF(LEFT(Calculations[[#This Row],[Emission Factor]],3)="GWP",Calculations[[#This Row],[Τιμή]],"-")</f>
        <v>-</v>
      </c>
      <c r="V715" s="81">
        <f>IF(OR(Calculations[[#This Row],[Emission Factor]]="Σ.Ε. CO₂ eq",Calculations[[#This Row],[Emission Factor]]="CO₂ eq"),Calculations[[#This Row],[Value]]*Calculations[[#This Row],[Τιμή]],"-")</f>
        <v>12.532950084654843</v>
      </c>
      <c r="W715" s="81" t="str">
        <f>IF(Calculations[[#This Row],[Πηγή εκπομπών]]="Electricity consumed in office buildings and projects - market based",Calculations[[#This Row],[t CO2]],"")</f>
        <v/>
      </c>
      <c r="X71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12.532950084654843</v>
      </c>
    </row>
    <row r="716" spans="1:24" ht="15" hidden="1" thickTop="1">
      <c r="A716" s="15" t="s">
        <v>350</v>
      </c>
      <c r="B716" s="15" t="s">
        <v>583</v>
      </c>
      <c r="C716" s="16" t="s">
        <v>624</v>
      </c>
      <c r="D716" s="77" t="s">
        <v>895</v>
      </c>
      <c r="E716" s="77" t="s">
        <v>1138</v>
      </c>
      <c r="F716" s="16" t="s">
        <v>319</v>
      </c>
      <c r="G716" s="16" t="s">
        <v>333</v>
      </c>
      <c r="H716" s="16" t="s">
        <v>339</v>
      </c>
      <c r="I716" s="17" t="s">
        <v>340</v>
      </c>
      <c r="J716" s="238">
        <v>213387</v>
      </c>
      <c r="K716" s="18" t="s">
        <v>51</v>
      </c>
      <c r="L716" s="94"/>
      <c r="M716" s="148" t="s">
        <v>819</v>
      </c>
      <c r="N716" s="81" t="str">
        <f>_xlfn.XLOOKUP(Calculations[[#This Row],[For XLOOKUP]],Factors[For XLOOKUP],Factors[Factor],"")</f>
        <v>Σ.Ε. CO₂ eq</v>
      </c>
      <c r="O716" s="81">
        <f>_xlfn.XLOOKUP(Calculations[[#This Row],[For XLOOKUP]],Factors[For XLOOKUP],Factors[Value],"")</f>
        <v>4.3621849940847108E-5</v>
      </c>
      <c r="P716" s="81">
        <f>_xlfn.XLOOKUP(Calculations[[#This Row],[For XLOOKUP]],Factors[For XLOOKUP],Factors[Units],"")</f>
        <v>0</v>
      </c>
      <c r="Q716" s="19" t="str">
        <f>_xlfn.XLOOKUP(Calculations[[#This Row],[For XLOOKUP]],Factors[For XLOOKUP],Factors[Source],"")</f>
        <v>Sheet "Scope 3_Scope 2 Upstream CO2eq"</v>
      </c>
      <c r="R71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6" s="81" t="str">
        <f>IF(LEFT(Calculations[[#This Row],[Emission Factor]],7)="Σ.Ε. CH",Calculations[[#This Row],[Value]]*Calculations[[#This Row],[Τιμή]],"-")</f>
        <v>-</v>
      </c>
      <c r="T71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6" s="81" t="str">
        <f>IF(LEFT(Calculations[[#This Row],[Emission Factor]],3)="GWP",Calculations[[#This Row],[Τιμή]],"-")</f>
        <v>-</v>
      </c>
      <c r="V716" s="81">
        <f>IF(OR(Calculations[[#This Row],[Emission Factor]]="Σ.Ε. CO₂ eq",Calculations[[#This Row],[Emission Factor]]="CO₂ eq"),Calculations[[#This Row],[Value]]*Calculations[[#This Row],[Τιμή]],"-")</f>
        <v>9.3083356933275425</v>
      </c>
      <c r="W716" s="81" t="str">
        <f>IF(Calculations[[#This Row],[Πηγή εκπομπών]]="Electricity consumed in office buildings and projects - market based",Calculations[[#This Row],[t CO2]],"")</f>
        <v/>
      </c>
      <c r="X71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9.3083356933275425</v>
      </c>
    </row>
    <row r="717" spans="1:24" ht="15" hidden="1" thickTop="1">
      <c r="A717" s="15" t="s">
        <v>350</v>
      </c>
      <c r="B717" s="15" t="s">
        <v>583</v>
      </c>
      <c r="C717" s="16" t="s">
        <v>1152</v>
      </c>
      <c r="D717" s="77" t="s">
        <v>1144</v>
      </c>
      <c r="E717" s="77" t="s">
        <v>1143</v>
      </c>
      <c r="F717" s="209" t="s">
        <v>647</v>
      </c>
      <c r="G717" s="16" t="s">
        <v>333</v>
      </c>
      <c r="H717" s="16" t="s">
        <v>339</v>
      </c>
      <c r="I717" s="17" t="s">
        <v>340</v>
      </c>
      <c r="J717" s="238">
        <v>30749</v>
      </c>
      <c r="K717" s="18" t="s">
        <v>51</v>
      </c>
      <c r="L717" s="94"/>
      <c r="M717" s="148" t="s">
        <v>1129</v>
      </c>
      <c r="N717" s="81" t="str">
        <f>_xlfn.XLOOKUP(Calculations[[#This Row],[For XLOOKUP]],Factors[For XLOOKUP],Factors[Factor],"")</f>
        <v>Σ.Ε. CO₂ eq</v>
      </c>
      <c r="O717" s="81">
        <f>_xlfn.XLOOKUP(Calculations[[#This Row],[For XLOOKUP]],Factors[For XLOOKUP],Factors[Value],"")</f>
        <v>4.8767142571536766E-5</v>
      </c>
      <c r="P717" s="81">
        <f>_xlfn.XLOOKUP(Calculations[[#This Row],[For XLOOKUP]],Factors[For XLOOKUP],Factors[Units],"")</f>
        <v>0</v>
      </c>
      <c r="Q717" s="19" t="str">
        <f>_xlfn.XLOOKUP(Calculations[[#This Row],[For XLOOKUP]],Factors[For XLOOKUP],Factors[Source],"")</f>
        <v>Sheet "Scope 3_Scope 2 Upstream CO2eq"</v>
      </c>
      <c r="R71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7" s="81" t="str">
        <f>IF(LEFT(Calculations[[#This Row],[Emission Factor]],7)="Σ.Ε. CH",Calculations[[#This Row],[Value]]*Calculations[[#This Row],[Τιμή]],"-")</f>
        <v>-</v>
      </c>
      <c r="T71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7" s="81" t="str">
        <f>IF(LEFT(Calculations[[#This Row],[Emission Factor]],3)="GWP",Calculations[[#This Row],[Τιμή]],"-")</f>
        <v>-</v>
      </c>
      <c r="V717" s="81">
        <f>IF(OR(Calculations[[#This Row],[Emission Factor]]="Σ.Ε. CO₂ eq",Calculations[[#This Row],[Emission Factor]]="CO₂ eq"),Calculations[[#This Row],[Value]]*Calculations[[#This Row],[Τιμή]],"-")</f>
        <v>1.4995408669321839</v>
      </c>
      <c r="W717" s="81" t="str">
        <f>IF(Calculations[[#This Row],[Πηγή εκπομπών]]="Electricity consumed in office buildings and projects - market based",Calculations[[#This Row],[t CO2]],"")</f>
        <v/>
      </c>
      <c r="X71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1.4995408669321839</v>
      </c>
    </row>
    <row r="718" spans="1:24" ht="15" hidden="1" thickTop="1">
      <c r="A718" s="15" t="s">
        <v>350</v>
      </c>
      <c r="B718" s="15" t="s">
        <v>583</v>
      </c>
      <c r="C718" s="16" t="s">
        <v>624</v>
      </c>
      <c r="D718" s="77" t="s">
        <v>1144</v>
      </c>
      <c r="E718" s="16" t="s">
        <v>1146</v>
      </c>
      <c r="F718" s="209" t="s">
        <v>647</v>
      </c>
      <c r="G718" s="16" t="s">
        <v>333</v>
      </c>
      <c r="H718" s="16" t="s">
        <v>339</v>
      </c>
      <c r="I718" s="17" t="s">
        <v>340</v>
      </c>
      <c r="J718" s="238">
        <v>268292.27646533703</v>
      </c>
      <c r="K718" s="18" t="s">
        <v>51</v>
      </c>
      <c r="L718" s="94"/>
      <c r="M718" s="148" t="s">
        <v>819</v>
      </c>
      <c r="N718" s="19" t="str">
        <f>_xlfn.XLOOKUP(Calculations[[#This Row],[For XLOOKUP]],Factors[For XLOOKUP],Factors[Factor],"")</f>
        <v>Σ.Ε. CO₂ eq</v>
      </c>
      <c r="O718" s="19">
        <f>_xlfn.XLOOKUP(Calculations[[#This Row],[For XLOOKUP]],Factors[For XLOOKUP],Factors[Value],"")</f>
        <v>4.3621849940847108E-5</v>
      </c>
      <c r="P718" s="19">
        <f>_xlfn.XLOOKUP(Calculations[[#This Row],[For XLOOKUP]],Factors[For XLOOKUP],Factors[Units],"")</f>
        <v>0</v>
      </c>
      <c r="Q718" s="19" t="str">
        <f>_xlfn.XLOOKUP(Calculations[[#This Row],[For XLOOKUP]],Factors[For XLOOKUP],Factors[Source],"")</f>
        <v>Sheet "Scope 3_Scope 2 Upstream CO2eq"</v>
      </c>
      <c r="R71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8" s="19" t="str">
        <f>IF(LEFT(Calculations[[#This Row],[Emission Factor]],7)="Σ.Ε. CH",Calculations[[#This Row],[Value]]*Calculations[[#This Row],[Τιμή]],"-")</f>
        <v>-</v>
      </c>
      <c r="T71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8" s="19" t="str">
        <f>IF(LEFT(Calculations[[#This Row],[Emission Factor]],3)="GWP",Calculations[[#This Row],[Τιμή]],"-")</f>
        <v>-</v>
      </c>
      <c r="V718" s="19">
        <f>IF(OR(Calculations[[#This Row],[Emission Factor]]="Σ.Ε. CO₂ eq",Calculations[[#This Row],[Emission Factor]]="CO₂ eq"),Calculations[[#This Row],[Value]]*Calculations[[#This Row],[Τιμή]],"-")</f>
        <v>11.703405424259198</v>
      </c>
      <c r="W718" s="19" t="str">
        <f>IF(Calculations[[#This Row],[Πηγή εκπομπών]]="Electricity consumed in office buildings and projects - market based",Calculations[[#This Row],[t CO2]],"")</f>
        <v/>
      </c>
      <c r="X71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11.703405424259198</v>
      </c>
    </row>
    <row r="719" spans="1:24" ht="15" hidden="1" thickTop="1">
      <c r="A719" s="15" t="s">
        <v>350</v>
      </c>
      <c r="B719" s="15" t="s">
        <v>583</v>
      </c>
      <c r="C719" s="16" t="s">
        <v>624</v>
      </c>
      <c r="D719" s="77" t="s">
        <v>894</v>
      </c>
      <c r="E719" s="16"/>
      <c r="F719" s="16" t="s">
        <v>317</v>
      </c>
      <c r="G719" s="16" t="s">
        <v>333</v>
      </c>
      <c r="H719" s="16" t="s">
        <v>339</v>
      </c>
      <c r="I719" s="17" t="s">
        <v>340</v>
      </c>
      <c r="J719" s="238">
        <v>4057935.6300000004</v>
      </c>
      <c r="K719" s="18" t="s">
        <v>51</v>
      </c>
      <c r="L719" s="94"/>
      <c r="M719" s="148" t="s">
        <v>819</v>
      </c>
      <c r="N719" s="81" t="str">
        <f>_xlfn.XLOOKUP(Calculations[[#This Row],[For XLOOKUP]],Factors[For XLOOKUP],Factors[Factor],"")</f>
        <v>Σ.Ε. CO₂ eq</v>
      </c>
      <c r="O719" s="81">
        <f>_xlfn.XLOOKUP(Calculations[[#This Row],[For XLOOKUP]],Factors[For XLOOKUP],Factors[Value],"")</f>
        <v>4.3621849940847108E-5</v>
      </c>
      <c r="P719" s="81">
        <f>_xlfn.XLOOKUP(Calculations[[#This Row],[For XLOOKUP]],Factors[For XLOOKUP],Factors[Units],"")</f>
        <v>0</v>
      </c>
      <c r="Q719" s="19" t="str">
        <f>_xlfn.XLOOKUP(Calculations[[#This Row],[For XLOOKUP]],Factors[For XLOOKUP],Factors[Source],"")</f>
        <v>Sheet "Scope 3_Scope 2 Upstream CO2eq"</v>
      </c>
      <c r="R71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9" s="81" t="str">
        <f>IF(LEFT(Calculations[[#This Row],[Emission Factor]],7)="Σ.Ε. CH",Calculations[[#This Row],[Value]]*Calculations[[#This Row],[Τιμή]],"-")</f>
        <v>-</v>
      </c>
      <c r="T71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9" s="81" t="str">
        <f>IF(LEFT(Calculations[[#This Row],[Emission Factor]],3)="GWP",Calculations[[#This Row],[Τιμή]],"-")</f>
        <v>-</v>
      </c>
      <c r="V719" s="81">
        <f>IF(OR(Calculations[[#This Row],[Emission Factor]]="Σ.Ε. CO₂ eq",Calculations[[#This Row],[Emission Factor]]="CO₂ eq"),Calculations[[#This Row],[Value]]*Calculations[[#This Row],[Τιμή]],"-")</f>
        <v>177.01465912147688</v>
      </c>
      <c r="W719" s="81" t="str">
        <f>IF(Calculations[[#This Row],[Πηγή εκπομπών]]="Electricity consumed in office buildings and projects - market based",Calculations[[#This Row],[t CO2]],"")</f>
        <v/>
      </c>
      <c r="X71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177.01465912147688</v>
      </c>
    </row>
    <row r="720" spans="1:24" ht="15" hidden="1" thickTop="1">
      <c r="A720" s="15" t="s">
        <v>350</v>
      </c>
      <c r="B720" s="15" t="s">
        <v>583</v>
      </c>
      <c r="C720" s="16" t="s">
        <v>624</v>
      </c>
      <c r="D720" s="77" t="s">
        <v>894</v>
      </c>
      <c r="E720" s="16"/>
      <c r="F720" s="16" t="s">
        <v>317</v>
      </c>
      <c r="G720" s="16" t="s">
        <v>333</v>
      </c>
      <c r="H720" s="16" t="s">
        <v>339</v>
      </c>
      <c r="I720" s="17" t="s">
        <v>340</v>
      </c>
      <c r="J720" s="238">
        <v>16999901.854000002</v>
      </c>
      <c r="K720" s="18" t="s">
        <v>51</v>
      </c>
      <c r="L720" s="94"/>
      <c r="M720" s="148" t="s">
        <v>819</v>
      </c>
      <c r="N720" s="19" t="str">
        <f>_xlfn.XLOOKUP(Calculations[[#This Row],[For XLOOKUP]],Factors[For XLOOKUP],Factors[Factor],"")</f>
        <v>Σ.Ε. CO₂ eq</v>
      </c>
      <c r="O720" s="19">
        <f>_xlfn.XLOOKUP(Calculations[[#This Row],[For XLOOKUP]],Factors[For XLOOKUP],Factors[Value],"")</f>
        <v>4.3621849940847108E-5</v>
      </c>
      <c r="P720" s="19">
        <f>_xlfn.XLOOKUP(Calculations[[#This Row],[For XLOOKUP]],Factors[For XLOOKUP],Factors[Units],"")</f>
        <v>0</v>
      </c>
      <c r="Q720" s="19" t="str">
        <f>_xlfn.XLOOKUP(Calculations[[#This Row],[For XLOOKUP]],Factors[For XLOOKUP],Factors[Source],"")</f>
        <v>Sheet "Scope 3_Scope 2 Upstream CO2eq"</v>
      </c>
      <c r="R72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0" s="19" t="str">
        <f>IF(LEFT(Calculations[[#This Row],[Emission Factor]],7)="Σ.Ε. CH",Calculations[[#This Row],[Value]]*Calculations[[#This Row],[Τιμή]],"-")</f>
        <v>-</v>
      </c>
      <c r="T72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0" s="19" t="str">
        <f>IF(LEFT(Calculations[[#This Row],[Emission Factor]],3)="GWP",Calculations[[#This Row],[Τιμή]],"-")</f>
        <v>-</v>
      </c>
      <c r="V720" s="19">
        <f>IF(OR(Calculations[[#This Row],[Emission Factor]]="Σ.Ε. CO₂ eq",Calculations[[#This Row],[Emission Factor]]="CO₂ eq"),Calculations[[#This Row],[Value]]*Calculations[[#This Row],[Τιμή]],"-")</f>
        <v>741.56716768431659</v>
      </c>
      <c r="W720" s="19" t="str">
        <f>IF(Calculations[[#This Row],[Πηγή εκπομπών]]="Electricity consumed in office buildings and projects - market based",Calculations[[#This Row],[t CO2]],"")</f>
        <v/>
      </c>
      <c r="X72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741.56716768431659</v>
      </c>
    </row>
    <row r="721" spans="1:24" ht="15" hidden="1" thickTop="1">
      <c r="A721" s="15" t="s">
        <v>350</v>
      </c>
      <c r="B721" s="15" t="s">
        <v>583</v>
      </c>
      <c r="C721" s="16" t="s">
        <v>624</v>
      </c>
      <c r="D721" s="16" t="s">
        <v>894</v>
      </c>
      <c r="E721" s="16"/>
      <c r="F721" s="16" t="s">
        <v>317</v>
      </c>
      <c r="G721" s="16" t="s">
        <v>333</v>
      </c>
      <c r="H721" s="16" t="s">
        <v>339</v>
      </c>
      <c r="I721" s="17" t="s">
        <v>340</v>
      </c>
      <c r="J721" s="238">
        <v>262193</v>
      </c>
      <c r="K721" s="18" t="s">
        <v>51</v>
      </c>
      <c r="L721" s="94"/>
      <c r="M721" s="148" t="s">
        <v>819</v>
      </c>
      <c r="N721" s="81" t="str">
        <f>_xlfn.XLOOKUP(Calculations[[#This Row],[For XLOOKUP]],Factors[For XLOOKUP],Factors[Factor],"")</f>
        <v>Σ.Ε. CO₂ eq</v>
      </c>
      <c r="O721" s="81">
        <f>_xlfn.XLOOKUP(Calculations[[#This Row],[For XLOOKUP]],Factors[For XLOOKUP],Factors[Value],"")</f>
        <v>4.3621849940847108E-5</v>
      </c>
      <c r="P721" s="81">
        <f>_xlfn.XLOOKUP(Calculations[[#This Row],[For XLOOKUP]],Factors[For XLOOKUP],Factors[Units],"")</f>
        <v>0</v>
      </c>
      <c r="Q721" s="19" t="str">
        <f>_xlfn.XLOOKUP(Calculations[[#This Row],[For XLOOKUP]],Factors[For XLOOKUP],Factors[Source],"")</f>
        <v>Sheet "Scope 3_Scope 2 Upstream CO2eq"</v>
      </c>
      <c r="R72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1" s="81" t="str">
        <f>IF(LEFT(Calculations[[#This Row],[Emission Factor]],7)="Σ.Ε. CH",Calculations[[#This Row],[Value]]*Calculations[[#This Row],[Τιμή]],"-")</f>
        <v>-</v>
      </c>
      <c r="T72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1" s="81" t="str">
        <f>IF(LEFT(Calculations[[#This Row],[Emission Factor]],3)="GWP",Calculations[[#This Row],[Τιμή]],"-")</f>
        <v>-</v>
      </c>
      <c r="V721" s="81">
        <f>IF(OR(Calculations[[#This Row],[Emission Factor]]="Σ.Ε. CO₂ eq",Calculations[[#This Row],[Emission Factor]]="CO₂ eq"),Calculations[[#This Row],[Value]]*Calculations[[#This Row],[Τιμή]],"-")</f>
        <v>11.437343701540525</v>
      </c>
      <c r="W721" s="81" t="str">
        <f>IF(Calculations[[#This Row],[Πηγή εκπομπών]]="Electricity consumed in office buildings and projects - market based",Calculations[[#This Row],[t CO2]],"")</f>
        <v/>
      </c>
      <c r="X72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11.437343701540525</v>
      </c>
    </row>
    <row r="722" spans="1:24" ht="15" hidden="1" thickTop="1">
      <c r="A722" s="15" t="s">
        <v>350</v>
      </c>
      <c r="B722" s="15" t="s">
        <v>583</v>
      </c>
      <c r="C722" s="16" t="s">
        <v>624</v>
      </c>
      <c r="D722" s="16" t="s">
        <v>894</v>
      </c>
      <c r="E722" s="16"/>
      <c r="F722" s="16" t="s">
        <v>317</v>
      </c>
      <c r="G722" s="16" t="s">
        <v>333</v>
      </c>
      <c r="H722" s="16" t="s">
        <v>339</v>
      </c>
      <c r="I722" s="17" t="s">
        <v>340</v>
      </c>
      <c r="J722" s="238">
        <v>2124697.7999999998</v>
      </c>
      <c r="K722" s="18" t="s">
        <v>51</v>
      </c>
      <c r="L722" s="94"/>
      <c r="M722" s="148" t="s">
        <v>819</v>
      </c>
      <c r="N722" s="81" t="str">
        <f>_xlfn.XLOOKUP(Calculations[[#This Row],[For XLOOKUP]],Factors[For XLOOKUP],Factors[Factor],"")</f>
        <v>Σ.Ε. CO₂ eq</v>
      </c>
      <c r="O722" s="81">
        <f>_xlfn.XLOOKUP(Calculations[[#This Row],[For XLOOKUP]],Factors[For XLOOKUP],Factors[Value],"")</f>
        <v>4.3621849940847108E-5</v>
      </c>
      <c r="P722" s="81">
        <f>_xlfn.XLOOKUP(Calculations[[#This Row],[For XLOOKUP]],Factors[For XLOOKUP],Factors[Units],"")</f>
        <v>0</v>
      </c>
      <c r="Q722" s="19" t="str">
        <f>_xlfn.XLOOKUP(Calculations[[#This Row],[For XLOOKUP]],Factors[For XLOOKUP],Factors[Source],"")</f>
        <v>Sheet "Scope 3_Scope 2 Upstream CO2eq"</v>
      </c>
      <c r="R72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2" s="81" t="str">
        <f>IF(LEFT(Calculations[[#This Row],[Emission Factor]],7)="Σ.Ε. CH",Calculations[[#This Row],[Value]]*Calculations[[#This Row],[Τιμή]],"-")</f>
        <v>-</v>
      </c>
      <c r="T72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2" s="81" t="str">
        <f>IF(LEFT(Calculations[[#This Row],[Emission Factor]],3)="GWP",Calculations[[#This Row],[Τιμή]],"-")</f>
        <v>-</v>
      </c>
      <c r="V722" s="81">
        <f>IF(OR(Calculations[[#This Row],[Emission Factor]]="Σ.Ε. CO₂ eq",Calculations[[#This Row],[Emission Factor]]="CO₂ eq"),Calculations[[#This Row],[Value]]*Calculations[[#This Row],[Τιμή]],"-")</f>
        <v>92.683248601247968</v>
      </c>
      <c r="W722" s="81" t="str">
        <f>IF(Calculations[[#This Row],[Πηγή εκπομπών]]="Electricity consumed in office buildings and projects - market based",Calculations[[#This Row],[t CO2]],"")</f>
        <v/>
      </c>
      <c r="X72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92.683248601247968</v>
      </c>
    </row>
    <row r="723" spans="1:24" ht="15" hidden="1" thickTop="1">
      <c r="A723" s="15" t="s">
        <v>350</v>
      </c>
      <c r="B723" s="15" t="s">
        <v>583</v>
      </c>
      <c r="C723" s="16" t="s">
        <v>327</v>
      </c>
      <c r="D723" s="16" t="s">
        <v>894</v>
      </c>
      <c r="E723" s="16" t="s">
        <v>1187</v>
      </c>
      <c r="F723" s="16" t="s">
        <v>317</v>
      </c>
      <c r="G723" s="16" t="s">
        <v>333</v>
      </c>
      <c r="H723" s="16" t="s">
        <v>339</v>
      </c>
      <c r="I723" s="17" t="s">
        <v>340</v>
      </c>
      <c r="J723" s="238">
        <v>10571303</v>
      </c>
      <c r="K723" s="18" t="s">
        <v>51</v>
      </c>
      <c r="L723" s="94"/>
      <c r="M723" s="148" t="s">
        <v>870</v>
      </c>
      <c r="N723" s="81" t="str">
        <f>_xlfn.XLOOKUP(Calculations[[#This Row],[For XLOOKUP]],Factors[For XLOOKUP],Factors[Factor],"")</f>
        <v>Σ.Ε. CO₂ eq</v>
      </c>
      <c r="O723" s="81">
        <f>_xlfn.XLOOKUP(Calculations[[#This Row],[For XLOOKUP]],Factors[For XLOOKUP],Factors[Value],"")</f>
        <v>1.193732938388668E-4</v>
      </c>
      <c r="P723" s="81">
        <f>_xlfn.XLOOKUP(Calculations[[#This Row],[For XLOOKUP]],Factors[For XLOOKUP],Factors[Units],"")</f>
        <v>0</v>
      </c>
      <c r="Q723" s="19" t="str">
        <f>_xlfn.XLOOKUP(Calculations[[#This Row],[For XLOOKUP]],Factors[For XLOOKUP],Factors[Source],"")</f>
        <v>Sheet "Scope 3_Scope 2 Upstream CO2eq"</v>
      </c>
      <c r="R72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3" s="81" t="str">
        <f>IF(LEFT(Calculations[[#This Row],[Emission Factor]],7)="Σ.Ε. CH",Calculations[[#This Row],[Value]]*Calculations[[#This Row],[Τιμή]],"-")</f>
        <v>-</v>
      </c>
      <c r="T72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3" s="81" t="str">
        <f>IF(LEFT(Calculations[[#This Row],[Emission Factor]],3)="GWP",Calculations[[#This Row],[Τιμή]],"-")</f>
        <v>-</v>
      </c>
      <c r="V723" s="81">
        <f>IF(OR(Calculations[[#This Row],[Emission Factor]]="Σ.Ε. CO₂ eq",Calculations[[#This Row],[Emission Factor]]="CO₂ eq"),Calculations[[#This Row],[Value]]*Calculations[[#This Row],[Τιμή]],"-")</f>
        <v>1261.9312592786941</v>
      </c>
      <c r="W723" s="81" t="str">
        <f>IF(Calculations[[#This Row],[Πηγή εκπομπών]]="Electricity consumed in office buildings and projects - market based",Calculations[[#This Row],[t CO2]],"")</f>
        <v/>
      </c>
      <c r="X72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1261.9312592786941</v>
      </c>
    </row>
    <row r="724" spans="1:24" ht="15" hidden="1" thickTop="1">
      <c r="A724" s="15" t="s">
        <v>350</v>
      </c>
      <c r="B724" s="15" t="s">
        <v>583</v>
      </c>
      <c r="C724" s="16" t="s">
        <v>328</v>
      </c>
      <c r="D724" s="77" t="s">
        <v>894</v>
      </c>
      <c r="E724" s="77" t="s">
        <v>1188</v>
      </c>
      <c r="F724" s="16" t="s">
        <v>317</v>
      </c>
      <c r="G724" s="16" t="s">
        <v>333</v>
      </c>
      <c r="H724" s="16" t="s">
        <v>339</v>
      </c>
      <c r="I724" s="17" t="s">
        <v>340</v>
      </c>
      <c r="J724" s="238">
        <v>32192</v>
      </c>
      <c r="K724" s="18" t="s">
        <v>51</v>
      </c>
      <c r="L724" s="94"/>
      <c r="M724" s="148" t="s">
        <v>869</v>
      </c>
      <c r="N724" s="81" t="str">
        <f>_xlfn.XLOOKUP(Calculations[[#This Row],[For XLOOKUP]],Factors[For XLOOKUP],Factors[Factor],"")</f>
        <v>Σ.Ε. CO₂ eq</v>
      </c>
      <c r="O724" s="81">
        <f>_xlfn.XLOOKUP(Calculations[[#This Row],[For XLOOKUP]],Factors[For XLOOKUP],Factors[Value],"")</f>
        <v>6.6360325440359348E-5</v>
      </c>
      <c r="P724" s="81">
        <f>_xlfn.XLOOKUP(Calculations[[#This Row],[For XLOOKUP]],Factors[For XLOOKUP],Factors[Units],"")</f>
        <v>0</v>
      </c>
      <c r="Q724" s="19" t="str">
        <f>_xlfn.XLOOKUP(Calculations[[#This Row],[For XLOOKUP]],Factors[For XLOOKUP],Factors[Source],"")</f>
        <v>Sheet "Scope 3_Scope 2 Upstream CO2eq"</v>
      </c>
      <c r="R72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4" s="81" t="str">
        <f>IF(LEFT(Calculations[[#This Row],[Emission Factor]],7)="Σ.Ε. CH",Calculations[[#This Row],[Value]]*Calculations[[#This Row],[Τιμή]],"-")</f>
        <v>-</v>
      </c>
      <c r="T72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4" s="81" t="str">
        <f>IF(LEFT(Calculations[[#This Row],[Emission Factor]],3)="GWP",Calculations[[#This Row],[Τιμή]],"-")</f>
        <v>-</v>
      </c>
      <c r="V724" s="81">
        <f>IF(OR(Calculations[[#This Row],[Emission Factor]]="Σ.Ε. CO₂ eq",Calculations[[#This Row],[Emission Factor]]="CO₂ eq"),Calculations[[#This Row],[Value]]*Calculations[[#This Row],[Τιμή]],"-")</f>
        <v>2.1362715965760479</v>
      </c>
      <c r="W724" s="81" t="str">
        <f>IF(Calculations[[#This Row],[Πηγή εκπομπών]]="Electricity consumed in office buildings and projects - market based",Calculations[[#This Row],[t CO2]],"")</f>
        <v/>
      </c>
      <c r="X72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2.1362715965760479</v>
      </c>
    </row>
    <row r="725" spans="1:24" ht="15" hidden="1" thickTop="1">
      <c r="A725" s="15" t="s">
        <v>350</v>
      </c>
      <c r="B725" s="15" t="s">
        <v>583</v>
      </c>
      <c r="C725" s="16" t="s">
        <v>624</v>
      </c>
      <c r="D725" s="77" t="s">
        <v>897</v>
      </c>
      <c r="E725" s="77" t="s">
        <v>1149</v>
      </c>
      <c r="F725" s="16" t="s">
        <v>320</v>
      </c>
      <c r="G725" s="16" t="s">
        <v>333</v>
      </c>
      <c r="H725" s="16" t="s">
        <v>339</v>
      </c>
      <c r="I725" s="17" t="s">
        <v>340</v>
      </c>
      <c r="J725" s="238">
        <v>102</v>
      </c>
      <c r="K725" s="18" t="s">
        <v>51</v>
      </c>
      <c r="L725" s="94"/>
      <c r="M725" s="148" t="s">
        <v>819</v>
      </c>
      <c r="N725" s="81" t="str">
        <f>_xlfn.XLOOKUP(Calculations[[#This Row],[For XLOOKUP]],Factors[For XLOOKUP],Factors[Factor],"")</f>
        <v>Σ.Ε. CO₂ eq</v>
      </c>
      <c r="O725" s="81">
        <f>_xlfn.XLOOKUP(Calculations[[#This Row],[For XLOOKUP]],Factors[For XLOOKUP],Factors[Value],"")</f>
        <v>4.3621849940847108E-5</v>
      </c>
      <c r="P725" s="81">
        <f>_xlfn.XLOOKUP(Calculations[[#This Row],[For XLOOKUP]],Factors[For XLOOKUP],Factors[Units],"")</f>
        <v>0</v>
      </c>
      <c r="Q725" s="19" t="str">
        <f>_xlfn.XLOOKUP(Calculations[[#This Row],[For XLOOKUP]],Factors[For XLOOKUP],Factors[Source],"")</f>
        <v>Sheet "Scope 3_Scope 2 Upstream CO2eq"</v>
      </c>
      <c r="R72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5" s="81" t="str">
        <f>IF(LEFT(Calculations[[#This Row],[Emission Factor]],7)="Σ.Ε. CH",Calculations[[#This Row],[Value]]*Calculations[[#This Row],[Τιμή]],"-")</f>
        <v>-</v>
      </c>
      <c r="T72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5" s="81" t="str">
        <f>IF(LEFT(Calculations[[#This Row],[Emission Factor]],3)="GWP",Calculations[[#This Row],[Τιμή]],"-")</f>
        <v>-</v>
      </c>
      <c r="V725" s="81">
        <f>IF(OR(Calculations[[#This Row],[Emission Factor]]="Σ.Ε. CO₂ eq",Calculations[[#This Row],[Emission Factor]]="CO₂ eq"),Calculations[[#This Row],[Value]]*Calculations[[#This Row],[Τιμή]],"-")</f>
        <v>4.4494286939664052E-3</v>
      </c>
      <c r="W725" s="81" t="str">
        <f>IF(Calculations[[#This Row],[Πηγή εκπομπών]]="Electricity consumed in office buildings and projects - market based",Calculations[[#This Row],[t CO2]],"")</f>
        <v/>
      </c>
      <c r="X72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4.4494286939664052E-3</v>
      </c>
    </row>
    <row r="726" spans="1:24" ht="15" hidden="1" thickTop="1">
      <c r="A726" s="15" t="s">
        <v>350</v>
      </c>
      <c r="B726" s="15" t="s">
        <v>583</v>
      </c>
      <c r="C726" s="16" t="s">
        <v>624</v>
      </c>
      <c r="D726" s="77" t="s">
        <v>897</v>
      </c>
      <c r="E726" s="77" t="s">
        <v>1150</v>
      </c>
      <c r="F726" s="16" t="s">
        <v>320</v>
      </c>
      <c r="G726" s="16" t="s">
        <v>333</v>
      </c>
      <c r="H726" s="16" t="s">
        <v>339</v>
      </c>
      <c r="I726" s="17" t="s">
        <v>340</v>
      </c>
      <c r="J726" s="238">
        <v>30291.9517989251</v>
      </c>
      <c r="K726" s="18" t="s">
        <v>51</v>
      </c>
      <c r="L726" s="94"/>
      <c r="M726" s="148" t="s">
        <v>819</v>
      </c>
      <c r="N726" s="81" t="str">
        <f>_xlfn.XLOOKUP(Calculations[[#This Row],[For XLOOKUP]],Factors[For XLOOKUP],Factors[Factor],"")</f>
        <v>Σ.Ε. CO₂ eq</v>
      </c>
      <c r="O726" s="81">
        <f>_xlfn.XLOOKUP(Calculations[[#This Row],[For XLOOKUP]],Factors[For XLOOKUP],Factors[Value],"")</f>
        <v>4.3621849940847108E-5</v>
      </c>
      <c r="P726" s="81">
        <f>_xlfn.XLOOKUP(Calculations[[#This Row],[For XLOOKUP]],Factors[For XLOOKUP],Factors[Units],"")</f>
        <v>0</v>
      </c>
      <c r="Q726" s="19" t="str">
        <f>_xlfn.XLOOKUP(Calculations[[#This Row],[For XLOOKUP]],Factors[For XLOOKUP],Factors[Source],"")</f>
        <v>Sheet "Scope 3_Scope 2 Upstream CO2eq"</v>
      </c>
      <c r="R72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6" s="81" t="str">
        <f>IF(LEFT(Calculations[[#This Row],[Emission Factor]],7)="Σ.Ε. CH",Calculations[[#This Row],[Value]]*Calculations[[#This Row],[Τιμή]],"-")</f>
        <v>-</v>
      </c>
      <c r="T72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6" s="81" t="str">
        <f>IF(LEFT(Calculations[[#This Row],[Emission Factor]],3)="GWP",Calculations[[#This Row],[Τιμή]],"-")</f>
        <v>-</v>
      </c>
      <c r="V726" s="81">
        <f>IF(OR(Calculations[[#This Row],[Emission Factor]]="Σ.Ε. CO₂ eq",Calculations[[#This Row],[Emission Factor]]="CO₂ eq"),Calculations[[#This Row],[Value]]*Calculations[[#This Row],[Τιμή]],"-")</f>
        <v>1.3213909757880844</v>
      </c>
      <c r="W726" s="81" t="str">
        <f>IF(Calculations[[#This Row],[Πηγή εκπομπών]]="Electricity consumed in office buildings and projects - market based",Calculations[[#This Row],[t CO2]],"")</f>
        <v/>
      </c>
      <c r="X72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1.3213909757880844</v>
      </c>
    </row>
    <row r="727" spans="1:24" ht="15" hidden="1" thickTop="1">
      <c r="A727" s="15" t="s">
        <v>350</v>
      </c>
      <c r="B727" s="15" t="s">
        <v>583</v>
      </c>
      <c r="C727" s="16" t="s">
        <v>624</v>
      </c>
      <c r="D727" s="77" t="s">
        <v>897</v>
      </c>
      <c r="E727" s="16" t="s">
        <v>1151</v>
      </c>
      <c r="F727" s="16" t="s">
        <v>320</v>
      </c>
      <c r="G727" s="16" t="s">
        <v>333</v>
      </c>
      <c r="H727" s="16" t="s">
        <v>339</v>
      </c>
      <c r="I727" s="17" t="s">
        <v>340</v>
      </c>
      <c r="J727" s="238">
        <v>97634.4</v>
      </c>
      <c r="K727" s="18" t="s">
        <v>51</v>
      </c>
      <c r="L727" s="94"/>
      <c r="M727" s="148" t="s">
        <v>819</v>
      </c>
      <c r="N727" s="19" t="str">
        <f>_xlfn.XLOOKUP(Calculations[[#This Row],[For XLOOKUP]],Factors[For XLOOKUP],Factors[Factor],"")</f>
        <v>Σ.Ε. CO₂ eq</v>
      </c>
      <c r="O727" s="19">
        <f>_xlfn.XLOOKUP(Calculations[[#This Row],[For XLOOKUP]],Factors[For XLOOKUP],Factors[Value],"")</f>
        <v>4.3621849940847108E-5</v>
      </c>
      <c r="P727" s="19">
        <f>_xlfn.XLOOKUP(Calculations[[#This Row],[For XLOOKUP]],Factors[For XLOOKUP],Factors[Units],"")</f>
        <v>0</v>
      </c>
      <c r="Q727" s="19" t="str">
        <f>_xlfn.XLOOKUP(Calculations[[#This Row],[For XLOOKUP]],Factors[For XLOOKUP],Factors[Source],"")</f>
        <v>Sheet "Scope 3_Scope 2 Upstream CO2eq"</v>
      </c>
      <c r="R72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7" s="19" t="str">
        <f>IF(LEFT(Calculations[[#This Row],[Emission Factor]],7)="Σ.Ε. CH",Calculations[[#This Row],[Value]]*Calculations[[#This Row],[Τιμή]],"-")</f>
        <v>-</v>
      </c>
      <c r="T72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7" s="19" t="str">
        <f>IF(LEFT(Calculations[[#This Row],[Emission Factor]],3)="GWP",Calculations[[#This Row],[Τιμή]],"-")</f>
        <v>-</v>
      </c>
      <c r="V727" s="19">
        <f>IF(OR(Calculations[[#This Row],[Emission Factor]]="Σ.Ε. CO₂ eq",Calculations[[#This Row],[Emission Factor]]="CO₂ eq"),Calculations[[#This Row],[Value]]*Calculations[[#This Row],[Τιμή]],"-")</f>
        <v>4.2589931458646424</v>
      </c>
      <c r="W727" s="19" t="str">
        <f>IF(Calculations[[#This Row],[Πηγή εκπομπών]]="Electricity consumed in office buildings and projects - market based",Calculations[[#This Row],[t CO2]],"")</f>
        <v/>
      </c>
      <c r="X72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4.2589931458646424</v>
      </c>
    </row>
    <row r="728" spans="1:24" ht="15" thickTop="1">
      <c r="A728" s="15" t="s">
        <v>350</v>
      </c>
      <c r="B728" s="15" t="s">
        <v>625</v>
      </c>
      <c r="C728" s="16" t="s">
        <v>624</v>
      </c>
      <c r="D728" s="77" t="s">
        <v>895</v>
      </c>
      <c r="E728" s="16" t="s">
        <v>1140</v>
      </c>
      <c r="F728" s="16" t="s">
        <v>322</v>
      </c>
      <c r="G728" s="16" t="s">
        <v>632</v>
      </c>
      <c r="H728" s="15" t="s">
        <v>630</v>
      </c>
      <c r="I728" s="17" t="s">
        <v>341</v>
      </c>
      <c r="J728" s="78">
        <v>41719.370000000003</v>
      </c>
      <c r="K728" s="18" t="s">
        <v>7</v>
      </c>
      <c r="L728" s="94" t="s">
        <v>635</v>
      </c>
      <c r="M728" s="148" t="s">
        <v>189</v>
      </c>
      <c r="N728" s="81" t="str">
        <f>_xlfn.XLOOKUP(Calculations[[#This Row],[For XLOOKUP]],Factors[For XLOOKUP],Factors[Factor],"")</f>
        <v>Σ.Ε. CO₂ m.</v>
      </c>
      <c r="O728" s="81">
        <f>_xlfn.XLOOKUP(Calculations[[#This Row],[For XLOOKUP]],Factors[For XLOOKUP],Factors[Value],"")</f>
        <v>2.6092581300000001E-3</v>
      </c>
      <c r="P728" s="81" t="str">
        <f>_xlfn.XLOOKUP(Calculations[[#This Row],[For XLOOKUP]],Factors[For XLOOKUP],Factors[Units],"")</f>
        <v>tn CO2/lt</v>
      </c>
      <c r="Q728" s="19" t="str">
        <f>_xlfn.XLOOKUP(Calculations[[#This Row],[For XLOOKUP]],Factors[For XLOOKUP],Factors[Source],"")</f>
        <v>Greece. National Inventory Submissions 2024</v>
      </c>
      <c r="R728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108.85660535097811</v>
      </c>
      <c r="S728" s="81" t="str">
        <f>IF(LEFT(Calculations[[#This Row],[Emission Factor]],7)="Σ.Ε. CH",Calculations[[#This Row],[Value]]*Calculations[[#This Row],[Τιμή]],"-")</f>
        <v>-</v>
      </c>
      <c r="T72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8" s="81" t="str">
        <f>IF(LEFT(Calculations[[#This Row],[Emission Factor]],3)="GWP",Calculations[[#This Row],[Τιμή]],"-")</f>
        <v>-</v>
      </c>
      <c r="V728" s="81" t="str">
        <f>IF(OR(Calculations[[#This Row],[Emission Factor]]="Σ.Ε. CO₂ eq",Calculations[[#This Row],[Emission Factor]]="CO₂ eq"),Calculations[[#This Row],[Value]]*Calculations[[#This Row],[Τιμή]],"-")</f>
        <v>-</v>
      </c>
      <c r="W728" s="81" t="str">
        <f>IF(Calculations[[#This Row],[Πηγή εκπομπών]]="Electricity consumed in office buildings and projects - market based",Calculations[[#This Row],[t CO2]],"")</f>
        <v/>
      </c>
      <c r="X72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108.85660535097811</v>
      </c>
    </row>
    <row r="729" spans="1:24">
      <c r="A729" s="15" t="s">
        <v>350</v>
      </c>
      <c r="B729" s="15" t="s">
        <v>625</v>
      </c>
      <c r="C729" s="16" t="s">
        <v>624</v>
      </c>
      <c r="D729" s="77" t="s">
        <v>895</v>
      </c>
      <c r="E729" s="16" t="s">
        <v>1140</v>
      </c>
      <c r="F729" s="16" t="s">
        <v>322</v>
      </c>
      <c r="G729" s="16" t="s">
        <v>632</v>
      </c>
      <c r="H729" s="15" t="s">
        <v>630</v>
      </c>
      <c r="I729" s="17" t="s">
        <v>341</v>
      </c>
      <c r="J729" s="79" cm="1">
        <f t="array" ref="J729">_xlfn.XLOOKUP(1,(Calculations[Πληροφορίες]=Calculations[[#This Row],[Πληροφορίες]])*(Calculations[Εταιρεία]=Calculations[[#This Row],[Εταιρεία]]),Calculations[Τιμή])</f>
        <v>41719.370000000003</v>
      </c>
      <c r="K729" s="18" t="s">
        <v>7</v>
      </c>
      <c r="L729" s="94" t="s">
        <v>635</v>
      </c>
      <c r="M729" s="148" t="s">
        <v>191</v>
      </c>
      <c r="N729" s="81" t="str">
        <f>_xlfn.XLOOKUP(Calculations[[#This Row],[For XLOOKUP]],Factors[For XLOOKUP],Factors[Factor],"")</f>
        <v>Σ.Ε. CH₄ m.</v>
      </c>
      <c r="O729" s="81">
        <f>_xlfn.XLOOKUP(Calculations[[#This Row],[For XLOOKUP]],Factors[For XLOOKUP],Factors[Value],"")</f>
        <v>9.9661146212508699E-10</v>
      </c>
      <c r="P729" s="81" t="str">
        <f>_xlfn.XLOOKUP(Calculations[[#This Row],[For XLOOKUP]],Factors[For XLOOKUP],Factors[Units],"")</f>
        <v>tn CH₄/lt</v>
      </c>
      <c r="Q729" s="19" t="str">
        <f>_xlfn.XLOOKUP(Calculations[[#This Row],[For XLOOKUP]],Factors[For XLOOKUP],Factors[Source],"")</f>
        <v>Greece. National Inventory Submissions 2024</v>
      </c>
      <c r="R72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9" s="81">
        <f>IF(LEFT(Calculations[[#This Row],[Emission Factor]],7)="Σ.Ε. CH",Calculations[[#This Row],[Value]]*Calculations[[#This Row],[Τιμή]],"-")</f>
        <v>4.1578002334637496E-5</v>
      </c>
      <c r="T72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9" s="81" t="str">
        <f>IF(LEFT(Calculations[[#This Row],[Emission Factor]],3)="GWP",Calculations[[#This Row],[Τιμή]],"-")</f>
        <v>-</v>
      </c>
      <c r="V729" s="81" t="str">
        <f>IF(OR(Calculations[[#This Row],[Emission Factor]]="Σ.Ε. CO₂ eq",Calculations[[#This Row],[Emission Factor]]="CO₂ eq"),Calculations[[#This Row],[Value]]*Calculations[[#This Row],[Τιμή]],"-")</f>
        <v>-</v>
      </c>
      <c r="W729" s="81" t="str">
        <f>IF(Calculations[[#This Row],[Πηγή εκπομπών]]="Electricity consumed in office buildings and projects - market based",Calculations[[#This Row],[t CO2]],"")</f>
        <v/>
      </c>
      <c r="X72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1.1641840653698499E-3</v>
      </c>
    </row>
    <row r="730" spans="1:24">
      <c r="A730" s="15" t="s">
        <v>350</v>
      </c>
      <c r="B730" s="15" t="s">
        <v>625</v>
      </c>
      <c r="C730" s="16" t="s">
        <v>624</v>
      </c>
      <c r="D730" s="77" t="s">
        <v>895</v>
      </c>
      <c r="E730" s="77" t="s">
        <v>1140</v>
      </c>
      <c r="F730" s="16" t="s">
        <v>322</v>
      </c>
      <c r="G730" s="16" t="s">
        <v>632</v>
      </c>
      <c r="H730" s="15" t="s">
        <v>630</v>
      </c>
      <c r="I730" s="17" t="s">
        <v>341</v>
      </c>
      <c r="J730" s="79" cm="1">
        <f t="array" ref="J730">_xlfn.XLOOKUP(1,(Calculations[Πληροφορίες]=Calculations[[#This Row],[Πληροφορίες]])*(Calculations[Εταιρεία]=Calculations[[#This Row],[Εταιρεία]]),Calculations[Τιμή])</f>
        <v>41719.370000000003</v>
      </c>
      <c r="K730" s="18" t="s">
        <v>7</v>
      </c>
      <c r="L730" s="94" t="s">
        <v>635</v>
      </c>
      <c r="M730" s="148" t="s">
        <v>193</v>
      </c>
      <c r="N730" s="81" t="str">
        <f>_xlfn.XLOOKUP(Calculations[[#This Row],[For XLOOKUP]],Factors[For XLOOKUP],Factors[Factor],"")</f>
        <v>Σ.Ε. N2O m.</v>
      </c>
      <c r="O730" s="81">
        <f>_xlfn.XLOOKUP(Calculations[[#This Row],[For XLOOKUP]],Factors[For XLOOKUP],Factors[Value],"")</f>
        <v>1.0467775855894111E-7</v>
      </c>
      <c r="P730" s="81" t="str">
        <f>_xlfn.XLOOKUP(Calculations[[#This Row],[For XLOOKUP]],Factors[For XLOOKUP],Factors[Units],"")</f>
        <v>tn N2O/lt</v>
      </c>
      <c r="Q730" s="19" t="str">
        <f>_xlfn.XLOOKUP(Calculations[[#This Row],[For XLOOKUP]],Factors[For XLOOKUP],Factors[Source],"")</f>
        <v>Greece. National Inventory Submissions 2024</v>
      </c>
      <c r="R73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0" s="81" t="str">
        <f>IF(LEFT(Calculations[[#This Row],[Emission Factor]],7)="Σ.Ε. CH",Calculations[[#This Row],[Value]]*Calculations[[#This Row],[Τιμή]],"-")</f>
        <v>-</v>
      </c>
      <c r="T730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4.3670901400911311E-3</v>
      </c>
      <c r="U730" s="81" t="str">
        <f>IF(LEFT(Calculations[[#This Row],[Emission Factor]],3)="GWP",Calculations[[#This Row],[Τιμή]],"-")</f>
        <v>-</v>
      </c>
      <c r="V730" s="81" t="str">
        <f>IF(OR(Calculations[[#This Row],[Emission Factor]]="Σ.Ε. CO₂ eq",Calculations[[#This Row],[Emission Factor]]="CO₂ eq"),Calculations[[#This Row],[Value]]*Calculations[[#This Row],[Τιμή]],"-")</f>
        <v>-</v>
      </c>
      <c r="W730" s="81" t="str">
        <f>IF(Calculations[[#This Row],[Πηγή εκπομπών]]="Electricity consumed in office buildings and projects - market based",Calculations[[#This Row],[t CO2]],"")</f>
        <v/>
      </c>
      <c r="X73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1.1572788871241497</v>
      </c>
    </row>
    <row r="731" spans="1:24">
      <c r="A731" s="15" t="s">
        <v>350</v>
      </c>
      <c r="B731" s="15" t="s">
        <v>625</v>
      </c>
      <c r="C731" s="16" t="s">
        <v>624</v>
      </c>
      <c r="D731" s="77" t="s">
        <v>895</v>
      </c>
      <c r="E731" s="77" t="s">
        <v>1179</v>
      </c>
      <c r="F731" s="16" t="s">
        <v>318</v>
      </c>
      <c r="G731" s="16" t="s">
        <v>632</v>
      </c>
      <c r="H731" s="15" t="s">
        <v>630</v>
      </c>
      <c r="I731" s="17" t="s">
        <v>341</v>
      </c>
      <c r="J731" s="78">
        <v>17328</v>
      </c>
      <c r="K731" s="18" t="s">
        <v>7</v>
      </c>
      <c r="L731" s="94" t="s">
        <v>635</v>
      </c>
      <c r="M731" s="148" t="s">
        <v>189</v>
      </c>
      <c r="N731" s="81" t="str">
        <f>_xlfn.XLOOKUP(Calculations[[#This Row],[For XLOOKUP]],Factors[For XLOOKUP],Factors[Factor],"")</f>
        <v>Σ.Ε. CO₂ m.</v>
      </c>
      <c r="O731" s="81">
        <f>_xlfn.XLOOKUP(Calculations[[#This Row],[For XLOOKUP]],Factors[For XLOOKUP],Factors[Value],"")</f>
        <v>2.6092581300000001E-3</v>
      </c>
      <c r="P731" s="81" t="str">
        <f>_xlfn.XLOOKUP(Calculations[[#This Row],[For XLOOKUP]],Factors[For XLOOKUP],Factors[Units],"")</f>
        <v>tn CO2/lt</v>
      </c>
      <c r="Q731" s="19" t="str">
        <f>_xlfn.XLOOKUP(Calculations[[#This Row],[For XLOOKUP]],Factors[For XLOOKUP],Factors[Source],"")</f>
        <v>Greece. National Inventory Submissions 2024</v>
      </c>
      <c r="R731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45.213224876639998</v>
      </c>
      <c r="S731" s="81" t="str">
        <f>IF(LEFT(Calculations[[#This Row],[Emission Factor]],7)="Σ.Ε. CH",Calculations[[#This Row],[Value]]*Calculations[[#This Row],[Τιμή]],"-")</f>
        <v>-</v>
      </c>
      <c r="T73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1" s="81" t="str">
        <f>IF(LEFT(Calculations[[#This Row],[Emission Factor]],3)="GWP",Calculations[[#This Row],[Τιμή]],"-")</f>
        <v>-</v>
      </c>
      <c r="V731" s="81" t="str">
        <f>IF(OR(Calculations[[#This Row],[Emission Factor]]="Σ.Ε. CO₂ eq",Calculations[[#This Row],[Emission Factor]]="CO₂ eq"),Calculations[[#This Row],[Value]]*Calculations[[#This Row],[Τιμή]],"-")</f>
        <v>-</v>
      </c>
      <c r="W731" s="81" t="str">
        <f>IF(Calculations[[#This Row],[Πηγή εκπομπών]]="Electricity consumed in office buildings and projects - market based",Calculations[[#This Row],[t CO2]],"")</f>
        <v/>
      </c>
      <c r="X73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45.213224876639998</v>
      </c>
    </row>
    <row r="732" spans="1:24">
      <c r="A732" s="15" t="s">
        <v>350</v>
      </c>
      <c r="B732" s="15" t="s">
        <v>625</v>
      </c>
      <c r="C732" s="16" t="s">
        <v>624</v>
      </c>
      <c r="D732" s="77" t="s">
        <v>895</v>
      </c>
      <c r="E732" s="77" t="s">
        <v>1179</v>
      </c>
      <c r="F732" s="16" t="s">
        <v>318</v>
      </c>
      <c r="G732" s="16" t="s">
        <v>632</v>
      </c>
      <c r="H732" s="15" t="s">
        <v>630</v>
      </c>
      <c r="I732" s="17" t="s">
        <v>341</v>
      </c>
      <c r="J732" s="79">
        <v>17328</v>
      </c>
      <c r="K732" s="18" t="s">
        <v>7</v>
      </c>
      <c r="L732" s="94" t="s">
        <v>635</v>
      </c>
      <c r="M732" s="148" t="s">
        <v>191</v>
      </c>
      <c r="N732" s="81" t="str">
        <f>_xlfn.XLOOKUP(Calculations[[#This Row],[For XLOOKUP]],Factors[For XLOOKUP],Factors[Factor],"")</f>
        <v>Σ.Ε. CH₄ m.</v>
      </c>
      <c r="O732" s="81">
        <f>_xlfn.XLOOKUP(Calculations[[#This Row],[For XLOOKUP]],Factors[For XLOOKUP],Factors[Value],"")</f>
        <v>9.9661146212508699E-10</v>
      </c>
      <c r="P732" s="81" t="str">
        <f>_xlfn.XLOOKUP(Calculations[[#This Row],[For XLOOKUP]],Factors[For XLOOKUP],Factors[Units],"")</f>
        <v>tn CH₄/lt</v>
      </c>
      <c r="Q732" s="19" t="str">
        <f>_xlfn.XLOOKUP(Calculations[[#This Row],[For XLOOKUP]],Factors[For XLOOKUP],Factors[Source],"")</f>
        <v>Greece. National Inventory Submissions 2024</v>
      </c>
      <c r="R73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2" s="81">
        <f>IF(LEFT(Calculations[[#This Row],[Emission Factor]],7)="Σ.Ε. CH",Calculations[[#This Row],[Value]]*Calculations[[#This Row],[Τιμή]],"-")</f>
        <v>1.7269283415703507E-5</v>
      </c>
      <c r="T73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2" s="81" t="str">
        <f>IF(LEFT(Calculations[[#This Row],[Emission Factor]],3)="GWP",Calculations[[#This Row],[Τιμή]],"-")</f>
        <v>-</v>
      </c>
      <c r="V732" s="81" t="str">
        <f>IF(OR(Calculations[[#This Row],[Emission Factor]]="Σ.Ε. CO₂ eq",Calculations[[#This Row],[Emission Factor]]="CO₂ eq"),Calculations[[#This Row],[Value]]*Calculations[[#This Row],[Τιμή]],"-")</f>
        <v>-</v>
      </c>
      <c r="W732" s="81" t="str">
        <f>IF(Calculations[[#This Row],[Πηγή εκπομπών]]="Electricity consumed in office buildings and projects - market based",Calculations[[#This Row],[t CO2]],"")</f>
        <v/>
      </c>
      <c r="X73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4.8353993563969821E-4</v>
      </c>
    </row>
    <row r="733" spans="1:24">
      <c r="A733" s="15" t="s">
        <v>350</v>
      </c>
      <c r="B733" s="15" t="s">
        <v>625</v>
      </c>
      <c r="C733" s="16" t="s">
        <v>624</v>
      </c>
      <c r="D733" s="77" t="s">
        <v>895</v>
      </c>
      <c r="E733" s="77" t="s">
        <v>1179</v>
      </c>
      <c r="F733" s="16" t="s">
        <v>318</v>
      </c>
      <c r="G733" s="16" t="s">
        <v>632</v>
      </c>
      <c r="H733" s="15" t="s">
        <v>630</v>
      </c>
      <c r="I733" s="17" t="s">
        <v>341</v>
      </c>
      <c r="J733" s="79">
        <v>17328</v>
      </c>
      <c r="K733" s="18" t="s">
        <v>7</v>
      </c>
      <c r="L733" s="16" t="s">
        <v>635</v>
      </c>
      <c r="M733" s="148" t="s">
        <v>193</v>
      </c>
      <c r="N733" s="81" t="str">
        <f>_xlfn.XLOOKUP(Calculations[[#This Row],[For XLOOKUP]],Factors[For XLOOKUP],Factors[Factor],"")</f>
        <v>Σ.Ε. N2O m.</v>
      </c>
      <c r="O733" s="81">
        <f>_xlfn.XLOOKUP(Calculations[[#This Row],[For XLOOKUP]],Factors[For XLOOKUP],Factors[Value],"")</f>
        <v>1.0467775855894111E-7</v>
      </c>
      <c r="P733" s="81" t="str">
        <f>_xlfn.XLOOKUP(Calculations[[#This Row],[For XLOOKUP]],Factors[For XLOOKUP],Factors[Units],"")</f>
        <v>tn N2O/lt</v>
      </c>
      <c r="Q733" s="19" t="str">
        <f>_xlfn.XLOOKUP(Calculations[[#This Row],[For XLOOKUP]],Factors[For XLOOKUP],Factors[Source],"")</f>
        <v>Greece. National Inventory Submissions 2024</v>
      </c>
      <c r="R73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3" s="81" t="str">
        <f>IF(LEFT(Calculations[[#This Row],[Emission Factor]],7)="Σ.Ε. CH",Calculations[[#This Row],[Value]]*Calculations[[#This Row],[Τιμή]],"-")</f>
        <v>-</v>
      </c>
      <c r="T733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1.8138562003093316E-3</v>
      </c>
      <c r="U733" s="81" t="str">
        <f>IF(LEFT(Calculations[[#This Row],[Emission Factor]],3)="GWP",Calculations[[#This Row],[Τιμή]],"-")</f>
        <v>-</v>
      </c>
      <c r="V733" s="81" t="str">
        <f>IF(OR(Calculations[[#This Row],[Emission Factor]]="Σ.Ε. CO₂ eq",Calculations[[#This Row],[Emission Factor]]="CO₂ eq"),Calculations[[#This Row],[Value]]*Calculations[[#This Row],[Τιμή]],"-")</f>
        <v>-</v>
      </c>
      <c r="W733" s="81" t="str">
        <f>IF(Calculations[[#This Row],[Πηγή εκπομπών]]="Electricity consumed in office buildings and projects - market based",Calculations[[#This Row],[t CO2]],"")</f>
        <v/>
      </c>
      <c r="X73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0.48067189308197289</v>
      </c>
    </row>
    <row r="734" spans="1:24">
      <c r="A734" s="15" t="s">
        <v>350</v>
      </c>
      <c r="B734" s="15" t="s">
        <v>625</v>
      </c>
      <c r="C734" s="16" t="s">
        <v>624</v>
      </c>
      <c r="D734" s="77" t="s">
        <v>895</v>
      </c>
      <c r="E734" s="77" t="s">
        <v>1141</v>
      </c>
      <c r="F734" s="16" t="s">
        <v>312</v>
      </c>
      <c r="G734" s="16" t="s">
        <v>632</v>
      </c>
      <c r="H734" s="15" t="s">
        <v>630</v>
      </c>
      <c r="I734" s="17" t="s">
        <v>341</v>
      </c>
      <c r="J734" s="78">
        <v>9800</v>
      </c>
      <c r="K734" s="18" t="s">
        <v>7</v>
      </c>
      <c r="L734" s="16" t="s">
        <v>635</v>
      </c>
      <c r="M734" s="148" t="s">
        <v>189</v>
      </c>
      <c r="N734" s="81" t="str">
        <f>_xlfn.XLOOKUP(Calculations[[#This Row],[For XLOOKUP]],Factors[For XLOOKUP],Factors[Factor],"")</f>
        <v>Σ.Ε. CO₂ m.</v>
      </c>
      <c r="O734" s="81">
        <f>_xlfn.XLOOKUP(Calculations[[#This Row],[For XLOOKUP]],Factors[For XLOOKUP],Factors[Value],"")</f>
        <v>2.6092581300000001E-3</v>
      </c>
      <c r="P734" s="81" t="str">
        <f>_xlfn.XLOOKUP(Calculations[[#This Row],[For XLOOKUP]],Factors[For XLOOKUP],Factors[Units],"")</f>
        <v>tn CO2/lt</v>
      </c>
      <c r="Q734" s="19" t="str">
        <f>_xlfn.XLOOKUP(Calculations[[#This Row],[For XLOOKUP]],Factors[For XLOOKUP],Factors[Source],"")</f>
        <v>Greece. National Inventory Submissions 2024</v>
      </c>
      <c r="R734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25.570729673999999</v>
      </c>
      <c r="S734" s="81" t="str">
        <f>IF(LEFT(Calculations[[#This Row],[Emission Factor]],7)="Σ.Ε. CH",Calculations[[#This Row],[Value]]*Calculations[[#This Row],[Τιμή]],"-")</f>
        <v>-</v>
      </c>
      <c r="T73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4" s="81" t="str">
        <f>IF(LEFT(Calculations[[#This Row],[Emission Factor]],3)="GWP",Calculations[[#This Row],[Τιμή]],"-")</f>
        <v>-</v>
      </c>
      <c r="V734" s="81" t="str">
        <f>IF(OR(Calculations[[#This Row],[Emission Factor]]="Σ.Ε. CO₂ eq",Calculations[[#This Row],[Emission Factor]]="CO₂ eq"),Calculations[[#This Row],[Value]]*Calculations[[#This Row],[Τιμή]],"-")</f>
        <v>-</v>
      </c>
      <c r="W734" s="81" t="str">
        <f>IF(Calculations[[#This Row],[Πηγή εκπομπών]]="Electricity consumed in office buildings and projects - market based",Calculations[[#This Row],[t CO2]],"")</f>
        <v/>
      </c>
      <c r="X73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25.570729673999999</v>
      </c>
    </row>
    <row r="735" spans="1:24">
      <c r="A735" s="15" t="s">
        <v>350</v>
      </c>
      <c r="B735" s="15" t="s">
        <v>625</v>
      </c>
      <c r="C735" s="16" t="s">
        <v>624</v>
      </c>
      <c r="D735" s="77" t="s">
        <v>895</v>
      </c>
      <c r="E735" s="77" t="s">
        <v>1141</v>
      </c>
      <c r="F735" s="16" t="s">
        <v>312</v>
      </c>
      <c r="G735" s="16" t="s">
        <v>632</v>
      </c>
      <c r="H735" s="15" t="s">
        <v>630</v>
      </c>
      <c r="I735" s="17" t="s">
        <v>341</v>
      </c>
      <c r="J735" s="79">
        <v>9800</v>
      </c>
      <c r="K735" s="18" t="s">
        <v>7</v>
      </c>
      <c r="L735" s="16" t="s">
        <v>635</v>
      </c>
      <c r="M735" s="148" t="s">
        <v>191</v>
      </c>
      <c r="N735" s="81" t="str">
        <f>_xlfn.XLOOKUP(Calculations[[#This Row],[For XLOOKUP]],Factors[For XLOOKUP],Factors[Factor],"")</f>
        <v>Σ.Ε. CH₄ m.</v>
      </c>
      <c r="O735" s="81">
        <f>_xlfn.XLOOKUP(Calculations[[#This Row],[For XLOOKUP]],Factors[For XLOOKUP],Factors[Value],"")</f>
        <v>9.9661146212508699E-10</v>
      </c>
      <c r="P735" s="81" t="str">
        <f>_xlfn.XLOOKUP(Calculations[[#This Row],[For XLOOKUP]],Factors[For XLOOKUP],Factors[Units],"")</f>
        <v>tn CH₄/lt</v>
      </c>
      <c r="Q735" s="19" t="str">
        <f>_xlfn.XLOOKUP(Calculations[[#This Row],[For XLOOKUP]],Factors[For XLOOKUP],Factors[Source],"")</f>
        <v>Greece. National Inventory Submissions 2024</v>
      </c>
      <c r="R73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5" s="81">
        <f>IF(LEFT(Calculations[[#This Row],[Emission Factor]],7)="Σ.Ε. CH",Calculations[[#This Row],[Value]]*Calculations[[#This Row],[Τιμή]],"-")</f>
        <v>9.7667923288258532E-6</v>
      </c>
      <c r="T73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5" s="81" t="str">
        <f>IF(LEFT(Calculations[[#This Row],[Emission Factor]],3)="GWP",Calculations[[#This Row],[Τιμή]],"-")</f>
        <v>-</v>
      </c>
      <c r="V735" s="81" t="str">
        <f>IF(OR(Calculations[[#This Row],[Emission Factor]]="Σ.Ε. CO₂ eq",Calculations[[#This Row],[Emission Factor]]="CO₂ eq"),Calculations[[#This Row],[Value]]*Calculations[[#This Row],[Τιμή]],"-")</f>
        <v>-</v>
      </c>
      <c r="W735" s="81" t="str">
        <f>IF(Calculations[[#This Row],[Πηγή εκπομπών]]="Electricity consumed in office buildings and projects - market based",Calculations[[#This Row],[t CO2]],"")</f>
        <v/>
      </c>
      <c r="X73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2.7347018520712388E-4</v>
      </c>
    </row>
    <row r="736" spans="1:24">
      <c r="A736" s="15" t="s">
        <v>350</v>
      </c>
      <c r="B736" s="15" t="s">
        <v>625</v>
      </c>
      <c r="C736" s="16" t="s">
        <v>624</v>
      </c>
      <c r="D736" s="77" t="s">
        <v>895</v>
      </c>
      <c r="E736" s="77" t="s">
        <v>1141</v>
      </c>
      <c r="F736" s="16" t="s">
        <v>312</v>
      </c>
      <c r="G736" s="16" t="s">
        <v>632</v>
      </c>
      <c r="H736" s="15" t="s">
        <v>630</v>
      </c>
      <c r="I736" s="17" t="s">
        <v>341</v>
      </c>
      <c r="J736" s="79">
        <v>9800</v>
      </c>
      <c r="K736" s="18" t="s">
        <v>7</v>
      </c>
      <c r="L736" s="94" t="s">
        <v>635</v>
      </c>
      <c r="M736" s="148" t="s">
        <v>193</v>
      </c>
      <c r="N736" s="81" t="str">
        <f>_xlfn.XLOOKUP(Calculations[[#This Row],[For XLOOKUP]],Factors[For XLOOKUP],Factors[Factor],"")</f>
        <v>Σ.Ε. N2O m.</v>
      </c>
      <c r="O736" s="81">
        <f>_xlfn.XLOOKUP(Calculations[[#This Row],[For XLOOKUP]],Factors[For XLOOKUP],Factors[Value],"")</f>
        <v>1.0467775855894111E-7</v>
      </c>
      <c r="P736" s="81" t="str">
        <f>_xlfn.XLOOKUP(Calculations[[#This Row],[For XLOOKUP]],Factors[For XLOOKUP],Factors[Units],"")</f>
        <v>tn N2O/lt</v>
      </c>
      <c r="Q736" s="19" t="str">
        <f>_xlfn.XLOOKUP(Calculations[[#This Row],[For XLOOKUP]],Factors[For XLOOKUP],Factors[Source],"")</f>
        <v>Greece. National Inventory Submissions 2024</v>
      </c>
      <c r="R73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6" s="81" t="str">
        <f>IF(LEFT(Calculations[[#This Row],[Emission Factor]],7)="Σ.Ε. CH",Calculations[[#This Row],[Value]]*Calculations[[#This Row],[Τιμή]],"-")</f>
        <v>-</v>
      </c>
      <c r="T736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1.0258420338776228E-3</v>
      </c>
      <c r="U736" s="81" t="str">
        <f>IF(LEFT(Calculations[[#This Row],[Emission Factor]],3)="GWP",Calculations[[#This Row],[Τιμή]],"-")</f>
        <v>-</v>
      </c>
      <c r="V736" s="81" t="str">
        <f>IF(OR(Calculations[[#This Row],[Emission Factor]]="Σ.Ε. CO₂ eq",Calculations[[#This Row],[Emission Factor]]="CO₂ eq"),Calculations[[#This Row],[Value]]*Calculations[[#This Row],[Τιμή]],"-")</f>
        <v>-</v>
      </c>
      <c r="W736" s="81" t="str">
        <f>IF(Calculations[[#This Row],[Πηγή εκπομπών]]="Electricity consumed in office buildings and projects - market based",Calculations[[#This Row],[t CO2]],"")</f>
        <v/>
      </c>
      <c r="X73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0.27184813897757004</v>
      </c>
    </row>
    <row r="737" spans="1:24">
      <c r="A737" s="15" t="s">
        <v>350</v>
      </c>
      <c r="B737" s="15" t="s">
        <v>625</v>
      </c>
      <c r="C737" s="16" t="s">
        <v>624</v>
      </c>
      <c r="D737" s="77" t="s">
        <v>895</v>
      </c>
      <c r="E737" s="77" t="s">
        <v>1156</v>
      </c>
      <c r="F737" s="16" t="s">
        <v>319</v>
      </c>
      <c r="G737" s="16" t="s">
        <v>632</v>
      </c>
      <c r="H737" s="15" t="s">
        <v>630</v>
      </c>
      <c r="I737" s="17" t="s">
        <v>341</v>
      </c>
      <c r="J737" s="78">
        <v>16648.05</v>
      </c>
      <c r="K737" s="18" t="s">
        <v>7</v>
      </c>
      <c r="L737" s="94" t="s">
        <v>635</v>
      </c>
      <c r="M737" s="148" t="s">
        <v>189</v>
      </c>
      <c r="N737" s="81" t="str">
        <f>_xlfn.XLOOKUP(Calculations[[#This Row],[For XLOOKUP]],Factors[For XLOOKUP],Factors[Factor],"")</f>
        <v>Σ.Ε. CO₂ m.</v>
      </c>
      <c r="O737" s="81">
        <f>_xlfn.XLOOKUP(Calculations[[#This Row],[For XLOOKUP]],Factors[For XLOOKUP],Factors[Value],"")</f>
        <v>2.6092581300000001E-3</v>
      </c>
      <c r="P737" s="81" t="str">
        <f>_xlfn.XLOOKUP(Calculations[[#This Row],[For XLOOKUP]],Factors[For XLOOKUP],Factors[Units],"")</f>
        <v>tn CO2/lt</v>
      </c>
      <c r="Q737" s="19" t="str">
        <f>_xlfn.XLOOKUP(Calculations[[#This Row],[For XLOOKUP]],Factors[For XLOOKUP],Factors[Source],"")</f>
        <v>Greece. National Inventory Submissions 2024</v>
      </c>
      <c r="R737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43.4390598111465</v>
      </c>
      <c r="S737" s="81" t="str">
        <f>IF(LEFT(Calculations[[#This Row],[Emission Factor]],7)="Σ.Ε. CH",Calculations[[#This Row],[Value]]*Calculations[[#This Row],[Τιμή]],"-")</f>
        <v>-</v>
      </c>
      <c r="T73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7" s="81" t="str">
        <f>IF(LEFT(Calculations[[#This Row],[Emission Factor]],3)="GWP",Calculations[[#This Row],[Τιμή]],"-")</f>
        <v>-</v>
      </c>
      <c r="V737" s="81" t="str">
        <f>IF(OR(Calculations[[#This Row],[Emission Factor]]="Σ.Ε. CO₂ eq",Calculations[[#This Row],[Emission Factor]]="CO₂ eq"),Calculations[[#This Row],[Value]]*Calculations[[#This Row],[Τιμή]],"-")</f>
        <v>-</v>
      </c>
      <c r="W737" s="81" t="str">
        <f>IF(Calculations[[#This Row],[Πηγή εκπομπών]]="Electricity consumed in office buildings and projects - market based",Calculations[[#This Row],[t CO2]],"")</f>
        <v/>
      </c>
      <c r="X73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43.4390598111465</v>
      </c>
    </row>
    <row r="738" spans="1:24">
      <c r="A738" s="15" t="s">
        <v>350</v>
      </c>
      <c r="B738" s="15" t="s">
        <v>625</v>
      </c>
      <c r="C738" s="16" t="s">
        <v>624</v>
      </c>
      <c r="D738" s="77" t="s">
        <v>895</v>
      </c>
      <c r="E738" s="77" t="s">
        <v>1156</v>
      </c>
      <c r="F738" s="16" t="s">
        <v>319</v>
      </c>
      <c r="G738" s="16" t="s">
        <v>632</v>
      </c>
      <c r="H738" s="15" t="s">
        <v>630</v>
      </c>
      <c r="I738" s="17" t="s">
        <v>341</v>
      </c>
      <c r="J738" s="79">
        <v>16648.05</v>
      </c>
      <c r="K738" s="18" t="s">
        <v>7</v>
      </c>
      <c r="L738" s="94" t="s">
        <v>635</v>
      </c>
      <c r="M738" s="148" t="s">
        <v>191</v>
      </c>
      <c r="N738" s="81" t="str">
        <f>_xlfn.XLOOKUP(Calculations[[#This Row],[For XLOOKUP]],Factors[For XLOOKUP],Factors[Factor],"")</f>
        <v>Σ.Ε. CH₄ m.</v>
      </c>
      <c r="O738" s="81">
        <f>_xlfn.XLOOKUP(Calculations[[#This Row],[For XLOOKUP]],Factors[For XLOOKUP],Factors[Value],"")</f>
        <v>9.9661146212508699E-10</v>
      </c>
      <c r="P738" s="81" t="str">
        <f>_xlfn.XLOOKUP(Calculations[[#This Row],[For XLOOKUP]],Factors[For XLOOKUP],Factors[Units],"")</f>
        <v>tn CH₄/lt</v>
      </c>
      <c r="Q738" s="19" t="str">
        <f>_xlfn.XLOOKUP(Calculations[[#This Row],[For XLOOKUP]],Factors[For XLOOKUP],Factors[Source],"")</f>
        <v>Greece. National Inventory Submissions 2024</v>
      </c>
      <c r="R73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8" s="81">
        <f>IF(LEFT(Calculations[[#This Row],[Emission Factor]],7)="Σ.Ε. CH",Calculations[[#This Row],[Value]]*Calculations[[#This Row],[Τιμή]],"-")</f>
        <v>1.6591637452031553E-5</v>
      </c>
      <c r="T73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8" s="81" t="str">
        <f>IF(LEFT(Calculations[[#This Row],[Emission Factor]],3)="GWP",Calculations[[#This Row],[Τιμή]],"-")</f>
        <v>-</v>
      </c>
      <c r="V738" s="81" t="str">
        <f>IF(OR(Calculations[[#This Row],[Emission Factor]]="Σ.Ε. CO₂ eq",Calculations[[#This Row],[Emission Factor]]="CO₂ eq"),Calculations[[#This Row],[Value]]*Calculations[[#This Row],[Τιμή]],"-")</f>
        <v>-</v>
      </c>
      <c r="W738" s="81" t="str">
        <f>IF(Calculations[[#This Row],[Πηγή εκπομπών]]="Electricity consumed in office buildings and projects - market based",Calculations[[#This Row],[t CO2]],"")</f>
        <v/>
      </c>
      <c r="X73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4.6456584865688349E-4</v>
      </c>
    </row>
    <row r="739" spans="1:24">
      <c r="A739" s="15" t="s">
        <v>350</v>
      </c>
      <c r="B739" s="15" t="s">
        <v>625</v>
      </c>
      <c r="C739" s="16" t="s">
        <v>624</v>
      </c>
      <c r="D739" s="77" t="s">
        <v>895</v>
      </c>
      <c r="E739" s="77" t="s">
        <v>1156</v>
      </c>
      <c r="F739" s="16" t="s">
        <v>319</v>
      </c>
      <c r="G739" s="16" t="s">
        <v>632</v>
      </c>
      <c r="H739" s="15" t="s">
        <v>630</v>
      </c>
      <c r="I739" s="17" t="s">
        <v>341</v>
      </c>
      <c r="J739" s="79">
        <v>16648.05</v>
      </c>
      <c r="K739" s="18" t="s">
        <v>7</v>
      </c>
      <c r="L739" s="94" t="s">
        <v>635</v>
      </c>
      <c r="M739" s="148" t="s">
        <v>193</v>
      </c>
      <c r="N739" s="81" t="str">
        <f>_xlfn.XLOOKUP(Calculations[[#This Row],[For XLOOKUP]],Factors[For XLOOKUP],Factors[Factor],"")</f>
        <v>Σ.Ε. N2O m.</v>
      </c>
      <c r="O739" s="81">
        <f>_xlfn.XLOOKUP(Calculations[[#This Row],[For XLOOKUP]],Factors[For XLOOKUP],Factors[Value],"")</f>
        <v>1.0467775855894111E-7</v>
      </c>
      <c r="P739" s="81" t="str">
        <f>_xlfn.XLOOKUP(Calculations[[#This Row],[For XLOOKUP]],Factors[For XLOOKUP],Factors[Units],"")</f>
        <v>tn N2O/lt</v>
      </c>
      <c r="Q739" s="19" t="str">
        <f>_xlfn.XLOOKUP(Calculations[[#This Row],[For XLOOKUP]],Factors[For XLOOKUP],Factors[Source],"")</f>
        <v>Greece. National Inventory Submissions 2024</v>
      </c>
      <c r="R73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9" s="81" t="str">
        <f>IF(LEFT(Calculations[[#This Row],[Emission Factor]],7)="Σ.Ε. CH",Calculations[[#This Row],[Value]]*Calculations[[#This Row],[Τιμή]],"-")</f>
        <v>-</v>
      </c>
      <c r="T739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1.7426805583771795E-3</v>
      </c>
      <c r="U739" s="81" t="str">
        <f>IF(LEFT(Calculations[[#This Row],[Emission Factor]],3)="GWP",Calculations[[#This Row],[Τιμή]],"-")</f>
        <v>-</v>
      </c>
      <c r="V739" s="81" t="str">
        <f>IF(OR(Calculations[[#This Row],[Emission Factor]]="Σ.Ε. CO₂ eq",Calculations[[#This Row],[Emission Factor]]="CO₂ eq"),Calculations[[#This Row],[Value]]*Calculations[[#This Row],[Τιμή]],"-")</f>
        <v>-</v>
      </c>
      <c r="W739" s="81" t="str">
        <f>IF(Calculations[[#This Row],[Πηγή εκπομπών]]="Electricity consumed in office buildings and projects - market based",Calculations[[#This Row],[t CO2]],"")</f>
        <v/>
      </c>
      <c r="X73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0.46181034796995257</v>
      </c>
    </row>
    <row r="740" spans="1:24">
      <c r="A740" s="15" t="s">
        <v>350</v>
      </c>
      <c r="B740" s="15" t="s">
        <v>625</v>
      </c>
      <c r="C740" s="16" t="s">
        <v>624</v>
      </c>
      <c r="D740" s="77" t="s">
        <v>894</v>
      </c>
      <c r="E740" s="77"/>
      <c r="F740" s="16" t="s">
        <v>317</v>
      </c>
      <c r="G740" s="16" t="s">
        <v>632</v>
      </c>
      <c r="H740" s="15" t="s">
        <v>630</v>
      </c>
      <c r="I740" s="17" t="s">
        <v>341</v>
      </c>
      <c r="J740" s="78">
        <v>9236</v>
      </c>
      <c r="K740" s="18" t="s">
        <v>7</v>
      </c>
      <c r="L740" s="94" t="s">
        <v>635</v>
      </c>
      <c r="M740" s="148" t="s">
        <v>189</v>
      </c>
      <c r="N740" s="81" t="str">
        <f>_xlfn.XLOOKUP(Calculations[[#This Row],[For XLOOKUP]],Factors[For XLOOKUP],Factors[Factor],"")</f>
        <v>Σ.Ε. CO₂ m.</v>
      </c>
      <c r="O740" s="81">
        <f>_xlfn.XLOOKUP(Calculations[[#This Row],[For XLOOKUP]],Factors[For XLOOKUP],Factors[Value],"")</f>
        <v>2.6092581300000001E-3</v>
      </c>
      <c r="P740" s="81" t="str">
        <f>_xlfn.XLOOKUP(Calculations[[#This Row],[For XLOOKUP]],Factors[For XLOOKUP],Factors[Units],"")</f>
        <v>tn CO2/lt</v>
      </c>
      <c r="Q740" s="19" t="str">
        <f>_xlfn.XLOOKUP(Calculations[[#This Row],[For XLOOKUP]],Factors[For XLOOKUP],Factors[Source],"")</f>
        <v>Greece. National Inventory Submissions 2024</v>
      </c>
      <c r="R740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24.099108088680001</v>
      </c>
      <c r="S740" s="81" t="str">
        <f>IF(LEFT(Calculations[[#This Row],[Emission Factor]],7)="Σ.Ε. CH",Calculations[[#This Row],[Value]]*Calculations[[#This Row],[Τιμή]],"-")</f>
        <v>-</v>
      </c>
      <c r="T74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0" s="81" t="str">
        <f>IF(LEFT(Calculations[[#This Row],[Emission Factor]],3)="GWP",Calculations[[#This Row],[Τιμή]],"-")</f>
        <v>-</v>
      </c>
      <c r="V740" s="81" t="str">
        <f>IF(OR(Calculations[[#This Row],[Emission Factor]]="Σ.Ε. CO₂ eq",Calculations[[#This Row],[Emission Factor]]="CO₂ eq"),Calculations[[#This Row],[Value]]*Calculations[[#This Row],[Τιμή]],"-")</f>
        <v>-</v>
      </c>
      <c r="W740" s="81" t="str">
        <f>IF(Calculations[[#This Row],[Πηγή εκπομπών]]="Electricity consumed in office buildings and projects - market based",Calculations[[#This Row],[t CO2]],"")</f>
        <v/>
      </c>
      <c r="X74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24.099108088680001</v>
      </c>
    </row>
    <row r="741" spans="1:24">
      <c r="A741" s="15" t="s">
        <v>350</v>
      </c>
      <c r="B741" s="15" t="s">
        <v>625</v>
      </c>
      <c r="C741" s="16" t="s">
        <v>624</v>
      </c>
      <c r="D741" s="77" t="s">
        <v>894</v>
      </c>
      <c r="E741" s="77"/>
      <c r="F741" s="16" t="s">
        <v>317</v>
      </c>
      <c r="G741" s="16" t="s">
        <v>632</v>
      </c>
      <c r="H741" s="15" t="s">
        <v>630</v>
      </c>
      <c r="I741" s="17" t="s">
        <v>341</v>
      </c>
      <c r="J741" s="79">
        <v>9236</v>
      </c>
      <c r="K741" s="18" t="s">
        <v>7</v>
      </c>
      <c r="L741" s="94" t="s">
        <v>635</v>
      </c>
      <c r="M741" s="148" t="s">
        <v>191</v>
      </c>
      <c r="N741" s="81" t="str">
        <f>_xlfn.XLOOKUP(Calculations[[#This Row],[For XLOOKUP]],Factors[For XLOOKUP],Factors[Factor],"")</f>
        <v>Σ.Ε. CH₄ m.</v>
      </c>
      <c r="O741" s="81">
        <f>_xlfn.XLOOKUP(Calculations[[#This Row],[For XLOOKUP]],Factors[For XLOOKUP],Factors[Value],"")</f>
        <v>9.9661146212508699E-10</v>
      </c>
      <c r="P741" s="81" t="str">
        <f>_xlfn.XLOOKUP(Calculations[[#This Row],[For XLOOKUP]],Factors[For XLOOKUP],Factors[Units],"")</f>
        <v>tn CH₄/lt</v>
      </c>
      <c r="Q741" s="19" t="str">
        <f>_xlfn.XLOOKUP(Calculations[[#This Row],[For XLOOKUP]],Factors[For XLOOKUP],Factors[Source],"")</f>
        <v>Greece. National Inventory Submissions 2024</v>
      </c>
      <c r="R74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1" s="81">
        <f>IF(LEFT(Calculations[[#This Row],[Emission Factor]],7)="Σ.Ε. CH",Calculations[[#This Row],[Value]]*Calculations[[#This Row],[Τιμή]],"-")</f>
        <v>9.2047034641873027E-6</v>
      </c>
      <c r="T74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1" s="81" t="str">
        <f>IF(LEFT(Calculations[[#This Row],[Emission Factor]],3)="GWP",Calculations[[#This Row],[Τιμή]],"-")</f>
        <v>-</v>
      </c>
      <c r="V741" s="81" t="str">
        <f>IF(OR(Calculations[[#This Row],[Emission Factor]]="Σ.Ε. CO₂ eq",Calculations[[#This Row],[Emission Factor]]="CO₂ eq"),Calculations[[#This Row],[Value]]*Calculations[[#This Row],[Τιμή]],"-")</f>
        <v>-</v>
      </c>
      <c r="W741" s="81" t="str">
        <f>IF(Calculations[[#This Row],[Πηγή εκπομπών]]="Electricity consumed in office buildings and projects - market based",Calculations[[#This Row],[t CO2]],"")</f>
        <v/>
      </c>
      <c r="X74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2.5773169699724446E-4</v>
      </c>
    </row>
    <row r="742" spans="1:24">
      <c r="A742" s="15" t="s">
        <v>350</v>
      </c>
      <c r="B742" s="15" t="s">
        <v>625</v>
      </c>
      <c r="C742" s="16" t="s">
        <v>624</v>
      </c>
      <c r="D742" s="77" t="s">
        <v>894</v>
      </c>
      <c r="E742" s="77"/>
      <c r="F742" s="16" t="s">
        <v>317</v>
      </c>
      <c r="G742" s="16" t="s">
        <v>632</v>
      </c>
      <c r="H742" s="15" t="s">
        <v>630</v>
      </c>
      <c r="I742" s="17" t="s">
        <v>341</v>
      </c>
      <c r="J742" s="79">
        <v>9236</v>
      </c>
      <c r="K742" s="18" t="s">
        <v>7</v>
      </c>
      <c r="L742" s="94" t="s">
        <v>635</v>
      </c>
      <c r="M742" s="148" t="s">
        <v>193</v>
      </c>
      <c r="N742" s="19" t="str">
        <f>_xlfn.XLOOKUP(Calculations[[#This Row],[For XLOOKUP]],Factors[For XLOOKUP],Factors[Factor],"")</f>
        <v>Σ.Ε. N2O m.</v>
      </c>
      <c r="O742" s="19">
        <f>_xlfn.XLOOKUP(Calculations[[#This Row],[For XLOOKUP]],Factors[For XLOOKUP],Factors[Value],"")</f>
        <v>1.0467775855894111E-7</v>
      </c>
      <c r="P742" s="19" t="str">
        <f>_xlfn.XLOOKUP(Calculations[[#This Row],[For XLOOKUP]],Factors[For XLOOKUP],Factors[Units],"")</f>
        <v>tn N2O/lt</v>
      </c>
      <c r="Q742" s="19" t="str">
        <f>_xlfn.XLOOKUP(Calculations[[#This Row],[For XLOOKUP]],Factors[For XLOOKUP],Factors[Source],"")</f>
        <v>Greece. National Inventory Submissions 2024</v>
      </c>
      <c r="R742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2" s="19" t="str">
        <f>IF(LEFT(Calculations[[#This Row],[Emission Factor]],7)="Σ.Ε. CH",Calculations[[#This Row],[Value]]*Calculations[[#This Row],[Τιμή]],"-")</f>
        <v>-</v>
      </c>
      <c r="T742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9.6680377805038011E-4</v>
      </c>
      <c r="U742" s="19" t="str">
        <f>IF(LEFT(Calculations[[#This Row],[Emission Factor]],3)="GWP",Calculations[[#This Row],[Τιμή]],"-")</f>
        <v>-</v>
      </c>
      <c r="V742" s="19" t="str">
        <f>IF(OR(Calculations[[#This Row],[Emission Factor]]="Σ.Ε. CO₂ eq",Calculations[[#This Row],[Emission Factor]]="CO₂ eq"),Calculations[[#This Row],[Value]]*Calculations[[#This Row],[Τιμή]],"-")</f>
        <v>-</v>
      </c>
      <c r="W742" s="19" t="str">
        <f>IF(Calculations[[#This Row],[Πηγή εκπομπών]]="Electricity consumed in office buildings and projects - market based",Calculations[[#This Row],[t CO2]],"")</f>
        <v/>
      </c>
      <c r="X74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0.25620300118335071</v>
      </c>
    </row>
    <row r="743" spans="1:24">
      <c r="A743" s="15" t="s">
        <v>350</v>
      </c>
      <c r="B743" s="15" t="s">
        <v>625</v>
      </c>
      <c r="C743" s="16" t="s">
        <v>624</v>
      </c>
      <c r="D743" s="77" t="s">
        <v>895</v>
      </c>
      <c r="E743" s="77" t="s">
        <v>1179</v>
      </c>
      <c r="F743" s="16" t="s">
        <v>318</v>
      </c>
      <c r="G743" s="16" t="s">
        <v>632</v>
      </c>
      <c r="H743" s="15" t="s">
        <v>630</v>
      </c>
      <c r="I743" s="17" t="s">
        <v>342</v>
      </c>
      <c r="J743" s="78">
        <v>10043</v>
      </c>
      <c r="K743" s="18" t="s">
        <v>7</v>
      </c>
      <c r="L743" s="94" t="s">
        <v>636</v>
      </c>
      <c r="M743" s="148" t="s">
        <v>190</v>
      </c>
      <c r="N743" s="81" t="str">
        <f>_xlfn.XLOOKUP(Calculations[[#This Row],[For XLOOKUP]],Factors[For XLOOKUP],Factors[Factor],"")</f>
        <v>Σ.Ε. CO₂ m.</v>
      </c>
      <c r="O743" s="81">
        <f>_xlfn.XLOOKUP(Calculations[[#This Row],[For XLOOKUP]],Factors[For XLOOKUP],Factors[Value],"")</f>
        <v>2.3432595615E-3</v>
      </c>
      <c r="P743" s="81" t="str">
        <f>_xlfn.XLOOKUP(Calculations[[#This Row],[For XLOOKUP]],Factors[For XLOOKUP],Factors[Units],"")</f>
        <v>tn CO2/lt</v>
      </c>
      <c r="Q743" s="19" t="str">
        <f>_xlfn.XLOOKUP(Calculations[[#This Row],[For XLOOKUP]],Factors[For XLOOKUP],Factors[Source],"")</f>
        <v>Greece. National Inventory Submissions 2024</v>
      </c>
      <c r="R743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23.5333557761445</v>
      </c>
      <c r="S743" s="81" t="str">
        <f>IF(LEFT(Calculations[[#This Row],[Emission Factor]],7)="Σ.Ε. CH",Calculations[[#This Row],[Value]]*Calculations[[#This Row],[Τιμή]],"-")</f>
        <v>-</v>
      </c>
      <c r="T74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3" s="81" t="str">
        <f>IF(LEFT(Calculations[[#This Row],[Emission Factor]],3)="GWP",Calculations[[#This Row],[Τιμή]],"-")</f>
        <v>-</v>
      </c>
      <c r="V743" s="81" t="str">
        <f>IF(OR(Calculations[[#This Row],[Emission Factor]]="Σ.Ε. CO₂ eq",Calculations[[#This Row],[Emission Factor]]="CO₂ eq"),Calculations[[#This Row],[Value]]*Calculations[[#This Row],[Τιμή]],"-")</f>
        <v>-</v>
      </c>
      <c r="W743" s="81" t="str">
        <f>IF(Calculations[[#This Row],[Πηγή εκπομπών]]="Electricity consumed in office buildings and projects - market based",Calculations[[#This Row],[t CO2]],"")</f>
        <v/>
      </c>
      <c r="X74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23.5333557761445</v>
      </c>
    </row>
    <row r="744" spans="1:24">
      <c r="A744" s="15" t="s">
        <v>350</v>
      </c>
      <c r="B744" s="15" t="s">
        <v>625</v>
      </c>
      <c r="C744" s="16" t="s">
        <v>624</v>
      </c>
      <c r="D744" s="77" t="s">
        <v>895</v>
      </c>
      <c r="E744" s="77" t="s">
        <v>1179</v>
      </c>
      <c r="F744" s="16" t="s">
        <v>318</v>
      </c>
      <c r="G744" s="16" t="s">
        <v>632</v>
      </c>
      <c r="H744" s="15" t="s">
        <v>630</v>
      </c>
      <c r="I744" s="17" t="s">
        <v>342</v>
      </c>
      <c r="J744" s="79">
        <v>10043</v>
      </c>
      <c r="K744" s="18" t="s">
        <v>7</v>
      </c>
      <c r="L744" s="94" t="s">
        <v>636</v>
      </c>
      <c r="M744" s="148" t="s">
        <v>192</v>
      </c>
      <c r="N744" s="81" t="str">
        <f>_xlfn.XLOOKUP(Calculations[[#This Row],[For XLOOKUP]],Factors[For XLOOKUP],Factors[Factor],"")</f>
        <v>Σ.Ε. CH₄ m.</v>
      </c>
      <c r="O744" s="81">
        <f>_xlfn.XLOOKUP(Calculations[[#This Row],[For XLOOKUP]],Factors[For XLOOKUP],Factors[Value],"")</f>
        <v>2.9862611012340788E-7</v>
      </c>
      <c r="P744" s="81" t="str">
        <f>_xlfn.XLOOKUP(Calculations[[#This Row],[For XLOOKUP]],Factors[For XLOOKUP],Factors[Units],"")</f>
        <v>tn CH₄/lt</v>
      </c>
      <c r="Q744" s="19" t="str">
        <f>_xlfn.XLOOKUP(Calculations[[#This Row],[For XLOOKUP]],Factors[For XLOOKUP],Factors[Source],"")</f>
        <v>Greece. National Inventory Submissions 2024</v>
      </c>
      <c r="R74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4" s="81">
        <f>IF(LEFT(Calculations[[#This Row],[Emission Factor]],7)="Σ.Ε. CH",Calculations[[#This Row],[Value]]*Calculations[[#This Row],[Τιμή]],"-")</f>
        <v>2.9991020239693851E-3</v>
      </c>
      <c r="T74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4" s="81" t="str">
        <f>IF(LEFT(Calculations[[#This Row],[Emission Factor]],3)="GWP",Calculations[[#This Row],[Τιμή]],"-")</f>
        <v>-</v>
      </c>
      <c r="V744" s="81" t="str">
        <f>IF(OR(Calculations[[#This Row],[Emission Factor]]="Σ.Ε. CO₂ eq",Calculations[[#This Row],[Emission Factor]]="CO₂ eq"),Calculations[[#This Row],[Value]]*Calculations[[#This Row],[Τιμή]],"-")</f>
        <v>-</v>
      </c>
      <c r="W744" s="81" t="str">
        <f>IF(Calculations[[#This Row],[Πηγή εκπομπών]]="Electricity consumed in office buildings and projects - market based",Calculations[[#This Row],[t CO2]],"")</f>
        <v/>
      </c>
      <c r="X74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8.3974856671142781E-2</v>
      </c>
    </row>
    <row r="745" spans="1:24">
      <c r="A745" s="15" t="s">
        <v>350</v>
      </c>
      <c r="B745" s="15" t="s">
        <v>625</v>
      </c>
      <c r="C745" s="16" t="s">
        <v>624</v>
      </c>
      <c r="D745" s="77" t="s">
        <v>895</v>
      </c>
      <c r="E745" s="16" t="s">
        <v>1179</v>
      </c>
      <c r="F745" s="16" t="s">
        <v>318</v>
      </c>
      <c r="G745" s="16" t="s">
        <v>632</v>
      </c>
      <c r="H745" s="15" t="s">
        <v>630</v>
      </c>
      <c r="I745" s="17" t="s">
        <v>342</v>
      </c>
      <c r="J745" s="79">
        <v>10043</v>
      </c>
      <c r="K745" s="18" t="s">
        <v>7</v>
      </c>
      <c r="L745" s="94" t="s">
        <v>636</v>
      </c>
      <c r="M745" s="148" t="s">
        <v>194</v>
      </c>
      <c r="N745" s="81" t="str">
        <f>_xlfn.XLOOKUP(Calculations[[#This Row],[For XLOOKUP]],Factors[For XLOOKUP],Factors[Factor],"")</f>
        <v>Σ.Ε. N2O m.</v>
      </c>
      <c r="O745" s="81">
        <f>_xlfn.XLOOKUP(Calculations[[#This Row],[For XLOOKUP]],Factors[For XLOOKUP],Factors[Value],"")</f>
        <v>4.3350728455066983E-8</v>
      </c>
      <c r="P745" s="81" t="str">
        <f>_xlfn.XLOOKUP(Calculations[[#This Row],[For XLOOKUP]],Factors[For XLOOKUP],Factors[Units],"")</f>
        <v>tn N2O/lt</v>
      </c>
      <c r="Q745" s="19" t="str">
        <f>_xlfn.XLOOKUP(Calculations[[#This Row],[For XLOOKUP]],Factors[For XLOOKUP],Factors[Source],"")</f>
        <v>Greece. National Inventory Submissions 2024</v>
      </c>
      <c r="R74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5" s="81" t="str">
        <f>IF(LEFT(Calculations[[#This Row],[Emission Factor]],7)="Σ.Ε. CH",Calculations[[#This Row],[Value]]*Calculations[[#This Row],[Τιμή]],"-")</f>
        <v>-</v>
      </c>
      <c r="T745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4.3537136587423769E-4</v>
      </c>
      <c r="U745" s="81" t="str">
        <f>IF(LEFT(Calculations[[#This Row],[Emission Factor]],3)="GWP",Calculations[[#This Row],[Τιμή]],"-")</f>
        <v>-</v>
      </c>
      <c r="V745" s="81" t="str">
        <f>IF(OR(Calculations[[#This Row],[Emission Factor]]="Σ.Ε. CO₂ eq",Calculations[[#This Row],[Emission Factor]]="CO₂ eq"),Calculations[[#This Row],[Value]]*Calculations[[#This Row],[Τιμή]],"-")</f>
        <v>-</v>
      </c>
      <c r="W745" s="81" t="str">
        <f>IF(Calculations[[#This Row],[Πηγή εκπομπών]]="Electricity consumed in office buildings and projects - market based",Calculations[[#This Row],[t CO2]],"")</f>
        <v/>
      </c>
      <c r="X74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0.11537341195667299</v>
      </c>
    </row>
    <row r="746" spans="1:24">
      <c r="A746" s="15" t="s">
        <v>350</v>
      </c>
      <c r="B746" s="15" t="s">
        <v>625</v>
      </c>
      <c r="C746" s="16" t="s">
        <v>624</v>
      </c>
      <c r="D746" s="77" t="s">
        <v>895</v>
      </c>
      <c r="E746" s="16" t="s">
        <v>1141</v>
      </c>
      <c r="F746" s="16" t="s">
        <v>312</v>
      </c>
      <c r="G746" s="16" t="s">
        <v>632</v>
      </c>
      <c r="H746" s="15" t="s">
        <v>630</v>
      </c>
      <c r="I746" s="17" t="s">
        <v>342</v>
      </c>
      <c r="J746" s="78">
        <f>270+17494.01</f>
        <v>17764.009999999998</v>
      </c>
      <c r="K746" s="18" t="s">
        <v>7</v>
      </c>
      <c r="L746" s="94" t="s">
        <v>636</v>
      </c>
      <c r="M746" s="148" t="s">
        <v>190</v>
      </c>
      <c r="N746" s="81" t="str">
        <f>_xlfn.XLOOKUP(Calculations[[#This Row],[For XLOOKUP]],Factors[For XLOOKUP],Factors[Factor],"")</f>
        <v>Σ.Ε. CO₂ m.</v>
      </c>
      <c r="O746" s="81">
        <f>_xlfn.XLOOKUP(Calculations[[#This Row],[For XLOOKUP]],Factors[For XLOOKUP],Factors[Value],"")</f>
        <v>2.3432595615E-3</v>
      </c>
      <c r="P746" s="81" t="str">
        <f>_xlfn.XLOOKUP(Calculations[[#This Row],[For XLOOKUP]],Factors[For XLOOKUP],Factors[Units],"")</f>
        <v>tn CO2/lt</v>
      </c>
      <c r="Q746" s="19" t="str">
        <f>_xlfn.XLOOKUP(Calculations[[#This Row],[For XLOOKUP]],Factors[For XLOOKUP],Factors[Source],"")</f>
        <v>Greece. National Inventory Submissions 2024</v>
      </c>
      <c r="R746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41.625686283081613</v>
      </c>
      <c r="S746" s="81" t="str">
        <f>IF(LEFT(Calculations[[#This Row],[Emission Factor]],7)="Σ.Ε. CH",Calculations[[#This Row],[Value]]*Calculations[[#This Row],[Τιμή]],"-")</f>
        <v>-</v>
      </c>
      <c r="T74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6" s="81" t="str">
        <f>IF(LEFT(Calculations[[#This Row],[Emission Factor]],3)="GWP",Calculations[[#This Row],[Τιμή]],"-")</f>
        <v>-</v>
      </c>
      <c r="V746" s="81" t="str">
        <f>IF(OR(Calculations[[#This Row],[Emission Factor]]="Σ.Ε. CO₂ eq",Calculations[[#This Row],[Emission Factor]]="CO₂ eq"),Calculations[[#This Row],[Value]]*Calculations[[#This Row],[Τιμή]],"-")</f>
        <v>-</v>
      </c>
      <c r="W746" s="81" t="str">
        <f>IF(Calculations[[#This Row],[Πηγή εκπομπών]]="Electricity consumed in office buildings and projects - market based",Calculations[[#This Row],[t CO2]],"")</f>
        <v/>
      </c>
      <c r="X74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41.625686283081613</v>
      </c>
    </row>
    <row r="747" spans="1:24">
      <c r="A747" s="15" t="s">
        <v>350</v>
      </c>
      <c r="B747" s="15" t="s">
        <v>625</v>
      </c>
      <c r="C747" s="16" t="s">
        <v>624</v>
      </c>
      <c r="D747" s="77" t="s">
        <v>895</v>
      </c>
      <c r="E747" s="16" t="s">
        <v>1141</v>
      </c>
      <c r="F747" s="16" t="s">
        <v>312</v>
      </c>
      <c r="G747" s="16" t="s">
        <v>632</v>
      </c>
      <c r="H747" s="15" t="s">
        <v>630</v>
      </c>
      <c r="I747" s="17" t="s">
        <v>342</v>
      </c>
      <c r="J747" s="79">
        <v>17764.009999999998</v>
      </c>
      <c r="K747" s="18" t="s">
        <v>7</v>
      </c>
      <c r="L747" s="94" t="s">
        <v>636</v>
      </c>
      <c r="M747" s="148" t="s">
        <v>192</v>
      </c>
      <c r="N747" s="81" t="str">
        <f>_xlfn.XLOOKUP(Calculations[[#This Row],[For XLOOKUP]],Factors[For XLOOKUP],Factors[Factor],"")</f>
        <v>Σ.Ε. CH₄ m.</v>
      </c>
      <c r="O747" s="81">
        <f>_xlfn.XLOOKUP(Calculations[[#This Row],[For XLOOKUP]],Factors[For XLOOKUP],Factors[Value],"")</f>
        <v>2.9862611012340788E-7</v>
      </c>
      <c r="P747" s="81" t="str">
        <f>_xlfn.XLOOKUP(Calculations[[#This Row],[For XLOOKUP]],Factors[For XLOOKUP],Factors[Units],"")</f>
        <v>tn CH₄/lt</v>
      </c>
      <c r="Q747" s="19" t="str">
        <f>_xlfn.XLOOKUP(Calculations[[#This Row],[For XLOOKUP]],Factors[For XLOOKUP],Factors[Source],"")</f>
        <v>Greece. National Inventory Submissions 2024</v>
      </c>
      <c r="R74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7" s="81">
        <f>IF(LEFT(Calculations[[#This Row],[Emission Factor]],7)="Σ.Ε. CH",Calculations[[#This Row],[Value]]*Calculations[[#This Row],[Τιμή]],"-")</f>
        <v>5.3047972064933181E-3</v>
      </c>
      <c r="T74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7" s="81" t="str">
        <f>IF(LEFT(Calculations[[#This Row],[Emission Factor]],3)="GWP",Calculations[[#This Row],[Τιμή]],"-")</f>
        <v>-</v>
      </c>
      <c r="V747" s="81" t="str">
        <f>IF(OR(Calculations[[#This Row],[Emission Factor]]="Σ.Ε. CO₂ eq",Calculations[[#This Row],[Emission Factor]]="CO₂ eq"),Calculations[[#This Row],[Value]]*Calculations[[#This Row],[Τιμή]],"-")</f>
        <v>-</v>
      </c>
      <c r="W747" s="81" t="str">
        <f>IF(Calculations[[#This Row],[Πηγή εκπομπών]]="Electricity consumed in office buildings and projects - market based",Calculations[[#This Row],[t CO2]],"")</f>
        <v/>
      </c>
      <c r="X74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0.14853432178181292</v>
      </c>
    </row>
    <row r="748" spans="1:24">
      <c r="A748" s="15" t="s">
        <v>350</v>
      </c>
      <c r="B748" s="15" t="s">
        <v>625</v>
      </c>
      <c r="C748" s="16" t="s">
        <v>624</v>
      </c>
      <c r="D748" s="77" t="s">
        <v>895</v>
      </c>
      <c r="E748" s="77" t="s">
        <v>1141</v>
      </c>
      <c r="F748" s="16" t="s">
        <v>312</v>
      </c>
      <c r="G748" s="16" t="s">
        <v>632</v>
      </c>
      <c r="H748" s="15" t="s">
        <v>630</v>
      </c>
      <c r="I748" s="17" t="s">
        <v>342</v>
      </c>
      <c r="J748" s="79">
        <v>17764.009999999998</v>
      </c>
      <c r="K748" s="18" t="s">
        <v>7</v>
      </c>
      <c r="L748" s="94" t="s">
        <v>636</v>
      </c>
      <c r="M748" s="148" t="s">
        <v>194</v>
      </c>
      <c r="N748" s="81" t="str">
        <f>_xlfn.XLOOKUP(Calculations[[#This Row],[For XLOOKUP]],Factors[For XLOOKUP],Factors[Factor],"")</f>
        <v>Σ.Ε. N2O m.</v>
      </c>
      <c r="O748" s="81">
        <f>_xlfn.XLOOKUP(Calculations[[#This Row],[For XLOOKUP]],Factors[For XLOOKUP],Factors[Value],"")</f>
        <v>4.3350728455066983E-8</v>
      </c>
      <c r="P748" s="81" t="str">
        <f>_xlfn.XLOOKUP(Calculations[[#This Row],[For XLOOKUP]],Factors[For XLOOKUP],Factors[Units],"")</f>
        <v>tn N2O/lt</v>
      </c>
      <c r="Q748" s="19" t="str">
        <f>_xlfn.XLOOKUP(Calculations[[#This Row],[For XLOOKUP]],Factors[For XLOOKUP],Factors[Source],"")</f>
        <v>Greece. National Inventory Submissions 2024</v>
      </c>
      <c r="R74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8" s="81" t="str">
        <f>IF(LEFT(Calculations[[#This Row],[Emission Factor]],7)="Σ.Ε. CH",Calculations[[#This Row],[Value]]*Calculations[[#This Row],[Τιμή]],"-")</f>
        <v>-</v>
      </c>
      <c r="T748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7.7008277378309441E-4</v>
      </c>
      <c r="U748" s="81" t="str">
        <f>IF(LEFT(Calculations[[#This Row],[Emission Factor]],3)="GWP",Calculations[[#This Row],[Τιμή]],"-")</f>
        <v>-</v>
      </c>
      <c r="V748" s="81" t="str">
        <f>IF(OR(Calculations[[#This Row],[Emission Factor]]="Σ.Ε. CO₂ eq",Calculations[[#This Row],[Emission Factor]]="CO₂ eq"),Calculations[[#This Row],[Value]]*Calculations[[#This Row],[Τιμή]],"-")</f>
        <v>-</v>
      </c>
      <c r="W748" s="81" t="str">
        <f>IF(Calculations[[#This Row],[Πηγή εκπομπών]]="Electricity consumed in office buildings and projects - market based",Calculations[[#This Row],[t CO2]],"")</f>
        <v/>
      </c>
      <c r="X74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0.20407193505252003</v>
      </c>
    </row>
    <row r="749" spans="1:24">
      <c r="A749" s="15" t="s">
        <v>350</v>
      </c>
      <c r="B749" s="15" t="s">
        <v>625</v>
      </c>
      <c r="C749" s="16" t="s">
        <v>624</v>
      </c>
      <c r="D749" s="77" t="s">
        <v>895</v>
      </c>
      <c r="E749" s="77" t="s">
        <v>1156</v>
      </c>
      <c r="F749" s="16" t="s">
        <v>319</v>
      </c>
      <c r="G749" s="16" t="s">
        <v>632</v>
      </c>
      <c r="H749" s="15" t="s">
        <v>630</v>
      </c>
      <c r="I749" s="17" t="s">
        <v>342</v>
      </c>
      <c r="J749" s="78">
        <v>231.28</v>
      </c>
      <c r="K749" s="18" t="s">
        <v>7</v>
      </c>
      <c r="L749" s="94" t="s">
        <v>636</v>
      </c>
      <c r="M749" s="148" t="s">
        <v>190</v>
      </c>
      <c r="N749" s="81" t="str">
        <f>_xlfn.XLOOKUP(Calculations[[#This Row],[For XLOOKUP]],Factors[For XLOOKUP],Factors[Factor],"")</f>
        <v>Σ.Ε. CO₂ m.</v>
      </c>
      <c r="O749" s="81">
        <f>_xlfn.XLOOKUP(Calculations[[#This Row],[For XLOOKUP]],Factors[For XLOOKUP],Factors[Value],"")</f>
        <v>2.3432595615E-3</v>
      </c>
      <c r="P749" s="81" t="str">
        <f>_xlfn.XLOOKUP(Calculations[[#This Row],[For XLOOKUP]],Factors[For XLOOKUP],Factors[Units],"")</f>
        <v>tn CO2/lt</v>
      </c>
      <c r="Q749" s="19" t="str">
        <f>_xlfn.XLOOKUP(Calculations[[#This Row],[For XLOOKUP]],Factors[For XLOOKUP],Factors[Source],"")</f>
        <v>Greece. National Inventory Submissions 2024</v>
      </c>
      <c r="R749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0.54194907138372006</v>
      </c>
      <c r="S749" s="81" t="str">
        <f>IF(LEFT(Calculations[[#This Row],[Emission Factor]],7)="Σ.Ε. CH",Calculations[[#This Row],[Value]]*Calculations[[#This Row],[Τιμή]],"-")</f>
        <v>-</v>
      </c>
      <c r="T74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9" s="81" t="str">
        <f>IF(LEFT(Calculations[[#This Row],[Emission Factor]],3)="GWP",Calculations[[#This Row],[Τιμή]],"-")</f>
        <v>-</v>
      </c>
      <c r="V749" s="81" t="str">
        <f>IF(OR(Calculations[[#This Row],[Emission Factor]]="Σ.Ε. CO₂ eq",Calculations[[#This Row],[Emission Factor]]="CO₂ eq"),Calculations[[#This Row],[Value]]*Calculations[[#This Row],[Τιμή]],"-")</f>
        <v>-</v>
      </c>
      <c r="W749" s="81" t="str">
        <f>IF(Calculations[[#This Row],[Πηγή εκπομπών]]="Electricity consumed in office buildings and projects - market based",Calculations[[#This Row],[t CO2]],"")</f>
        <v/>
      </c>
      <c r="X74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0.54194907138372006</v>
      </c>
    </row>
    <row r="750" spans="1:24" ht="19.2" customHeight="1">
      <c r="A750" s="15" t="s">
        <v>350</v>
      </c>
      <c r="B750" s="15" t="s">
        <v>625</v>
      </c>
      <c r="C750" s="16" t="s">
        <v>624</v>
      </c>
      <c r="D750" s="77" t="s">
        <v>895</v>
      </c>
      <c r="E750" s="77" t="s">
        <v>1156</v>
      </c>
      <c r="F750" s="16" t="s">
        <v>319</v>
      </c>
      <c r="G750" s="16" t="s">
        <v>632</v>
      </c>
      <c r="H750" s="15" t="s">
        <v>630</v>
      </c>
      <c r="I750" s="17" t="s">
        <v>342</v>
      </c>
      <c r="J750" s="79">
        <v>231.28</v>
      </c>
      <c r="K750" s="18" t="s">
        <v>7</v>
      </c>
      <c r="L750" s="94" t="s">
        <v>636</v>
      </c>
      <c r="M750" s="148" t="s">
        <v>192</v>
      </c>
      <c r="N750" s="81" t="str">
        <f>_xlfn.XLOOKUP(Calculations[[#This Row],[For XLOOKUP]],Factors[For XLOOKUP],Factors[Factor],"")</f>
        <v>Σ.Ε. CH₄ m.</v>
      </c>
      <c r="O750" s="81">
        <f>_xlfn.XLOOKUP(Calculations[[#This Row],[For XLOOKUP]],Factors[For XLOOKUP],Factors[Value],"")</f>
        <v>2.9862611012340788E-7</v>
      </c>
      <c r="P750" s="81" t="str">
        <f>_xlfn.XLOOKUP(Calculations[[#This Row],[For XLOOKUP]],Factors[For XLOOKUP],Factors[Units],"")</f>
        <v>tn CH₄/lt</v>
      </c>
      <c r="Q750" s="19" t="str">
        <f>_xlfn.XLOOKUP(Calculations[[#This Row],[For XLOOKUP]],Factors[For XLOOKUP],Factors[Source],"")</f>
        <v>Greece. National Inventory Submissions 2024</v>
      </c>
      <c r="R75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0" s="81">
        <f>IF(LEFT(Calculations[[#This Row],[Emission Factor]],7)="Σ.Ε. CH",Calculations[[#This Row],[Value]]*Calculations[[#This Row],[Τιμή]],"-")</f>
        <v>6.9066246749341777E-5</v>
      </c>
      <c r="T75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0" s="81" t="str">
        <f>IF(LEFT(Calculations[[#This Row],[Emission Factor]],3)="GWP",Calculations[[#This Row],[Τιμή]],"-")</f>
        <v>-</v>
      </c>
      <c r="V750" s="81" t="str">
        <f>IF(OR(Calculations[[#This Row],[Emission Factor]]="Σ.Ε. CO₂ eq",Calculations[[#This Row],[Emission Factor]]="CO₂ eq"),Calculations[[#This Row],[Value]]*Calculations[[#This Row],[Τιμή]],"-")</f>
        <v>-</v>
      </c>
      <c r="W750" s="81" t="str">
        <f>IF(Calculations[[#This Row],[Πηγή εκπομπών]]="Electricity consumed in office buildings and projects - market based",Calculations[[#This Row],[t CO2]],"")</f>
        <v/>
      </c>
      <c r="X75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1.9338549089815697E-3</v>
      </c>
    </row>
    <row r="751" spans="1:24" ht="19.2" customHeight="1">
      <c r="A751" s="15" t="s">
        <v>350</v>
      </c>
      <c r="B751" s="15" t="s">
        <v>625</v>
      </c>
      <c r="C751" s="16" t="s">
        <v>624</v>
      </c>
      <c r="D751" s="77" t="s">
        <v>895</v>
      </c>
      <c r="E751" s="16" t="s">
        <v>1156</v>
      </c>
      <c r="F751" s="16" t="s">
        <v>319</v>
      </c>
      <c r="G751" s="16" t="s">
        <v>632</v>
      </c>
      <c r="H751" s="15" t="s">
        <v>630</v>
      </c>
      <c r="I751" s="17" t="s">
        <v>342</v>
      </c>
      <c r="J751" s="79">
        <v>231.28</v>
      </c>
      <c r="K751" s="18" t="s">
        <v>7</v>
      </c>
      <c r="L751" s="94" t="s">
        <v>636</v>
      </c>
      <c r="M751" s="148" t="s">
        <v>194</v>
      </c>
      <c r="N751" s="19" t="str">
        <f>_xlfn.XLOOKUP(Calculations[[#This Row],[For XLOOKUP]],Factors[For XLOOKUP],Factors[Factor],"")</f>
        <v>Σ.Ε. N2O m.</v>
      </c>
      <c r="O751" s="19">
        <f>_xlfn.XLOOKUP(Calculations[[#This Row],[For XLOOKUP]],Factors[For XLOOKUP],Factors[Value],"")</f>
        <v>4.3350728455066983E-8</v>
      </c>
      <c r="P751" s="19" t="str">
        <f>_xlfn.XLOOKUP(Calculations[[#This Row],[For XLOOKUP]],Factors[For XLOOKUP],Factors[Units],"")</f>
        <v>tn N2O/lt</v>
      </c>
      <c r="Q751" s="19" t="str">
        <f>_xlfn.XLOOKUP(Calculations[[#This Row],[For XLOOKUP]],Factors[For XLOOKUP],Factors[Source],"")</f>
        <v>Greece. National Inventory Submissions 2024</v>
      </c>
      <c r="R75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1" s="19" t="str">
        <f>IF(LEFT(Calculations[[#This Row],[Emission Factor]],7)="Σ.Ε. CH",Calculations[[#This Row],[Value]]*Calculations[[#This Row],[Τιμή]],"-")</f>
        <v>-</v>
      </c>
      <c r="T751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1.0026156477087893E-5</v>
      </c>
      <c r="U751" s="19" t="str">
        <f>IF(LEFT(Calculations[[#This Row],[Emission Factor]],3)="GWP",Calculations[[#This Row],[Τιμή]],"-")</f>
        <v>-</v>
      </c>
      <c r="V751" s="19" t="str">
        <f>IF(OR(Calculations[[#This Row],[Emission Factor]]="Σ.Ε. CO₂ eq",Calculations[[#This Row],[Emission Factor]]="CO₂ eq"),Calculations[[#This Row],[Value]]*Calculations[[#This Row],[Τιμή]],"-")</f>
        <v>-</v>
      </c>
      <c r="W751" s="19" t="str">
        <f>IF(Calculations[[#This Row],[Πηγή εκπομπών]]="Electricity consumed in office buildings and projects - market based",Calculations[[#This Row],[t CO2]],"")</f>
        <v/>
      </c>
      <c r="X75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2.6569314664282914E-3</v>
      </c>
    </row>
    <row r="752" spans="1:24" ht="19.2" customHeight="1">
      <c r="A752" s="15" t="s">
        <v>350</v>
      </c>
      <c r="B752" s="15" t="s">
        <v>625</v>
      </c>
      <c r="C752" s="16" t="s">
        <v>624</v>
      </c>
      <c r="D752" s="77" t="s">
        <v>894</v>
      </c>
      <c r="E752" s="16"/>
      <c r="F752" s="16" t="s">
        <v>317</v>
      </c>
      <c r="G752" s="16" t="s">
        <v>632</v>
      </c>
      <c r="H752" s="15" t="s">
        <v>630</v>
      </c>
      <c r="I752" s="17" t="s">
        <v>342</v>
      </c>
      <c r="J752" s="78">
        <v>150</v>
      </c>
      <c r="K752" s="18" t="s">
        <v>7</v>
      </c>
      <c r="L752" s="94" t="s">
        <v>636</v>
      </c>
      <c r="M752" s="148" t="s">
        <v>190</v>
      </c>
      <c r="N752" s="81" t="str">
        <f>_xlfn.XLOOKUP(Calculations[[#This Row],[For XLOOKUP]],Factors[For XLOOKUP],Factors[Factor],"")</f>
        <v>Σ.Ε. CO₂ m.</v>
      </c>
      <c r="O752" s="81">
        <f>_xlfn.XLOOKUP(Calculations[[#This Row],[For XLOOKUP]],Factors[For XLOOKUP],Factors[Value],"")</f>
        <v>2.3432595615E-3</v>
      </c>
      <c r="P752" s="81" t="str">
        <f>_xlfn.XLOOKUP(Calculations[[#This Row],[For XLOOKUP]],Factors[For XLOOKUP],Factors[Units],"")</f>
        <v>tn CO2/lt</v>
      </c>
      <c r="Q752" s="19" t="str">
        <f>_xlfn.XLOOKUP(Calculations[[#This Row],[For XLOOKUP]],Factors[For XLOOKUP],Factors[Source],"")</f>
        <v>Greece. National Inventory Submissions 2024</v>
      </c>
      <c r="R752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0.35148893422499999</v>
      </c>
      <c r="S752" s="81" t="str">
        <f>IF(LEFT(Calculations[[#This Row],[Emission Factor]],7)="Σ.Ε. CH",Calculations[[#This Row],[Value]]*Calculations[[#This Row],[Τιμή]],"-")</f>
        <v>-</v>
      </c>
      <c r="T75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2" s="81" t="str">
        <f>IF(LEFT(Calculations[[#This Row],[Emission Factor]],3)="GWP",Calculations[[#This Row],[Τιμή]],"-")</f>
        <v>-</v>
      </c>
      <c r="V752" s="81" t="str">
        <f>IF(OR(Calculations[[#This Row],[Emission Factor]]="Σ.Ε. CO₂ eq",Calculations[[#This Row],[Emission Factor]]="CO₂ eq"),Calculations[[#This Row],[Value]]*Calculations[[#This Row],[Τιμή]],"-")</f>
        <v>-</v>
      </c>
      <c r="W752" s="81" t="str">
        <f>IF(Calculations[[#This Row],[Πηγή εκπομπών]]="Electricity consumed in office buildings and projects - market based",Calculations[[#This Row],[t CO2]],"")</f>
        <v/>
      </c>
      <c r="X75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0.35148893422499999</v>
      </c>
    </row>
    <row r="753" spans="1:24" ht="19.2" customHeight="1">
      <c r="A753" s="15" t="s">
        <v>350</v>
      </c>
      <c r="B753" s="15" t="s">
        <v>625</v>
      </c>
      <c r="C753" s="16" t="s">
        <v>624</v>
      </c>
      <c r="D753" s="77" t="s">
        <v>894</v>
      </c>
      <c r="E753" s="16"/>
      <c r="F753" s="16" t="s">
        <v>317</v>
      </c>
      <c r="G753" s="16" t="s">
        <v>632</v>
      </c>
      <c r="H753" s="15" t="s">
        <v>630</v>
      </c>
      <c r="I753" s="17" t="s">
        <v>342</v>
      </c>
      <c r="J753" s="79">
        <v>150</v>
      </c>
      <c r="K753" s="18" t="s">
        <v>7</v>
      </c>
      <c r="L753" s="94" t="s">
        <v>636</v>
      </c>
      <c r="M753" s="148" t="s">
        <v>192</v>
      </c>
      <c r="N753" s="81" t="str">
        <f>_xlfn.XLOOKUP(Calculations[[#This Row],[For XLOOKUP]],Factors[For XLOOKUP],Factors[Factor],"")</f>
        <v>Σ.Ε. CH₄ m.</v>
      </c>
      <c r="O753" s="81">
        <f>_xlfn.XLOOKUP(Calculations[[#This Row],[For XLOOKUP]],Factors[For XLOOKUP],Factors[Value],"")</f>
        <v>2.9862611012340788E-7</v>
      </c>
      <c r="P753" s="81" t="str">
        <f>_xlfn.XLOOKUP(Calculations[[#This Row],[For XLOOKUP]],Factors[For XLOOKUP],Factors[Units],"")</f>
        <v>tn CH₄/lt</v>
      </c>
      <c r="Q753" s="19" t="str">
        <f>_xlfn.XLOOKUP(Calculations[[#This Row],[For XLOOKUP]],Factors[For XLOOKUP],Factors[Source],"")</f>
        <v>Greece. National Inventory Submissions 2024</v>
      </c>
      <c r="R75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3" s="81">
        <f>IF(LEFT(Calculations[[#This Row],[Emission Factor]],7)="Σ.Ε. CH",Calculations[[#This Row],[Value]]*Calculations[[#This Row],[Τιμή]],"-")</f>
        <v>4.479391651851118E-5</v>
      </c>
      <c r="T75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3" s="81" t="str">
        <f>IF(LEFT(Calculations[[#This Row],[Emission Factor]],3)="GWP",Calculations[[#This Row],[Τιμή]],"-")</f>
        <v>-</v>
      </c>
      <c r="V753" s="81" t="str">
        <f>IF(OR(Calculations[[#This Row],[Emission Factor]]="Σ.Ε. CO₂ eq",Calculations[[#This Row],[Emission Factor]]="CO₂ eq"),Calculations[[#This Row],[Value]]*Calculations[[#This Row],[Τιμή]],"-")</f>
        <v>-</v>
      </c>
      <c r="W753" s="81" t="str">
        <f>IF(Calculations[[#This Row],[Πηγή εκπομπών]]="Electricity consumed in office buildings and projects - market based",Calculations[[#This Row],[t CO2]],"")</f>
        <v/>
      </c>
      <c r="X75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1.2542296625183131E-3</v>
      </c>
    </row>
    <row r="754" spans="1:24">
      <c r="A754" s="15" t="s">
        <v>350</v>
      </c>
      <c r="B754" s="15" t="s">
        <v>625</v>
      </c>
      <c r="C754" s="16" t="s">
        <v>624</v>
      </c>
      <c r="D754" s="77" t="s">
        <v>894</v>
      </c>
      <c r="E754" s="77"/>
      <c r="F754" s="16" t="s">
        <v>317</v>
      </c>
      <c r="G754" s="16" t="s">
        <v>632</v>
      </c>
      <c r="H754" s="15" t="s">
        <v>630</v>
      </c>
      <c r="I754" s="17" t="s">
        <v>342</v>
      </c>
      <c r="J754" s="79">
        <v>150</v>
      </c>
      <c r="K754" s="18" t="s">
        <v>7</v>
      </c>
      <c r="L754" s="94" t="s">
        <v>636</v>
      </c>
      <c r="M754" s="148" t="s">
        <v>194</v>
      </c>
      <c r="N754" s="19" t="str">
        <f>_xlfn.XLOOKUP(Calculations[[#This Row],[For XLOOKUP]],Factors[For XLOOKUP],Factors[Factor],"")</f>
        <v>Σ.Ε. N2O m.</v>
      </c>
      <c r="O754" s="19">
        <f>_xlfn.XLOOKUP(Calculations[[#This Row],[For XLOOKUP]],Factors[For XLOOKUP],Factors[Value],"")</f>
        <v>4.3350728455066983E-8</v>
      </c>
      <c r="P754" s="19" t="str">
        <f>_xlfn.XLOOKUP(Calculations[[#This Row],[For XLOOKUP]],Factors[For XLOOKUP],Factors[Units],"")</f>
        <v>tn N2O/lt</v>
      </c>
      <c r="Q754" s="19" t="str">
        <f>_xlfn.XLOOKUP(Calculations[[#This Row],[For XLOOKUP]],Factors[For XLOOKUP],Factors[Source],"")</f>
        <v>Greece. National Inventory Submissions 2024</v>
      </c>
      <c r="R75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4" s="19" t="str">
        <f>IF(LEFT(Calculations[[#This Row],[Emission Factor]],7)="Σ.Ε. CH",Calculations[[#This Row],[Value]]*Calculations[[#This Row],[Τιμή]],"-")</f>
        <v>-</v>
      </c>
      <c r="T754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6.5026092682600471E-6</v>
      </c>
      <c r="U754" s="19" t="str">
        <f>IF(LEFT(Calculations[[#This Row],[Emission Factor]],3)="GWP",Calculations[[#This Row],[Τιμή]],"-")</f>
        <v>-</v>
      </c>
      <c r="V754" s="19" t="str">
        <f>IF(OR(Calculations[[#This Row],[Emission Factor]]="Σ.Ε. CO₂ eq",Calculations[[#This Row],[Emission Factor]]="CO₂ eq"),Calculations[[#This Row],[Value]]*Calculations[[#This Row],[Τιμή]],"-")</f>
        <v>-</v>
      </c>
      <c r="W754" s="19" t="str">
        <f>IF(Calculations[[#This Row],[Πηγή εκπομπών]]="Electricity consumed in office buildings and projects - market based",Calculations[[#This Row],[t CO2]],"")</f>
        <v/>
      </c>
      <c r="X75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1.7231914560889125E-3</v>
      </c>
    </row>
    <row r="755" spans="1:24">
      <c r="A755" s="15" t="s">
        <v>350</v>
      </c>
      <c r="B755" s="15" t="s">
        <v>625</v>
      </c>
      <c r="C755" s="16" t="s">
        <v>624</v>
      </c>
      <c r="D755" s="77" t="s">
        <v>895</v>
      </c>
      <c r="E755" s="77" t="s">
        <v>1141</v>
      </c>
      <c r="F755" s="16" t="s">
        <v>312</v>
      </c>
      <c r="G755" s="16" t="s">
        <v>632</v>
      </c>
      <c r="H755" s="15" t="s">
        <v>630</v>
      </c>
      <c r="I755" s="17" t="s">
        <v>341</v>
      </c>
      <c r="J755" s="78">
        <v>400</v>
      </c>
      <c r="K755" s="18" t="s">
        <v>7</v>
      </c>
      <c r="L755" s="94" t="s">
        <v>637</v>
      </c>
      <c r="M755" s="148" t="s">
        <v>204</v>
      </c>
      <c r="N755" s="81" t="str">
        <f>_xlfn.XLOOKUP(Calculations[[#This Row],[For XLOOKUP]],Factors[For XLOOKUP],Factors[Factor],"")</f>
        <v>Σ.Ε. CO₂ m.</v>
      </c>
      <c r="O755" s="81">
        <f>_xlfn.XLOOKUP(Calculations[[#This Row],[For XLOOKUP]],Factors[For XLOOKUP],Factors[Value],"")</f>
        <v>2.7370491168929394E-3</v>
      </c>
      <c r="P755" s="81" t="str">
        <f>_xlfn.XLOOKUP(Calculations[[#This Row],[For XLOOKUP]],Factors[For XLOOKUP],Factors[Units],"")</f>
        <v>tn CO2/lt</v>
      </c>
      <c r="Q755" s="19" t="str">
        <f>_xlfn.XLOOKUP(Calculations[[#This Row],[For XLOOKUP]],Factors[For XLOOKUP],Factors[Source],"")</f>
        <v>Greece. National Inventory Submissions 2024</v>
      </c>
      <c r="R755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1.0948196467571758</v>
      </c>
      <c r="S755" s="81" t="str">
        <f>IF(LEFT(Calculations[[#This Row],[Emission Factor]],7)="Σ.Ε. CH",Calculations[[#This Row],[Value]]*Calculations[[#This Row],[Τιμή]],"-")</f>
        <v>-</v>
      </c>
      <c r="T75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5" s="81" t="str">
        <f>IF(LEFT(Calculations[[#This Row],[Emission Factor]],3)="GWP",Calculations[[#This Row],[Τιμή]],"-")</f>
        <v>-</v>
      </c>
      <c r="V755" s="81" t="str">
        <f>IF(OR(Calculations[[#This Row],[Emission Factor]]="Σ.Ε. CO₂ eq",Calculations[[#This Row],[Emission Factor]]="CO₂ eq"),Calculations[[#This Row],[Value]]*Calculations[[#This Row],[Τιμή]],"-")</f>
        <v>-</v>
      </c>
      <c r="W755" s="81" t="str">
        <f>IF(Calculations[[#This Row],[Πηγή εκπομπών]]="Electricity consumed in office buildings and projects - market based",Calculations[[#This Row],[t CO2]],"")</f>
        <v/>
      </c>
      <c r="X75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1.0948196467571758</v>
      </c>
    </row>
    <row r="756" spans="1:24">
      <c r="A756" s="15" t="s">
        <v>350</v>
      </c>
      <c r="B756" s="15" t="s">
        <v>625</v>
      </c>
      <c r="C756" s="16" t="s">
        <v>624</v>
      </c>
      <c r="D756" s="77" t="s">
        <v>895</v>
      </c>
      <c r="E756" s="77" t="s">
        <v>1141</v>
      </c>
      <c r="F756" s="16" t="s">
        <v>312</v>
      </c>
      <c r="G756" s="16" t="s">
        <v>632</v>
      </c>
      <c r="H756" s="15" t="s">
        <v>630</v>
      </c>
      <c r="I756" s="17" t="s">
        <v>341</v>
      </c>
      <c r="J756" s="79" cm="1">
        <f t="array" ref="J756">_xlfn.XLOOKUP(1,(Calculations[Πληροφορίες]=Calculations[[#This Row],[Πληροφορίες]])*(Calculations[Εταιρεία]=Calculations[[#This Row],[Εταιρεία]]),Calculations[Τιμή])</f>
        <v>400</v>
      </c>
      <c r="K756" s="18" t="s">
        <v>7</v>
      </c>
      <c r="L756" s="94" t="s">
        <v>637</v>
      </c>
      <c r="M756" s="148" t="s">
        <v>206</v>
      </c>
      <c r="N756" s="81" t="str">
        <f>_xlfn.XLOOKUP(Calculations[[#This Row],[For XLOOKUP]],Factors[For XLOOKUP],Factors[Factor],"")</f>
        <v>Σ.Ε. CH₄ m.</v>
      </c>
      <c r="O756" s="81">
        <f>_xlfn.XLOOKUP(Calculations[[#This Row],[For XLOOKUP]],Factors[For XLOOKUP],Factors[Value],"")</f>
        <v>1.0689300000000002E-7</v>
      </c>
      <c r="P756" s="81" t="str">
        <f>_xlfn.XLOOKUP(Calculations[[#This Row],[For XLOOKUP]],Factors[For XLOOKUP],Factors[Units],"")</f>
        <v>tn CH₄/lt</v>
      </c>
      <c r="Q756" s="19" t="str">
        <f>_xlfn.XLOOKUP(Calculations[[#This Row],[For XLOOKUP]],Factors[For XLOOKUP],Factors[Source],"")</f>
        <v>Greece. National Inventory Submissions 2024</v>
      </c>
      <c r="R75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6" s="81">
        <f>IF(LEFT(Calculations[[#This Row],[Emission Factor]],7)="Σ.Ε. CH",Calculations[[#This Row],[Value]]*Calculations[[#This Row],[Τιμή]],"-")</f>
        <v>4.2757200000000005E-5</v>
      </c>
      <c r="T75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6" s="81" t="str">
        <f>IF(LEFT(Calculations[[#This Row],[Emission Factor]],3)="GWP",Calculations[[#This Row],[Τιμή]],"-")</f>
        <v>-</v>
      </c>
      <c r="V756" s="81" t="str">
        <f>IF(OR(Calculations[[#This Row],[Emission Factor]]="Σ.Ε. CO₂ eq",Calculations[[#This Row],[Emission Factor]]="CO₂ eq"),Calculations[[#This Row],[Value]]*Calculations[[#This Row],[Τιμή]],"-")</f>
        <v>-</v>
      </c>
      <c r="W756" s="81" t="str">
        <f>IF(Calculations[[#This Row],[Πηγή εκπομπών]]="Electricity consumed in office buildings and projects - market based",Calculations[[#This Row],[t CO2]],"")</f>
        <v/>
      </c>
      <c r="X75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1.1972016000000002E-3</v>
      </c>
    </row>
    <row r="757" spans="1:24">
      <c r="A757" s="15" t="s">
        <v>350</v>
      </c>
      <c r="B757" s="15" t="s">
        <v>625</v>
      </c>
      <c r="C757" s="16" t="s">
        <v>624</v>
      </c>
      <c r="D757" s="77" t="s">
        <v>895</v>
      </c>
      <c r="E757" s="77" t="s">
        <v>1141</v>
      </c>
      <c r="F757" s="16" t="s">
        <v>312</v>
      </c>
      <c r="G757" s="16" t="s">
        <v>632</v>
      </c>
      <c r="H757" s="15" t="s">
        <v>630</v>
      </c>
      <c r="I757" s="17" t="s">
        <v>341</v>
      </c>
      <c r="J757" s="79" cm="1">
        <f t="array" ref="J757">_xlfn.XLOOKUP(1,(Calculations[Πληροφορίες]=Calculations[[#This Row],[Πληροφορίες]])*(Calculations[Εταιρεία]=Calculations[[#This Row],[Εταιρεία]]),Calculations[Τιμή])</f>
        <v>400</v>
      </c>
      <c r="K757" s="18" t="s">
        <v>7</v>
      </c>
      <c r="L757" s="94" t="s">
        <v>637</v>
      </c>
      <c r="M757" s="148" t="s">
        <v>208</v>
      </c>
      <c r="N757" s="81" t="str">
        <f>_xlfn.XLOOKUP(Calculations[[#This Row],[For XLOOKUP]],Factors[For XLOOKUP],Factors[Factor],"")</f>
        <v>Σ.Ε. N2O m.</v>
      </c>
      <c r="O757" s="81">
        <f>_xlfn.XLOOKUP(Calculations[[#This Row],[For XLOOKUP]],Factors[For XLOOKUP],Factors[Value],"")</f>
        <v>2.1378600000000001E-8</v>
      </c>
      <c r="P757" s="81" t="str">
        <f>_xlfn.XLOOKUP(Calculations[[#This Row],[For XLOOKUP]],Factors[For XLOOKUP],Factors[Units],"")</f>
        <v>tn N2O/lt</v>
      </c>
      <c r="Q757" s="19" t="str">
        <f>_xlfn.XLOOKUP(Calculations[[#This Row],[For XLOOKUP]],Factors[For XLOOKUP],Factors[Source],"")</f>
        <v>Greece. National Inventory Submissions 2024</v>
      </c>
      <c r="R75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7" s="81" t="str">
        <f>IF(LEFT(Calculations[[#This Row],[Emission Factor]],7)="Σ.Ε. CH",Calculations[[#This Row],[Value]]*Calculations[[#This Row],[Τιμή]],"-")</f>
        <v>-</v>
      </c>
      <c r="T757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8.5514400000000002E-6</v>
      </c>
      <c r="U757" s="81" t="str">
        <f>IF(LEFT(Calculations[[#This Row],[Emission Factor]],3)="GWP",Calculations[[#This Row],[Τιμή]],"-")</f>
        <v>-</v>
      </c>
      <c r="V757" s="81" t="str">
        <f>IF(OR(Calculations[[#This Row],[Emission Factor]]="Σ.Ε. CO₂ eq",Calculations[[#This Row],[Emission Factor]]="CO₂ eq"),Calculations[[#This Row],[Value]]*Calculations[[#This Row],[Τιμή]],"-")</f>
        <v>-</v>
      </c>
      <c r="W757" s="81" t="str">
        <f>IF(Calculations[[#This Row],[Πηγή εκπομπών]]="Electricity consumed in office buildings and projects - market based",Calculations[[#This Row],[t CO2]],"")</f>
        <v/>
      </c>
      <c r="X75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2.2661316E-3</v>
      </c>
    </row>
    <row r="758" spans="1:24">
      <c r="A758" s="15" t="s">
        <v>350</v>
      </c>
      <c r="B758" s="15" t="s">
        <v>625</v>
      </c>
      <c r="C758" s="16" t="s">
        <v>624</v>
      </c>
      <c r="D758" s="77" t="s">
        <v>895</v>
      </c>
      <c r="E758" s="77" t="s">
        <v>1156</v>
      </c>
      <c r="F758" s="16" t="s">
        <v>319</v>
      </c>
      <c r="G758" s="16" t="s">
        <v>632</v>
      </c>
      <c r="H758" s="15" t="s">
        <v>630</v>
      </c>
      <c r="I758" s="17" t="s">
        <v>341</v>
      </c>
      <c r="J758" s="78">
        <v>40</v>
      </c>
      <c r="K758" s="18" t="s">
        <v>7</v>
      </c>
      <c r="L758" s="94" t="s">
        <v>637</v>
      </c>
      <c r="M758" s="148" t="s">
        <v>204</v>
      </c>
      <c r="N758" s="81" t="str">
        <f>_xlfn.XLOOKUP(Calculations[[#This Row],[For XLOOKUP]],Factors[For XLOOKUP],Factors[Factor],"")</f>
        <v>Σ.Ε. CO₂ m.</v>
      </c>
      <c r="O758" s="81">
        <f>_xlfn.XLOOKUP(Calculations[[#This Row],[For XLOOKUP]],Factors[For XLOOKUP],Factors[Value],"")</f>
        <v>2.7370491168929394E-3</v>
      </c>
      <c r="P758" s="81" t="str">
        <f>_xlfn.XLOOKUP(Calculations[[#This Row],[For XLOOKUP]],Factors[For XLOOKUP],Factors[Units],"")</f>
        <v>tn CO2/lt</v>
      </c>
      <c r="Q758" s="19" t="str">
        <f>_xlfn.XLOOKUP(Calculations[[#This Row],[For XLOOKUP]],Factors[For XLOOKUP],Factors[Source],"")</f>
        <v>Greece. National Inventory Submissions 2024</v>
      </c>
      <c r="R758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0.10948196467571758</v>
      </c>
      <c r="S758" s="81" t="str">
        <f>IF(LEFT(Calculations[[#This Row],[Emission Factor]],7)="Σ.Ε. CH",Calculations[[#This Row],[Value]]*Calculations[[#This Row],[Τιμή]],"-")</f>
        <v>-</v>
      </c>
      <c r="T75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8" s="81" t="str">
        <f>IF(LEFT(Calculations[[#This Row],[Emission Factor]],3)="GWP",Calculations[[#This Row],[Τιμή]],"-")</f>
        <v>-</v>
      </c>
      <c r="V758" s="81" t="str">
        <f>IF(OR(Calculations[[#This Row],[Emission Factor]]="Σ.Ε. CO₂ eq",Calculations[[#This Row],[Emission Factor]]="CO₂ eq"),Calculations[[#This Row],[Value]]*Calculations[[#This Row],[Τιμή]],"-")</f>
        <v>-</v>
      </c>
      <c r="W758" s="81" t="str">
        <f>IF(Calculations[[#This Row],[Πηγή εκπομπών]]="Electricity consumed in office buildings and projects - market based",Calculations[[#This Row],[t CO2]],"")</f>
        <v/>
      </c>
      <c r="X75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0.10948196467571758</v>
      </c>
    </row>
    <row r="759" spans="1:24">
      <c r="A759" s="15" t="s">
        <v>350</v>
      </c>
      <c r="B759" s="15" t="s">
        <v>625</v>
      </c>
      <c r="C759" s="16" t="s">
        <v>624</v>
      </c>
      <c r="D759" s="77" t="s">
        <v>895</v>
      </c>
      <c r="E759" s="77" t="s">
        <v>1156</v>
      </c>
      <c r="F759" s="16" t="s">
        <v>319</v>
      </c>
      <c r="G759" s="16" t="s">
        <v>632</v>
      </c>
      <c r="H759" s="15" t="s">
        <v>630</v>
      </c>
      <c r="I759" s="17" t="s">
        <v>341</v>
      </c>
      <c r="J759" s="79">
        <v>40</v>
      </c>
      <c r="K759" s="18" t="s">
        <v>7</v>
      </c>
      <c r="L759" s="94" t="s">
        <v>637</v>
      </c>
      <c r="M759" s="148" t="s">
        <v>206</v>
      </c>
      <c r="N759" s="81" t="str">
        <f>_xlfn.XLOOKUP(Calculations[[#This Row],[For XLOOKUP]],Factors[For XLOOKUP],Factors[Factor],"")</f>
        <v>Σ.Ε. CH₄ m.</v>
      </c>
      <c r="O759" s="81">
        <f>_xlfn.XLOOKUP(Calculations[[#This Row],[For XLOOKUP]],Factors[For XLOOKUP],Factors[Value],"")</f>
        <v>1.0689300000000002E-7</v>
      </c>
      <c r="P759" s="81" t="str">
        <f>_xlfn.XLOOKUP(Calculations[[#This Row],[For XLOOKUP]],Factors[For XLOOKUP],Factors[Units],"")</f>
        <v>tn CH₄/lt</v>
      </c>
      <c r="Q759" s="19" t="str">
        <f>_xlfn.XLOOKUP(Calculations[[#This Row],[For XLOOKUP]],Factors[For XLOOKUP],Factors[Source],"")</f>
        <v>Greece. National Inventory Submissions 2024</v>
      </c>
      <c r="R75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9" s="81">
        <f>IF(LEFT(Calculations[[#This Row],[Emission Factor]],7)="Σ.Ε. CH",Calculations[[#This Row],[Value]]*Calculations[[#This Row],[Τιμή]],"-")</f>
        <v>4.275720000000001E-6</v>
      </c>
      <c r="T75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9" s="81" t="str">
        <f>IF(LEFT(Calculations[[#This Row],[Emission Factor]],3)="GWP",Calculations[[#This Row],[Τιμή]],"-")</f>
        <v>-</v>
      </c>
      <c r="V759" s="81" t="str">
        <f>IF(OR(Calculations[[#This Row],[Emission Factor]]="Σ.Ε. CO₂ eq",Calculations[[#This Row],[Emission Factor]]="CO₂ eq"),Calculations[[#This Row],[Value]]*Calculations[[#This Row],[Τιμή]],"-")</f>
        <v>-</v>
      </c>
      <c r="W759" s="81" t="str">
        <f>IF(Calculations[[#This Row],[Πηγή εκπομπών]]="Electricity consumed in office buildings and projects - market based",Calculations[[#This Row],[t CO2]],"")</f>
        <v/>
      </c>
      <c r="X75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1.1972016000000002E-4</v>
      </c>
    </row>
    <row r="760" spans="1:24">
      <c r="A760" s="15" t="s">
        <v>350</v>
      </c>
      <c r="B760" s="15" t="s">
        <v>625</v>
      </c>
      <c r="C760" s="16" t="s">
        <v>624</v>
      </c>
      <c r="D760" s="77" t="s">
        <v>895</v>
      </c>
      <c r="E760" s="77" t="s">
        <v>1156</v>
      </c>
      <c r="F760" s="16" t="s">
        <v>319</v>
      </c>
      <c r="G760" s="16" t="s">
        <v>632</v>
      </c>
      <c r="H760" s="15" t="s">
        <v>630</v>
      </c>
      <c r="I760" s="17" t="s">
        <v>341</v>
      </c>
      <c r="J760" s="79">
        <v>40</v>
      </c>
      <c r="K760" s="18" t="s">
        <v>7</v>
      </c>
      <c r="L760" s="94" t="s">
        <v>637</v>
      </c>
      <c r="M760" s="148" t="s">
        <v>208</v>
      </c>
      <c r="N760" s="81" t="str">
        <f>_xlfn.XLOOKUP(Calculations[[#This Row],[For XLOOKUP]],Factors[For XLOOKUP],Factors[Factor],"")</f>
        <v>Σ.Ε. N2O m.</v>
      </c>
      <c r="O760" s="81">
        <f>_xlfn.XLOOKUP(Calculations[[#This Row],[For XLOOKUP]],Factors[For XLOOKUP],Factors[Value],"")</f>
        <v>2.1378600000000001E-8</v>
      </c>
      <c r="P760" s="81" t="str">
        <f>_xlfn.XLOOKUP(Calculations[[#This Row],[For XLOOKUP]],Factors[For XLOOKUP],Factors[Units],"")</f>
        <v>tn N2O/lt</v>
      </c>
      <c r="Q760" s="19" t="str">
        <f>_xlfn.XLOOKUP(Calculations[[#This Row],[For XLOOKUP]],Factors[For XLOOKUP],Factors[Source],"")</f>
        <v>Greece. National Inventory Submissions 2024</v>
      </c>
      <c r="R76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0" s="81" t="str">
        <f>IF(LEFT(Calculations[[#This Row],[Emission Factor]],7)="Σ.Ε. CH",Calculations[[#This Row],[Value]]*Calculations[[#This Row],[Τιμή]],"-")</f>
        <v>-</v>
      </c>
      <c r="T760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8.5514400000000002E-7</v>
      </c>
      <c r="U760" s="81" t="str">
        <f>IF(LEFT(Calculations[[#This Row],[Emission Factor]],3)="GWP",Calculations[[#This Row],[Τιμή]],"-")</f>
        <v>-</v>
      </c>
      <c r="V760" s="81" t="str">
        <f>IF(OR(Calculations[[#This Row],[Emission Factor]]="Σ.Ε. CO₂ eq",Calculations[[#This Row],[Emission Factor]]="CO₂ eq"),Calculations[[#This Row],[Value]]*Calculations[[#This Row],[Τιμή]],"-")</f>
        <v>-</v>
      </c>
      <c r="W760" s="81" t="str">
        <f>IF(Calculations[[#This Row],[Πηγή εκπομπών]]="Electricity consumed in office buildings and projects - market based",Calculations[[#This Row],[t CO2]],"")</f>
        <v/>
      </c>
      <c r="X76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2.2661316E-4</v>
      </c>
    </row>
    <row r="761" spans="1:24">
      <c r="A761" s="15" t="s">
        <v>350</v>
      </c>
      <c r="B761" s="15" t="s">
        <v>625</v>
      </c>
      <c r="C761" s="16" t="s">
        <v>624</v>
      </c>
      <c r="D761" s="77" t="s">
        <v>894</v>
      </c>
      <c r="E761" s="77"/>
      <c r="F761" s="16" t="s">
        <v>317</v>
      </c>
      <c r="G761" s="16" t="s">
        <v>632</v>
      </c>
      <c r="H761" s="15" t="s">
        <v>630</v>
      </c>
      <c r="I761" s="17" t="s">
        <v>341</v>
      </c>
      <c r="J761" s="78">
        <v>650</v>
      </c>
      <c r="K761" s="18" t="s">
        <v>7</v>
      </c>
      <c r="L761" s="94" t="s">
        <v>637</v>
      </c>
      <c r="M761" s="148" t="s">
        <v>204</v>
      </c>
      <c r="N761" s="81" t="str">
        <f>_xlfn.XLOOKUP(Calculations[[#This Row],[For XLOOKUP]],Factors[For XLOOKUP],Factors[Factor],"")</f>
        <v>Σ.Ε. CO₂ m.</v>
      </c>
      <c r="O761" s="81">
        <f>_xlfn.XLOOKUP(Calculations[[#This Row],[For XLOOKUP]],Factors[For XLOOKUP],Factors[Value],"")</f>
        <v>2.7370491168929394E-3</v>
      </c>
      <c r="P761" s="81" t="str">
        <f>_xlfn.XLOOKUP(Calculations[[#This Row],[For XLOOKUP]],Factors[For XLOOKUP],Factors[Units],"")</f>
        <v>tn CO2/lt</v>
      </c>
      <c r="Q761" s="19" t="str">
        <f>_xlfn.XLOOKUP(Calculations[[#This Row],[For XLOOKUP]],Factors[For XLOOKUP],Factors[Source],"")</f>
        <v>Greece. National Inventory Submissions 2024</v>
      </c>
      <c r="R761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1.7790819259804107</v>
      </c>
      <c r="S761" s="81" t="str">
        <f>IF(LEFT(Calculations[[#This Row],[Emission Factor]],7)="Σ.Ε. CH",Calculations[[#This Row],[Value]]*Calculations[[#This Row],[Τιμή]],"-")</f>
        <v>-</v>
      </c>
      <c r="T76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1" s="81" t="str">
        <f>IF(LEFT(Calculations[[#This Row],[Emission Factor]],3)="GWP",Calculations[[#This Row],[Τιμή]],"-")</f>
        <v>-</v>
      </c>
      <c r="V761" s="81" t="str">
        <f>IF(OR(Calculations[[#This Row],[Emission Factor]]="Σ.Ε. CO₂ eq",Calculations[[#This Row],[Emission Factor]]="CO₂ eq"),Calculations[[#This Row],[Value]]*Calculations[[#This Row],[Τιμή]],"-")</f>
        <v>-</v>
      </c>
      <c r="W761" s="81" t="str">
        <f>IF(Calculations[[#This Row],[Πηγή εκπομπών]]="Electricity consumed in office buildings and projects - market based",Calculations[[#This Row],[t CO2]],"")</f>
        <v/>
      </c>
      <c r="X76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1.7790819259804107</v>
      </c>
    </row>
    <row r="762" spans="1:24">
      <c r="A762" s="15" t="s">
        <v>350</v>
      </c>
      <c r="B762" s="15" t="s">
        <v>625</v>
      </c>
      <c r="C762" s="16" t="s">
        <v>624</v>
      </c>
      <c r="D762" s="77" t="s">
        <v>894</v>
      </c>
      <c r="E762" s="77"/>
      <c r="F762" s="16" t="s">
        <v>317</v>
      </c>
      <c r="G762" s="16" t="s">
        <v>632</v>
      </c>
      <c r="H762" s="15" t="s">
        <v>630</v>
      </c>
      <c r="I762" s="17" t="s">
        <v>341</v>
      </c>
      <c r="J762" s="79">
        <v>650</v>
      </c>
      <c r="K762" s="18" t="s">
        <v>7</v>
      </c>
      <c r="L762" s="94" t="s">
        <v>637</v>
      </c>
      <c r="M762" s="148" t="s">
        <v>206</v>
      </c>
      <c r="N762" s="81" t="str">
        <f>_xlfn.XLOOKUP(Calculations[[#This Row],[For XLOOKUP]],Factors[For XLOOKUP],Factors[Factor],"")</f>
        <v>Σ.Ε. CH₄ m.</v>
      </c>
      <c r="O762" s="81">
        <f>_xlfn.XLOOKUP(Calculations[[#This Row],[For XLOOKUP]],Factors[For XLOOKUP],Factors[Value],"")</f>
        <v>1.0689300000000002E-7</v>
      </c>
      <c r="P762" s="81" t="str">
        <f>_xlfn.XLOOKUP(Calculations[[#This Row],[For XLOOKUP]],Factors[For XLOOKUP],Factors[Units],"")</f>
        <v>tn CH₄/lt</v>
      </c>
      <c r="Q762" s="19" t="str">
        <f>_xlfn.XLOOKUP(Calculations[[#This Row],[For XLOOKUP]],Factors[For XLOOKUP],Factors[Source],"")</f>
        <v>Greece. National Inventory Submissions 2024</v>
      </c>
      <c r="R76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2" s="81">
        <f>IF(LEFT(Calculations[[#This Row],[Emission Factor]],7)="Σ.Ε. CH",Calculations[[#This Row],[Value]]*Calculations[[#This Row],[Τιμή]],"-")</f>
        <v>6.948045000000001E-5</v>
      </c>
      <c r="T76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2" s="81" t="str">
        <f>IF(LEFT(Calculations[[#This Row],[Emission Factor]],3)="GWP",Calculations[[#This Row],[Τιμή]],"-")</f>
        <v>-</v>
      </c>
      <c r="V762" s="81" t="str">
        <f>IF(OR(Calculations[[#This Row],[Emission Factor]]="Σ.Ε. CO₂ eq",Calculations[[#This Row],[Emission Factor]]="CO₂ eq"),Calculations[[#This Row],[Value]]*Calculations[[#This Row],[Τιμή]],"-")</f>
        <v>-</v>
      </c>
      <c r="W762" s="81" t="str">
        <f>IF(Calculations[[#This Row],[Πηγή εκπομπών]]="Electricity consumed in office buildings and projects - market based",Calculations[[#This Row],[t CO2]],"")</f>
        <v/>
      </c>
      <c r="X76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1.9454526000000003E-3</v>
      </c>
    </row>
    <row r="763" spans="1:24">
      <c r="A763" s="15" t="s">
        <v>350</v>
      </c>
      <c r="B763" s="15" t="s">
        <v>625</v>
      </c>
      <c r="C763" s="16" t="s">
        <v>624</v>
      </c>
      <c r="D763" s="77" t="s">
        <v>894</v>
      </c>
      <c r="E763" s="16"/>
      <c r="F763" s="16" t="s">
        <v>317</v>
      </c>
      <c r="G763" s="16" t="s">
        <v>632</v>
      </c>
      <c r="H763" s="15" t="s">
        <v>630</v>
      </c>
      <c r="I763" s="17" t="s">
        <v>341</v>
      </c>
      <c r="J763" s="79">
        <v>650</v>
      </c>
      <c r="K763" s="18" t="s">
        <v>7</v>
      </c>
      <c r="L763" s="94" t="s">
        <v>637</v>
      </c>
      <c r="M763" s="148" t="s">
        <v>208</v>
      </c>
      <c r="N763" s="19" t="str">
        <f>_xlfn.XLOOKUP(Calculations[[#This Row],[For XLOOKUP]],Factors[For XLOOKUP],Factors[Factor],"")</f>
        <v>Σ.Ε. N2O m.</v>
      </c>
      <c r="O763" s="19">
        <f>_xlfn.XLOOKUP(Calculations[[#This Row],[For XLOOKUP]],Factors[For XLOOKUP],Factors[Value],"")</f>
        <v>2.1378600000000001E-8</v>
      </c>
      <c r="P763" s="19" t="str">
        <f>_xlfn.XLOOKUP(Calculations[[#This Row],[For XLOOKUP]],Factors[For XLOOKUP],Factors[Units],"")</f>
        <v>tn N2O/lt</v>
      </c>
      <c r="Q763" s="19" t="str">
        <f>_xlfn.XLOOKUP(Calculations[[#This Row],[For XLOOKUP]],Factors[For XLOOKUP],Factors[Source],"")</f>
        <v>Greece. National Inventory Submissions 2024</v>
      </c>
      <c r="R763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3" s="19" t="str">
        <f>IF(LEFT(Calculations[[#This Row],[Emission Factor]],7)="Σ.Ε. CH",Calculations[[#This Row],[Value]]*Calculations[[#This Row],[Τιμή]],"-")</f>
        <v>-</v>
      </c>
      <c r="T763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1.389609E-5</v>
      </c>
      <c r="U763" s="19" t="str">
        <f>IF(LEFT(Calculations[[#This Row],[Emission Factor]],3)="GWP",Calculations[[#This Row],[Τιμή]],"-")</f>
        <v>-</v>
      </c>
      <c r="V763" s="19" t="str">
        <f>IF(OR(Calculations[[#This Row],[Emission Factor]]="Σ.Ε. CO₂ eq",Calculations[[#This Row],[Emission Factor]]="CO₂ eq"),Calculations[[#This Row],[Value]]*Calculations[[#This Row],[Τιμή]],"-")</f>
        <v>-</v>
      </c>
      <c r="W763" s="19" t="str">
        <f>IF(Calculations[[#This Row],[Πηγή εκπομπών]]="Electricity consumed in office buildings and projects - market based",Calculations[[#This Row],[t CO2]],"")</f>
        <v/>
      </c>
      <c r="X763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3.68246385E-3</v>
      </c>
    </row>
    <row r="764" spans="1:24">
      <c r="A764" s="15" t="s">
        <v>350</v>
      </c>
      <c r="B764" s="15" t="s">
        <v>625</v>
      </c>
      <c r="C764" s="16" t="s">
        <v>624</v>
      </c>
      <c r="D764" s="77" t="s">
        <v>894</v>
      </c>
      <c r="E764" s="77"/>
      <c r="F764" s="16" t="s">
        <v>317</v>
      </c>
      <c r="G764" s="16" t="s">
        <v>632</v>
      </c>
      <c r="H764" s="15" t="s">
        <v>630</v>
      </c>
      <c r="I764" s="17" t="s">
        <v>341</v>
      </c>
      <c r="J764" s="78">
        <v>1398</v>
      </c>
      <c r="K764" s="18" t="s">
        <v>7</v>
      </c>
      <c r="L764" s="94" t="s">
        <v>245</v>
      </c>
      <c r="M764" s="148" t="s">
        <v>210</v>
      </c>
      <c r="N764" s="81" t="str">
        <f>_xlfn.XLOOKUP(Calculations[[#This Row],[For XLOOKUP]],Factors[For XLOOKUP],Factors[Factor],"")</f>
        <v>Σ.Ε. CO₂ st.</v>
      </c>
      <c r="O764" s="81">
        <f>_xlfn.XLOOKUP(Calculations[[#This Row],[For XLOOKUP]],Factors[For XLOOKUP],Factors[Value],"")</f>
        <v>2.6288551800000004E-3</v>
      </c>
      <c r="P764" s="81" t="str">
        <f>_xlfn.XLOOKUP(Calculations[[#This Row],[For XLOOKUP]],Factors[For XLOOKUP],Factors[Units],"")</f>
        <v>tn CO2/lt</v>
      </c>
      <c r="Q764" s="19" t="str">
        <f>_xlfn.XLOOKUP(Calculations[[#This Row],[For XLOOKUP]],Factors[For XLOOKUP],Factors[Source],"")</f>
        <v>Greece. National Inventory Submissions 2024</v>
      </c>
      <c r="R764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3.6751395416400006</v>
      </c>
      <c r="S764" s="81" t="str">
        <f>IF(LEFT(Calculations[[#This Row],[Emission Factor]],7)="Σ.Ε. CH",Calculations[[#This Row],[Value]]*Calculations[[#This Row],[Τιμή]],"-")</f>
        <v>-</v>
      </c>
      <c r="T76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4" s="81" t="str">
        <f>IF(LEFT(Calculations[[#This Row],[Emission Factor]],3)="GWP",Calculations[[#This Row],[Τιμή]],"-")</f>
        <v>-</v>
      </c>
      <c r="V764" s="81" t="str">
        <f>IF(OR(Calculations[[#This Row],[Emission Factor]]="Σ.Ε. CO₂ eq",Calculations[[#This Row],[Emission Factor]]="CO₂ eq"),Calculations[[#This Row],[Value]]*Calculations[[#This Row],[Τιμή]],"-")</f>
        <v>-</v>
      </c>
      <c r="W764" s="81" t="str">
        <f>IF(Calculations[[#This Row],[Πηγή εκπομπών]]="Electricity consumed in office buildings and projects - market based",Calculations[[#This Row],[t CO2]],"")</f>
        <v/>
      </c>
      <c r="X76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3.6751395416400006</v>
      </c>
    </row>
    <row r="765" spans="1:24">
      <c r="A765" s="15" t="s">
        <v>350</v>
      </c>
      <c r="B765" s="15" t="s">
        <v>625</v>
      </c>
      <c r="C765" s="16" t="s">
        <v>624</v>
      </c>
      <c r="D765" s="77" t="s">
        <v>894</v>
      </c>
      <c r="E765" s="77"/>
      <c r="F765" s="16" t="s">
        <v>317</v>
      </c>
      <c r="G765" s="16" t="s">
        <v>632</v>
      </c>
      <c r="H765" s="15" t="s">
        <v>630</v>
      </c>
      <c r="I765" s="17" t="s">
        <v>341</v>
      </c>
      <c r="J765" s="79">
        <v>1398</v>
      </c>
      <c r="K765" s="18" t="s">
        <v>7</v>
      </c>
      <c r="L765" s="94" t="s">
        <v>245</v>
      </c>
      <c r="M765" s="148" t="s">
        <v>329</v>
      </c>
      <c r="N765" s="81" t="str">
        <f>_xlfn.XLOOKUP(Calculations[[#This Row],[For XLOOKUP]],Factors[For XLOOKUP],Factors[Factor],"")</f>
        <v>Σ.Ε. CH₄ st.</v>
      </c>
      <c r="O765" s="81">
        <f>_xlfn.XLOOKUP(Calculations[[#This Row],[For XLOOKUP]],Factors[For XLOOKUP],Factors[Value],"")</f>
        <v>2.6069673432920342E-8</v>
      </c>
      <c r="P765" s="81" t="str">
        <f>_xlfn.XLOOKUP(Calculations[[#This Row],[For XLOOKUP]],Factors[For XLOOKUP],Factors[Units],"")</f>
        <v>tn CH4/lt</v>
      </c>
      <c r="Q765" s="19" t="str">
        <f>_xlfn.XLOOKUP(Calculations[[#This Row],[For XLOOKUP]],Factors[For XLOOKUP],Factors[Source],"")</f>
        <v>Greece. National Inventory Submissions 2024</v>
      </c>
      <c r="R76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5" s="81">
        <f>IF(LEFT(Calculations[[#This Row],[Emission Factor]],7)="Σ.Ε. CH",Calculations[[#This Row],[Value]]*Calculations[[#This Row],[Τιμή]],"-")</f>
        <v>3.6445403459222636E-5</v>
      </c>
      <c r="T76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5" s="81" t="str">
        <f>IF(LEFT(Calculations[[#This Row],[Emission Factor]],3)="GWP",Calculations[[#This Row],[Τιμή]],"-")</f>
        <v>-</v>
      </c>
      <c r="V765" s="81" t="str">
        <f>IF(OR(Calculations[[#This Row],[Emission Factor]]="Σ.Ε. CO₂ eq",Calculations[[#This Row],[Emission Factor]]="CO₂ eq"),Calculations[[#This Row],[Value]]*Calculations[[#This Row],[Τιμή]],"-")</f>
        <v>-</v>
      </c>
      <c r="W765" s="81" t="str">
        <f>IF(Calculations[[#This Row],[Πηγή εκπομπών]]="Electricity consumed in office buildings and projects - market based",Calculations[[#This Row],[t CO2]],"")</f>
        <v/>
      </c>
      <c r="X76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1.0204712968582337E-3</v>
      </c>
    </row>
    <row r="766" spans="1:24">
      <c r="A766" s="15" t="s">
        <v>350</v>
      </c>
      <c r="B766" s="15" t="s">
        <v>625</v>
      </c>
      <c r="C766" s="16" t="s">
        <v>624</v>
      </c>
      <c r="D766" s="77" t="s">
        <v>894</v>
      </c>
      <c r="E766" s="16"/>
      <c r="F766" s="16" t="s">
        <v>317</v>
      </c>
      <c r="G766" s="16" t="s">
        <v>632</v>
      </c>
      <c r="H766" s="15" t="s">
        <v>630</v>
      </c>
      <c r="I766" s="17" t="s">
        <v>341</v>
      </c>
      <c r="J766" s="79">
        <v>1398</v>
      </c>
      <c r="K766" s="18" t="s">
        <v>7</v>
      </c>
      <c r="L766" s="94" t="s">
        <v>245</v>
      </c>
      <c r="M766" s="148" t="s">
        <v>211</v>
      </c>
      <c r="N766" s="19" t="str">
        <f>_xlfn.XLOOKUP(Calculations[[#This Row],[For XLOOKUP]],Factors[For XLOOKUP],Factors[Factor],"")</f>
        <v>Σ.Ε. N2O st.</v>
      </c>
      <c r="O766" s="19">
        <f>_xlfn.XLOOKUP(Calculations[[#This Row],[For XLOOKUP]],Factors[For XLOOKUP],Factors[Value],"")</f>
        <v>6.7698900000000009E-9</v>
      </c>
      <c r="P766" s="19" t="str">
        <f>_xlfn.XLOOKUP(Calculations[[#This Row],[For XLOOKUP]],Factors[For XLOOKUP],Factors[Units],"")</f>
        <v>tn N2O/lt</v>
      </c>
      <c r="Q766" s="19" t="str">
        <f>_xlfn.XLOOKUP(Calculations[[#This Row],[For XLOOKUP]],Factors[For XLOOKUP],Factors[Source],"")</f>
        <v>Greece. National Inventory Submissions 2024</v>
      </c>
      <c r="R766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6" s="19" t="str">
        <f>IF(LEFT(Calculations[[#This Row],[Emission Factor]],7)="Σ.Ε. CH",Calculations[[#This Row],[Value]]*Calculations[[#This Row],[Τιμή]],"-")</f>
        <v>-</v>
      </c>
      <c r="T766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9.4643062200000011E-6</v>
      </c>
      <c r="U766" s="19" t="str">
        <f>IF(LEFT(Calculations[[#This Row],[Emission Factor]],3)="GWP",Calculations[[#This Row],[Τιμή]],"-")</f>
        <v>-</v>
      </c>
      <c r="V766" s="19" t="str">
        <f>IF(OR(Calculations[[#This Row],[Emission Factor]]="Σ.Ε. CO₂ eq",Calculations[[#This Row],[Emission Factor]]="CO₂ eq"),Calculations[[#This Row],[Value]]*Calculations[[#This Row],[Τιμή]],"-")</f>
        <v>-</v>
      </c>
      <c r="W766" s="19" t="str">
        <f>IF(Calculations[[#This Row],[Πηγή εκπομπών]]="Electricity consumed in office buildings and projects - market based",Calculations[[#This Row],[t CO2]],"")</f>
        <v/>
      </c>
      <c r="X76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2.5080411483000002E-3</v>
      </c>
    </row>
    <row r="767" spans="1:24">
      <c r="A767" s="15" t="s">
        <v>350</v>
      </c>
      <c r="B767" s="15" t="s">
        <v>625</v>
      </c>
      <c r="C767" s="16" t="s">
        <v>624</v>
      </c>
      <c r="D767" s="16" t="s">
        <v>894</v>
      </c>
      <c r="E767" s="16"/>
      <c r="F767" s="16" t="s">
        <v>317</v>
      </c>
      <c r="G767" s="16" t="s">
        <v>632</v>
      </c>
      <c r="H767" s="15" t="s">
        <v>630</v>
      </c>
      <c r="I767" s="17" t="s">
        <v>341</v>
      </c>
      <c r="J767" s="78">
        <v>1636</v>
      </c>
      <c r="K767" s="18" t="s">
        <v>7</v>
      </c>
      <c r="L767" s="94" t="s">
        <v>639</v>
      </c>
      <c r="M767" s="148" t="s">
        <v>221</v>
      </c>
      <c r="N767" s="19" t="str">
        <f>_xlfn.XLOOKUP(Calculations[[#This Row],[For XLOOKUP]],Factors[For XLOOKUP],Factors[Factor],"")</f>
        <v>Σ.Ε. CO₂ m.</v>
      </c>
      <c r="O767" s="19">
        <f>_xlfn.XLOOKUP(Calculations[[#This Row],[For XLOOKUP]],Factors[For XLOOKUP],Factors[Value],"")</f>
        <v>2.6092581300000001E-3</v>
      </c>
      <c r="P767" s="19" t="str">
        <f>_xlfn.XLOOKUP(Calculations[[#This Row],[For XLOOKUP]],Factors[For XLOOKUP],Factors[Units],"")</f>
        <v>tn CO2/lt</v>
      </c>
      <c r="Q767" s="19" t="str">
        <f>_xlfn.XLOOKUP(Calculations[[#This Row],[For XLOOKUP]],Factors[For XLOOKUP],Factors[Source],"")</f>
        <v>Greece. National Inventory Submissions 2024</v>
      </c>
      <c r="R767" s="19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4.2687463006800002</v>
      </c>
      <c r="S767" s="19" t="str">
        <f>IF(LEFT(Calculations[[#This Row],[Emission Factor]],7)="Σ.Ε. CH",Calculations[[#This Row],[Value]]*Calculations[[#This Row],[Τιμή]],"-")</f>
        <v>-</v>
      </c>
      <c r="T76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7" s="19" t="str">
        <f>IF(LEFT(Calculations[[#This Row],[Emission Factor]],3)="GWP",Calculations[[#This Row],[Τιμή]],"-")</f>
        <v>-</v>
      </c>
      <c r="V767" s="19" t="str">
        <f>IF(OR(Calculations[[#This Row],[Emission Factor]]="Σ.Ε. CO₂ eq",Calculations[[#This Row],[Emission Factor]]="CO₂ eq"),Calculations[[#This Row],[Value]]*Calculations[[#This Row],[Τιμή]],"-")</f>
        <v>-</v>
      </c>
      <c r="W767" s="19" t="str">
        <f>IF(Calculations[[#This Row],[Πηγή εκπομπών]]="Electricity consumed in office buildings and projects - market based",Calculations[[#This Row],[t CO2]],"")</f>
        <v/>
      </c>
      <c r="X76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4.2687463006800002</v>
      </c>
    </row>
    <row r="768" spans="1:24">
      <c r="A768" s="15" t="s">
        <v>350</v>
      </c>
      <c r="B768" s="15" t="s">
        <v>625</v>
      </c>
      <c r="C768" s="16" t="s">
        <v>624</v>
      </c>
      <c r="D768" s="16" t="s">
        <v>894</v>
      </c>
      <c r="E768" s="16"/>
      <c r="F768" s="16" t="s">
        <v>317</v>
      </c>
      <c r="G768" s="16" t="s">
        <v>632</v>
      </c>
      <c r="H768" s="15" t="s">
        <v>630</v>
      </c>
      <c r="I768" s="17" t="s">
        <v>341</v>
      </c>
      <c r="J768" s="79">
        <v>1636</v>
      </c>
      <c r="K768" s="18" t="s">
        <v>7</v>
      </c>
      <c r="L768" s="94" t="s">
        <v>639</v>
      </c>
      <c r="M768" s="148" t="s">
        <v>223</v>
      </c>
      <c r="N768" s="19" t="str">
        <f>_xlfn.XLOOKUP(Calculations[[#This Row],[For XLOOKUP]],Factors[For XLOOKUP],Factors[Factor],"")</f>
        <v>Σ.Ε. CH₄ m.</v>
      </c>
      <c r="O768" s="19">
        <f>_xlfn.XLOOKUP(Calculations[[#This Row],[For XLOOKUP]],Factors[For XLOOKUP],Factors[Value],"")</f>
        <v>1.7372982352295353E-8</v>
      </c>
      <c r="P768" s="19" t="str">
        <f>_xlfn.XLOOKUP(Calculations[[#This Row],[For XLOOKUP]],Factors[For XLOOKUP],Factors[Units],"")</f>
        <v>tn CH₄/lt</v>
      </c>
      <c r="Q768" s="19" t="str">
        <f>_xlfn.XLOOKUP(Calculations[[#This Row],[For XLOOKUP]],Factors[For XLOOKUP],Factors[Source],"")</f>
        <v>Greece. National Inventory Submissions 2024</v>
      </c>
      <c r="R76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8" s="19">
        <f>IF(LEFT(Calculations[[#This Row],[Emission Factor]],7)="Σ.Ε. CH",Calculations[[#This Row],[Value]]*Calculations[[#This Row],[Τιμή]],"-")</f>
        <v>2.8422199128355196E-5</v>
      </c>
      <c r="T76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8" s="19" t="str">
        <f>IF(LEFT(Calculations[[#This Row],[Emission Factor]],3)="GWP",Calculations[[#This Row],[Τιμή]],"-")</f>
        <v>-</v>
      </c>
      <c r="V768" s="19" t="str">
        <f>IF(OR(Calculations[[#This Row],[Emission Factor]]="Σ.Ε. CO₂ eq",Calculations[[#This Row],[Emission Factor]]="CO₂ eq"),Calculations[[#This Row],[Value]]*Calculations[[#This Row],[Τιμή]],"-")</f>
        <v>-</v>
      </c>
      <c r="W768" s="19" t="str">
        <f>IF(Calculations[[#This Row],[Πηγή εκπομπών]]="Electricity consumed in office buildings and projects - market based",Calculations[[#This Row],[t CO2]],"")</f>
        <v/>
      </c>
      <c r="X76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7.958215755939455E-4</v>
      </c>
    </row>
    <row r="769" spans="1:24">
      <c r="A769" s="15" t="s">
        <v>350</v>
      </c>
      <c r="B769" s="15" t="s">
        <v>625</v>
      </c>
      <c r="C769" s="16" t="s">
        <v>624</v>
      </c>
      <c r="D769" s="77" t="s">
        <v>894</v>
      </c>
      <c r="E769" s="77"/>
      <c r="F769" s="16" t="s">
        <v>317</v>
      </c>
      <c r="G769" s="16" t="s">
        <v>632</v>
      </c>
      <c r="H769" s="15" t="s">
        <v>630</v>
      </c>
      <c r="I769" s="17" t="s">
        <v>341</v>
      </c>
      <c r="J769" s="79">
        <v>1636</v>
      </c>
      <c r="K769" s="18" t="s">
        <v>7</v>
      </c>
      <c r="L769" s="94" t="s">
        <v>639</v>
      </c>
      <c r="M769" s="148" t="s">
        <v>225</v>
      </c>
      <c r="N769" s="81" t="str">
        <f>_xlfn.XLOOKUP(Calculations[[#This Row],[For XLOOKUP]],Factors[For XLOOKUP],Factors[Factor],"")</f>
        <v>Σ.Ε. N2O m.</v>
      </c>
      <c r="O769" s="81">
        <f>_xlfn.XLOOKUP(Calculations[[#This Row],[For XLOOKUP]],Factors[For XLOOKUP],Factors[Value],"")</f>
        <v>7.4692304125650385E-8</v>
      </c>
      <c r="P769" s="81" t="str">
        <f>_xlfn.XLOOKUP(Calculations[[#This Row],[For XLOOKUP]],Factors[For XLOOKUP],Factors[Units],"")</f>
        <v>tn N2O/lt</v>
      </c>
      <c r="Q769" s="19" t="str">
        <f>_xlfn.XLOOKUP(Calculations[[#This Row],[For XLOOKUP]],Factors[For XLOOKUP],Factors[Source],"")</f>
        <v>Greece. National Inventory Submissions 2024</v>
      </c>
      <c r="R76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9" s="81" t="str">
        <f>IF(LEFT(Calculations[[#This Row],[Emission Factor]],7)="Σ.Ε. CH",Calculations[[#This Row],[Value]]*Calculations[[#This Row],[Τιμή]],"-")</f>
        <v>-</v>
      </c>
      <c r="T769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1.2219660954956404E-4</v>
      </c>
      <c r="U769" s="81" t="str">
        <f>IF(LEFT(Calculations[[#This Row],[Emission Factor]],3)="GWP",Calculations[[#This Row],[Τιμή]],"-")</f>
        <v>-</v>
      </c>
      <c r="V769" s="81" t="str">
        <f>IF(OR(Calculations[[#This Row],[Emission Factor]]="Σ.Ε. CO₂ eq",Calculations[[#This Row],[Emission Factor]]="CO₂ eq"),Calculations[[#This Row],[Value]]*Calculations[[#This Row],[Τιμή]],"-")</f>
        <v>-</v>
      </c>
      <c r="W769" s="81" t="str">
        <f>IF(Calculations[[#This Row],[Πηγή εκπομπών]]="Electricity consumed in office buildings and projects - market based",Calculations[[#This Row],[t CO2]],"")</f>
        <v/>
      </c>
      <c r="X76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3.238210153063447E-2</v>
      </c>
    </row>
    <row r="770" spans="1:24">
      <c r="A770" s="15" t="s">
        <v>350</v>
      </c>
      <c r="B770" s="15" t="s">
        <v>625</v>
      </c>
      <c r="C770" s="16" t="s">
        <v>624</v>
      </c>
      <c r="D770" s="77" t="s">
        <v>894</v>
      </c>
      <c r="E770" s="77" t="s">
        <v>1187</v>
      </c>
      <c r="F770" s="16" t="s">
        <v>317</v>
      </c>
      <c r="G770" s="16" t="s">
        <v>632</v>
      </c>
      <c r="H770" s="15" t="s">
        <v>630</v>
      </c>
      <c r="I770" s="17" t="s">
        <v>341</v>
      </c>
      <c r="J770" s="78">
        <v>2667</v>
      </c>
      <c r="K770" s="18" t="s">
        <v>7</v>
      </c>
      <c r="L770" s="94" t="s">
        <v>638</v>
      </c>
      <c r="M770" s="148" t="s">
        <v>1244</v>
      </c>
      <c r="N770" s="81" t="str">
        <f>_xlfn.XLOOKUP(Calculations[[#This Row],[For XLOOKUP]],Factors[For XLOOKUP],Factors[Factor],"")</f>
        <v>Σ.Ε. CO₂ m.</v>
      </c>
      <c r="O770" s="81">
        <f>_xlfn.XLOOKUP(Calculations[[#This Row],[For XLOOKUP]],Factors[For XLOOKUP],Factors[Value],"")</f>
        <v>2.7103960999958366E-3</v>
      </c>
      <c r="P770" s="81" t="str">
        <f>_xlfn.XLOOKUP(Calculations[[#This Row],[For XLOOKUP]],Factors[For XLOOKUP],Factors[Units],"")</f>
        <v>tn CO2/lt</v>
      </c>
      <c r="Q770" s="19" t="str">
        <f>_xlfn.XLOOKUP(Calculations[[#This Row],[For XLOOKUP]],Factors[For XLOOKUP],Factors[Source],"")</f>
        <v>Cyprus. National Inventory Report (NIR) 2024</v>
      </c>
      <c r="R770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7.2286263986888963</v>
      </c>
      <c r="S770" s="81" t="str">
        <f>IF(LEFT(Calculations[[#This Row],[Emission Factor]],7)="Σ.Ε. CH",Calculations[[#This Row],[Value]]*Calculations[[#This Row],[Τιμή]],"-")</f>
        <v>-</v>
      </c>
      <c r="T77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0" s="81" t="str">
        <f>IF(LEFT(Calculations[[#This Row],[Emission Factor]],3)="GWP",Calculations[[#This Row],[Τιμή]],"-")</f>
        <v>-</v>
      </c>
      <c r="V770" s="81" t="str">
        <f>IF(OR(Calculations[[#This Row],[Emission Factor]]="Σ.Ε. CO₂ eq",Calculations[[#This Row],[Emission Factor]]="CO₂ eq"),Calculations[[#This Row],[Value]]*Calculations[[#This Row],[Τιμή]],"-")</f>
        <v>-</v>
      </c>
      <c r="W770" s="81" t="str">
        <f>IF(Calculations[[#This Row],[Πηγή εκπομπών]]="Electricity consumed in office buildings and projects - market based",Calculations[[#This Row],[t CO2]],"")</f>
        <v/>
      </c>
      <c r="X77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7.2286263986888963</v>
      </c>
    </row>
    <row r="771" spans="1:24">
      <c r="A771" s="15" t="s">
        <v>350</v>
      </c>
      <c r="B771" s="15" t="s">
        <v>625</v>
      </c>
      <c r="C771" s="16" t="s">
        <v>624</v>
      </c>
      <c r="D771" s="77" t="s">
        <v>894</v>
      </c>
      <c r="E771" s="77" t="s">
        <v>1187</v>
      </c>
      <c r="F771" s="16" t="s">
        <v>317</v>
      </c>
      <c r="G771" s="16" t="s">
        <v>632</v>
      </c>
      <c r="H771" s="15" t="s">
        <v>630</v>
      </c>
      <c r="I771" s="17" t="s">
        <v>341</v>
      </c>
      <c r="J771" s="79">
        <v>2667</v>
      </c>
      <c r="K771" s="18" t="s">
        <v>7</v>
      </c>
      <c r="L771" s="94" t="s">
        <v>638</v>
      </c>
      <c r="M771" s="148" t="s">
        <v>1245</v>
      </c>
      <c r="N771" s="81" t="str">
        <f>_xlfn.XLOOKUP(Calculations[[#This Row],[For XLOOKUP]],Factors[For XLOOKUP],Factors[Factor],"")</f>
        <v>Σ.Ε. CH₄ m.</v>
      </c>
      <c r="O771" s="81">
        <f>_xlfn.XLOOKUP(Calculations[[#This Row],[For XLOOKUP]],Factors[For XLOOKUP],Factors[Value],"")</f>
        <v>1.3968471248727059E-7</v>
      </c>
      <c r="P771" s="81" t="str">
        <f>_xlfn.XLOOKUP(Calculations[[#This Row],[For XLOOKUP]],Factors[For XLOOKUP],Factors[Units],"")</f>
        <v>tn CH4/lt</v>
      </c>
      <c r="Q771" s="19" t="str">
        <f>_xlfn.XLOOKUP(Calculations[[#This Row],[For XLOOKUP]],Factors[For XLOOKUP],Factors[Source],"")</f>
        <v>Cyprus. National Inventory Report (NIR) 2024</v>
      </c>
      <c r="R77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1" s="81">
        <f>IF(LEFT(Calculations[[#This Row],[Emission Factor]],7)="Σ.Ε. CH",Calculations[[#This Row],[Value]]*Calculations[[#This Row],[Τιμή]],"-")</f>
        <v>3.7253912820355066E-4</v>
      </c>
      <c r="T77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1" s="81" t="str">
        <f>IF(LEFT(Calculations[[#This Row],[Emission Factor]],3)="GWP",Calculations[[#This Row],[Τιμή]],"-")</f>
        <v>-</v>
      </c>
      <c r="V771" s="81" t="str">
        <f>IF(OR(Calculations[[#This Row],[Emission Factor]]="Σ.Ε. CO₂ eq",Calculations[[#This Row],[Emission Factor]]="CO₂ eq"),Calculations[[#This Row],[Value]]*Calculations[[#This Row],[Τιμή]],"-")</f>
        <v>-</v>
      </c>
      <c r="W771" s="81" t="str">
        <f>IF(Calculations[[#This Row],[Πηγή εκπομπών]]="Electricity consumed in office buildings and projects - market based",Calculations[[#This Row],[t CO2]],"")</f>
        <v/>
      </c>
      <c r="X77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1.0431095589699419E-2</v>
      </c>
    </row>
    <row r="772" spans="1:24">
      <c r="A772" s="15" t="s">
        <v>350</v>
      </c>
      <c r="B772" s="15" t="s">
        <v>625</v>
      </c>
      <c r="C772" s="16" t="s">
        <v>624</v>
      </c>
      <c r="D772" s="77" t="s">
        <v>894</v>
      </c>
      <c r="E772" s="77" t="s">
        <v>1187</v>
      </c>
      <c r="F772" s="16" t="s">
        <v>317</v>
      </c>
      <c r="G772" s="16" t="s">
        <v>632</v>
      </c>
      <c r="H772" s="15" t="s">
        <v>630</v>
      </c>
      <c r="I772" s="17" t="s">
        <v>341</v>
      </c>
      <c r="J772" s="79">
        <v>2667</v>
      </c>
      <c r="K772" s="18" t="s">
        <v>7</v>
      </c>
      <c r="L772" s="94" t="s">
        <v>638</v>
      </c>
      <c r="M772" s="148" t="s">
        <v>1246</v>
      </c>
      <c r="N772" s="81" t="str">
        <f>_xlfn.XLOOKUP(Calculations[[#This Row],[For XLOOKUP]],Factors[For XLOOKUP],Factors[Factor],"")</f>
        <v>Σ.Ε. N2O m.</v>
      </c>
      <c r="O772" s="81">
        <f>_xlfn.XLOOKUP(Calculations[[#This Row],[For XLOOKUP]],Factors[For XLOOKUP],Factors[Value],"")</f>
        <v>1.7159507590075509E-7</v>
      </c>
      <c r="P772" s="81" t="str">
        <f>_xlfn.XLOOKUP(Calculations[[#This Row],[For XLOOKUP]],Factors[For XLOOKUP],Factors[Units],"")</f>
        <v>tn N2O/lt</v>
      </c>
      <c r="Q772" s="19" t="str">
        <f>_xlfn.XLOOKUP(Calculations[[#This Row],[For XLOOKUP]],Factors[For XLOOKUP],Factors[Source],"")</f>
        <v>Cyprus. National Inventory Report (NIR) 2024</v>
      </c>
      <c r="R77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2" s="81" t="str">
        <f>IF(LEFT(Calculations[[#This Row],[Emission Factor]],7)="Σ.Ε. CH",Calculations[[#This Row],[Value]]*Calculations[[#This Row],[Τιμή]],"-")</f>
        <v>-</v>
      </c>
      <c r="T772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4.5764406742731384E-4</v>
      </c>
      <c r="U772" s="81" t="str">
        <f>IF(LEFT(Calculations[[#This Row],[Emission Factor]],3)="GWP",Calculations[[#This Row],[Τιμή]],"-")</f>
        <v>-</v>
      </c>
      <c r="V772" s="81" t="str">
        <f>IF(OR(Calculations[[#This Row],[Emission Factor]]="Σ.Ε. CO₂ eq",Calculations[[#This Row],[Emission Factor]]="CO₂ eq"),Calculations[[#This Row],[Value]]*Calculations[[#This Row],[Τιμή]],"-")</f>
        <v>-</v>
      </c>
      <c r="W772" s="81" t="str">
        <f>IF(Calculations[[#This Row],[Πηγή εκπομπών]]="Electricity consumed in office buildings and projects - market based",Calculations[[#This Row],[t CO2]],"")</f>
        <v/>
      </c>
      <c r="X77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0.12127567786823817</v>
      </c>
    </row>
    <row r="773" spans="1:24">
      <c r="A773" s="15" t="s">
        <v>350</v>
      </c>
      <c r="B773" s="15" t="s">
        <v>625</v>
      </c>
      <c r="C773" s="16" t="s">
        <v>624</v>
      </c>
      <c r="D773" s="77" t="s">
        <v>894</v>
      </c>
      <c r="E773" s="77"/>
      <c r="F773" s="16" t="s">
        <v>317</v>
      </c>
      <c r="G773" s="16" t="s">
        <v>632</v>
      </c>
      <c r="H773" s="15" t="s">
        <v>630</v>
      </c>
      <c r="I773" s="17" t="s">
        <v>341</v>
      </c>
      <c r="J773" s="78">
        <f>871174-2667</f>
        <v>868507</v>
      </c>
      <c r="K773" s="18" t="s">
        <v>7</v>
      </c>
      <c r="L773" s="94" t="s">
        <v>638</v>
      </c>
      <c r="M773" s="148" t="s">
        <v>215</v>
      </c>
      <c r="N773" s="81" t="str">
        <f>_xlfn.XLOOKUP(Calculations[[#This Row],[For XLOOKUP]],Factors[For XLOOKUP],Factors[Factor],"")</f>
        <v>Σ.Ε. CO₂ m.</v>
      </c>
      <c r="O773" s="81">
        <f>_xlfn.XLOOKUP(Calculations[[#This Row],[For XLOOKUP]],Factors[For XLOOKUP],Factors[Value],"")</f>
        <v>2.6092581300000001E-3</v>
      </c>
      <c r="P773" s="81" t="str">
        <f>_xlfn.XLOOKUP(Calculations[[#This Row],[For XLOOKUP]],Factors[For XLOOKUP],Factors[Units],"")</f>
        <v>tn CO2/lt</v>
      </c>
      <c r="Q773" s="19" t="str">
        <f>_xlfn.XLOOKUP(Calculations[[#This Row],[For XLOOKUP]],Factors[For XLOOKUP],Factors[Source],"")</f>
        <v>Greece. National Inventory Submissions 2024</v>
      </c>
      <c r="R773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2266.1589507119102</v>
      </c>
      <c r="S773" s="81" t="str">
        <f>IF(LEFT(Calculations[[#This Row],[Emission Factor]],7)="Σ.Ε. CH",Calculations[[#This Row],[Value]]*Calculations[[#This Row],[Τιμή]],"-")</f>
        <v>-</v>
      </c>
      <c r="T77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3" s="81" t="str">
        <f>IF(LEFT(Calculations[[#This Row],[Emission Factor]],3)="GWP",Calculations[[#This Row],[Τιμή]],"-")</f>
        <v>-</v>
      </c>
      <c r="V773" s="81" t="str">
        <f>IF(OR(Calculations[[#This Row],[Emission Factor]]="Σ.Ε. CO₂ eq",Calculations[[#This Row],[Emission Factor]]="CO₂ eq"),Calculations[[#This Row],[Value]]*Calculations[[#This Row],[Τιμή]],"-")</f>
        <v>-</v>
      </c>
      <c r="W773" s="81" t="str">
        <f>IF(Calculations[[#This Row],[Πηγή εκπομπών]]="Electricity consumed in office buildings and projects - market based",Calculations[[#This Row],[t CO2]],"")</f>
        <v/>
      </c>
      <c r="X77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2266.1589507119102</v>
      </c>
    </row>
    <row r="774" spans="1:24">
      <c r="A774" s="15" t="s">
        <v>350</v>
      </c>
      <c r="B774" s="15" t="s">
        <v>625</v>
      </c>
      <c r="C774" s="16" t="s">
        <v>624</v>
      </c>
      <c r="D774" s="77" t="s">
        <v>894</v>
      </c>
      <c r="E774" s="77"/>
      <c r="F774" s="16" t="s">
        <v>317</v>
      </c>
      <c r="G774" s="16" t="s">
        <v>632</v>
      </c>
      <c r="H774" s="15" t="s">
        <v>630</v>
      </c>
      <c r="I774" s="17" t="s">
        <v>341</v>
      </c>
      <c r="J774" s="79">
        <v>868507</v>
      </c>
      <c r="K774" s="18" t="s">
        <v>7</v>
      </c>
      <c r="L774" s="94" t="s">
        <v>638</v>
      </c>
      <c r="M774" s="148" t="s">
        <v>217</v>
      </c>
      <c r="N774" s="81" t="str">
        <f>_xlfn.XLOOKUP(Calculations[[#This Row],[For XLOOKUP]],Factors[For XLOOKUP],Factors[Factor],"")</f>
        <v>Σ.Ε. CH₄ m.</v>
      </c>
      <c r="O774" s="81">
        <f>_xlfn.XLOOKUP(Calculations[[#This Row],[For XLOOKUP]],Factors[For XLOOKUP],Factors[Value],"")</f>
        <v>2.0364052337489427E-7</v>
      </c>
      <c r="P774" s="81" t="str">
        <f>_xlfn.XLOOKUP(Calculations[[#This Row],[For XLOOKUP]],Factors[For XLOOKUP],Factors[Units],"")</f>
        <v>tn CH₄/lt</v>
      </c>
      <c r="Q774" s="19" t="str">
        <f>_xlfn.XLOOKUP(Calculations[[#This Row],[For XLOOKUP]],Factors[For XLOOKUP],Factors[Source],"")</f>
        <v>Greece. National Inventory Submissions 2024</v>
      </c>
      <c r="R77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4" s="81">
        <f>IF(LEFT(Calculations[[#This Row],[Emission Factor]],7)="Σ.Ε. CH",Calculations[[#This Row],[Value]]*Calculations[[#This Row],[Τιμή]],"-")</f>
        <v>0.17686322003475929</v>
      </c>
      <c r="T77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4" s="81" t="str">
        <f>IF(LEFT(Calculations[[#This Row],[Emission Factor]],3)="GWP",Calculations[[#This Row],[Τιμή]],"-")</f>
        <v>-</v>
      </c>
      <c r="V774" s="81" t="str">
        <f>IF(OR(Calculations[[#This Row],[Emission Factor]]="Σ.Ε. CO₂ eq",Calculations[[#This Row],[Emission Factor]]="CO₂ eq"),Calculations[[#This Row],[Value]]*Calculations[[#This Row],[Τιμή]],"-")</f>
        <v>-</v>
      </c>
      <c r="W774" s="81" t="str">
        <f>IF(Calculations[[#This Row],[Πηγή εκπομπών]]="Electricity consumed in office buildings and projects - market based",Calculations[[#This Row],[t CO2]],"")</f>
        <v/>
      </c>
      <c r="X77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4.9521701609732602</v>
      </c>
    </row>
    <row r="775" spans="1:24">
      <c r="A775" s="15" t="s">
        <v>350</v>
      </c>
      <c r="B775" s="15" t="s">
        <v>625</v>
      </c>
      <c r="C775" s="16" t="s">
        <v>624</v>
      </c>
      <c r="D775" s="16" t="s">
        <v>894</v>
      </c>
      <c r="E775" s="77"/>
      <c r="F775" s="16" t="s">
        <v>317</v>
      </c>
      <c r="G775" s="16" t="s">
        <v>632</v>
      </c>
      <c r="H775" s="15" t="s">
        <v>630</v>
      </c>
      <c r="I775" s="17" t="s">
        <v>341</v>
      </c>
      <c r="J775" s="79">
        <v>868507</v>
      </c>
      <c r="K775" s="18" t="s">
        <v>7</v>
      </c>
      <c r="L775" s="94" t="s">
        <v>638</v>
      </c>
      <c r="M775" s="148" t="s">
        <v>219</v>
      </c>
      <c r="N775" s="81" t="str">
        <f>_xlfn.XLOOKUP(Calculations[[#This Row],[For XLOOKUP]],Factors[For XLOOKUP],Factors[Factor],"")</f>
        <v>Σ.Ε. N2O m.</v>
      </c>
      <c r="O775" s="81">
        <f>_xlfn.XLOOKUP(Calculations[[#This Row],[For XLOOKUP]],Factors[For XLOOKUP],Factors[Value],"")</f>
        <v>5.9202158507263746E-8</v>
      </c>
      <c r="P775" s="81" t="str">
        <f>_xlfn.XLOOKUP(Calculations[[#This Row],[For XLOOKUP]],Factors[For XLOOKUP],Factors[Units],"")</f>
        <v>tn N2O/lt</v>
      </c>
      <c r="Q775" s="19" t="str">
        <f>_xlfn.XLOOKUP(Calculations[[#This Row],[For XLOOKUP]],Factors[For XLOOKUP],Factors[Source],"")</f>
        <v>Greece. National Inventory Submissions 2024</v>
      </c>
      <c r="R77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5" s="81" t="str">
        <f>IF(LEFT(Calculations[[#This Row],[Emission Factor]],7)="Σ.Ε. CH",Calculations[[#This Row],[Value]]*Calculations[[#This Row],[Τιμή]],"-")</f>
        <v>-</v>
      </c>
      <c r="T775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5.1417489078668117E-2</v>
      </c>
      <c r="U775" s="81" t="str">
        <f>IF(LEFT(Calculations[[#This Row],[Emission Factor]],3)="GWP",Calculations[[#This Row],[Τιμή]],"-")</f>
        <v>-</v>
      </c>
      <c r="V775" s="81" t="str">
        <f>IF(OR(Calculations[[#This Row],[Emission Factor]]="Σ.Ε. CO₂ eq",Calculations[[#This Row],[Emission Factor]]="CO₂ eq"),Calculations[[#This Row],[Value]]*Calculations[[#This Row],[Τιμή]],"-")</f>
        <v>-</v>
      </c>
      <c r="W775" s="81" t="str">
        <f>IF(Calculations[[#This Row],[Πηγή εκπομπών]]="Electricity consumed in office buildings and projects - market based",Calculations[[#This Row],[t CO2]],"")</f>
        <v/>
      </c>
      <c r="X77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13.625634605847051</v>
      </c>
    </row>
    <row r="776" spans="1:24">
      <c r="A776" s="15" t="s">
        <v>350</v>
      </c>
      <c r="B776" s="15" t="s">
        <v>625</v>
      </c>
      <c r="C776" s="16" t="s">
        <v>624</v>
      </c>
      <c r="D776" s="77" t="s">
        <v>895</v>
      </c>
      <c r="E776" s="77" t="s">
        <v>1141</v>
      </c>
      <c r="F776" s="16" t="s">
        <v>312</v>
      </c>
      <c r="G776" s="16" t="s">
        <v>632</v>
      </c>
      <c r="H776" s="15" t="s">
        <v>630</v>
      </c>
      <c r="I776" s="17" t="s">
        <v>341</v>
      </c>
      <c r="J776" s="78">
        <f>46031.11+9819.5</f>
        <v>55850.61</v>
      </c>
      <c r="K776" s="18" t="s">
        <v>7</v>
      </c>
      <c r="L776" s="94" t="s">
        <v>638</v>
      </c>
      <c r="M776" s="148" t="s">
        <v>215</v>
      </c>
      <c r="N776" s="81" t="str">
        <f>_xlfn.XLOOKUP(Calculations[[#This Row],[For XLOOKUP]],Factors[For XLOOKUP],Factors[Factor],"")</f>
        <v>Σ.Ε. CO₂ m.</v>
      </c>
      <c r="O776" s="81">
        <f>_xlfn.XLOOKUP(Calculations[[#This Row],[For XLOOKUP]],Factors[For XLOOKUP],Factors[Value],"")</f>
        <v>2.6092581300000001E-3</v>
      </c>
      <c r="P776" s="81" t="str">
        <f>_xlfn.XLOOKUP(Calculations[[#This Row],[For XLOOKUP]],Factors[For XLOOKUP],Factors[Units],"")</f>
        <v>tn CO2/lt</v>
      </c>
      <c r="Q776" s="19" t="str">
        <f>_xlfn.XLOOKUP(Calculations[[#This Row],[For XLOOKUP]],Factors[For XLOOKUP],Factors[Source],"")</f>
        <v>Greece. National Inventory Submissions 2024</v>
      </c>
      <c r="R776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145.72865820795931</v>
      </c>
      <c r="S776" s="81" t="str">
        <f>IF(LEFT(Calculations[[#This Row],[Emission Factor]],7)="Σ.Ε. CH",Calculations[[#This Row],[Value]]*Calculations[[#This Row],[Τιμή]],"-")</f>
        <v>-</v>
      </c>
      <c r="T77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6" s="81" t="str">
        <f>IF(LEFT(Calculations[[#This Row],[Emission Factor]],3)="GWP",Calculations[[#This Row],[Τιμή]],"-")</f>
        <v>-</v>
      </c>
      <c r="V776" s="81" t="str">
        <f>IF(OR(Calculations[[#This Row],[Emission Factor]]="Σ.Ε. CO₂ eq",Calculations[[#This Row],[Emission Factor]]="CO₂ eq"),Calculations[[#This Row],[Value]]*Calculations[[#This Row],[Τιμή]],"-")</f>
        <v>-</v>
      </c>
      <c r="W776" s="81" t="str">
        <f>IF(Calculations[[#This Row],[Πηγή εκπομπών]]="Electricity consumed in office buildings and projects - market based",Calculations[[#This Row],[t CO2]],"")</f>
        <v/>
      </c>
      <c r="X77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145.72865820795931</v>
      </c>
    </row>
    <row r="777" spans="1:24">
      <c r="A777" s="15" t="s">
        <v>350</v>
      </c>
      <c r="B777" s="15" t="s">
        <v>625</v>
      </c>
      <c r="C777" s="16" t="s">
        <v>624</v>
      </c>
      <c r="D777" s="16" t="s">
        <v>895</v>
      </c>
      <c r="E777" s="77" t="s">
        <v>1141</v>
      </c>
      <c r="F777" s="16" t="s">
        <v>312</v>
      </c>
      <c r="G777" s="16" t="s">
        <v>632</v>
      </c>
      <c r="H777" s="15" t="s">
        <v>630</v>
      </c>
      <c r="I777" s="17" t="s">
        <v>341</v>
      </c>
      <c r="J777" s="79">
        <v>55850.61</v>
      </c>
      <c r="K777" s="18" t="s">
        <v>7</v>
      </c>
      <c r="L777" s="94" t="s">
        <v>638</v>
      </c>
      <c r="M777" s="148" t="s">
        <v>217</v>
      </c>
      <c r="N777" s="81" t="str">
        <f>_xlfn.XLOOKUP(Calculations[[#This Row],[For XLOOKUP]],Factors[For XLOOKUP],Factors[Factor],"")</f>
        <v>Σ.Ε. CH₄ m.</v>
      </c>
      <c r="O777" s="81">
        <f>_xlfn.XLOOKUP(Calculations[[#This Row],[For XLOOKUP]],Factors[For XLOOKUP],Factors[Value],"")</f>
        <v>2.0364052337489427E-7</v>
      </c>
      <c r="P777" s="81" t="str">
        <f>_xlfn.XLOOKUP(Calculations[[#This Row],[For XLOOKUP]],Factors[For XLOOKUP],Factors[Units],"")</f>
        <v>tn CH₄/lt</v>
      </c>
      <c r="Q777" s="19" t="str">
        <f>_xlfn.XLOOKUP(Calculations[[#This Row],[For XLOOKUP]],Factors[For XLOOKUP],Factors[Source],"")</f>
        <v>Greece. National Inventory Submissions 2024</v>
      </c>
      <c r="R77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7" s="81">
        <f>IF(LEFT(Calculations[[#This Row],[Emission Factor]],7)="Σ.Ε. CH",Calculations[[#This Row],[Value]]*Calculations[[#This Row],[Τιμή]],"-")</f>
        <v>1.1373447451207105E-2</v>
      </c>
      <c r="T77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7" s="81" t="str">
        <f>IF(LEFT(Calculations[[#This Row],[Emission Factor]],3)="GWP",Calculations[[#This Row],[Τιμή]],"-")</f>
        <v>-</v>
      </c>
      <c r="V777" s="81" t="str">
        <f>IF(OR(Calculations[[#This Row],[Emission Factor]]="Σ.Ε. CO₂ eq",Calculations[[#This Row],[Emission Factor]]="CO₂ eq"),Calculations[[#This Row],[Value]]*Calculations[[#This Row],[Τιμή]],"-")</f>
        <v>-</v>
      </c>
      <c r="W777" s="81" t="str">
        <f>IF(Calculations[[#This Row],[Πηγή εκπομπών]]="Electricity consumed in office buildings and projects - market based",Calculations[[#This Row],[t CO2]],"")</f>
        <v/>
      </c>
      <c r="X77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0.31845652863379892</v>
      </c>
    </row>
    <row r="778" spans="1:24">
      <c r="A778" s="15" t="s">
        <v>350</v>
      </c>
      <c r="B778" s="15" t="s">
        <v>625</v>
      </c>
      <c r="C778" s="16" t="s">
        <v>624</v>
      </c>
      <c r="D778" s="16" t="s">
        <v>895</v>
      </c>
      <c r="E778" s="16" t="s">
        <v>1141</v>
      </c>
      <c r="F778" s="16" t="s">
        <v>312</v>
      </c>
      <c r="G778" s="16" t="s">
        <v>632</v>
      </c>
      <c r="H778" s="15" t="s">
        <v>630</v>
      </c>
      <c r="I778" s="17" t="s">
        <v>341</v>
      </c>
      <c r="J778" s="79">
        <v>55850.61</v>
      </c>
      <c r="K778" s="18" t="s">
        <v>7</v>
      </c>
      <c r="L778" s="94" t="s">
        <v>638</v>
      </c>
      <c r="M778" s="148" t="s">
        <v>219</v>
      </c>
      <c r="N778" s="19" t="str">
        <f>_xlfn.XLOOKUP(Calculations[[#This Row],[For XLOOKUP]],Factors[For XLOOKUP],Factors[Factor],"")</f>
        <v>Σ.Ε. N2O m.</v>
      </c>
      <c r="O778" s="19">
        <f>_xlfn.XLOOKUP(Calculations[[#This Row],[For XLOOKUP]],Factors[For XLOOKUP],Factors[Value],"")</f>
        <v>5.9202158507263746E-8</v>
      </c>
      <c r="P778" s="19" t="str">
        <f>_xlfn.XLOOKUP(Calculations[[#This Row],[For XLOOKUP]],Factors[For XLOOKUP],Factors[Units],"")</f>
        <v>tn N2O/lt</v>
      </c>
      <c r="Q778" s="19" t="str">
        <f>_xlfn.XLOOKUP(Calculations[[#This Row],[For XLOOKUP]],Factors[For XLOOKUP],Factors[Source],"")</f>
        <v>Greece. National Inventory Submissions 2024</v>
      </c>
      <c r="R77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8" s="19" t="str">
        <f>IF(LEFT(Calculations[[#This Row],[Emission Factor]],7)="Σ.Ε. CH",Calculations[[#This Row],[Value]]*Calculations[[#This Row],[Τιμή]],"-")</f>
        <v>-</v>
      </c>
      <c r="T778" s="19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3.3064766659473698E-3</v>
      </c>
      <c r="U778" s="19" t="str">
        <f>IF(LEFT(Calculations[[#This Row],[Emission Factor]],3)="GWP",Calculations[[#This Row],[Τιμή]],"-")</f>
        <v>-</v>
      </c>
      <c r="V778" s="19" t="str">
        <f>IF(OR(Calculations[[#This Row],[Emission Factor]]="Σ.Ε. CO₂ eq",Calculations[[#This Row],[Emission Factor]]="CO₂ eq"),Calculations[[#This Row],[Value]]*Calculations[[#This Row],[Τιμή]],"-")</f>
        <v>-</v>
      </c>
      <c r="W778" s="19" t="str">
        <f>IF(Calculations[[#This Row],[Πηγή εκπομπών]]="Electricity consumed in office buildings and projects - market based",Calculations[[#This Row],[t CO2]],"")</f>
        <v/>
      </c>
      <c r="X77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0.87621631647605303</v>
      </c>
    </row>
    <row r="779" spans="1:24">
      <c r="A779" s="15" t="s">
        <v>350</v>
      </c>
      <c r="B779" s="15" t="s">
        <v>625</v>
      </c>
      <c r="C779" s="16" t="s">
        <v>624</v>
      </c>
      <c r="D779" s="77" t="s">
        <v>895</v>
      </c>
      <c r="E779" s="77" t="s">
        <v>1156</v>
      </c>
      <c r="F779" s="16" t="s">
        <v>319</v>
      </c>
      <c r="G779" s="16" t="s">
        <v>632</v>
      </c>
      <c r="H779" s="15" t="s">
        <v>630</v>
      </c>
      <c r="I779" s="17" t="s">
        <v>341</v>
      </c>
      <c r="J779" s="78">
        <v>297855.53000000003</v>
      </c>
      <c r="K779" s="18" t="s">
        <v>7</v>
      </c>
      <c r="L779" s="94" t="s">
        <v>638</v>
      </c>
      <c r="M779" s="148" t="s">
        <v>215</v>
      </c>
      <c r="N779" s="81" t="str">
        <f>_xlfn.XLOOKUP(Calculations[[#This Row],[For XLOOKUP]],Factors[For XLOOKUP],Factors[Factor],"")</f>
        <v>Σ.Ε. CO₂ m.</v>
      </c>
      <c r="O779" s="81">
        <f>_xlfn.XLOOKUP(Calculations[[#This Row],[For XLOOKUP]],Factors[For XLOOKUP],Factors[Value],"")</f>
        <v>2.6092581300000001E-3</v>
      </c>
      <c r="P779" s="81" t="str">
        <f>_xlfn.XLOOKUP(Calculations[[#This Row],[For XLOOKUP]],Factors[For XLOOKUP],Factors[Units],"")</f>
        <v>tn CO2/lt</v>
      </c>
      <c r="Q779" s="19" t="str">
        <f>_xlfn.XLOOKUP(Calculations[[#This Row],[For XLOOKUP]],Factors[For XLOOKUP],Factors[Source],"")</f>
        <v>Greece. National Inventory Submissions 2024</v>
      </c>
      <c r="R779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777.18196321795904</v>
      </c>
      <c r="S779" s="81" t="str">
        <f>IF(LEFT(Calculations[[#This Row],[Emission Factor]],7)="Σ.Ε. CH",Calculations[[#This Row],[Value]]*Calculations[[#This Row],[Τιμή]],"-")</f>
        <v>-</v>
      </c>
      <c r="T77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9" s="81" t="str">
        <f>IF(LEFT(Calculations[[#This Row],[Emission Factor]],3)="GWP",Calculations[[#This Row],[Τιμή]],"-")</f>
        <v>-</v>
      </c>
      <c r="V779" s="81" t="str">
        <f>IF(OR(Calculations[[#This Row],[Emission Factor]]="Σ.Ε. CO₂ eq",Calculations[[#This Row],[Emission Factor]]="CO₂ eq"),Calculations[[#This Row],[Value]]*Calculations[[#This Row],[Τιμή]],"-")</f>
        <v>-</v>
      </c>
      <c r="W779" s="81" t="str">
        <f>IF(Calculations[[#This Row],[Πηγή εκπομπών]]="Electricity consumed in office buildings and projects - market based",Calculations[[#This Row],[t CO2]],"")</f>
        <v/>
      </c>
      <c r="X77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777.18196321795904</v>
      </c>
    </row>
    <row r="780" spans="1:24">
      <c r="A780" s="15" t="s">
        <v>350</v>
      </c>
      <c r="B780" s="15" t="s">
        <v>625</v>
      </c>
      <c r="C780" s="16" t="s">
        <v>624</v>
      </c>
      <c r="D780" s="16" t="s">
        <v>895</v>
      </c>
      <c r="E780" s="16" t="s">
        <v>1156</v>
      </c>
      <c r="F780" s="16" t="s">
        <v>319</v>
      </c>
      <c r="G780" s="16" t="s">
        <v>632</v>
      </c>
      <c r="H780" s="15" t="s">
        <v>630</v>
      </c>
      <c r="I780" s="17" t="s">
        <v>341</v>
      </c>
      <c r="J780" s="79">
        <v>297855.53000000003</v>
      </c>
      <c r="K780" s="18" t="s">
        <v>7</v>
      </c>
      <c r="L780" s="94" t="s">
        <v>638</v>
      </c>
      <c r="M780" s="17" t="s">
        <v>217</v>
      </c>
      <c r="N780" s="19" t="str">
        <f>_xlfn.XLOOKUP(Calculations[[#This Row],[For XLOOKUP]],Factors[For XLOOKUP],Factors[Factor],"")</f>
        <v>Σ.Ε. CH₄ m.</v>
      </c>
      <c r="O780" s="19">
        <f>_xlfn.XLOOKUP(Calculations[[#This Row],[For XLOOKUP]],Factors[For XLOOKUP],Factors[Value],"")</f>
        <v>2.0364052337489427E-7</v>
      </c>
      <c r="P780" s="19" t="str">
        <f>_xlfn.XLOOKUP(Calculations[[#This Row],[For XLOOKUP]],Factors[For XLOOKUP],Factors[Units],"")</f>
        <v>tn CH₄/lt</v>
      </c>
      <c r="Q780" s="19" t="str">
        <f>_xlfn.XLOOKUP(Calculations[[#This Row],[For XLOOKUP]],Factors[For XLOOKUP],Factors[Source],"")</f>
        <v>Greece. National Inventory Submissions 2024</v>
      </c>
      <c r="R780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0" s="19">
        <f>IF(LEFT(Calculations[[#This Row],[Emission Factor]],7)="Σ.Ε. CH",Calculations[[#This Row],[Value]]*Calculations[[#This Row],[Τιμή]],"-")</f>
        <v>6.0655456019306532E-2</v>
      </c>
      <c r="T780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0" s="19" t="str">
        <f>IF(LEFT(Calculations[[#This Row],[Emission Factor]],3)="GWP",Calculations[[#This Row],[Τιμή]],"-")</f>
        <v>-</v>
      </c>
      <c r="V780" s="19" t="str">
        <f>IF(OR(Calculations[[#This Row],[Emission Factor]]="Σ.Ε. CO₂ eq",Calculations[[#This Row],[Emission Factor]]="CO₂ eq"),Calculations[[#This Row],[Value]]*Calculations[[#This Row],[Τιμή]],"-")</f>
        <v>-</v>
      </c>
      <c r="W780" s="19" t="str">
        <f>IF(Calculations[[#This Row],[Πηγή εκπομπών]]="Electricity consumed in office buildings and projects - market based",Calculations[[#This Row],[t CO2]],"")</f>
        <v/>
      </c>
      <c r="X780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1.6983527685405828</v>
      </c>
    </row>
    <row r="781" spans="1:24">
      <c r="A781" s="15" t="s">
        <v>350</v>
      </c>
      <c r="B781" s="15" t="s">
        <v>625</v>
      </c>
      <c r="C781" s="16" t="s">
        <v>624</v>
      </c>
      <c r="D781" s="77" t="s">
        <v>895</v>
      </c>
      <c r="E781" s="16" t="s">
        <v>1156</v>
      </c>
      <c r="F781" s="16" t="s">
        <v>319</v>
      </c>
      <c r="G781" s="16" t="s">
        <v>632</v>
      </c>
      <c r="H781" s="15" t="s">
        <v>630</v>
      </c>
      <c r="I781" s="17" t="s">
        <v>341</v>
      </c>
      <c r="J781" s="79">
        <v>297855.53000000003</v>
      </c>
      <c r="K781" s="18" t="s">
        <v>7</v>
      </c>
      <c r="L781" s="94" t="s">
        <v>638</v>
      </c>
      <c r="M781" s="17" t="s">
        <v>219</v>
      </c>
      <c r="N781" s="81" t="str">
        <f>_xlfn.XLOOKUP(Calculations[[#This Row],[For XLOOKUP]],Factors[For XLOOKUP],Factors[Factor],"")</f>
        <v>Σ.Ε. N2O m.</v>
      </c>
      <c r="O781" s="81">
        <f>_xlfn.XLOOKUP(Calculations[[#This Row],[For XLOOKUP]],Factors[For XLOOKUP],Factors[Value],"")</f>
        <v>5.9202158507263746E-8</v>
      </c>
      <c r="P781" s="81" t="str">
        <f>_xlfn.XLOOKUP(Calculations[[#This Row],[For XLOOKUP]],Factors[For XLOOKUP],Factors[Units],"")</f>
        <v>tn N2O/lt</v>
      </c>
      <c r="Q781" s="19" t="str">
        <f>_xlfn.XLOOKUP(Calculations[[#This Row],[For XLOOKUP]],Factors[For XLOOKUP],Factors[Source],"")</f>
        <v>Greece. National Inventory Submissions 2024</v>
      </c>
      <c r="R78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1" s="81" t="str">
        <f>IF(LEFT(Calculations[[#This Row],[Emission Factor]],7)="Σ.Ε. CH",Calculations[[#This Row],[Value]]*Calculations[[#This Row],[Τιμή]],"-")</f>
        <v>-</v>
      </c>
      <c r="T781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1.7633690299325055E-2</v>
      </c>
      <c r="U781" s="81" t="str">
        <f>IF(LEFT(Calculations[[#This Row],[Emission Factor]],3)="GWP",Calculations[[#This Row],[Τιμή]],"-")</f>
        <v>-</v>
      </c>
      <c r="V781" s="81" t="str">
        <f>IF(OR(Calculations[[#This Row],[Emission Factor]]="Σ.Ε. CO₂ eq",Calculations[[#This Row],[Emission Factor]]="CO₂ eq"),Calculations[[#This Row],[Value]]*Calculations[[#This Row],[Τιμή]],"-")</f>
        <v>-</v>
      </c>
      <c r="W781" s="19" t="str">
        <f>IF(Calculations[[#This Row],[Πηγή εκπομπών]]="Electricity consumed in office buildings and projects - market based",Calculations[[#This Row],[t CO2]],"")</f>
        <v/>
      </c>
      <c r="X78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4.6729279293211397</v>
      </c>
    </row>
    <row r="782" spans="1:24">
      <c r="A782" s="15" t="s">
        <v>350</v>
      </c>
      <c r="B782" s="15" t="s">
        <v>625</v>
      </c>
      <c r="C782" s="16" t="s">
        <v>624</v>
      </c>
      <c r="D782" s="77" t="s">
        <v>895</v>
      </c>
      <c r="E782" s="16" t="s">
        <v>1141</v>
      </c>
      <c r="F782" s="16" t="s">
        <v>312</v>
      </c>
      <c r="G782" s="16" t="s">
        <v>632</v>
      </c>
      <c r="H782" s="15" t="s">
        <v>630</v>
      </c>
      <c r="I782" s="17" t="s">
        <v>341</v>
      </c>
      <c r="J782" s="78">
        <f>4980+10610</f>
        <v>15590</v>
      </c>
      <c r="K782" s="18" t="s">
        <v>7</v>
      </c>
      <c r="L782" s="94" t="s">
        <v>639</v>
      </c>
      <c r="M782" s="17" t="s">
        <v>221</v>
      </c>
      <c r="N782" s="81" t="str">
        <f>_xlfn.XLOOKUP(Calculations[[#This Row],[For XLOOKUP]],Factors[For XLOOKUP],Factors[Factor],"")</f>
        <v>Σ.Ε. CO₂ m.</v>
      </c>
      <c r="O782" s="81">
        <f>_xlfn.XLOOKUP(Calculations[[#This Row],[For XLOOKUP]],Factors[For XLOOKUP],Factors[Value],"")</f>
        <v>2.6092581300000001E-3</v>
      </c>
      <c r="P782" s="81" t="str">
        <f>_xlfn.XLOOKUP(Calculations[[#This Row],[For XLOOKUP]],Factors[For XLOOKUP],Factors[Units],"")</f>
        <v>tn CO2/lt</v>
      </c>
      <c r="Q782" s="19" t="str">
        <f>_xlfn.XLOOKUP(Calculations[[#This Row],[For XLOOKUP]],Factors[For XLOOKUP],Factors[Source],"")</f>
        <v>Greece. National Inventory Submissions 2024</v>
      </c>
      <c r="R782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40.678334246700004</v>
      </c>
      <c r="S782" s="81" t="str">
        <f>IF(LEFT(Calculations[[#This Row],[Emission Factor]],7)="Σ.Ε. CH",Calculations[[#This Row],[Value]]*Calculations[[#This Row],[Τιμή]],"-")</f>
        <v>-</v>
      </c>
      <c r="T78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2" s="81" t="str">
        <f>IF(LEFT(Calculations[[#This Row],[Emission Factor]],3)="GWP",Calculations[[#This Row],[Τιμή]],"-")</f>
        <v>-</v>
      </c>
      <c r="V782" s="81" t="str">
        <f>IF(OR(Calculations[[#This Row],[Emission Factor]]="Σ.Ε. CO₂ eq",Calculations[[#This Row],[Emission Factor]]="CO₂ eq"),Calculations[[#This Row],[Value]]*Calculations[[#This Row],[Τιμή]],"-")</f>
        <v>-</v>
      </c>
      <c r="W782" s="19" t="str">
        <f>IF(Calculations[[#This Row],[Πηγή εκπομπών]]="Electricity consumed in office buildings and projects - market based",Calculations[[#This Row],[t CO2]],"")</f>
        <v/>
      </c>
      <c r="X782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40.678334246700004</v>
      </c>
    </row>
    <row r="783" spans="1:24">
      <c r="A783" s="15" t="s">
        <v>350</v>
      </c>
      <c r="B783" s="15" t="s">
        <v>625</v>
      </c>
      <c r="C783" s="16" t="s">
        <v>624</v>
      </c>
      <c r="D783" s="77" t="s">
        <v>895</v>
      </c>
      <c r="E783" s="77" t="s">
        <v>1141</v>
      </c>
      <c r="F783" s="16" t="s">
        <v>312</v>
      </c>
      <c r="G783" s="16" t="s">
        <v>632</v>
      </c>
      <c r="H783" s="15" t="s">
        <v>630</v>
      </c>
      <c r="I783" s="17" t="s">
        <v>341</v>
      </c>
      <c r="J783" s="79">
        <v>15590</v>
      </c>
      <c r="K783" s="18" t="s">
        <v>7</v>
      </c>
      <c r="L783" s="94" t="s">
        <v>639</v>
      </c>
      <c r="M783" s="148" t="s">
        <v>223</v>
      </c>
      <c r="N783" s="81" t="str">
        <f>_xlfn.XLOOKUP(Calculations[[#This Row],[For XLOOKUP]],Factors[For XLOOKUP],Factors[Factor],"")</f>
        <v>Σ.Ε. CH₄ m.</v>
      </c>
      <c r="O783" s="81">
        <f>_xlfn.XLOOKUP(Calculations[[#This Row],[For XLOOKUP]],Factors[For XLOOKUP],Factors[Value],"")</f>
        <v>1.7372982352295353E-8</v>
      </c>
      <c r="P783" s="81" t="str">
        <f>_xlfn.XLOOKUP(Calculations[[#This Row],[For XLOOKUP]],Factors[For XLOOKUP],Factors[Units],"")</f>
        <v>tn CH₄/lt</v>
      </c>
      <c r="Q783" s="19" t="str">
        <f>_xlfn.XLOOKUP(Calculations[[#This Row],[For XLOOKUP]],Factors[For XLOOKUP],Factors[Source],"")</f>
        <v>Greece. National Inventory Submissions 2024</v>
      </c>
      <c r="R78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3" s="81">
        <f>IF(LEFT(Calculations[[#This Row],[Emission Factor]],7)="Σ.Ε. CH",Calculations[[#This Row],[Value]]*Calculations[[#This Row],[Τιμή]],"-")</f>
        <v>2.7084479487228454E-4</v>
      </c>
      <c r="T78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3" s="81" t="str">
        <f>IF(LEFT(Calculations[[#This Row],[Emission Factor]],3)="GWP",Calculations[[#This Row],[Τιμή]],"-")</f>
        <v>-</v>
      </c>
      <c r="V783" s="81" t="str">
        <f>IF(OR(Calculations[[#This Row],[Emission Factor]]="Σ.Ε. CO₂ eq",Calculations[[#This Row],[Emission Factor]]="CO₂ eq"),Calculations[[#This Row],[Value]]*Calculations[[#This Row],[Τιμή]],"-")</f>
        <v>-</v>
      </c>
      <c r="W783" s="81" t="str">
        <f>IF(Calculations[[#This Row],[Πηγή εκπομπών]]="Electricity consumed in office buildings and projects - market based",Calculations[[#This Row],[t CO2]],"")</f>
        <v/>
      </c>
      <c r="X78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7.5836542564239676E-3</v>
      </c>
    </row>
    <row r="784" spans="1:24">
      <c r="A784" s="15" t="s">
        <v>350</v>
      </c>
      <c r="B784" s="15" t="s">
        <v>625</v>
      </c>
      <c r="C784" s="16" t="s">
        <v>624</v>
      </c>
      <c r="D784" s="77" t="s">
        <v>895</v>
      </c>
      <c r="E784" s="77" t="s">
        <v>1141</v>
      </c>
      <c r="F784" s="16" t="s">
        <v>312</v>
      </c>
      <c r="G784" s="16" t="s">
        <v>632</v>
      </c>
      <c r="H784" s="15" t="s">
        <v>630</v>
      </c>
      <c r="I784" s="17" t="s">
        <v>341</v>
      </c>
      <c r="J784" s="79">
        <v>15590</v>
      </c>
      <c r="K784" s="18" t="s">
        <v>7</v>
      </c>
      <c r="L784" s="94" t="s">
        <v>639</v>
      </c>
      <c r="M784" s="148" t="s">
        <v>225</v>
      </c>
      <c r="N784" s="81" t="str">
        <f>_xlfn.XLOOKUP(Calculations[[#This Row],[For XLOOKUP]],Factors[For XLOOKUP],Factors[Factor],"")</f>
        <v>Σ.Ε. N2O m.</v>
      </c>
      <c r="O784" s="81">
        <f>_xlfn.XLOOKUP(Calculations[[#This Row],[For XLOOKUP]],Factors[For XLOOKUP],Factors[Value],"")</f>
        <v>7.4692304125650385E-8</v>
      </c>
      <c r="P784" s="81" t="str">
        <f>_xlfn.XLOOKUP(Calculations[[#This Row],[For XLOOKUP]],Factors[For XLOOKUP],Factors[Units],"")</f>
        <v>tn N2O/lt</v>
      </c>
      <c r="Q784" s="19" t="str">
        <f>_xlfn.XLOOKUP(Calculations[[#This Row],[For XLOOKUP]],Factors[For XLOOKUP],Factors[Source],"")</f>
        <v>Greece. National Inventory Submissions 2024</v>
      </c>
      <c r="R78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4" s="81" t="str">
        <f>IF(LEFT(Calculations[[#This Row],[Emission Factor]],7)="Σ.Ε. CH",Calculations[[#This Row],[Value]]*Calculations[[#This Row],[Τιμή]],"-")</f>
        <v>-</v>
      </c>
      <c r="T784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1.1644530213188896E-3</v>
      </c>
      <c r="U784" s="81" t="str">
        <f>IF(LEFT(Calculations[[#This Row],[Emission Factor]],3)="GWP",Calculations[[#This Row],[Τιμή]],"-")</f>
        <v>-</v>
      </c>
      <c r="V784" s="81" t="str">
        <f>IF(OR(Calculations[[#This Row],[Emission Factor]]="Σ.Ε. CO₂ eq",Calculations[[#This Row],[Emission Factor]]="CO₂ eq"),Calculations[[#This Row],[Value]]*Calculations[[#This Row],[Τιμή]],"-")</f>
        <v>-</v>
      </c>
      <c r="W784" s="81" t="str">
        <f>IF(Calculations[[#This Row],[Πηγή εκπομπών]]="Electricity consumed in office buildings and projects - market based",Calculations[[#This Row],[t CO2]],"")</f>
        <v/>
      </c>
      <c r="X78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0.30858005064950572</v>
      </c>
    </row>
    <row r="785" spans="1:24">
      <c r="A785" s="15" t="s">
        <v>350</v>
      </c>
      <c r="B785" s="15" t="s">
        <v>625</v>
      </c>
      <c r="C785" s="16" t="s">
        <v>624</v>
      </c>
      <c r="D785" s="77" t="s">
        <v>895</v>
      </c>
      <c r="E785" s="77" t="s">
        <v>1156</v>
      </c>
      <c r="F785" s="16" t="s">
        <v>319</v>
      </c>
      <c r="G785" s="16" t="s">
        <v>632</v>
      </c>
      <c r="H785" s="15" t="s">
        <v>630</v>
      </c>
      <c r="I785" s="17" t="s">
        <v>341</v>
      </c>
      <c r="J785" s="78">
        <v>4231.3900000000003</v>
      </c>
      <c r="K785" s="18" t="s">
        <v>7</v>
      </c>
      <c r="L785" s="94" t="s">
        <v>639</v>
      </c>
      <c r="M785" s="148" t="s">
        <v>221</v>
      </c>
      <c r="N785" s="81" t="str">
        <f>_xlfn.XLOOKUP(Calculations[[#This Row],[For XLOOKUP]],Factors[For XLOOKUP],Factors[Factor],"")</f>
        <v>Σ.Ε. CO₂ m.</v>
      </c>
      <c r="O785" s="81">
        <f>_xlfn.XLOOKUP(Calculations[[#This Row],[For XLOOKUP]],Factors[For XLOOKUP],Factors[Value],"")</f>
        <v>2.6092581300000001E-3</v>
      </c>
      <c r="P785" s="81" t="str">
        <f>_xlfn.XLOOKUP(Calculations[[#This Row],[For XLOOKUP]],Factors[For XLOOKUP],Factors[Units],"")</f>
        <v>tn CO2/lt</v>
      </c>
      <c r="Q785" s="19" t="str">
        <f>_xlfn.XLOOKUP(Calculations[[#This Row],[For XLOOKUP]],Factors[For XLOOKUP],Factors[Source],"")</f>
        <v>Greece. National Inventory Submissions 2024</v>
      </c>
      <c r="R785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11.040788758700701</v>
      </c>
      <c r="S785" s="81" t="str">
        <f>IF(LEFT(Calculations[[#This Row],[Emission Factor]],7)="Σ.Ε. CH",Calculations[[#This Row],[Value]]*Calculations[[#This Row],[Τιμή]],"-")</f>
        <v>-</v>
      </c>
      <c r="T78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5" s="81" t="str">
        <f>IF(LEFT(Calculations[[#This Row],[Emission Factor]],3)="GWP",Calculations[[#This Row],[Τιμή]],"-")</f>
        <v>-</v>
      </c>
      <c r="V785" s="81" t="str">
        <f>IF(OR(Calculations[[#This Row],[Emission Factor]]="Σ.Ε. CO₂ eq",Calculations[[#This Row],[Emission Factor]]="CO₂ eq"),Calculations[[#This Row],[Value]]*Calculations[[#This Row],[Τιμή]],"-")</f>
        <v>-</v>
      </c>
      <c r="W785" s="81" t="str">
        <f>IF(Calculations[[#This Row],[Πηγή εκπομπών]]="Electricity consumed in office buildings and projects - market based",Calculations[[#This Row],[t CO2]],"")</f>
        <v/>
      </c>
      <c r="X78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11.040788758700701</v>
      </c>
    </row>
    <row r="786" spans="1:24">
      <c r="A786" s="15" t="s">
        <v>350</v>
      </c>
      <c r="B786" s="15" t="s">
        <v>625</v>
      </c>
      <c r="C786" s="16" t="s">
        <v>624</v>
      </c>
      <c r="D786" s="77" t="s">
        <v>895</v>
      </c>
      <c r="E786" s="77" t="s">
        <v>1156</v>
      </c>
      <c r="F786" s="16" t="s">
        <v>319</v>
      </c>
      <c r="G786" s="16" t="s">
        <v>632</v>
      </c>
      <c r="H786" s="15" t="s">
        <v>630</v>
      </c>
      <c r="I786" s="17" t="s">
        <v>341</v>
      </c>
      <c r="J786" s="79">
        <v>4231.3900000000003</v>
      </c>
      <c r="K786" s="18" t="s">
        <v>7</v>
      </c>
      <c r="L786" s="94" t="s">
        <v>639</v>
      </c>
      <c r="M786" s="148" t="s">
        <v>223</v>
      </c>
      <c r="N786" s="81" t="str">
        <f>_xlfn.XLOOKUP(Calculations[[#This Row],[For XLOOKUP]],Factors[For XLOOKUP],Factors[Factor],"")</f>
        <v>Σ.Ε. CH₄ m.</v>
      </c>
      <c r="O786" s="81">
        <f>_xlfn.XLOOKUP(Calculations[[#This Row],[For XLOOKUP]],Factors[For XLOOKUP],Factors[Value],"")</f>
        <v>1.7372982352295353E-8</v>
      </c>
      <c r="P786" s="81" t="str">
        <f>_xlfn.XLOOKUP(Calculations[[#This Row],[For XLOOKUP]],Factors[For XLOOKUP],Factors[Units],"")</f>
        <v>tn CH₄/lt</v>
      </c>
      <c r="Q786" s="19" t="str">
        <f>_xlfn.XLOOKUP(Calculations[[#This Row],[For XLOOKUP]],Factors[For XLOOKUP],Factors[Source],"")</f>
        <v>Greece. National Inventory Submissions 2024</v>
      </c>
      <c r="R78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6" s="81">
        <f>IF(LEFT(Calculations[[#This Row],[Emission Factor]],7)="Σ.Ε. CH",Calculations[[#This Row],[Value]]*Calculations[[#This Row],[Τιμή]],"-")</f>
        <v>7.3511863795679036E-5</v>
      </c>
      <c r="T78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6" s="81" t="str">
        <f>IF(LEFT(Calculations[[#This Row],[Emission Factor]],3)="GWP",Calculations[[#This Row],[Τιμή]],"-")</f>
        <v>-</v>
      </c>
      <c r="V786" s="81" t="str">
        <f>IF(OR(Calculations[[#This Row],[Emission Factor]]="Σ.Ε. CO₂ eq",Calculations[[#This Row],[Emission Factor]]="CO₂ eq"),Calculations[[#This Row],[Value]]*Calculations[[#This Row],[Τιμή]],"-")</f>
        <v>-</v>
      </c>
      <c r="W786" s="81" t="str">
        <f>IF(Calculations[[#This Row],[Πηγή εκπομπών]]="Electricity consumed in office buildings and projects - market based",Calculations[[#This Row],[t CO2]],"")</f>
        <v/>
      </c>
      <c r="X78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2.058332186279013E-3</v>
      </c>
    </row>
    <row r="787" spans="1:24">
      <c r="A787" s="15" t="s">
        <v>350</v>
      </c>
      <c r="B787" s="15" t="s">
        <v>625</v>
      </c>
      <c r="C787" s="16" t="s">
        <v>624</v>
      </c>
      <c r="D787" s="16" t="s">
        <v>895</v>
      </c>
      <c r="E787" s="77" t="s">
        <v>1156</v>
      </c>
      <c r="F787" s="16" t="s">
        <v>319</v>
      </c>
      <c r="G787" s="16" t="s">
        <v>632</v>
      </c>
      <c r="H787" s="15" t="s">
        <v>630</v>
      </c>
      <c r="I787" s="17" t="s">
        <v>341</v>
      </c>
      <c r="J787" s="79">
        <v>4231.3900000000003</v>
      </c>
      <c r="K787" s="18" t="s">
        <v>7</v>
      </c>
      <c r="L787" s="94" t="s">
        <v>639</v>
      </c>
      <c r="M787" s="148" t="s">
        <v>225</v>
      </c>
      <c r="N787" s="81" t="str">
        <f>_xlfn.XLOOKUP(Calculations[[#This Row],[For XLOOKUP]],Factors[For XLOOKUP],Factors[Factor],"")</f>
        <v>Σ.Ε. N2O m.</v>
      </c>
      <c r="O787" s="81">
        <f>_xlfn.XLOOKUP(Calculations[[#This Row],[For XLOOKUP]],Factors[For XLOOKUP],Factors[Value],"")</f>
        <v>7.4692304125650385E-8</v>
      </c>
      <c r="P787" s="81" t="str">
        <f>_xlfn.XLOOKUP(Calculations[[#This Row],[For XLOOKUP]],Factors[For XLOOKUP],Factors[Units],"")</f>
        <v>tn N2O/lt</v>
      </c>
      <c r="Q787" s="19" t="str">
        <f>_xlfn.XLOOKUP(Calculations[[#This Row],[For XLOOKUP]],Factors[For XLOOKUP],Factors[Source],"")</f>
        <v>Greece. National Inventory Submissions 2024</v>
      </c>
      <c r="R78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7" s="81" t="str">
        <f>IF(LEFT(Calculations[[#This Row],[Emission Factor]],7)="Σ.Ε. CH",Calculations[[#This Row],[Value]]*Calculations[[#This Row],[Τιμή]],"-")</f>
        <v>-</v>
      </c>
      <c r="T787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3.1605226875423581E-4</v>
      </c>
      <c r="U787" s="81" t="str">
        <f>IF(LEFT(Calculations[[#This Row],[Emission Factor]],3)="GWP",Calculations[[#This Row],[Τιμή]],"-")</f>
        <v>-</v>
      </c>
      <c r="V787" s="81" t="str">
        <f>IF(OR(Calculations[[#This Row],[Emission Factor]]="Σ.Ε. CO₂ eq",Calculations[[#This Row],[Emission Factor]]="CO₂ eq"),Calculations[[#This Row],[Value]]*Calculations[[#This Row],[Τιμή]],"-")</f>
        <v>-</v>
      </c>
      <c r="W787" s="81" t="str">
        <f>IF(Calculations[[#This Row],[Πηγή εκπομπών]]="Electricity consumed in office buildings and projects - market based",Calculations[[#This Row],[t CO2]],"")</f>
        <v/>
      </c>
      <c r="X78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8.3753851219872485E-2</v>
      </c>
    </row>
    <row r="788" spans="1:24">
      <c r="A788" s="15" t="s">
        <v>350</v>
      </c>
      <c r="B788" s="15" t="s">
        <v>625</v>
      </c>
      <c r="C788" s="16" t="s">
        <v>624</v>
      </c>
      <c r="D788" s="77" t="s">
        <v>895</v>
      </c>
      <c r="E788" s="77" t="s">
        <v>1141</v>
      </c>
      <c r="F788" s="16" t="s">
        <v>312</v>
      </c>
      <c r="G788" s="16" t="s">
        <v>632</v>
      </c>
      <c r="H788" s="15" t="s">
        <v>630</v>
      </c>
      <c r="I788" s="17" t="s">
        <v>342</v>
      </c>
      <c r="J788" s="78">
        <v>8046.91</v>
      </c>
      <c r="K788" s="18" t="s">
        <v>7</v>
      </c>
      <c r="L788" s="94" t="s">
        <v>640</v>
      </c>
      <c r="M788" s="148" t="s">
        <v>222</v>
      </c>
      <c r="N788" s="81" t="str">
        <f>_xlfn.XLOOKUP(Calculations[[#This Row],[For XLOOKUP]],Factors[For XLOOKUP],Factors[Factor],"")</f>
        <v>Σ.Ε. CO₂ m.</v>
      </c>
      <c r="O788" s="81">
        <f>_xlfn.XLOOKUP(Calculations[[#This Row],[For XLOOKUP]],Factors[For XLOOKUP],Factors[Value],"")</f>
        <v>2.3432595615E-3</v>
      </c>
      <c r="P788" s="81" t="str">
        <f>_xlfn.XLOOKUP(Calculations[[#This Row],[For XLOOKUP]],Factors[For XLOOKUP],Factors[Units],"")</f>
        <v>tn CO2/lt</v>
      </c>
      <c r="Q788" s="19" t="str">
        <f>_xlfn.XLOOKUP(Calculations[[#This Row],[For XLOOKUP]],Factors[For XLOOKUP],Factors[Source],"")</f>
        <v>Greece. National Inventory Submissions 2024</v>
      </c>
      <c r="R788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18.855998798029965</v>
      </c>
      <c r="S788" s="81" t="str">
        <f>IF(LEFT(Calculations[[#This Row],[Emission Factor]],7)="Σ.Ε. CH",Calculations[[#This Row],[Value]]*Calculations[[#This Row],[Τιμή]],"-")</f>
        <v>-</v>
      </c>
      <c r="T78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8" s="81" t="str">
        <f>IF(LEFT(Calculations[[#This Row],[Emission Factor]],3)="GWP",Calculations[[#This Row],[Τιμή]],"-")</f>
        <v>-</v>
      </c>
      <c r="V788" s="81" t="str">
        <f>IF(OR(Calculations[[#This Row],[Emission Factor]]="Σ.Ε. CO₂ eq",Calculations[[#This Row],[Emission Factor]]="CO₂ eq"),Calculations[[#This Row],[Value]]*Calculations[[#This Row],[Τιμή]],"-")</f>
        <v>-</v>
      </c>
      <c r="W788" s="81" t="str">
        <f>IF(Calculations[[#This Row],[Πηγή εκπομπών]]="Electricity consumed in office buildings and projects - market based",Calculations[[#This Row],[t CO2]],"")</f>
        <v/>
      </c>
      <c r="X78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18.855998798029965</v>
      </c>
    </row>
    <row r="789" spans="1:24">
      <c r="A789" s="15" t="s">
        <v>350</v>
      </c>
      <c r="B789" s="15" t="s">
        <v>625</v>
      </c>
      <c r="C789" s="16" t="s">
        <v>624</v>
      </c>
      <c r="D789" s="77" t="s">
        <v>895</v>
      </c>
      <c r="E789" s="77" t="s">
        <v>1141</v>
      </c>
      <c r="F789" s="16" t="s">
        <v>312</v>
      </c>
      <c r="G789" s="16" t="s">
        <v>632</v>
      </c>
      <c r="H789" s="15" t="s">
        <v>630</v>
      </c>
      <c r="I789" s="17" t="s">
        <v>342</v>
      </c>
      <c r="J789" s="79">
        <v>8046.91</v>
      </c>
      <c r="K789" s="18" t="s">
        <v>7</v>
      </c>
      <c r="L789" s="94" t="s">
        <v>640</v>
      </c>
      <c r="M789" s="148" t="s">
        <v>224</v>
      </c>
      <c r="N789" s="81" t="str">
        <f>_xlfn.XLOOKUP(Calculations[[#This Row],[For XLOOKUP]],Factors[For XLOOKUP],Factors[Factor],"")</f>
        <v>Σ.Ε. CH₄ m.</v>
      </c>
      <c r="O789" s="81">
        <f>_xlfn.XLOOKUP(Calculations[[#This Row],[For XLOOKUP]],Factors[For XLOOKUP],Factors[Value],"")</f>
        <v>5.3615742548369984E-7</v>
      </c>
      <c r="P789" s="81" t="str">
        <f>_xlfn.XLOOKUP(Calculations[[#This Row],[For XLOOKUP]],Factors[For XLOOKUP],Factors[Units],"")</f>
        <v>tn CH₄/lt</v>
      </c>
      <c r="Q789" s="19" t="str">
        <f>_xlfn.XLOOKUP(Calculations[[#This Row],[For XLOOKUP]],Factors[For XLOOKUP],Factors[Source],"")</f>
        <v>Greece. National Inventory Submissions 2024</v>
      </c>
      <c r="R78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9" s="81">
        <f>IF(LEFT(Calculations[[#This Row],[Emission Factor]],7)="Σ.Ε. CH",Calculations[[#This Row],[Value]]*Calculations[[#This Row],[Τιμή]],"-")</f>
        <v>4.3144105486990388E-3</v>
      </c>
      <c r="T78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9" s="81" t="str">
        <f>IF(LEFT(Calculations[[#This Row],[Emission Factor]],3)="GWP",Calculations[[#This Row],[Τιμή]],"-")</f>
        <v>-</v>
      </c>
      <c r="V789" s="81" t="str">
        <f>IF(OR(Calculations[[#This Row],[Emission Factor]]="Σ.Ε. CO₂ eq",Calculations[[#This Row],[Emission Factor]]="CO₂ eq"),Calculations[[#This Row],[Value]]*Calculations[[#This Row],[Τιμή]],"-")</f>
        <v>-</v>
      </c>
      <c r="W789" s="81" t="str">
        <f>IF(Calculations[[#This Row],[Πηγή εκπομπών]]="Electricity consumed in office buildings and projects - market based",Calculations[[#This Row],[t CO2]],"")</f>
        <v/>
      </c>
      <c r="X78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0.12080349536357309</v>
      </c>
    </row>
    <row r="790" spans="1:24">
      <c r="A790" s="15" t="s">
        <v>350</v>
      </c>
      <c r="B790" s="15" t="s">
        <v>625</v>
      </c>
      <c r="C790" s="16" t="s">
        <v>624</v>
      </c>
      <c r="D790" s="16" t="s">
        <v>895</v>
      </c>
      <c r="E790" s="77" t="s">
        <v>1141</v>
      </c>
      <c r="F790" s="16" t="s">
        <v>312</v>
      </c>
      <c r="G790" s="16" t="s">
        <v>632</v>
      </c>
      <c r="H790" s="15" t="s">
        <v>630</v>
      </c>
      <c r="I790" s="17" t="s">
        <v>342</v>
      </c>
      <c r="J790" s="79">
        <v>8046.91</v>
      </c>
      <c r="K790" s="18" t="s">
        <v>7</v>
      </c>
      <c r="L790" s="94" t="s">
        <v>640</v>
      </c>
      <c r="M790" s="148" t="s">
        <v>226</v>
      </c>
      <c r="N790" s="81" t="str">
        <f>_xlfn.XLOOKUP(Calculations[[#This Row],[For XLOOKUP]],Factors[For XLOOKUP],Factors[Factor],"")</f>
        <v>Σ.Ε. N2O m.</v>
      </c>
      <c r="O790" s="81">
        <f>_xlfn.XLOOKUP(Calculations[[#This Row],[For XLOOKUP]],Factors[For XLOOKUP],Factors[Value],"")</f>
        <v>8.8029037706651387E-8</v>
      </c>
      <c r="P790" s="81" t="str">
        <f>_xlfn.XLOOKUP(Calculations[[#This Row],[For XLOOKUP]],Factors[For XLOOKUP],Factors[Units],"")</f>
        <v>tn N2O/lt</v>
      </c>
      <c r="Q790" s="19" t="str">
        <f>_xlfn.XLOOKUP(Calculations[[#This Row],[For XLOOKUP]],Factors[For XLOOKUP],Factors[Source],"")</f>
        <v>Greece. National Inventory Submissions 2024</v>
      </c>
      <c r="R79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0" s="81" t="str">
        <f>IF(LEFT(Calculations[[#This Row],[Emission Factor]],7)="Σ.Ε. CH",Calculations[[#This Row],[Value]]*Calculations[[#This Row],[Τιμή]],"-")</f>
        <v>-</v>
      </c>
      <c r="T790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7.0836174381203011E-4</v>
      </c>
      <c r="U790" s="81" t="str">
        <f>IF(LEFT(Calculations[[#This Row],[Emission Factor]],3)="GWP",Calculations[[#This Row],[Τιμή]],"-")</f>
        <v>-</v>
      </c>
      <c r="V790" s="81" t="str">
        <f>IF(OR(Calculations[[#This Row],[Emission Factor]]="Σ.Ε. CO₂ eq",Calculations[[#This Row],[Emission Factor]]="CO₂ eq"),Calculations[[#This Row],[Value]]*Calculations[[#This Row],[Τιμή]],"-")</f>
        <v>-</v>
      </c>
      <c r="W790" s="81" t="str">
        <f>IF(Calculations[[#This Row],[Πηγή εκπομπών]]="Electricity consumed in office buildings and projects - market based",Calculations[[#This Row],[t CO2]],"")</f>
        <v/>
      </c>
      <c r="X79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0.18771586211018798</v>
      </c>
    </row>
    <row r="791" spans="1:24">
      <c r="A791" s="15" t="s">
        <v>350</v>
      </c>
      <c r="B791" s="15" t="s">
        <v>625</v>
      </c>
      <c r="C791" s="16" t="s">
        <v>624</v>
      </c>
      <c r="D791" s="77" t="s">
        <v>894</v>
      </c>
      <c r="E791" s="77"/>
      <c r="F791" s="16" t="s">
        <v>317</v>
      </c>
      <c r="G791" s="16" t="s">
        <v>632</v>
      </c>
      <c r="H791" s="15" t="s">
        <v>630</v>
      </c>
      <c r="I791" s="17" t="s">
        <v>341</v>
      </c>
      <c r="J791" s="78">
        <v>20</v>
      </c>
      <c r="K791" s="18" t="s">
        <v>7</v>
      </c>
      <c r="L791" s="94" t="s">
        <v>641</v>
      </c>
      <c r="M791" s="148" t="s">
        <v>267</v>
      </c>
      <c r="N791" s="81" t="str">
        <f>_xlfn.XLOOKUP(Calculations[[#This Row],[For XLOOKUP]],Factors[For XLOOKUP],Factors[Factor],"")</f>
        <v>Σ.Ε. CO₂ st.</v>
      </c>
      <c r="O791" s="81">
        <f>_xlfn.XLOOKUP(Calculations[[#This Row],[For XLOOKUP]],Factors[For XLOOKUP],Factors[Value],"")</f>
        <v>2.6288551800000004E-3</v>
      </c>
      <c r="P791" s="81" t="str">
        <f>_xlfn.XLOOKUP(Calculations[[#This Row],[For XLOOKUP]],Factors[For XLOOKUP],Factors[Units],"")</f>
        <v>tn CO2/lt</v>
      </c>
      <c r="Q791" s="19" t="str">
        <f>_xlfn.XLOOKUP(Calculations[[#This Row],[For XLOOKUP]],Factors[For XLOOKUP],Factors[Source],"")</f>
        <v>Greece. National Inventory Submissions 2024</v>
      </c>
      <c r="R791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5.2577103600000008E-2</v>
      </c>
      <c r="S791" s="81" t="str">
        <f>IF(LEFT(Calculations[[#This Row],[Emission Factor]],7)="Σ.Ε. CH",Calculations[[#This Row],[Value]]*Calculations[[#This Row],[Τιμή]],"-")</f>
        <v>-</v>
      </c>
      <c r="T79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1" s="81" t="str">
        <f>IF(LEFT(Calculations[[#This Row],[Emission Factor]],3)="GWP",Calculations[[#This Row],[Τιμή]],"-")</f>
        <v>-</v>
      </c>
      <c r="V791" s="81" t="str">
        <f>IF(OR(Calculations[[#This Row],[Emission Factor]]="Σ.Ε. CO₂ eq",Calculations[[#This Row],[Emission Factor]]="CO₂ eq"),Calculations[[#This Row],[Value]]*Calculations[[#This Row],[Τιμή]],"-")</f>
        <v>-</v>
      </c>
      <c r="W791" s="81" t="str">
        <f>IF(Calculations[[#This Row],[Πηγή εκπομπών]]="Electricity consumed in office buildings and projects - market based",Calculations[[#This Row],[t CO2]],"")</f>
        <v/>
      </c>
      <c r="X79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5.2577103600000008E-2</v>
      </c>
    </row>
    <row r="792" spans="1:24">
      <c r="A792" s="15" t="s">
        <v>350</v>
      </c>
      <c r="B792" s="15" t="s">
        <v>625</v>
      </c>
      <c r="C792" s="16" t="s">
        <v>624</v>
      </c>
      <c r="D792" s="77" t="s">
        <v>894</v>
      </c>
      <c r="E792" s="77"/>
      <c r="F792" s="16" t="s">
        <v>317</v>
      </c>
      <c r="G792" s="16" t="s">
        <v>632</v>
      </c>
      <c r="H792" s="15" t="s">
        <v>630</v>
      </c>
      <c r="I792" s="17" t="s">
        <v>341</v>
      </c>
      <c r="J792" s="79">
        <v>20</v>
      </c>
      <c r="K792" s="18" t="s">
        <v>7</v>
      </c>
      <c r="L792" s="94" t="s">
        <v>641</v>
      </c>
      <c r="M792" s="148" t="s">
        <v>269</v>
      </c>
      <c r="N792" s="81" t="str">
        <f>_xlfn.XLOOKUP(Calculations[[#This Row],[For XLOOKUP]],Factors[For XLOOKUP],Factors[Factor],"")</f>
        <v>Σ.Ε. CH₄ st.</v>
      </c>
      <c r="O792" s="81">
        <f>_xlfn.XLOOKUP(Calculations[[#This Row],[For XLOOKUP]],Factors[For XLOOKUP],Factors[Value],"")</f>
        <v>7.3881717554663755E-8</v>
      </c>
      <c r="P792" s="81" t="str">
        <f>_xlfn.XLOOKUP(Calculations[[#This Row],[For XLOOKUP]],Factors[For XLOOKUP],Factors[Units],"")</f>
        <v>tn CH₄/lt</v>
      </c>
      <c r="Q792" s="19" t="str">
        <f>_xlfn.XLOOKUP(Calculations[[#This Row],[For XLOOKUP]],Factors[For XLOOKUP],Factors[Source],"")</f>
        <v>Greece. National Inventory Submissions 2024</v>
      </c>
      <c r="R79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2" s="81">
        <f>IF(LEFT(Calculations[[#This Row],[Emission Factor]],7)="Σ.Ε. CH",Calculations[[#This Row],[Value]]*Calculations[[#This Row],[Τιμή]],"-")</f>
        <v>1.4776343510932751E-6</v>
      </c>
      <c r="T79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2" s="81" t="str">
        <f>IF(LEFT(Calculations[[#This Row],[Emission Factor]],3)="GWP",Calculations[[#This Row],[Τιμή]],"-")</f>
        <v>-</v>
      </c>
      <c r="V792" s="81" t="str">
        <f>IF(OR(Calculations[[#This Row],[Emission Factor]]="Σ.Ε. CO₂ eq",Calculations[[#This Row],[Emission Factor]]="CO₂ eq"),Calculations[[#This Row],[Value]]*Calculations[[#This Row],[Τιμή]],"-")</f>
        <v>-</v>
      </c>
      <c r="W792" s="81" t="str">
        <f>IF(Calculations[[#This Row],[Πηγή εκπομπών]]="Electricity consumed in office buildings and projects - market based",Calculations[[#This Row],[t CO2]],"")</f>
        <v/>
      </c>
      <c r="X79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4.1373761830611703E-5</v>
      </c>
    </row>
    <row r="793" spans="1:24">
      <c r="A793" s="15" t="s">
        <v>350</v>
      </c>
      <c r="B793" s="15" t="s">
        <v>625</v>
      </c>
      <c r="C793" s="16" t="s">
        <v>624</v>
      </c>
      <c r="D793" s="77" t="s">
        <v>894</v>
      </c>
      <c r="E793" s="77"/>
      <c r="F793" s="16" t="s">
        <v>317</v>
      </c>
      <c r="G793" s="16" t="s">
        <v>632</v>
      </c>
      <c r="H793" s="15" t="s">
        <v>630</v>
      </c>
      <c r="I793" s="17" t="s">
        <v>341</v>
      </c>
      <c r="J793" s="79">
        <v>20</v>
      </c>
      <c r="K793" s="18" t="s">
        <v>7</v>
      </c>
      <c r="L793" s="94" t="s">
        <v>641</v>
      </c>
      <c r="M793" s="148" t="s">
        <v>271</v>
      </c>
      <c r="N793" s="81" t="str">
        <f>_xlfn.XLOOKUP(Calculations[[#This Row],[For XLOOKUP]],Factors[For XLOOKUP],Factors[Factor],"")</f>
        <v>Σ.Ε. N2O st.</v>
      </c>
      <c r="O793" s="81">
        <f>_xlfn.XLOOKUP(Calculations[[#This Row],[For XLOOKUP]],Factors[For XLOOKUP],Factors[Value],"")</f>
        <v>9.2898202099102465E-8</v>
      </c>
      <c r="P793" s="81" t="str">
        <f>_xlfn.XLOOKUP(Calculations[[#This Row],[For XLOOKUP]],Factors[For XLOOKUP],Factors[Units],"")</f>
        <v>tn N2O/lt</v>
      </c>
      <c r="Q793" s="19" t="str">
        <f>_xlfn.XLOOKUP(Calculations[[#This Row],[For XLOOKUP]],Factors[For XLOOKUP],Factors[Source],"")</f>
        <v>Greece. National Inventory Submissions 2024</v>
      </c>
      <c r="R79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3" s="81" t="str">
        <f>IF(LEFT(Calculations[[#This Row],[Emission Factor]],7)="Σ.Ε. CH",Calculations[[#This Row],[Value]]*Calculations[[#This Row],[Τιμή]],"-")</f>
        <v>-</v>
      </c>
      <c r="T793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1.8579640419820493E-6</v>
      </c>
      <c r="U793" s="81" t="str">
        <f>IF(LEFT(Calculations[[#This Row],[Emission Factor]],3)="GWP",Calculations[[#This Row],[Τιμή]],"-")</f>
        <v>-</v>
      </c>
      <c r="V793" s="81" t="str">
        <f>IF(OR(Calculations[[#This Row],[Emission Factor]]="Σ.Ε. CO₂ eq",Calculations[[#This Row],[Emission Factor]]="CO₂ eq"),Calculations[[#This Row],[Value]]*Calculations[[#This Row],[Τιμή]],"-")</f>
        <v>-</v>
      </c>
      <c r="W793" s="81" t="str">
        <f>IF(Calculations[[#This Row],[Πηγή εκπομπών]]="Electricity consumed in office buildings and projects - market based",Calculations[[#This Row],[t CO2]],"")</f>
        <v/>
      </c>
      <c r="X79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4.9236047112524305E-4</v>
      </c>
    </row>
    <row r="794" spans="1:24">
      <c r="A794" s="15" t="s">
        <v>350</v>
      </c>
      <c r="B794" s="15" t="s">
        <v>625</v>
      </c>
      <c r="C794" s="16" t="s">
        <v>624</v>
      </c>
      <c r="D794" s="77" t="s">
        <v>895</v>
      </c>
      <c r="E794" s="77" t="s">
        <v>1141</v>
      </c>
      <c r="F794" s="16" t="s">
        <v>312</v>
      </c>
      <c r="G794" s="16" t="s">
        <v>632</v>
      </c>
      <c r="H794" s="15" t="s">
        <v>630</v>
      </c>
      <c r="I794" s="17" t="s">
        <v>342</v>
      </c>
      <c r="J794" s="78">
        <v>8400</v>
      </c>
      <c r="K794" s="18" t="s">
        <v>7</v>
      </c>
      <c r="L794" s="94" t="s">
        <v>642</v>
      </c>
      <c r="M794" s="148" t="s">
        <v>268</v>
      </c>
      <c r="N794" s="81" t="str">
        <f>_xlfn.XLOOKUP(Calculations[[#This Row],[For XLOOKUP]],Factors[For XLOOKUP],Factors[Factor],"")</f>
        <v>Σ.Ε. CO₂ st.</v>
      </c>
      <c r="O794" s="81">
        <f>_xlfn.XLOOKUP(Calculations[[#This Row],[For XLOOKUP]],Factors[For XLOOKUP],Factors[Value],"")</f>
        <v>2.3432595615E-3</v>
      </c>
      <c r="P794" s="81" t="str">
        <f>_xlfn.XLOOKUP(Calculations[[#This Row],[For XLOOKUP]],Factors[For XLOOKUP],Factors[Units],"")</f>
        <v>tn CO2/lt</v>
      </c>
      <c r="Q794" s="19" t="str">
        <f>_xlfn.XLOOKUP(Calculations[[#This Row],[For XLOOKUP]],Factors[For XLOOKUP],Factors[Source],"")</f>
        <v>Greece. National Inventory Submissions 2024</v>
      </c>
      <c r="R794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19.683380316600001</v>
      </c>
      <c r="S794" s="81" t="str">
        <f>IF(LEFT(Calculations[[#This Row],[Emission Factor]],7)="Σ.Ε. CH",Calculations[[#This Row],[Value]]*Calculations[[#This Row],[Τιμή]],"-")</f>
        <v>-</v>
      </c>
      <c r="T79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4" s="81" t="str">
        <f>IF(LEFT(Calculations[[#This Row],[Emission Factor]],3)="GWP",Calculations[[#This Row],[Τιμή]],"-")</f>
        <v>-</v>
      </c>
      <c r="V794" s="81" t="str">
        <f>IF(OR(Calculations[[#This Row],[Emission Factor]]="Σ.Ε. CO₂ eq",Calculations[[#This Row],[Emission Factor]]="CO₂ eq"),Calculations[[#This Row],[Value]]*Calculations[[#This Row],[Τιμή]],"-")</f>
        <v>-</v>
      </c>
      <c r="W794" s="81" t="str">
        <f>IF(Calculations[[#This Row],[Πηγή εκπομπών]]="Electricity consumed in office buildings and projects - market based",Calculations[[#This Row],[t CO2]],"")</f>
        <v/>
      </c>
      <c r="X79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19.683380316600001</v>
      </c>
    </row>
    <row r="795" spans="1:24">
      <c r="A795" s="15" t="s">
        <v>350</v>
      </c>
      <c r="B795" s="15" t="s">
        <v>625</v>
      </c>
      <c r="C795" s="16" t="s">
        <v>624</v>
      </c>
      <c r="D795" s="77" t="s">
        <v>895</v>
      </c>
      <c r="E795" s="77" t="s">
        <v>1141</v>
      </c>
      <c r="F795" s="16" t="s">
        <v>312</v>
      </c>
      <c r="G795" s="16" t="s">
        <v>632</v>
      </c>
      <c r="H795" s="15" t="s">
        <v>630</v>
      </c>
      <c r="I795" s="17" t="s">
        <v>342</v>
      </c>
      <c r="J795" s="79" cm="1">
        <f t="array" ref="J795">_xlfn.XLOOKUP(1,(Calculations[Πληροφορίες]=Calculations[[#This Row],[Πληροφορίες]])*(Calculations[Εταιρεία]=Calculations[[#This Row],[Εταιρεία]]),Calculations[Τιμή])</f>
        <v>8400</v>
      </c>
      <c r="K795" s="18" t="s">
        <v>7</v>
      </c>
      <c r="L795" s="94" t="s">
        <v>642</v>
      </c>
      <c r="M795" s="148" t="s">
        <v>270</v>
      </c>
      <c r="N795" s="81" t="str">
        <f>_xlfn.XLOOKUP(Calculations[[#This Row],[For XLOOKUP]],Factors[For XLOOKUP],Factors[Factor],"")</f>
        <v>Σ.Ε. CH₄ st.</v>
      </c>
      <c r="O795" s="81">
        <f>_xlfn.XLOOKUP(Calculations[[#This Row],[For XLOOKUP]],Factors[For XLOOKUP],Factors[Value],"")</f>
        <v>6.6322739296894177E-8</v>
      </c>
      <c r="P795" s="81" t="str">
        <f>_xlfn.XLOOKUP(Calculations[[#This Row],[For XLOOKUP]],Factors[For XLOOKUP],Factors[Units],"")</f>
        <v>tn CH₄/lt</v>
      </c>
      <c r="Q795" s="19" t="str">
        <f>_xlfn.XLOOKUP(Calculations[[#This Row],[For XLOOKUP]],Factors[For XLOOKUP],Factors[Source],"")</f>
        <v>Greece. National Inventory Submissions 2024</v>
      </c>
      <c r="R79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5" s="81">
        <f>IF(LEFT(Calculations[[#This Row],[Emission Factor]],7)="Σ.Ε. CH",Calculations[[#This Row],[Value]]*Calculations[[#This Row],[Τιμή]],"-")</f>
        <v>5.5711101009391106E-4</v>
      </c>
      <c r="T79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5" s="81" t="str">
        <f>IF(LEFT(Calculations[[#This Row],[Emission Factor]],3)="GWP",Calculations[[#This Row],[Τιμή]],"-")</f>
        <v>-</v>
      </c>
      <c r="V795" s="81" t="str">
        <f>IF(OR(Calculations[[#This Row],[Emission Factor]]="Σ.Ε. CO₂ eq",Calculations[[#This Row],[Emission Factor]]="CO₂ eq"),Calculations[[#This Row],[Value]]*Calculations[[#This Row],[Τιμή]],"-")</f>
        <v>-</v>
      </c>
      <c r="W795" s="81" t="str">
        <f>IF(Calculations[[#This Row],[Πηγή εκπομπών]]="Electricity consumed in office buildings and projects - market based",Calculations[[#This Row],[t CO2]],"")</f>
        <v/>
      </c>
      <c r="X79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1.559910828262951E-2</v>
      </c>
    </row>
    <row r="796" spans="1:24">
      <c r="A796" s="15" t="s">
        <v>350</v>
      </c>
      <c r="B796" s="15" t="s">
        <v>625</v>
      </c>
      <c r="C796" s="16" t="s">
        <v>624</v>
      </c>
      <c r="D796" s="16" t="s">
        <v>895</v>
      </c>
      <c r="E796" s="77" t="s">
        <v>1141</v>
      </c>
      <c r="F796" s="16" t="s">
        <v>312</v>
      </c>
      <c r="G796" s="16" t="s">
        <v>632</v>
      </c>
      <c r="H796" s="15" t="s">
        <v>630</v>
      </c>
      <c r="I796" s="17" t="s">
        <v>342</v>
      </c>
      <c r="J796" s="79" cm="1">
        <f t="array" ref="J796">_xlfn.XLOOKUP(1,(Calculations[Πληροφορίες]=Calculations[[#This Row],[Πληροφορίες]])*(Calculations[Εταιρεία]=Calculations[[#This Row],[Εταιρεία]]),Calculations[Τιμή])</f>
        <v>8400</v>
      </c>
      <c r="K796" s="18" t="s">
        <v>7</v>
      </c>
      <c r="L796" s="94" t="s">
        <v>642</v>
      </c>
      <c r="M796" s="148" t="s">
        <v>272</v>
      </c>
      <c r="N796" s="81" t="str">
        <f>_xlfn.XLOOKUP(Calculations[[#This Row],[For XLOOKUP]],Factors[For XLOOKUP],Factors[Factor],"")</f>
        <v>Σ.Ε. N2O st.</v>
      </c>
      <c r="O796" s="81">
        <f>_xlfn.XLOOKUP(Calculations[[#This Row],[For XLOOKUP]],Factors[For XLOOKUP],Factors[Value],"")</f>
        <v>8.3393611341132544E-8</v>
      </c>
      <c r="P796" s="81" t="str">
        <f>_xlfn.XLOOKUP(Calculations[[#This Row],[For XLOOKUP]],Factors[For XLOOKUP],Factors[Units],"")</f>
        <v>tn N2O/lt</v>
      </c>
      <c r="Q796" s="19" t="str">
        <f>_xlfn.XLOOKUP(Calculations[[#This Row],[For XLOOKUP]],Factors[For XLOOKUP],Factors[Source],"")</f>
        <v>Greece. National Inventory Submissions 2024</v>
      </c>
      <c r="R79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6" s="81" t="str">
        <f>IF(LEFT(Calculations[[#This Row],[Emission Factor]],7)="Σ.Ε. CH",Calculations[[#This Row],[Value]]*Calculations[[#This Row],[Τιμή]],"-")</f>
        <v>-</v>
      </c>
      <c r="T796" s="8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7.0050633526551342E-4</v>
      </c>
      <c r="U796" s="81" t="str">
        <f>IF(LEFT(Calculations[[#This Row],[Emission Factor]],3)="GWP",Calculations[[#This Row],[Τιμή]],"-")</f>
        <v>-</v>
      </c>
      <c r="V796" s="81" t="str">
        <f>IF(OR(Calculations[[#This Row],[Emission Factor]]="Σ.Ε. CO₂ eq",Calculations[[#This Row],[Emission Factor]]="CO₂ eq"),Calculations[[#This Row],[Value]]*Calculations[[#This Row],[Τιμή]],"-")</f>
        <v>-</v>
      </c>
      <c r="W796" s="81" t="str">
        <f>IF(Calculations[[#This Row],[Πηγή εκπομπών]]="Electricity consumed in office buildings and projects - market based",Calculations[[#This Row],[t CO2]],"")</f>
        <v/>
      </c>
      <c r="X79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0.18563417884536107</v>
      </c>
    </row>
    <row r="797" spans="1:24">
      <c r="A797" s="15" t="s">
        <v>350</v>
      </c>
      <c r="B797" s="15" t="s">
        <v>625</v>
      </c>
      <c r="C797" s="16" t="s">
        <v>624</v>
      </c>
      <c r="D797" s="16" t="s">
        <v>895</v>
      </c>
      <c r="E797" s="77"/>
      <c r="F797" s="16"/>
      <c r="G797" s="16" t="s">
        <v>632</v>
      </c>
      <c r="H797" s="15" t="s">
        <v>630</v>
      </c>
      <c r="I797" s="17" t="s">
        <v>644</v>
      </c>
      <c r="J797" s="79">
        <f>SUMIFS(Calculations[Τιμή],Calculations[Πηγή εκπομπών],"Combustion of Petrol in subcontractor vehicles",Calculations[Sector],Calculations[[#This Row],[Sector]])/3</f>
        <v>44485.19999999999</v>
      </c>
      <c r="K797" s="18" t="s">
        <v>7</v>
      </c>
      <c r="L797" s="94" t="s">
        <v>776</v>
      </c>
      <c r="M797" s="148" t="s">
        <v>606</v>
      </c>
      <c r="N797" s="81" t="str">
        <f>_xlfn.XLOOKUP(Calculations[[#This Row],[For XLOOKUP]],Factors[For XLOOKUP],Factors[Factor],"")</f>
        <v>Σ.Ε. CO₂ eq</v>
      </c>
      <c r="O797" s="81">
        <f>_xlfn.XLOOKUP(Calculations[[#This Row],[For XLOOKUP]],Factors[For XLOOKUP],Factors[Value],"")</f>
        <v>6.0663999999999998E-4</v>
      </c>
      <c r="P797" s="81" t="str">
        <f>_xlfn.XLOOKUP(Calculations[[#This Row],[For XLOOKUP]],Factors[For XLOOKUP],Factors[Units],"")</f>
        <v>t CO2 eq/lt</v>
      </c>
      <c r="Q797" s="19" t="str">
        <f>_xlfn.XLOOKUP(Calculations[[#This Row],[For XLOOKUP]],Factors[For XLOOKUP],Factors[Source],"")</f>
        <v>DEFRA 2024</v>
      </c>
      <c r="R79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7" s="81" t="str">
        <f>IF(LEFT(Calculations[[#This Row],[Emission Factor]],7)="Σ.Ε. CH",Calculations[[#This Row],[Value]]*Calculations[[#This Row],[Τιμή]],"-")</f>
        <v>-</v>
      </c>
      <c r="T79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7" s="81" t="str">
        <f>IF(LEFT(Calculations[[#This Row],[Emission Factor]],3)="GWP",Calculations[[#This Row],[Τιμή]],"-")</f>
        <v>-</v>
      </c>
      <c r="V797" s="81">
        <f>IF(OR(Calculations[[#This Row],[Emission Factor]]="Σ.Ε. CO₂ eq",Calculations[[#This Row],[Emission Factor]]="CO₂ eq"),Calculations[[#This Row],[Value]]*Calculations[[#This Row],[Τιμή]],"-")</f>
        <v>26.986501727999993</v>
      </c>
      <c r="W797" s="81" t="str">
        <f>IF(Calculations[[#This Row],[Πηγή εκπομπών]]="Electricity consumed in office buildings and projects - market based",Calculations[[#This Row],[t CO2]],"")</f>
        <v/>
      </c>
      <c r="X79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26.986501727999993</v>
      </c>
    </row>
    <row r="798" spans="1:24">
      <c r="A798" s="15" t="s">
        <v>350</v>
      </c>
      <c r="B798" s="15" t="s">
        <v>625</v>
      </c>
      <c r="C798" s="16" t="s">
        <v>624</v>
      </c>
      <c r="D798" s="16" t="s">
        <v>894</v>
      </c>
      <c r="E798" s="77"/>
      <c r="F798" s="16"/>
      <c r="G798" s="16" t="s">
        <v>632</v>
      </c>
      <c r="H798" s="15" t="s">
        <v>630</v>
      </c>
      <c r="I798" s="17" t="s">
        <v>644</v>
      </c>
      <c r="J798" s="79">
        <f>SUMIFS(Calculations[Τιμή],Calculations[Πηγή εκπομπών],"Combustion of Petrol in subcontractor vehicles",Calculations[Sector],Calculations[[#This Row],[Sector]])/3</f>
        <v>150</v>
      </c>
      <c r="K798" s="18" t="s">
        <v>7</v>
      </c>
      <c r="L798" s="94" t="s">
        <v>776</v>
      </c>
      <c r="M798" s="148" t="s">
        <v>606</v>
      </c>
      <c r="N798" s="81" t="str">
        <f>_xlfn.XLOOKUP(Calculations[[#This Row],[For XLOOKUP]],Factors[For XLOOKUP],Factors[Factor],"")</f>
        <v>Σ.Ε. CO₂ eq</v>
      </c>
      <c r="O798" s="81">
        <f>_xlfn.XLOOKUP(Calculations[[#This Row],[For XLOOKUP]],Factors[For XLOOKUP],Factors[Value],"")</f>
        <v>6.0663999999999998E-4</v>
      </c>
      <c r="P798" s="81" t="str">
        <f>_xlfn.XLOOKUP(Calculations[[#This Row],[For XLOOKUP]],Factors[For XLOOKUP],Factors[Units],"")</f>
        <v>t CO2 eq/lt</v>
      </c>
      <c r="Q798" s="19" t="str">
        <f>_xlfn.XLOOKUP(Calculations[[#This Row],[For XLOOKUP]],Factors[For XLOOKUP],Factors[Source],"")</f>
        <v>DEFRA 2024</v>
      </c>
      <c r="R79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8" s="81" t="str">
        <f>IF(LEFT(Calculations[[#This Row],[Emission Factor]],7)="Σ.Ε. CH",Calculations[[#This Row],[Value]]*Calculations[[#This Row],[Τιμή]],"-")</f>
        <v>-</v>
      </c>
      <c r="T79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8" s="81" t="str">
        <f>IF(LEFT(Calculations[[#This Row],[Emission Factor]],3)="GWP",Calculations[[#This Row],[Τιμή]],"-")</f>
        <v>-</v>
      </c>
      <c r="V798" s="81">
        <f>IF(OR(Calculations[[#This Row],[Emission Factor]]="Σ.Ε. CO₂ eq",Calculations[[#This Row],[Emission Factor]]="CO₂ eq"),Calculations[[#This Row],[Value]]*Calculations[[#This Row],[Τιμή]],"-")</f>
        <v>9.0995999999999994E-2</v>
      </c>
      <c r="W798" s="81" t="str">
        <f>IF(Calculations[[#This Row],[Πηγή εκπομπών]]="Electricity consumed in office buildings and projects - market based",Calculations[[#This Row],[t CO2]],"")</f>
        <v/>
      </c>
      <c r="X79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9.0995999999999994E-2</v>
      </c>
    </row>
    <row r="799" spans="1:24">
      <c r="A799" s="15" t="s">
        <v>350</v>
      </c>
      <c r="B799" s="15" t="s">
        <v>625</v>
      </c>
      <c r="C799" s="16" t="s">
        <v>624</v>
      </c>
      <c r="D799" s="16" t="s">
        <v>895</v>
      </c>
      <c r="E799" s="16"/>
      <c r="F799" s="16"/>
      <c r="G799" s="16" t="s">
        <v>632</v>
      </c>
      <c r="H799" s="15" t="s">
        <v>630</v>
      </c>
      <c r="I799" s="17" t="s">
        <v>643</v>
      </c>
      <c r="J799" s="79">
        <f>SUMIFS(Calculations[Τιμή],Calculations[Πηγή εκπομπών],"Combustion of diesel in subcontractor vehicles",Calculations[Sector],Calculations[[#This Row],[Sector]])/3</f>
        <v>459462.94999999995</v>
      </c>
      <c r="K799" s="18" t="s">
        <v>7</v>
      </c>
      <c r="L799" s="94" t="s">
        <v>777</v>
      </c>
      <c r="M799" s="148" t="s">
        <v>607</v>
      </c>
      <c r="N799" s="19" t="str">
        <f>_xlfn.XLOOKUP(Calculations[[#This Row],[For XLOOKUP]],Factors[For XLOOKUP],Factors[Factor],"")</f>
        <v>Σ.Ε. CO₂ eq</v>
      </c>
      <c r="O799" s="19">
        <f>_xlfn.XLOOKUP(Calculations[[#This Row],[For XLOOKUP]],Factors[For XLOOKUP],Factors[Value],"")</f>
        <v>6.2665000000000008E-4</v>
      </c>
      <c r="P799" s="19" t="str">
        <f>_xlfn.XLOOKUP(Calculations[[#This Row],[For XLOOKUP]],Factors[For XLOOKUP],Factors[Units],"")</f>
        <v>t CO₂ eq/lt</v>
      </c>
      <c r="Q799" s="19" t="str">
        <f>_xlfn.XLOOKUP(Calculations[[#This Row],[For XLOOKUP]],Factors[For XLOOKUP],Factors[Source],"")</f>
        <v>DEFRA 2024</v>
      </c>
      <c r="R799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9" s="19" t="str">
        <f>IF(LEFT(Calculations[[#This Row],[Emission Factor]],7)="Σ.Ε. CH",Calculations[[#This Row],[Value]]*Calculations[[#This Row],[Τιμή]],"-")</f>
        <v>-</v>
      </c>
      <c r="T799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9" s="19" t="str">
        <f>IF(LEFT(Calculations[[#This Row],[Emission Factor]],3)="GWP",Calculations[[#This Row],[Τιμή]],"-")</f>
        <v>-</v>
      </c>
      <c r="V799" s="19">
        <f>IF(OR(Calculations[[#This Row],[Emission Factor]]="Σ.Ε. CO₂ eq",Calculations[[#This Row],[Emission Factor]]="CO₂ eq"),Calculations[[#This Row],[Value]]*Calculations[[#This Row],[Τιμή]],"-")</f>
        <v>287.92245761750002</v>
      </c>
      <c r="W799" s="19" t="str">
        <f>IF(Calculations[[#This Row],[Πηγή εκπομπών]]="Electricity consumed in office buildings and projects - market based",Calculations[[#This Row],[t CO2]],"")</f>
        <v/>
      </c>
      <c r="X79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287.92245761750002</v>
      </c>
    </row>
    <row r="800" spans="1:24">
      <c r="A800" s="15" t="s">
        <v>350</v>
      </c>
      <c r="B800" s="15" t="s">
        <v>625</v>
      </c>
      <c r="C800" s="16" t="s">
        <v>624</v>
      </c>
      <c r="D800" s="77" t="s">
        <v>894</v>
      </c>
      <c r="E800" s="77"/>
      <c r="F800" s="16"/>
      <c r="G800" s="16" t="s">
        <v>632</v>
      </c>
      <c r="H800" s="15" t="s">
        <v>630</v>
      </c>
      <c r="I800" s="17" t="s">
        <v>643</v>
      </c>
      <c r="J800" s="79">
        <f>SUMIFS(Calculations[Τιμή],Calculations[Πηγή εκπομπών],"Combustion of diesel in subcontractor vehicles",Calculations[Sector],Calculations[[#This Row],[Sector]])/3</f>
        <v>884114</v>
      </c>
      <c r="K800" s="18" t="s">
        <v>7</v>
      </c>
      <c r="L800" s="94" t="s">
        <v>777</v>
      </c>
      <c r="M800" s="148" t="s">
        <v>607</v>
      </c>
      <c r="N800" s="81" t="str">
        <f>_xlfn.XLOOKUP(Calculations[[#This Row],[For XLOOKUP]],Factors[For XLOOKUP],Factors[Factor],"")</f>
        <v>Σ.Ε. CO₂ eq</v>
      </c>
      <c r="O800" s="81">
        <f>_xlfn.XLOOKUP(Calculations[[#This Row],[For XLOOKUP]],Factors[For XLOOKUP],Factors[Value],"")</f>
        <v>6.2665000000000008E-4</v>
      </c>
      <c r="P800" s="81" t="str">
        <f>_xlfn.XLOOKUP(Calculations[[#This Row],[For XLOOKUP]],Factors[For XLOOKUP],Factors[Units],"")</f>
        <v>t CO₂ eq/lt</v>
      </c>
      <c r="Q800" s="19" t="str">
        <f>_xlfn.XLOOKUP(Calculations[[#This Row],[For XLOOKUP]],Factors[For XLOOKUP],Factors[Source],"")</f>
        <v>DEFRA 2024</v>
      </c>
      <c r="R80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0" s="81" t="str">
        <f>IF(LEFT(Calculations[[#This Row],[Emission Factor]],7)="Σ.Ε. CH",Calculations[[#This Row],[Value]]*Calculations[[#This Row],[Τιμή]],"-")</f>
        <v>-</v>
      </c>
      <c r="T80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0" s="81" t="str">
        <f>IF(LEFT(Calculations[[#This Row],[Emission Factor]],3)="GWP",Calculations[[#This Row],[Τιμή]],"-")</f>
        <v>-</v>
      </c>
      <c r="V800" s="81">
        <f>IF(OR(Calculations[[#This Row],[Emission Factor]]="Σ.Ε. CO₂ eq",Calculations[[#This Row],[Emission Factor]]="CO₂ eq"),Calculations[[#This Row],[Value]]*Calculations[[#This Row],[Τιμή]],"-")</f>
        <v>554.03003810000007</v>
      </c>
      <c r="W800" s="81" t="str">
        <f>IF(Calculations[[#This Row],[Πηγή εκπομπών]]="Electricity consumed in office buildings and projects - market based",Calculations[[#This Row],[t CO2]],"")</f>
        <v/>
      </c>
      <c r="X80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554.03003810000007</v>
      </c>
    </row>
    <row r="801" spans="1:24">
      <c r="A801" s="15" t="s">
        <v>350</v>
      </c>
      <c r="B801" s="15" t="s">
        <v>625</v>
      </c>
      <c r="C801" s="16" t="s">
        <v>624</v>
      </c>
      <c r="D801" s="16" t="s">
        <v>895</v>
      </c>
      <c r="E801" s="16" t="s">
        <v>1140</v>
      </c>
      <c r="F801" s="16" t="s">
        <v>322</v>
      </c>
      <c r="G801" s="16" t="s">
        <v>632</v>
      </c>
      <c r="H801" s="15" t="s">
        <v>629</v>
      </c>
      <c r="I801" s="17" t="s">
        <v>631</v>
      </c>
      <c r="J801" s="238">
        <v>62448.104219000015</v>
      </c>
      <c r="K801" s="18" t="s">
        <v>626</v>
      </c>
      <c r="L801" s="94" t="s">
        <v>633</v>
      </c>
      <c r="M801" s="148" t="s">
        <v>826</v>
      </c>
      <c r="N801" s="19" t="str">
        <f>_xlfn.XLOOKUP(Calculations[[#This Row],[For XLOOKUP]],Factors[For XLOOKUP],Factors[Factor],"")</f>
        <v>Σ.Ε. CO₂ eq</v>
      </c>
      <c r="O801" s="19">
        <f>_xlfn.XLOOKUP(Calculations[[#This Row],[For XLOOKUP]],Factors[For XLOOKUP],Factors[Value],"")</f>
        <v>1.0845E-3</v>
      </c>
      <c r="P801" s="19" t="str">
        <f>_xlfn.XLOOKUP(Calculations[[#This Row],[For XLOOKUP]],Factors[For XLOOKUP],Factors[Units],"")</f>
        <v>t CO2 eq/km</v>
      </c>
      <c r="Q801" s="19" t="str">
        <f>_xlfn.XLOOKUP(Calculations[[#This Row],[For XLOOKUP]],Factors[For XLOOKUP],Factors[Source],"")</f>
        <v>DEFRA 2024</v>
      </c>
      <c r="R801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1" s="19" t="str">
        <f>IF(LEFT(Calculations[[#This Row],[Emission Factor]],7)="Σ.Ε. CH",Calculations[[#This Row],[Value]]*Calculations[[#This Row],[Τιμή]],"-")</f>
        <v>-</v>
      </c>
      <c r="T801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1" s="19" t="str">
        <f>IF(LEFT(Calculations[[#This Row],[Emission Factor]],3)="GWP",Calculations[[#This Row],[Τιμή]],"-")</f>
        <v>-</v>
      </c>
      <c r="V801" s="19">
        <f>IF(OR(Calculations[[#This Row],[Emission Factor]]="Σ.Ε. CO₂ eq",Calculations[[#This Row],[Emission Factor]]="CO₂ eq"),Calculations[[#This Row],[Value]]*Calculations[[#This Row],[Τιμή]],"-")</f>
        <v>67.724969025505516</v>
      </c>
      <c r="W801" s="19" t="str">
        <f>IF(Calculations[[#This Row],[Πηγή εκπομπών]]="Electricity consumed in office buildings and projects - market based",Calculations[[#This Row],[t CO2]],"")</f>
        <v/>
      </c>
      <c r="X801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67.724969025505516</v>
      </c>
    </row>
    <row r="802" spans="1:24">
      <c r="A802" s="15" t="s">
        <v>350</v>
      </c>
      <c r="B802" s="15" t="s">
        <v>625</v>
      </c>
      <c r="C802" s="16" t="s">
        <v>624</v>
      </c>
      <c r="D802" s="77" t="s">
        <v>895</v>
      </c>
      <c r="E802" s="77" t="s">
        <v>1140</v>
      </c>
      <c r="F802" s="16" t="s">
        <v>322</v>
      </c>
      <c r="G802" s="16" t="s">
        <v>632</v>
      </c>
      <c r="H802" s="15" t="s">
        <v>629</v>
      </c>
      <c r="I802" s="17" t="s">
        <v>631</v>
      </c>
      <c r="J802" s="238">
        <v>79431</v>
      </c>
      <c r="K802" s="18" t="s">
        <v>626</v>
      </c>
      <c r="L802" s="94" t="s">
        <v>633</v>
      </c>
      <c r="M802" s="148" t="s">
        <v>826</v>
      </c>
      <c r="N802" s="81" t="str">
        <f>_xlfn.XLOOKUP(Calculations[[#This Row],[For XLOOKUP]],Factors[For XLOOKUP],Factors[Factor],"")</f>
        <v>Σ.Ε. CO₂ eq</v>
      </c>
      <c r="O802" s="81">
        <f>_xlfn.XLOOKUP(Calculations[[#This Row],[For XLOOKUP]],Factors[For XLOOKUP],Factors[Value],"")</f>
        <v>1.0845E-3</v>
      </c>
      <c r="P802" s="81" t="str">
        <f>_xlfn.XLOOKUP(Calculations[[#This Row],[For XLOOKUP]],Factors[For XLOOKUP],Factors[Units],"")</f>
        <v>t CO2 eq/km</v>
      </c>
      <c r="Q802" s="19" t="str">
        <f>_xlfn.XLOOKUP(Calculations[[#This Row],[For XLOOKUP]],Factors[For XLOOKUP],Factors[Source],"")</f>
        <v>DEFRA 2024</v>
      </c>
      <c r="R80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2" s="81" t="str">
        <f>IF(LEFT(Calculations[[#This Row],[Emission Factor]],7)="Σ.Ε. CH",Calculations[[#This Row],[Value]]*Calculations[[#This Row],[Τιμή]],"-")</f>
        <v>-</v>
      </c>
      <c r="T80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2" s="81" t="str">
        <f>IF(LEFT(Calculations[[#This Row],[Emission Factor]],3)="GWP",Calculations[[#This Row],[Τιμή]],"-")</f>
        <v>-</v>
      </c>
      <c r="V802" s="81">
        <f>IF(OR(Calculations[[#This Row],[Emission Factor]]="Σ.Ε. CO₂ eq",Calculations[[#This Row],[Emission Factor]]="CO₂ eq"),Calculations[[#This Row],[Value]]*Calculations[[#This Row],[Τιμή]],"-")</f>
        <v>86.142919499999991</v>
      </c>
      <c r="W802" s="81" t="str">
        <f>IF(Calculations[[#This Row],[Πηγή εκπομπών]]="Electricity consumed in office buildings and projects - market based",Calculations[[#This Row],[t CO2]],"")</f>
        <v/>
      </c>
      <c r="X80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86.142919499999991</v>
      </c>
    </row>
    <row r="803" spans="1:24">
      <c r="A803" s="15" t="s">
        <v>350</v>
      </c>
      <c r="B803" s="15" t="s">
        <v>625</v>
      </c>
      <c r="C803" s="16" t="s">
        <v>624</v>
      </c>
      <c r="D803" s="77" t="s">
        <v>895</v>
      </c>
      <c r="E803" s="77" t="s">
        <v>1140</v>
      </c>
      <c r="F803" s="16" t="s">
        <v>322</v>
      </c>
      <c r="G803" s="16" t="s">
        <v>632</v>
      </c>
      <c r="H803" s="15" t="s">
        <v>629</v>
      </c>
      <c r="I803" s="17" t="s">
        <v>631</v>
      </c>
      <c r="J803" s="238">
        <v>4226</v>
      </c>
      <c r="K803" s="18" t="s">
        <v>890</v>
      </c>
      <c r="L803" s="94" t="s">
        <v>893</v>
      </c>
      <c r="M803" s="148" t="s">
        <v>891</v>
      </c>
      <c r="N803" s="81" t="str">
        <f>_xlfn.XLOOKUP(Calculations[[#This Row],[For XLOOKUP]],Factors[For XLOOKUP],Factors[Factor],"")</f>
        <v>Σ.Ε. CO₂ eq</v>
      </c>
      <c r="O803" s="81">
        <f>_xlfn.XLOOKUP(Calculations[[#This Row],[For XLOOKUP]],Factors[For XLOOKUP],Factors[Value],"")</f>
        <v>1.2342E-3</v>
      </c>
      <c r="P803" s="81" t="str">
        <f>_xlfn.XLOOKUP(Calculations[[#This Row],[For XLOOKUP]],Factors[For XLOOKUP],Factors[Units],"")</f>
        <v>t CO2 eq/tonne.km</v>
      </c>
      <c r="Q803" s="19" t="str">
        <f>_xlfn.XLOOKUP(Calculations[[#This Row],[For XLOOKUP]],Factors[For XLOOKUP],Factors[Source],"")</f>
        <v>DEFRA 2024</v>
      </c>
      <c r="R80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3" s="81" t="str">
        <f>IF(LEFT(Calculations[[#This Row],[Emission Factor]],7)="Σ.Ε. CH",Calculations[[#This Row],[Value]]*Calculations[[#This Row],[Τιμή]],"-")</f>
        <v>-</v>
      </c>
      <c r="T80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3" s="81" t="str">
        <f>IF(LEFT(Calculations[[#This Row],[Emission Factor]],3)="GWP",Calculations[[#This Row],[Τιμή]],"-")</f>
        <v>-</v>
      </c>
      <c r="V803" s="81">
        <f>IF(OR(Calculations[[#This Row],[Emission Factor]]="Σ.Ε. CO₂ eq",Calculations[[#This Row],[Emission Factor]]="CO₂ eq"),Calculations[[#This Row],[Value]]*Calculations[[#This Row],[Τιμή]],"-")</f>
        <v>5.2157292000000002</v>
      </c>
      <c r="W803" s="81" t="str">
        <f>IF(Calculations[[#This Row],[Πηγή εκπομπών]]="Electricity consumed in office buildings and projects - market based",Calculations[[#This Row],[t CO2]],"")</f>
        <v/>
      </c>
      <c r="X80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5.2157292000000002</v>
      </c>
    </row>
    <row r="804" spans="1:24">
      <c r="A804" s="15" t="s">
        <v>350</v>
      </c>
      <c r="B804" s="15" t="s">
        <v>625</v>
      </c>
      <c r="C804" s="16" t="s">
        <v>624</v>
      </c>
      <c r="D804" s="16" t="s">
        <v>895</v>
      </c>
      <c r="E804" s="16" t="s">
        <v>1141</v>
      </c>
      <c r="F804" s="16" t="s">
        <v>312</v>
      </c>
      <c r="G804" s="16" t="s">
        <v>632</v>
      </c>
      <c r="H804" s="15" t="s">
        <v>629</v>
      </c>
      <c r="I804" s="17" t="s">
        <v>631</v>
      </c>
      <c r="J804" s="238">
        <v>958122.9</v>
      </c>
      <c r="K804" s="18" t="s">
        <v>890</v>
      </c>
      <c r="L804" s="94" t="s">
        <v>1175</v>
      </c>
      <c r="M804" s="148" t="s">
        <v>1032</v>
      </c>
      <c r="N804" s="19" t="str">
        <f>_xlfn.XLOOKUP(Calculations[[#This Row],[For XLOOKUP]],Factors[For XLOOKUP],Factors[Factor],"")</f>
        <v>Σ.Ε. CO₂ eq</v>
      </c>
      <c r="O804" s="19">
        <f>_xlfn.XLOOKUP(Calculations[[#This Row],[For XLOOKUP]],Factors[For XLOOKUP],Factors[Value],"")</f>
        <v>1.19605E-4</v>
      </c>
      <c r="P804" s="19" t="str">
        <f>_xlfn.XLOOKUP(Calculations[[#This Row],[For XLOOKUP]],Factors[For XLOOKUP],Factors[Units],"")</f>
        <v>t CO2 eq/tonne.km</v>
      </c>
      <c r="Q804" s="19" t="str">
        <f>_xlfn.XLOOKUP(Calculations[[#This Row],[For XLOOKUP]],Factors[For XLOOKUP],Factors[Source],"")</f>
        <v>DEFRA 2024</v>
      </c>
      <c r="R80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4" s="19" t="str">
        <f>IF(LEFT(Calculations[[#This Row],[Emission Factor]],7)="Σ.Ε. CH",Calculations[[#This Row],[Value]]*Calculations[[#This Row],[Τιμή]],"-")</f>
        <v>-</v>
      </c>
      <c r="T80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4" s="19" t="str">
        <f>IF(LEFT(Calculations[[#This Row],[Emission Factor]],3)="GWP",Calculations[[#This Row],[Τιμή]],"-")</f>
        <v>-</v>
      </c>
      <c r="V804" s="19">
        <f>IF(OR(Calculations[[#This Row],[Emission Factor]]="Σ.Ε. CO₂ eq",Calculations[[#This Row],[Emission Factor]]="CO₂ eq"),Calculations[[#This Row],[Value]]*Calculations[[#This Row],[Τιμή]],"-")</f>
        <v>114.59628945450001</v>
      </c>
      <c r="W804" s="19" t="str">
        <f>IF(Calculations[[#This Row],[Πηγή εκπομπών]]="Electricity consumed in office buildings and projects - market based",Calculations[[#This Row],[t CO2]],"")</f>
        <v/>
      </c>
      <c r="X80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114.59628945450001</v>
      </c>
    </row>
    <row r="805" spans="1:24">
      <c r="A805" s="15" t="s">
        <v>350</v>
      </c>
      <c r="B805" s="15" t="s">
        <v>625</v>
      </c>
      <c r="C805" s="16" t="s">
        <v>624</v>
      </c>
      <c r="D805" s="77" t="s">
        <v>895</v>
      </c>
      <c r="E805" s="77" t="s">
        <v>1141</v>
      </c>
      <c r="F805" s="16" t="s">
        <v>312</v>
      </c>
      <c r="G805" s="16" t="s">
        <v>632</v>
      </c>
      <c r="H805" s="15" t="s">
        <v>629</v>
      </c>
      <c r="I805" s="17" t="s">
        <v>631</v>
      </c>
      <c r="J805" s="238">
        <v>9936.7189999999991</v>
      </c>
      <c r="K805" s="18" t="s">
        <v>890</v>
      </c>
      <c r="L805" s="94" t="s">
        <v>1176</v>
      </c>
      <c r="M805" s="148" t="s">
        <v>1178</v>
      </c>
      <c r="N805" s="81" t="str">
        <f>_xlfn.XLOOKUP(Calculations[[#This Row],[For XLOOKUP]],Factors[For XLOOKUP],Factors[Factor],"")</f>
        <v>Σ.Ε. CO₂ eq</v>
      </c>
      <c r="O805" s="81">
        <f>_xlfn.XLOOKUP(Calculations[[#This Row],[For XLOOKUP]],Factors[For XLOOKUP],Factors[Value],"")</f>
        <v>7.6738000000000012E-4</v>
      </c>
      <c r="P805" s="81" t="str">
        <f>_xlfn.XLOOKUP(Calculations[[#This Row],[For XLOOKUP]],Factors[For XLOOKUP],Factors[Units],"")</f>
        <v>t CO2 eq/tonne.km</v>
      </c>
      <c r="Q805" s="19" t="str">
        <f>_xlfn.XLOOKUP(Calculations[[#This Row],[For XLOOKUP]],Factors[For XLOOKUP],Factors[Source],"")</f>
        <v>DEFRA 2024</v>
      </c>
      <c r="R80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5" s="81" t="str">
        <f>IF(LEFT(Calculations[[#This Row],[Emission Factor]],7)="Σ.Ε. CH",Calculations[[#This Row],[Value]]*Calculations[[#This Row],[Τιμή]],"-")</f>
        <v>-</v>
      </c>
      <c r="T80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5" s="81" t="str">
        <f>IF(LEFT(Calculations[[#This Row],[Emission Factor]],3)="GWP",Calculations[[#This Row],[Τιμή]],"-")</f>
        <v>-</v>
      </c>
      <c r="V805" s="81">
        <f>IF(OR(Calculations[[#This Row],[Emission Factor]]="Σ.Ε. CO₂ eq",Calculations[[#This Row],[Emission Factor]]="CO₂ eq"),Calculations[[#This Row],[Value]]*Calculations[[#This Row],[Τιμή]],"-")</f>
        <v>7.6252394262200003</v>
      </c>
      <c r="W805" s="81" t="str">
        <f>IF(Calculations[[#This Row],[Πηγή εκπομπών]]="Electricity consumed in office buildings and projects - market based",Calculations[[#This Row],[t CO2]],"")</f>
        <v/>
      </c>
      <c r="X80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7.6252394262200003</v>
      </c>
    </row>
    <row r="806" spans="1:24">
      <c r="A806" s="15" t="s">
        <v>350</v>
      </c>
      <c r="B806" s="15" t="s">
        <v>625</v>
      </c>
      <c r="C806" s="16" t="s">
        <v>624</v>
      </c>
      <c r="D806" s="77" t="s">
        <v>895</v>
      </c>
      <c r="E806" s="77" t="s">
        <v>1141</v>
      </c>
      <c r="F806" s="16" t="s">
        <v>312</v>
      </c>
      <c r="G806" s="16" t="s">
        <v>632</v>
      </c>
      <c r="H806" s="15" t="s">
        <v>629</v>
      </c>
      <c r="I806" s="17" t="s">
        <v>631</v>
      </c>
      <c r="J806" s="238">
        <v>110352</v>
      </c>
      <c r="K806" s="18" t="s">
        <v>626</v>
      </c>
      <c r="L806" s="94" t="s">
        <v>1177</v>
      </c>
      <c r="M806" s="148" t="s">
        <v>825</v>
      </c>
      <c r="N806" s="81" t="str">
        <f>_xlfn.XLOOKUP(Calculations[[#This Row],[For XLOOKUP]],Factors[For XLOOKUP],Factors[Factor],"")</f>
        <v>Σ.Ε. CO₂ eq</v>
      </c>
      <c r="O806" s="81">
        <f>_xlfn.XLOOKUP(Calculations[[#This Row],[For XLOOKUP]],Factors[For XLOOKUP],Factors[Value],"")</f>
        <v>3.1151000000000003E-4</v>
      </c>
      <c r="P806" s="81" t="str">
        <f>_xlfn.XLOOKUP(Calculations[[#This Row],[For XLOOKUP]],Factors[For XLOOKUP],Factors[Units],"")</f>
        <v>t CO2 eq/km</v>
      </c>
      <c r="Q806" s="19" t="str">
        <f>_xlfn.XLOOKUP(Calculations[[#This Row],[For XLOOKUP]],Factors[For XLOOKUP],Factors[Source],"")</f>
        <v>DEFRA 2024</v>
      </c>
      <c r="R80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6" s="81" t="str">
        <f>IF(LEFT(Calculations[[#This Row],[Emission Factor]],7)="Σ.Ε. CH",Calculations[[#This Row],[Value]]*Calculations[[#This Row],[Τιμή]],"-")</f>
        <v>-</v>
      </c>
      <c r="T80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6" s="81" t="str">
        <f>IF(LEFT(Calculations[[#This Row],[Emission Factor]],3)="GWP",Calculations[[#This Row],[Τιμή]],"-")</f>
        <v>-</v>
      </c>
      <c r="V806" s="81">
        <f>IF(OR(Calculations[[#This Row],[Emission Factor]]="Σ.Ε. CO₂ eq",Calculations[[#This Row],[Emission Factor]]="CO₂ eq"),Calculations[[#This Row],[Value]]*Calculations[[#This Row],[Τιμή]],"-")</f>
        <v>34.375751520000001</v>
      </c>
      <c r="W806" s="81" t="str">
        <f>IF(Calculations[[#This Row],[Πηγή εκπομπών]]="Electricity consumed in office buildings and projects - market based",Calculations[[#This Row],[t CO2]],"")</f>
        <v/>
      </c>
      <c r="X80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34.375751520000001</v>
      </c>
    </row>
    <row r="807" spans="1:24">
      <c r="A807" s="15" t="s">
        <v>350</v>
      </c>
      <c r="B807" s="15" t="s">
        <v>625</v>
      </c>
      <c r="C807" s="16" t="s">
        <v>624</v>
      </c>
      <c r="D807" s="16" t="s">
        <v>897</v>
      </c>
      <c r="E807" s="16" t="s">
        <v>1166</v>
      </c>
      <c r="F807" s="16" t="s">
        <v>320</v>
      </c>
      <c r="G807" s="16" t="s">
        <v>632</v>
      </c>
      <c r="H807" s="15" t="s">
        <v>629</v>
      </c>
      <c r="I807" s="17" t="s">
        <v>631</v>
      </c>
      <c r="J807" s="238">
        <v>758600.64</v>
      </c>
      <c r="K807" s="18" t="s">
        <v>626</v>
      </c>
      <c r="L807" s="94" t="s">
        <v>633</v>
      </c>
      <c r="M807" s="148" t="s">
        <v>826</v>
      </c>
      <c r="N807" s="19" t="str">
        <f>_xlfn.XLOOKUP(Calculations[[#This Row],[For XLOOKUP]],Factors[For XLOOKUP],Factors[Factor],"")</f>
        <v>Σ.Ε. CO₂ eq</v>
      </c>
      <c r="O807" s="19">
        <f>_xlfn.XLOOKUP(Calculations[[#This Row],[For XLOOKUP]],Factors[For XLOOKUP],Factors[Value],"")</f>
        <v>1.0845E-3</v>
      </c>
      <c r="P807" s="19" t="str">
        <f>_xlfn.XLOOKUP(Calculations[[#This Row],[For XLOOKUP]],Factors[For XLOOKUP],Factors[Units],"")</f>
        <v>t CO2 eq/km</v>
      </c>
      <c r="Q807" s="19" t="str">
        <f>_xlfn.XLOOKUP(Calculations[[#This Row],[For XLOOKUP]],Factors[For XLOOKUP],Factors[Source],"")</f>
        <v>DEFRA 2024</v>
      </c>
      <c r="R807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7" s="19" t="str">
        <f>IF(LEFT(Calculations[[#This Row],[Emission Factor]],7)="Σ.Ε. CH",Calculations[[#This Row],[Value]]*Calculations[[#This Row],[Τιμή]],"-")</f>
        <v>-</v>
      </c>
      <c r="T807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7" s="19" t="str">
        <f>IF(LEFT(Calculations[[#This Row],[Emission Factor]],3)="GWP",Calculations[[#This Row],[Τιμή]],"-")</f>
        <v>-</v>
      </c>
      <c r="V807" s="19">
        <f>IF(OR(Calculations[[#This Row],[Emission Factor]]="Σ.Ε. CO₂ eq",Calculations[[#This Row],[Emission Factor]]="CO₂ eq"),Calculations[[#This Row],[Value]]*Calculations[[#This Row],[Τιμή]],"-")</f>
        <v>822.70239407999998</v>
      </c>
      <c r="W807" s="19" t="str">
        <f>IF(Calculations[[#This Row],[Πηγή εκπομπών]]="Electricity consumed in office buildings and projects - market based",Calculations[[#This Row],[t CO2]],"")</f>
        <v/>
      </c>
      <c r="X80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822.70239407999998</v>
      </c>
    </row>
    <row r="808" spans="1:24">
      <c r="A808" s="15" t="s">
        <v>350</v>
      </c>
      <c r="B808" s="15" t="s">
        <v>625</v>
      </c>
      <c r="C808" s="16" t="s">
        <v>624</v>
      </c>
      <c r="D808" s="77" t="s">
        <v>894</v>
      </c>
      <c r="E808" s="16"/>
      <c r="F808" s="16" t="s">
        <v>317</v>
      </c>
      <c r="G808" s="16" t="s">
        <v>632</v>
      </c>
      <c r="H808" s="15" t="s">
        <v>629</v>
      </c>
      <c r="I808" s="17" t="s">
        <v>631</v>
      </c>
      <c r="J808" s="238">
        <v>6913555.709999999</v>
      </c>
      <c r="K808" s="18" t="s">
        <v>890</v>
      </c>
      <c r="L808" s="94" t="s">
        <v>1175</v>
      </c>
      <c r="M808" s="148" t="s">
        <v>1032</v>
      </c>
      <c r="N808" s="19" t="str">
        <f>_xlfn.XLOOKUP(Calculations[[#This Row],[For XLOOKUP]],Factors[For XLOOKUP],Factors[Factor],"")</f>
        <v>Σ.Ε. CO₂ eq</v>
      </c>
      <c r="O808" s="19">
        <f>_xlfn.XLOOKUP(Calculations[[#This Row],[For XLOOKUP]],Factors[For XLOOKUP],Factors[Value],"")</f>
        <v>1.19605E-4</v>
      </c>
      <c r="P808" s="19" t="str">
        <f>_xlfn.XLOOKUP(Calculations[[#This Row],[For XLOOKUP]],Factors[For XLOOKUP],Factors[Units],"")</f>
        <v>t CO2 eq/tonne.km</v>
      </c>
      <c r="Q808" s="19" t="str">
        <f>_xlfn.XLOOKUP(Calculations[[#This Row],[For XLOOKUP]],Factors[For XLOOKUP],Factors[Source],"")</f>
        <v>DEFRA 2024</v>
      </c>
      <c r="R80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8" s="19" t="str">
        <f>IF(LEFT(Calculations[[#This Row],[Emission Factor]],7)="Σ.Ε. CH",Calculations[[#This Row],[Value]]*Calculations[[#This Row],[Τιμή]],"-")</f>
        <v>-</v>
      </c>
      <c r="T80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8" s="19" t="str">
        <f>IF(LEFT(Calculations[[#This Row],[Emission Factor]],3)="GWP",Calculations[[#This Row],[Τιμή]],"-")</f>
        <v>-</v>
      </c>
      <c r="V808" s="19">
        <f>IF(OR(Calculations[[#This Row],[Emission Factor]]="Σ.Ε. CO₂ eq",Calculations[[#This Row],[Emission Factor]]="CO₂ eq"),Calculations[[#This Row],[Value]]*Calculations[[#This Row],[Τιμή]],"-")</f>
        <v>826.89583069454989</v>
      </c>
      <c r="W808" s="19" t="str">
        <f>IF(Calculations[[#This Row],[Πηγή εκπομπών]]="Electricity consumed in office buildings and projects - market based",Calculations[[#This Row],[t CO2]],"")</f>
        <v/>
      </c>
      <c r="X80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826.89583069454989</v>
      </c>
    </row>
    <row r="809" spans="1:24" hidden="1">
      <c r="A809" s="15" t="s">
        <v>350</v>
      </c>
      <c r="B809" s="15" t="s">
        <v>645</v>
      </c>
      <c r="C809" s="16" t="s">
        <v>624</v>
      </c>
      <c r="D809" s="16" t="s">
        <v>1276</v>
      </c>
      <c r="E809" s="77"/>
      <c r="F809" s="16"/>
      <c r="G809" s="16" t="s">
        <v>646</v>
      </c>
      <c r="H809" s="15" t="s">
        <v>648</v>
      </c>
      <c r="I809" s="17" t="s">
        <v>343</v>
      </c>
      <c r="J809" s="79">
        <v>132.13</v>
      </c>
      <c r="K809" s="18" t="s">
        <v>280</v>
      </c>
      <c r="L809" s="94" t="s">
        <v>697</v>
      </c>
      <c r="M809" s="148" t="s">
        <v>1345</v>
      </c>
      <c r="N809" s="81" t="str">
        <f>_xlfn.XLOOKUP(Calculations[[#This Row],[For XLOOKUP]],Factors[For XLOOKUP],Factors[Factor],"")</f>
        <v>Σ.Ε. CO₂ eq</v>
      </c>
      <c r="O809" s="81">
        <f>_xlfn.XLOOKUP(Calculations[[#This Row],[For XLOOKUP]],Factors[For XLOOKUP],Factors[Value],"")</f>
        <v>1.2339999999999999E-3</v>
      </c>
      <c r="P809" s="81" t="str">
        <f>_xlfn.XLOOKUP(Calculations[[#This Row],[For XLOOKUP]],Factors[For XLOOKUP],Factors[Units],"")</f>
        <v>tn CO2 eq/ tn</v>
      </c>
      <c r="Q809" s="19" t="str">
        <f>_xlfn.XLOOKUP(Calculations[[#This Row],[For XLOOKUP]],Factors[For XLOOKUP],Factors[Source],"")</f>
        <v>DEFRA 2024</v>
      </c>
      <c r="R80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9" s="81" t="str">
        <f>IF(LEFT(Calculations[[#This Row],[Emission Factor]],7)="Σ.Ε. CH",Calculations[[#This Row],[Value]]*Calculations[[#This Row],[Τιμή]],"-")</f>
        <v>-</v>
      </c>
      <c r="T80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9" s="81" t="str">
        <f>IF(LEFT(Calculations[[#This Row],[Emission Factor]],3)="GWP",Calculations[[#This Row],[Τιμή]],"-")</f>
        <v>-</v>
      </c>
      <c r="V809" s="247">
        <f>IF(OR(Calculations[[#This Row],[Emission Factor]]="Σ.Ε. CO₂ eq",Calculations[[#This Row],[Emission Factor]]="CO₂ eq"),Calculations[[#This Row],[Value]]*Calculations[[#This Row],[Τιμή]],"-")</f>
        <v>0.16304841999999997</v>
      </c>
      <c r="W809" s="81" t="str">
        <f>IF(Calculations[[#This Row],[Πηγή εκπομπών]]="Electricity consumed in office buildings and projects - market based",Calculations[[#This Row],[t CO2]],"")</f>
        <v/>
      </c>
      <c r="X80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0.16304841999999997</v>
      </c>
    </row>
    <row r="810" spans="1:24" hidden="1">
      <c r="A810" s="15" t="s">
        <v>350</v>
      </c>
      <c r="B810" s="15" t="s">
        <v>645</v>
      </c>
      <c r="C810" s="16" t="s">
        <v>327</v>
      </c>
      <c r="D810" s="77" t="s">
        <v>1276</v>
      </c>
      <c r="E810" s="77" t="s">
        <v>1187</v>
      </c>
      <c r="F810" s="16"/>
      <c r="G810" s="16" t="s">
        <v>646</v>
      </c>
      <c r="H810" s="15" t="s">
        <v>649</v>
      </c>
      <c r="I810" s="17" t="s">
        <v>343</v>
      </c>
      <c r="J810" s="79">
        <v>375.17</v>
      </c>
      <c r="K810" s="18" t="s">
        <v>280</v>
      </c>
      <c r="L810" s="94" t="s">
        <v>694</v>
      </c>
      <c r="M810" s="148" t="s">
        <v>702</v>
      </c>
      <c r="N810" s="81" t="str">
        <f>_xlfn.XLOOKUP(Calculations[[#This Row],[For XLOOKUP]],Factors[For XLOOKUP],Factors[Factor],"")</f>
        <v>Σ.Ε. CO₂ eq</v>
      </c>
      <c r="O810" s="81">
        <f>_xlfn.XLOOKUP(Calculations[[#This Row],[For XLOOKUP]],Factors[For XLOOKUP],Factors[Value],"")</f>
        <v>0.14330047042017041</v>
      </c>
      <c r="P810" s="81" t="str">
        <f>_xlfn.XLOOKUP(Calculations[[#This Row],[For XLOOKUP]],Factors[For XLOOKUP],Factors[Units],"")</f>
        <v>tn CO2 eq/ tn</v>
      </c>
      <c r="Q810" s="19" t="str">
        <f>_xlfn.XLOOKUP(Calculations[[#This Row],[For XLOOKUP]],Factors[For XLOOKUP],Factors[Source],"")</f>
        <v>EPA 2024</v>
      </c>
      <c r="R81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0" s="81" t="str">
        <f>IF(LEFT(Calculations[[#This Row],[Emission Factor]],7)="Σ.Ε. CH",Calculations[[#This Row],[Value]]*Calculations[[#This Row],[Τιμή]],"-")</f>
        <v>-</v>
      </c>
      <c r="T81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0" s="81" t="str">
        <f>IF(LEFT(Calculations[[#This Row],[Emission Factor]],3)="GWP",Calculations[[#This Row],[Τιμή]],"-")</f>
        <v>-</v>
      </c>
      <c r="V810" s="247">
        <f>IF(OR(Calculations[[#This Row],[Emission Factor]]="Σ.Ε. CO₂ eq",Calculations[[#This Row],[Emission Factor]]="CO₂ eq"),Calculations[[#This Row],[Value]]*Calculations[[#This Row],[Τιμή]],"-")</f>
        <v>53.762037487535338</v>
      </c>
      <c r="W810" s="81" t="str">
        <f>IF(Calculations[[#This Row],[Πηγή εκπομπών]]="Electricity consumed in office buildings and projects - market based",Calculations[[#This Row],[t CO2]],"")</f>
        <v/>
      </c>
      <c r="X81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53.762037487535338</v>
      </c>
    </row>
    <row r="811" spans="1:24" hidden="1">
      <c r="A811" s="15" t="s">
        <v>350</v>
      </c>
      <c r="B811" s="15" t="s">
        <v>645</v>
      </c>
      <c r="C811" s="16" t="s">
        <v>624</v>
      </c>
      <c r="D811" s="16" t="s">
        <v>1276</v>
      </c>
      <c r="E811" s="16"/>
      <c r="F811" s="16"/>
      <c r="G811" s="16" t="s">
        <v>646</v>
      </c>
      <c r="H811" s="15" t="s">
        <v>649</v>
      </c>
      <c r="I811" s="17" t="s">
        <v>343</v>
      </c>
      <c r="J811" s="79">
        <v>2356.63</v>
      </c>
      <c r="K811" s="18" t="s">
        <v>280</v>
      </c>
      <c r="L811" s="94" t="s">
        <v>695</v>
      </c>
      <c r="M811" s="148" t="s">
        <v>702</v>
      </c>
      <c r="N811" s="81" t="str">
        <f>_xlfn.XLOOKUP(Calculations[[#This Row],[For XLOOKUP]],Factors[For XLOOKUP],Factors[Factor],"")</f>
        <v>Σ.Ε. CO₂ eq</v>
      </c>
      <c r="O811" s="81">
        <f>_xlfn.XLOOKUP(Calculations[[#This Row],[For XLOOKUP]],Factors[For XLOOKUP],Factors[Value],"")</f>
        <v>0.14330047042017041</v>
      </c>
      <c r="P811" s="81" t="str">
        <f>_xlfn.XLOOKUP(Calculations[[#This Row],[For XLOOKUP]],Factors[For XLOOKUP],Factors[Units],"")</f>
        <v>tn CO2 eq/ tn</v>
      </c>
      <c r="Q811" s="19" t="str">
        <f>_xlfn.XLOOKUP(Calculations[[#This Row],[For XLOOKUP]],Factors[For XLOOKUP],Factors[Source],"")</f>
        <v>EPA 2024</v>
      </c>
      <c r="R81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1" s="81" t="str">
        <f>IF(LEFT(Calculations[[#This Row],[Emission Factor]],7)="Σ.Ε. CH",Calculations[[#This Row],[Value]]*Calculations[[#This Row],[Τιμή]],"-")</f>
        <v>-</v>
      </c>
      <c r="T81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1" s="81" t="str">
        <f>IF(LEFT(Calculations[[#This Row],[Emission Factor]],3)="GWP",Calculations[[#This Row],[Τιμή]],"-")</f>
        <v>-</v>
      </c>
      <c r="V811" s="247">
        <f>IF(OR(Calculations[[#This Row],[Emission Factor]]="Σ.Ε. CO₂ eq",Calculations[[#This Row],[Emission Factor]]="CO₂ eq"),Calculations[[#This Row],[Value]]*Calculations[[#This Row],[Τιμή]],"-")</f>
        <v>337.70618760628622</v>
      </c>
      <c r="W811" s="81" t="str">
        <f>IF(Calculations[[#This Row],[Πηγή εκπομπών]]="Electricity consumed in office buildings and projects - market based",Calculations[[#This Row],[t CO2]],"")</f>
        <v/>
      </c>
      <c r="X81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337.70618760628622</v>
      </c>
    </row>
    <row r="812" spans="1:24" hidden="1">
      <c r="A812" s="15" t="s">
        <v>350</v>
      </c>
      <c r="B812" s="15" t="s">
        <v>645</v>
      </c>
      <c r="C812" s="16" t="s">
        <v>327</v>
      </c>
      <c r="D812" s="77" t="s">
        <v>1276</v>
      </c>
      <c r="E812" s="77" t="s">
        <v>1187</v>
      </c>
      <c r="F812" s="16"/>
      <c r="G812" s="16" t="s">
        <v>646</v>
      </c>
      <c r="H812" s="15" t="s">
        <v>650</v>
      </c>
      <c r="I812" s="17" t="s">
        <v>343</v>
      </c>
      <c r="J812" s="79">
        <v>30055</v>
      </c>
      <c r="K812" s="18" t="s">
        <v>280</v>
      </c>
      <c r="L812" s="94" t="s">
        <v>697</v>
      </c>
      <c r="M812" s="148" t="s">
        <v>703</v>
      </c>
      <c r="N812" s="81" t="str">
        <f>_xlfn.XLOOKUP(Calculations[[#This Row],[For XLOOKUP]],Factors[For XLOOKUP],Factors[Factor],"")</f>
        <v>Σ.Ε. CO₂ eq</v>
      </c>
      <c r="O812" s="81">
        <f>_xlfn.XLOOKUP(Calculations[[#This Row],[For XLOOKUP]],Factors[For XLOOKUP],Factors[Value],"")</f>
        <v>0.59524810789916949</v>
      </c>
      <c r="P812" s="81" t="str">
        <f>_xlfn.XLOOKUP(Calculations[[#This Row],[For XLOOKUP]],Factors[For XLOOKUP],Factors[Units],"")</f>
        <v>tn CO2 eq/ tn</v>
      </c>
      <c r="Q812" s="19" t="str">
        <f>_xlfn.XLOOKUP(Calculations[[#This Row],[For XLOOKUP]],Factors[For XLOOKUP],Factors[Source],"")</f>
        <v>EPA 2024</v>
      </c>
      <c r="R81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2" s="81" t="str">
        <f>IF(LEFT(Calculations[[#This Row],[Emission Factor]],7)="Σ.Ε. CH",Calculations[[#This Row],[Value]]*Calculations[[#This Row],[Τιμή]],"-")</f>
        <v>-</v>
      </c>
      <c r="T81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2" s="81" t="str">
        <f>IF(LEFT(Calculations[[#This Row],[Emission Factor]],3)="GWP",Calculations[[#This Row],[Τιμή]],"-")</f>
        <v>-</v>
      </c>
      <c r="V812" s="247">
        <f>IF(OR(Calculations[[#This Row],[Emission Factor]]="Σ.Ε. CO₂ eq",Calculations[[#This Row],[Emission Factor]]="CO₂ eq"),Calculations[[#This Row],[Value]]*Calculations[[#This Row],[Τιμή]],"-")</f>
        <v>17890.181882909539</v>
      </c>
      <c r="W812" s="81" t="str">
        <f>IF(Calculations[[#This Row],[Πηγή εκπομπών]]="Electricity consumed in office buildings and projects - market based",Calculations[[#This Row],[t CO2]],"")</f>
        <v/>
      </c>
      <c r="X81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17890.181882909539</v>
      </c>
    </row>
    <row r="813" spans="1:24" hidden="1">
      <c r="A813" s="15" t="s">
        <v>350</v>
      </c>
      <c r="B813" s="15" t="s">
        <v>645</v>
      </c>
      <c r="C813" s="16" t="s">
        <v>624</v>
      </c>
      <c r="D813" s="77" t="s">
        <v>1276</v>
      </c>
      <c r="E813" s="77"/>
      <c r="F813" s="16"/>
      <c r="G813" s="16" t="s">
        <v>646</v>
      </c>
      <c r="H813" s="15" t="s">
        <v>650</v>
      </c>
      <c r="I813" s="17" t="s">
        <v>343</v>
      </c>
      <c r="J813" s="79">
        <v>2571.89</v>
      </c>
      <c r="K813" s="18" t="s">
        <v>280</v>
      </c>
      <c r="L813" s="94" t="s">
        <v>696</v>
      </c>
      <c r="M813" s="148" t="s">
        <v>703</v>
      </c>
      <c r="N813" s="81" t="str">
        <f>_xlfn.XLOOKUP(Calculations[[#This Row],[For XLOOKUP]],Factors[For XLOOKUP],Factors[Factor],"")</f>
        <v>Σ.Ε. CO₂ eq</v>
      </c>
      <c r="O813" s="81">
        <f>_xlfn.XLOOKUP(Calculations[[#This Row],[For XLOOKUP]],Factors[For XLOOKUP],Factors[Value],"")</f>
        <v>0.59524810789916949</v>
      </c>
      <c r="P813" s="81" t="str">
        <f>_xlfn.XLOOKUP(Calculations[[#This Row],[For XLOOKUP]],Factors[For XLOOKUP],Factors[Units],"")</f>
        <v>tn CO2 eq/ tn</v>
      </c>
      <c r="Q813" s="19" t="str">
        <f>_xlfn.XLOOKUP(Calculations[[#This Row],[For XLOOKUP]],Factors[For XLOOKUP],Factors[Source],"")</f>
        <v>EPA 2024</v>
      </c>
      <c r="R81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3" s="81" t="str">
        <f>IF(LEFT(Calculations[[#This Row],[Emission Factor]],7)="Σ.Ε. CH",Calculations[[#This Row],[Value]]*Calculations[[#This Row],[Τιμή]],"-")</f>
        <v>-</v>
      </c>
      <c r="T81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3" s="81" t="str">
        <f>IF(LEFT(Calculations[[#This Row],[Emission Factor]],3)="GWP",Calculations[[#This Row],[Τιμή]],"-")</f>
        <v>-</v>
      </c>
      <c r="V813" s="247">
        <f>IF(OR(Calculations[[#This Row],[Emission Factor]]="Σ.Ε. CO₂ eq",Calculations[[#This Row],[Emission Factor]]="CO₂ eq"),Calculations[[#This Row],[Value]]*Calculations[[#This Row],[Τιμή]],"-")</f>
        <v>1530.912656224795</v>
      </c>
      <c r="W813" s="81" t="str">
        <f>IF(Calculations[[#This Row],[Πηγή εκπομπών]]="Electricity consumed in office buildings and projects - market based",Calculations[[#This Row],[t CO2]],"")</f>
        <v/>
      </c>
      <c r="X81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1530.912656224795</v>
      </c>
    </row>
    <row r="814" spans="1:24" hidden="1">
      <c r="A814" s="15" t="s">
        <v>350</v>
      </c>
      <c r="B814" s="15" t="s">
        <v>645</v>
      </c>
      <c r="C814" s="16" t="s">
        <v>624</v>
      </c>
      <c r="D814" s="16" t="s">
        <v>1276</v>
      </c>
      <c r="E814" s="77"/>
      <c r="F814" s="16"/>
      <c r="G814" s="16" t="s">
        <v>646</v>
      </c>
      <c r="H814" s="15" t="s">
        <v>650</v>
      </c>
      <c r="I814" s="17" t="s">
        <v>343</v>
      </c>
      <c r="J814" s="79">
        <v>23517.27</v>
      </c>
      <c r="K814" s="18" t="s">
        <v>280</v>
      </c>
      <c r="L814" s="94" t="s">
        <v>697</v>
      </c>
      <c r="M814" s="148" t="s">
        <v>703</v>
      </c>
      <c r="N814" s="81" t="str">
        <f>_xlfn.XLOOKUP(Calculations[[#This Row],[For XLOOKUP]],Factors[For XLOOKUP],Factors[Factor],"")</f>
        <v>Σ.Ε. CO₂ eq</v>
      </c>
      <c r="O814" s="81">
        <f>_xlfn.XLOOKUP(Calculations[[#This Row],[For XLOOKUP]],Factors[For XLOOKUP],Factors[Value],"")</f>
        <v>0.59524810789916949</v>
      </c>
      <c r="P814" s="81" t="str">
        <f>_xlfn.XLOOKUP(Calculations[[#This Row],[For XLOOKUP]],Factors[For XLOOKUP],Factors[Units],"")</f>
        <v>tn CO2 eq/ tn</v>
      </c>
      <c r="Q814" s="19" t="str">
        <f>_xlfn.XLOOKUP(Calculations[[#This Row],[For XLOOKUP]],Factors[For XLOOKUP],Factors[Source],"")</f>
        <v>EPA 2024</v>
      </c>
      <c r="R81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4" s="81" t="str">
        <f>IF(LEFT(Calculations[[#This Row],[Emission Factor]],7)="Σ.Ε. CH",Calculations[[#This Row],[Value]]*Calculations[[#This Row],[Τιμή]],"-")</f>
        <v>-</v>
      </c>
      <c r="T81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4" s="81" t="str">
        <f>IF(LEFT(Calculations[[#This Row],[Emission Factor]],3)="GWP",Calculations[[#This Row],[Τιμή]],"-")</f>
        <v>-</v>
      </c>
      <c r="V814" s="247">
        <f>IF(OR(Calculations[[#This Row],[Emission Factor]]="Σ.Ε. CO₂ eq",Calculations[[#This Row],[Emission Factor]]="CO₂ eq"),Calculations[[#This Row],[Value]]*Calculations[[#This Row],[Τιμή]],"-")</f>
        <v>13998.610470453901</v>
      </c>
      <c r="W814" s="81" t="str">
        <f>IF(Calculations[[#This Row],[Πηγή εκπομπών]]="Electricity consumed in office buildings and projects - market based",Calculations[[#This Row],[t CO2]],"")</f>
        <v/>
      </c>
      <c r="X81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13998.610470453901</v>
      </c>
    </row>
    <row r="815" spans="1:24" hidden="1">
      <c r="A815" s="15" t="s">
        <v>350</v>
      </c>
      <c r="B815" s="15" t="s">
        <v>645</v>
      </c>
      <c r="C815" s="16" t="s">
        <v>624</v>
      </c>
      <c r="D815" s="16" t="s">
        <v>1276</v>
      </c>
      <c r="E815" s="77"/>
      <c r="F815" s="16"/>
      <c r="G815" s="16" t="s">
        <v>646</v>
      </c>
      <c r="H815" s="15" t="s">
        <v>650</v>
      </c>
      <c r="I815" s="17" t="s">
        <v>343</v>
      </c>
      <c r="J815" s="79">
        <v>31033.850000000002</v>
      </c>
      <c r="K815" s="18" t="s">
        <v>280</v>
      </c>
      <c r="L815" s="94" t="s">
        <v>694</v>
      </c>
      <c r="M815" s="148" t="s">
        <v>702</v>
      </c>
      <c r="N815" s="81" t="str">
        <f>_xlfn.XLOOKUP(Calculations[[#This Row],[For XLOOKUP]],Factors[For XLOOKUP],Factors[Factor],"")</f>
        <v>Σ.Ε. CO₂ eq</v>
      </c>
      <c r="O815" s="81">
        <f>_xlfn.XLOOKUP(Calculations[[#This Row],[For XLOOKUP]],Factors[For XLOOKUP],Factors[Value],"")</f>
        <v>0.14330047042017041</v>
      </c>
      <c r="P815" s="81" t="str">
        <f>_xlfn.XLOOKUP(Calculations[[#This Row],[For XLOOKUP]],Factors[For XLOOKUP],Factors[Units],"")</f>
        <v>tn CO2 eq/ tn</v>
      </c>
      <c r="Q815" s="19" t="str">
        <f>_xlfn.XLOOKUP(Calculations[[#This Row],[For XLOOKUP]],Factors[For XLOOKUP],Factors[Source],"")</f>
        <v>EPA 2024</v>
      </c>
      <c r="R81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5" s="81" t="str">
        <f>IF(LEFT(Calculations[[#This Row],[Emission Factor]],7)="Σ.Ε. CH",Calculations[[#This Row],[Value]]*Calculations[[#This Row],[Τιμή]],"-")</f>
        <v>-</v>
      </c>
      <c r="T81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5" s="81" t="str">
        <f>IF(LEFT(Calculations[[#This Row],[Emission Factor]],3)="GWP",Calculations[[#This Row],[Τιμή]],"-")</f>
        <v>-</v>
      </c>
      <c r="V815" s="247">
        <f>IF(OR(Calculations[[#This Row],[Emission Factor]]="Σ.Ε. CO₂ eq",Calculations[[#This Row],[Emission Factor]]="CO₂ eq"),Calculations[[#This Row],[Value]]*Calculations[[#This Row],[Τιμή]],"-")</f>
        <v>4447.1653039490056</v>
      </c>
      <c r="W815" s="81" t="str">
        <f>IF(Calculations[[#This Row],[Πηγή εκπομπών]]="Electricity consumed in office buildings and projects - market based",Calculations[[#This Row],[t CO2]],"")</f>
        <v/>
      </c>
      <c r="X81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4447.1653039490056</v>
      </c>
    </row>
    <row r="816" spans="1:24" hidden="1">
      <c r="A816" s="15" t="s">
        <v>350</v>
      </c>
      <c r="B816" s="15" t="s">
        <v>645</v>
      </c>
      <c r="C816" s="16" t="s">
        <v>624</v>
      </c>
      <c r="D816" s="77" t="s">
        <v>1276</v>
      </c>
      <c r="E816" s="77"/>
      <c r="F816" s="16"/>
      <c r="G816" s="16" t="s">
        <v>646</v>
      </c>
      <c r="H816" s="15" t="s">
        <v>651</v>
      </c>
      <c r="I816" s="17" t="s">
        <v>343</v>
      </c>
      <c r="J816" s="79">
        <v>146.92000000000002</v>
      </c>
      <c r="K816" s="18" t="s">
        <v>280</v>
      </c>
      <c r="L816" s="94" t="s">
        <v>695</v>
      </c>
      <c r="M816" s="148" t="s">
        <v>702</v>
      </c>
      <c r="N816" s="81" t="str">
        <f>_xlfn.XLOOKUP(Calculations[[#This Row],[For XLOOKUP]],Factors[For XLOOKUP],Factors[Factor],"")</f>
        <v>Σ.Ε. CO₂ eq</v>
      </c>
      <c r="O816" s="81">
        <f>_xlfn.XLOOKUP(Calculations[[#This Row],[For XLOOKUP]],Factors[For XLOOKUP],Factors[Value],"")</f>
        <v>0.14330047042017041</v>
      </c>
      <c r="P816" s="81" t="str">
        <f>_xlfn.XLOOKUP(Calculations[[#This Row],[For XLOOKUP]],Factors[For XLOOKUP],Factors[Units],"")</f>
        <v>tn CO2 eq/ tn</v>
      </c>
      <c r="Q816" s="19" t="str">
        <f>_xlfn.XLOOKUP(Calculations[[#This Row],[For XLOOKUP]],Factors[For XLOOKUP],Factors[Source],"")</f>
        <v>EPA 2024</v>
      </c>
      <c r="R81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6" s="81" t="str">
        <f>IF(LEFT(Calculations[[#This Row],[Emission Factor]],7)="Σ.Ε. CH",Calculations[[#This Row],[Value]]*Calculations[[#This Row],[Τιμή]],"-")</f>
        <v>-</v>
      </c>
      <c r="T81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6" s="81" t="str">
        <f>IF(LEFT(Calculations[[#This Row],[Emission Factor]],3)="GWP",Calculations[[#This Row],[Τιμή]],"-")</f>
        <v>-</v>
      </c>
      <c r="V816" s="247">
        <f>IF(OR(Calculations[[#This Row],[Emission Factor]]="Σ.Ε. CO₂ eq",Calculations[[#This Row],[Emission Factor]]="CO₂ eq"),Calculations[[#This Row],[Value]]*Calculations[[#This Row],[Τιμή]],"-")</f>
        <v>21.053705114131439</v>
      </c>
      <c r="W816" s="81" t="str">
        <f>IF(Calculations[[#This Row],[Πηγή εκπομπών]]="Electricity consumed in office buildings and projects - market based",Calculations[[#This Row],[t CO2]],"")</f>
        <v/>
      </c>
      <c r="X81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21.053705114131439</v>
      </c>
    </row>
    <row r="817" spans="1:24" hidden="1">
      <c r="A817" s="15" t="s">
        <v>350</v>
      </c>
      <c r="B817" s="15" t="s">
        <v>645</v>
      </c>
      <c r="C817" s="16" t="s">
        <v>624</v>
      </c>
      <c r="D817" s="77" t="s">
        <v>1276</v>
      </c>
      <c r="E817" s="77"/>
      <c r="F817" s="16"/>
      <c r="G817" s="16" t="s">
        <v>646</v>
      </c>
      <c r="H817" s="15" t="s">
        <v>652</v>
      </c>
      <c r="I817" s="17" t="s">
        <v>343</v>
      </c>
      <c r="J817" s="79">
        <v>296.45949999999999</v>
      </c>
      <c r="K817" s="18" t="s">
        <v>280</v>
      </c>
      <c r="L817" s="94" t="s">
        <v>694</v>
      </c>
      <c r="M817" s="148" t="s">
        <v>704</v>
      </c>
      <c r="N817" s="81" t="str">
        <f>_xlfn.XLOOKUP(Calculations[[#This Row],[For XLOOKUP]],Factors[For XLOOKUP],Factors[Factor],"")</f>
        <v>Σ.Ε. CO₂ eq</v>
      </c>
      <c r="O817" s="81">
        <f>_xlfn.XLOOKUP(Calculations[[#This Row],[For XLOOKUP]],Factors[For XLOOKUP],Factors[Value],"")</f>
        <v>6.4106099999999997E-3</v>
      </c>
      <c r="P817" s="81" t="str">
        <f>_xlfn.XLOOKUP(Calculations[[#This Row],[For XLOOKUP]],Factors[For XLOOKUP],Factors[Units],"")</f>
        <v>tn CO2 eq/ tn</v>
      </c>
      <c r="Q817" s="19" t="str">
        <f>_xlfn.XLOOKUP(Calculations[[#This Row],[For XLOOKUP]],Factors[For XLOOKUP],Factors[Source],"")</f>
        <v>DEFRA 2024</v>
      </c>
      <c r="R81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7" s="81" t="str">
        <f>IF(LEFT(Calculations[[#This Row],[Emission Factor]],7)="Σ.Ε. CH",Calculations[[#This Row],[Value]]*Calculations[[#This Row],[Τιμή]],"-")</f>
        <v>-</v>
      </c>
      <c r="T81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7" s="81" t="str">
        <f>IF(LEFT(Calculations[[#This Row],[Emission Factor]],3)="GWP",Calculations[[#This Row],[Τιμή]],"-")</f>
        <v>-</v>
      </c>
      <c r="V817" s="247">
        <f>IF(OR(Calculations[[#This Row],[Emission Factor]]="Σ.Ε. CO₂ eq",Calculations[[#This Row],[Emission Factor]]="CO₂ eq"),Calculations[[#This Row],[Value]]*Calculations[[#This Row],[Τιμή]],"-")</f>
        <v>1.9004862352949998</v>
      </c>
      <c r="W817" s="81" t="str">
        <f>IF(Calculations[[#This Row],[Πηγή εκπομπών]]="Electricity consumed in office buildings and projects - market based",Calculations[[#This Row],[t CO2]],"")</f>
        <v/>
      </c>
      <c r="X81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1.9004862352949998</v>
      </c>
    </row>
    <row r="818" spans="1:24" hidden="1">
      <c r="A818" s="15" t="s">
        <v>350</v>
      </c>
      <c r="B818" s="15" t="s">
        <v>645</v>
      </c>
      <c r="C818" s="16" t="s">
        <v>624</v>
      </c>
      <c r="D818" s="16" t="s">
        <v>1255</v>
      </c>
      <c r="E818" s="16" t="s">
        <v>1150</v>
      </c>
      <c r="F818" s="16"/>
      <c r="G818" s="16" t="s">
        <v>646</v>
      </c>
      <c r="H818" s="15" t="s">
        <v>653</v>
      </c>
      <c r="I818" s="17" t="s">
        <v>343</v>
      </c>
      <c r="J818" s="79">
        <v>0.40860916073352799</v>
      </c>
      <c r="K818" s="18" t="s">
        <v>280</v>
      </c>
      <c r="L818" s="94" t="s">
        <v>694</v>
      </c>
      <c r="M818" s="148" t="s">
        <v>704</v>
      </c>
      <c r="N818" s="81" t="str">
        <f>_xlfn.XLOOKUP(Calculations[[#This Row],[For XLOOKUP]],Factors[For XLOOKUP],Factors[Factor],"")</f>
        <v>Σ.Ε. CO₂ eq</v>
      </c>
      <c r="O818" s="81">
        <f>_xlfn.XLOOKUP(Calculations[[#This Row],[For XLOOKUP]],Factors[For XLOOKUP],Factors[Value],"")</f>
        <v>6.4106099999999997E-3</v>
      </c>
      <c r="P818" s="81" t="str">
        <f>_xlfn.XLOOKUP(Calculations[[#This Row],[For XLOOKUP]],Factors[For XLOOKUP],Factors[Units],"")</f>
        <v>tn CO2 eq/ tn</v>
      </c>
      <c r="Q818" s="19" t="str">
        <f>_xlfn.XLOOKUP(Calculations[[#This Row],[For XLOOKUP]],Factors[For XLOOKUP],Factors[Source],"")</f>
        <v>DEFRA 2024</v>
      </c>
      <c r="R81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8" s="81" t="str">
        <f>IF(LEFT(Calculations[[#This Row],[Emission Factor]],7)="Σ.Ε. CH",Calculations[[#This Row],[Value]]*Calculations[[#This Row],[Τιμή]],"-")</f>
        <v>-</v>
      </c>
      <c r="T81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8" s="81" t="str">
        <f>IF(LEFT(Calculations[[#This Row],[Emission Factor]],3)="GWP",Calculations[[#This Row],[Τιμή]],"-")</f>
        <v>-</v>
      </c>
      <c r="V818" s="247">
        <f>IF(OR(Calculations[[#This Row],[Emission Factor]]="Σ.Ε. CO₂ eq",Calculations[[#This Row],[Emission Factor]]="CO₂ eq"),Calculations[[#This Row],[Value]]*Calculations[[#This Row],[Τιμή]],"-")</f>
        <v>2.6194339718899617E-3</v>
      </c>
      <c r="W818" s="81" t="str">
        <f>IF(Calculations[[#This Row],[Πηγή εκπομπών]]="Electricity consumed in office buildings and projects - market based",Calculations[[#This Row],[t CO2]],"")</f>
        <v/>
      </c>
      <c r="X81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2.6194339718899617E-3</v>
      </c>
    </row>
    <row r="819" spans="1:24" hidden="1">
      <c r="A819" s="15" t="s">
        <v>350</v>
      </c>
      <c r="B819" s="15" t="s">
        <v>645</v>
      </c>
      <c r="C819" s="16" t="s">
        <v>624</v>
      </c>
      <c r="D819" s="77" t="s">
        <v>1255</v>
      </c>
      <c r="E819" s="77" t="s">
        <v>1151</v>
      </c>
      <c r="F819" s="16"/>
      <c r="G819" s="16" t="s">
        <v>646</v>
      </c>
      <c r="H819" s="15" t="s">
        <v>653</v>
      </c>
      <c r="I819" s="17" t="s">
        <v>343</v>
      </c>
      <c r="J819" s="79">
        <v>7.47</v>
      </c>
      <c r="K819" s="18" t="s">
        <v>280</v>
      </c>
      <c r="L819" s="94" t="s">
        <v>694</v>
      </c>
      <c r="M819" s="148" t="s">
        <v>704</v>
      </c>
      <c r="N819" s="81" t="str">
        <f>_xlfn.XLOOKUP(Calculations[[#This Row],[For XLOOKUP]],Factors[For XLOOKUP],Factors[Factor],"")</f>
        <v>Σ.Ε. CO₂ eq</v>
      </c>
      <c r="O819" s="81">
        <f>_xlfn.XLOOKUP(Calculations[[#This Row],[For XLOOKUP]],Factors[For XLOOKUP],Factors[Value],"")</f>
        <v>6.4106099999999997E-3</v>
      </c>
      <c r="P819" s="81" t="str">
        <f>_xlfn.XLOOKUP(Calculations[[#This Row],[For XLOOKUP]],Factors[For XLOOKUP],Factors[Units],"")</f>
        <v>tn CO2 eq/ tn</v>
      </c>
      <c r="Q819" s="19" t="str">
        <f>_xlfn.XLOOKUP(Calculations[[#This Row],[For XLOOKUP]],Factors[For XLOOKUP],Factors[Source],"")</f>
        <v>DEFRA 2024</v>
      </c>
      <c r="R81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9" s="81" t="str">
        <f>IF(LEFT(Calculations[[#This Row],[Emission Factor]],7)="Σ.Ε. CH",Calculations[[#This Row],[Value]]*Calculations[[#This Row],[Τιμή]],"-")</f>
        <v>-</v>
      </c>
      <c r="T81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9" s="81" t="str">
        <f>IF(LEFT(Calculations[[#This Row],[Emission Factor]],3)="GWP",Calculations[[#This Row],[Τιμή]],"-")</f>
        <v>-</v>
      </c>
      <c r="V819" s="247">
        <f>IF(OR(Calculations[[#This Row],[Emission Factor]]="Σ.Ε. CO₂ eq",Calculations[[#This Row],[Emission Factor]]="CO₂ eq"),Calculations[[#This Row],[Value]]*Calculations[[#This Row],[Τιμή]],"-")</f>
        <v>4.7887256699999999E-2</v>
      </c>
      <c r="W819" s="81" t="str">
        <f>IF(Calculations[[#This Row],[Πηγή εκπομπών]]="Electricity consumed in office buildings and projects - market based",Calculations[[#This Row],[t CO2]],"")</f>
        <v/>
      </c>
      <c r="X81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4.7887256699999999E-2</v>
      </c>
    </row>
    <row r="820" spans="1:24" hidden="1">
      <c r="A820" s="15" t="s">
        <v>350</v>
      </c>
      <c r="B820" s="15" t="s">
        <v>645</v>
      </c>
      <c r="C820" s="16" t="s">
        <v>624</v>
      </c>
      <c r="D820" s="77" t="s">
        <v>1268</v>
      </c>
      <c r="E820" s="77" t="s">
        <v>1146</v>
      </c>
      <c r="F820" s="16"/>
      <c r="G820" s="16" t="s">
        <v>646</v>
      </c>
      <c r="H820" s="15" t="s">
        <v>653</v>
      </c>
      <c r="I820" s="17" t="s">
        <v>343</v>
      </c>
      <c r="J820" s="79">
        <v>3.6190035771045599</v>
      </c>
      <c r="K820" s="18" t="s">
        <v>280</v>
      </c>
      <c r="L820" s="94" t="s">
        <v>694</v>
      </c>
      <c r="M820" s="148" t="s">
        <v>704</v>
      </c>
      <c r="N820" s="81" t="str">
        <f>_xlfn.XLOOKUP(Calculations[[#This Row],[For XLOOKUP]],Factors[For XLOOKUP],Factors[Factor],"")</f>
        <v>Σ.Ε. CO₂ eq</v>
      </c>
      <c r="O820" s="81">
        <f>_xlfn.XLOOKUP(Calculations[[#This Row],[For XLOOKUP]],Factors[For XLOOKUP],Factors[Value],"")</f>
        <v>6.4106099999999997E-3</v>
      </c>
      <c r="P820" s="81" t="str">
        <f>_xlfn.XLOOKUP(Calculations[[#This Row],[For XLOOKUP]],Factors[For XLOOKUP],Factors[Units],"")</f>
        <v>tn CO2 eq/ tn</v>
      </c>
      <c r="Q820" s="19" t="str">
        <f>_xlfn.XLOOKUP(Calculations[[#This Row],[For XLOOKUP]],Factors[For XLOOKUP],Factors[Source],"")</f>
        <v>DEFRA 2024</v>
      </c>
      <c r="R82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0" s="81" t="str">
        <f>IF(LEFT(Calculations[[#This Row],[Emission Factor]],7)="Σ.Ε. CH",Calculations[[#This Row],[Value]]*Calculations[[#This Row],[Τιμή]],"-")</f>
        <v>-</v>
      </c>
      <c r="T82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0" s="81" t="str">
        <f>IF(LEFT(Calculations[[#This Row],[Emission Factor]],3)="GWP",Calculations[[#This Row],[Τιμή]],"-")</f>
        <v>-</v>
      </c>
      <c r="V820" s="247">
        <f>IF(OR(Calculations[[#This Row],[Emission Factor]]="Σ.Ε. CO₂ eq",Calculations[[#This Row],[Emission Factor]]="CO₂ eq"),Calculations[[#This Row],[Value]]*Calculations[[#This Row],[Τιμή]],"-")</f>
        <v>2.3200020521422261E-2</v>
      </c>
      <c r="W820" s="81" t="str">
        <f>IF(Calculations[[#This Row],[Πηγή εκπομπών]]="Electricity consumed in office buildings and projects - market based",Calculations[[#This Row],[t CO2]],"")</f>
        <v/>
      </c>
      <c r="X82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2.3200020521422261E-2</v>
      </c>
    </row>
    <row r="821" spans="1:24" hidden="1">
      <c r="A821" s="15" t="s">
        <v>350</v>
      </c>
      <c r="B821" s="15" t="s">
        <v>645</v>
      </c>
      <c r="C821" s="16" t="s">
        <v>624</v>
      </c>
      <c r="D821" s="16" t="s">
        <v>1273</v>
      </c>
      <c r="E821" s="77" t="s">
        <v>1136</v>
      </c>
      <c r="F821" s="16"/>
      <c r="G821" s="16" t="s">
        <v>646</v>
      </c>
      <c r="H821" s="15" t="s">
        <v>653</v>
      </c>
      <c r="I821" s="17" t="s">
        <v>343</v>
      </c>
      <c r="J821" s="79">
        <v>1.1073131368796001</v>
      </c>
      <c r="K821" s="18" t="s">
        <v>280</v>
      </c>
      <c r="L821" s="94" t="s">
        <v>694</v>
      </c>
      <c r="M821" s="148" t="s">
        <v>704</v>
      </c>
      <c r="N821" s="81" t="str">
        <f>_xlfn.XLOOKUP(Calculations[[#This Row],[For XLOOKUP]],Factors[For XLOOKUP],Factors[Factor],"")</f>
        <v>Σ.Ε. CO₂ eq</v>
      </c>
      <c r="O821" s="81">
        <f>_xlfn.XLOOKUP(Calculations[[#This Row],[For XLOOKUP]],Factors[For XLOOKUP],Factors[Value],"")</f>
        <v>6.4106099999999997E-3</v>
      </c>
      <c r="P821" s="81" t="str">
        <f>_xlfn.XLOOKUP(Calculations[[#This Row],[For XLOOKUP]],Factors[For XLOOKUP],Factors[Units],"")</f>
        <v>tn CO2 eq/ tn</v>
      </c>
      <c r="Q821" s="19" t="str">
        <f>_xlfn.XLOOKUP(Calculations[[#This Row],[For XLOOKUP]],Factors[For XLOOKUP],Factors[Source],"")</f>
        <v>DEFRA 2024</v>
      </c>
      <c r="R82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1" s="81" t="str">
        <f>IF(LEFT(Calculations[[#This Row],[Emission Factor]],7)="Σ.Ε. CH",Calculations[[#This Row],[Value]]*Calculations[[#This Row],[Τιμή]],"-")</f>
        <v>-</v>
      </c>
      <c r="T82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1" s="81" t="str">
        <f>IF(LEFT(Calculations[[#This Row],[Emission Factor]],3)="GWP",Calculations[[#This Row],[Τιμή]],"-")</f>
        <v>-</v>
      </c>
      <c r="V821" s="247">
        <f>IF(OR(Calculations[[#This Row],[Emission Factor]]="Σ.Ε. CO₂ eq",Calculations[[#This Row],[Emission Factor]]="CO₂ eq"),Calculations[[#This Row],[Value]]*Calculations[[#This Row],[Τιμή]],"-")</f>
        <v>7.0985526684117332E-3</v>
      </c>
      <c r="W821" s="81" t="str">
        <f>IF(Calculations[[#This Row],[Πηγή εκπομπών]]="Electricity consumed in office buildings and projects - market based",Calculations[[#This Row],[t CO2]],"")</f>
        <v/>
      </c>
      <c r="X82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7.0985526684117332E-3</v>
      </c>
    </row>
    <row r="822" spans="1:24" hidden="1">
      <c r="A822" s="15" t="s">
        <v>350</v>
      </c>
      <c r="B822" s="15" t="s">
        <v>645</v>
      </c>
      <c r="C822" s="16" t="s">
        <v>624</v>
      </c>
      <c r="D822" s="16" t="s">
        <v>1273</v>
      </c>
      <c r="E822" s="77" t="s">
        <v>1142</v>
      </c>
      <c r="F822" s="16"/>
      <c r="G822" s="16" t="s">
        <v>646</v>
      </c>
      <c r="H822" s="15" t="s">
        <v>653</v>
      </c>
      <c r="I822" s="17" t="s">
        <v>343</v>
      </c>
      <c r="J822" s="79">
        <v>0.10613224954117599</v>
      </c>
      <c r="K822" s="18" t="s">
        <v>280</v>
      </c>
      <c r="L822" s="94" t="s">
        <v>694</v>
      </c>
      <c r="M822" s="148" t="s">
        <v>704</v>
      </c>
      <c r="N822" s="81" t="str">
        <f>_xlfn.XLOOKUP(Calculations[[#This Row],[For XLOOKUP]],Factors[For XLOOKUP],Factors[Factor],"")</f>
        <v>Σ.Ε. CO₂ eq</v>
      </c>
      <c r="O822" s="81">
        <f>_xlfn.XLOOKUP(Calculations[[#This Row],[For XLOOKUP]],Factors[For XLOOKUP],Factors[Value],"")</f>
        <v>6.4106099999999997E-3</v>
      </c>
      <c r="P822" s="81" t="str">
        <f>_xlfn.XLOOKUP(Calculations[[#This Row],[For XLOOKUP]],Factors[For XLOOKUP],Factors[Units],"")</f>
        <v>tn CO2 eq/ tn</v>
      </c>
      <c r="Q822" s="19" t="str">
        <f>_xlfn.XLOOKUP(Calculations[[#This Row],[For XLOOKUP]],Factors[For XLOOKUP],Factors[Source],"")</f>
        <v>DEFRA 2024</v>
      </c>
      <c r="R82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2" s="81" t="str">
        <f>IF(LEFT(Calculations[[#This Row],[Emission Factor]],7)="Σ.Ε. CH",Calculations[[#This Row],[Value]]*Calculations[[#This Row],[Τιμή]],"-")</f>
        <v>-</v>
      </c>
      <c r="T82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2" s="81" t="str">
        <f>IF(LEFT(Calculations[[#This Row],[Emission Factor]],3)="GWP",Calculations[[#This Row],[Τιμή]],"-")</f>
        <v>-</v>
      </c>
      <c r="V822" s="247">
        <f>IF(OR(Calculations[[#This Row],[Emission Factor]]="Σ.Ε. CO₂ eq",Calculations[[#This Row],[Emission Factor]]="CO₂ eq"),Calculations[[#This Row],[Value]]*Calculations[[#This Row],[Τιμή]],"-")</f>
        <v>6.8037246023115814E-4</v>
      </c>
      <c r="W822" s="81" t="str">
        <f>IF(Calculations[[#This Row],[Πηγή εκπομπών]]="Electricity consumed in office buildings and projects - market based",Calculations[[#This Row],[t CO2]],"")</f>
        <v/>
      </c>
      <c r="X82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6.8037246023115814E-4</v>
      </c>
    </row>
    <row r="823" spans="1:24" hidden="1">
      <c r="A823" s="15" t="s">
        <v>350</v>
      </c>
      <c r="B823" s="15" t="s">
        <v>645</v>
      </c>
      <c r="C823" s="16" t="s">
        <v>624</v>
      </c>
      <c r="D823" s="16" t="s">
        <v>1276</v>
      </c>
      <c r="E823" s="77"/>
      <c r="F823" s="16"/>
      <c r="G823" s="16" t="s">
        <v>646</v>
      </c>
      <c r="H823" s="15" t="s">
        <v>653</v>
      </c>
      <c r="I823" s="17" t="s">
        <v>343</v>
      </c>
      <c r="J823" s="79">
        <v>18.75</v>
      </c>
      <c r="K823" s="18" t="s">
        <v>280</v>
      </c>
      <c r="L823" s="94" t="s">
        <v>694</v>
      </c>
      <c r="M823" s="148" t="s">
        <v>704</v>
      </c>
      <c r="N823" s="81" t="str">
        <f>_xlfn.XLOOKUP(Calculations[[#This Row],[For XLOOKUP]],Factors[For XLOOKUP],Factors[Factor],"")</f>
        <v>Σ.Ε. CO₂ eq</v>
      </c>
      <c r="O823" s="81">
        <f>_xlfn.XLOOKUP(Calculations[[#This Row],[For XLOOKUP]],Factors[For XLOOKUP],Factors[Value],"")</f>
        <v>6.4106099999999997E-3</v>
      </c>
      <c r="P823" s="81" t="str">
        <f>_xlfn.XLOOKUP(Calculations[[#This Row],[For XLOOKUP]],Factors[For XLOOKUP],Factors[Units],"")</f>
        <v>tn CO2 eq/ tn</v>
      </c>
      <c r="Q823" s="19" t="str">
        <f>_xlfn.XLOOKUP(Calculations[[#This Row],[For XLOOKUP]],Factors[For XLOOKUP],Factors[Source],"")</f>
        <v>DEFRA 2024</v>
      </c>
      <c r="R82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3" s="81" t="str">
        <f>IF(LEFT(Calculations[[#This Row],[Emission Factor]],7)="Σ.Ε. CH",Calculations[[#This Row],[Value]]*Calculations[[#This Row],[Τιμή]],"-")</f>
        <v>-</v>
      </c>
      <c r="T82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3" s="81" t="str">
        <f>IF(LEFT(Calculations[[#This Row],[Emission Factor]],3)="GWP",Calculations[[#This Row],[Τιμή]],"-")</f>
        <v>-</v>
      </c>
      <c r="V823" s="247">
        <f>IF(OR(Calculations[[#This Row],[Emission Factor]]="Σ.Ε. CO₂ eq",Calculations[[#This Row],[Emission Factor]]="CO₂ eq"),Calculations[[#This Row],[Value]]*Calculations[[#This Row],[Τιμή]],"-")</f>
        <v>0.12019893749999999</v>
      </c>
      <c r="W823" s="81" t="str">
        <f>IF(Calculations[[#This Row],[Πηγή εκπομπών]]="Electricity consumed in office buildings and projects - market based",Calculations[[#This Row],[t CO2]],"")</f>
        <v/>
      </c>
      <c r="X82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0.12019893749999999</v>
      </c>
    </row>
    <row r="824" spans="1:24" hidden="1">
      <c r="A824" s="15" t="s">
        <v>350</v>
      </c>
      <c r="B824" s="15" t="s">
        <v>645</v>
      </c>
      <c r="C824" s="16" t="s">
        <v>327</v>
      </c>
      <c r="D824" s="77" t="s">
        <v>1276</v>
      </c>
      <c r="E824" s="77" t="s">
        <v>1187</v>
      </c>
      <c r="F824" s="16"/>
      <c r="G824" s="16" t="s">
        <v>646</v>
      </c>
      <c r="H824" s="15" t="s">
        <v>654</v>
      </c>
      <c r="I824" s="17" t="s">
        <v>343</v>
      </c>
      <c r="J824" s="79">
        <v>608.70000000000005</v>
      </c>
      <c r="K824" s="18" t="s">
        <v>280</v>
      </c>
      <c r="L824" s="94" t="s">
        <v>694</v>
      </c>
      <c r="M824" s="148" t="s">
        <v>705</v>
      </c>
      <c r="N824" s="81" t="str">
        <f>_xlfn.XLOOKUP(Calculations[[#This Row],[For XLOOKUP]],Factors[For XLOOKUP],Factors[Factor],"")</f>
        <v>Σ.Ε. CO₂ eq</v>
      </c>
      <c r="O824" s="81">
        <f>_xlfn.XLOOKUP(Calculations[[#This Row],[For XLOOKUP]],Factors[For XLOOKUP],Factors[Value],"")</f>
        <v>6.4106099999999997E-3</v>
      </c>
      <c r="P824" s="81" t="str">
        <f>_xlfn.XLOOKUP(Calculations[[#This Row],[For XLOOKUP]],Factors[For XLOOKUP],Factors[Units],"")</f>
        <v>tn CO2 eq/ tn</v>
      </c>
      <c r="Q824" s="19" t="str">
        <f>_xlfn.XLOOKUP(Calculations[[#This Row],[For XLOOKUP]],Factors[For XLOOKUP],Factors[Source],"")</f>
        <v>DEFRA 2024</v>
      </c>
      <c r="R82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4" s="81" t="str">
        <f>IF(LEFT(Calculations[[#This Row],[Emission Factor]],7)="Σ.Ε. CH",Calculations[[#This Row],[Value]]*Calculations[[#This Row],[Τιμή]],"-")</f>
        <v>-</v>
      </c>
      <c r="T82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4" s="81" t="str">
        <f>IF(LEFT(Calculations[[#This Row],[Emission Factor]],3)="GWP",Calculations[[#This Row],[Τιμή]],"-")</f>
        <v>-</v>
      </c>
      <c r="V824" s="247">
        <f>IF(OR(Calculations[[#This Row],[Emission Factor]]="Σ.Ε. CO₂ eq",Calculations[[#This Row],[Emission Factor]]="CO₂ eq"),Calculations[[#This Row],[Value]]*Calculations[[#This Row],[Τιμή]],"-")</f>
        <v>3.902138307</v>
      </c>
      <c r="W824" s="81" t="str">
        <f>IF(Calculations[[#This Row],[Πηγή εκπομπών]]="Electricity consumed in office buildings and projects - market based",Calculations[[#This Row],[t CO2]],"")</f>
        <v/>
      </c>
      <c r="X82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3.902138307</v>
      </c>
    </row>
    <row r="825" spans="1:24" hidden="1">
      <c r="A825" s="15" t="s">
        <v>350</v>
      </c>
      <c r="B825" s="15" t="s">
        <v>645</v>
      </c>
      <c r="C825" s="16" t="s">
        <v>624</v>
      </c>
      <c r="D825" s="77" t="s">
        <v>1276</v>
      </c>
      <c r="E825" s="77"/>
      <c r="F825" s="16"/>
      <c r="G825" s="16" t="s">
        <v>646</v>
      </c>
      <c r="H825" s="15" t="s">
        <v>654</v>
      </c>
      <c r="I825" s="17" t="s">
        <v>343</v>
      </c>
      <c r="J825" s="79">
        <v>1053.0229999999999</v>
      </c>
      <c r="K825" s="18" t="s">
        <v>280</v>
      </c>
      <c r="L825" s="94" t="s">
        <v>694</v>
      </c>
      <c r="M825" s="148" t="s">
        <v>705</v>
      </c>
      <c r="N825" s="19" t="str">
        <f>_xlfn.XLOOKUP(Calculations[[#This Row],[For XLOOKUP]],Factors[For XLOOKUP],Factors[Factor],"")</f>
        <v>Σ.Ε. CO₂ eq</v>
      </c>
      <c r="O825" s="19">
        <f>_xlfn.XLOOKUP(Calculations[[#This Row],[For XLOOKUP]],Factors[For XLOOKUP],Factors[Value],"")</f>
        <v>6.4106099999999997E-3</v>
      </c>
      <c r="P825" s="19" t="str">
        <f>_xlfn.XLOOKUP(Calculations[[#This Row],[For XLOOKUP]],Factors[For XLOOKUP],Factors[Units],"")</f>
        <v>tn CO2 eq/ tn</v>
      </c>
      <c r="Q825" s="19" t="str">
        <f>_xlfn.XLOOKUP(Calculations[[#This Row],[For XLOOKUP]],Factors[For XLOOKUP],Factors[Source],"")</f>
        <v>DEFRA 2024</v>
      </c>
      <c r="R825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5" s="19" t="str">
        <f>IF(LEFT(Calculations[[#This Row],[Emission Factor]],7)="Σ.Ε. CH",Calculations[[#This Row],[Value]]*Calculations[[#This Row],[Τιμή]],"-")</f>
        <v>-</v>
      </c>
      <c r="T825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5" s="19" t="str">
        <f>IF(LEFT(Calculations[[#This Row],[Emission Factor]],3)="GWP",Calculations[[#This Row],[Τιμή]],"-")</f>
        <v>-</v>
      </c>
      <c r="V825" s="248">
        <f>IF(OR(Calculations[[#This Row],[Emission Factor]]="Σ.Ε. CO₂ eq",Calculations[[#This Row],[Emission Factor]]="CO₂ eq"),Calculations[[#This Row],[Value]]*Calculations[[#This Row],[Τιμή]],"-")</f>
        <v>6.7505197740299989</v>
      </c>
      <c r="W825" s="19" t="str">
        <f>IF(Calculations[[#This Row],[Πηγή εκπομπών]]="Electricity consumed in office buildings and projects - market based",Calculations[[#This Row],[t CO2]],"")</f>
        <v/>
      </c>
      <c r="X82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6.7505197740299989</v>
      </c>
    </row>
    <row r="826" spans="1:24" hidden="1">
      <c r="A826" s="15" t="s">
        <v>350</v>
      </c>
      <c r="B826" s="15" t="s">
        <v>645</v>
      </c>
      <c r="C826" s="16" t="s">
        <v>624</v>
      </c>
      <c r="D826" s="77" t="s">
        <v>1273</v>
      </c>
      <c r="E826" s="77" t="s">
        <v>1140</v>
      </c>
      <c r="F826" s="16"/>
      <c r="G826" s="16" t="s">
        <v>646</v>
      </c>
      <c r="H826" s="15" t="s">
        <v>655</v>
      </c>
      <c r="I826" s="17" t="s">
        <v>343</v>
      </c>
      <c r="J826" s="79">
        <v>75.855000000000004</v>
      </c>
      <c r="K826" s="18" t="s">
        <v>280</v>
      </c>
      <c r="L826" s="94" t="s">
        <v>694</v>
      </c>
      <c r="M826" s="148" t="s">
        <v>705</v>
      </c>
      <c r="N826" s="81" t="str">
        <f>_xlfn.XLOOKUP(Calculations[[#This Row],[For XLOOKUP]],Factors[For XLOOKUP],Factors[Factor],"")</f>
        <v>Σ.Ε. CO₂ eq</v>
      </c>
      <c r="O826" s="81">
        <f>_xlfn.XLOOKUP(Calculations[[#This Row],[For XLOOKUP]],Factors[For XLOOKUP],Factors[Value],"")</f>
        <v>6.4106099999999997E-3</v>
      </c>
      <c r="P826" s="81" t="str">
        <f>_xlfn.XLOOKUP(Calculations[[#This Row],[For XLOOKUP]],Factors[For XLOOKUP],Factors[Units],"")</f>
        <v>tn CO2 eq/ tn</v>
      </c>
      <c r="Q826" s="19" t="str">
        <f>_xlfn.XLOOKUP(Calculations[[#This Row],[For XLOOKUP]],Factors[For XLOOKUP],Factors[Source],"")</f>
        <v>DEFRA 2024</v>
      </c>
      <c r="R82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6" s="81" t="str">
        <f>IF(LEFT(Calculations[[#This Row],[Emission Factor]],7)="Σ.Ε. CH",Calculations[[#This Row],[Value]]*Calculations[[#This Row],[Τιμή]],"-")</f>
        <v>-</v>
      </c>
      <c r="T82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6" s="81" t="str">
        <f>IF(LEFT(Calculations[[#This Row],[Emission Factor]],3)="GWP",Calculations[[#This Row],[Τιμή]],"-")</f>
        <v>-</v>
      </c>
      <c r="V826" s="247">
        <f>IF(OR(Calculations[[#This Row],[Emission Factor]]="Σ.Ε. CO₂ eq",Calculations[[#This Row],[Emission Factor]]="CO₂ eq"),Calculations[[#This Row],[Value]]*Calculations[[#This Row],[Τιμή]],"-")</f>
        <v>0.48627682155000002</v>
      </c>
      <c r="W826" s="19" t="str">
        <f>IF(Calculations[[#This Row],[Πηγή εκπομπών]]="Electricity consumed in office buildings and projects - market based",Calculations[[#This Row],[t CO2]],"")</f>
        <v/>
      </c>
      <c r="X82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0.48627682155000002</v>
      </c>
    </row>
    <row r="827" spans="1:24" hidden="1">
      <c r="A827" s="15" t="s">
        <v>350</v>
      </c>
      <c r="B827" s="15" t="s">
        <v>645</v>
      </c>
      <c r="C827" s="16" t="s">
        <v>624</v>
      </c>
      <c r="D827" s="77" t="s">
        <v>1273</v>
      </c>
      <c r="E827" s="77" t="s">
        <v>1141</v>
      </c>
      <c r="F827" s="16"/>
      <c r="G827" s="16" t="s">
        <v>646</v>
      </c>
      <c r="H827" s="15" t="s">
        <v>655</v>
      </c>
      <c r="I827" s="17" t="s">
        <v>343</v>
      </c>
      <c r="J827" s="79">
        <v>0.224</v>
      </c>
      <c r="K827" s="18" t="s">
        <v>280</v>
      </c>
      <c r="L827" s="94" t="s">
        <v>694</v>
      </c>
      <c r="M827" s="148" t="s">
        <v>705</v>
      </c>
      <c r="N827" s="81" t="str">
        <f>_xlfn.XLOOKUP(Calculations[[#This Row],[For XLOOKUP]],Factors[For XLOOKUP],Factors[Factor],"")</f>
        <v>Σ.Ε. CO₂ eq</v>
      </c>
      <c r="O827" s="81">
        <f>_xlfn.XLOOKUP(Calculations[[#This Row],[For XLOOKUP]],Factors[For XLOOKUP],Factors[Value],"")</f>
        <v>6.4106099999999997E-3</v>
      </c>
      <c r="P827" s="81" t="str">
        <f>_xlfn.XLOOKUP(Calculations[[#This Row],[For XLOOKUP]],Factors[For XLOOKUP],Factors[Units],"")</f>
        <v>tn CO2 eq/ tn</v>
      </c>
      <c r="Q827" s="19" t="str">
        <f>_xlfn.XLOOKUP(Calculations[[#This Row],[For XLOOKUP]],Factors[For XLOOKUP],Factors[Source],"")</f>
        <v>DEFRA 2024</v>
      </c>
      <c r="R82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7" s="81" t="str">
        <f>IF(LEFT(Calculations[[#This Row],[Emission Factor]],7)="Σ.Ε. CH",Calculations[[#This Row],[Value]]*Calculations[[#This Row],[Τιμή]],"-")</f>
        <v>-</v>
      </c>
      <c r="T82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7" s="81" t="str">
        <f>IF(LEFT(Calculations[[#This Row],[Emission Factor]],3)="GWP",Calculations[[#This Row],[Τιμή]],"-")</f>
        <v>-</v>
      </c>
      <c r="V827" s="247">
        <f>IF(OR(Calculations[[#This Row],[Emission Factor]]="Σ.Ε. CO₂ eq",Calculations[[#This Row],[Emission Factor]]="CO₂ eq"),Calculations[[#This Row],[Value]]*Calculations[[#This Row],[Τιμή]],"-")</f>
        <v>1.4359766399999999E-3</v>
      </c>
      <c r="W827" s="19" t="str">
        <f>IF(Calculations[[#This Row],[Πηγή εκπομπών]]="Electricity consumed in office buildings and projects - market based",Calculations[[#This Row],[t CO2]],"")</f>
        <v/>
      </c>
      <c r="X82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1.4359766399999999E-3</v>
      </c>
    </row>
    <row r="828" spans="1:24" hidden="1">
      <c r="A828" s="15" t="s">
        <v>350</v>
      </c>
      <c r="B828" s="15" t="s">
        <v>645</v>
      </c>
      <c r="C828" s="16" t="s">
        <v>624</v>
      </c>
      <c r="D828" s="77" t="s">
        <v>1276</v>
      </c>
      <c r="E828" s="77"/>
      <c r="F828" s="16"/>
      <c r="G828" s="16" t="s">
        <v>646</v>
      </c>
      <c r="H828" s="15" t="s">
        <v>655</v>
      </c>
      <c r="I828" s="17" t="s">
        <v>343</v>
      </c>
      <c r="J828" s="79">
        <v>4.0659999999999995E-2</v>
      </c>
      <c r="K828" s="18" t="s">
        <v>280</v>
      </c>
      <c r="L828" s="94" t="s">
        <v>694</v>
      </c>
      <c r="M828" s="148" t="s">
        <v>705</v>
      </c>
      <c r="N828" s="81" t="str">
        <f>_xlfn.XLOOKUP(Calculations[[#This Row],[For XLOOKUP]],Factors[For XLOOKUP],Factors[Factor],"")</f>
        <v>Σ.Ε. CO₂ eq</v>
      </c>
      <c r="O828" s="81">
        <f>_xlfn.XLOOKUP(Calculations[[#This Row],[For XLOOKUP]],Factors[For XLOOKUP],Factors[Value],"")</f>
        <v>6.4106099999999997E-3</v>
      </c>
      <c r="P828" s="81" t="str">
        <f>_xlfn.XLOOKUP(Calculations[[#This Row],[For XLOOKUP]],Factors[For XLOOKUP],Factors[Units],"")</f>
        <v>tn CO2 eq/ tn</v>
      </c>
      <c r="Q828" s="19" t="str">
        <f>_xlfn.XLOOKUP(Calculations[[#This Row],[For XLOOKUP]],Factors[For XLOOKUP],Factors[Source],"")</f>
        <v>DEFRA 2024</v>
      </c>
      <c r="R82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8" s="81" t="str">
        <f>IF(LEFT(Calculations[[#This Row],[Emission Factor]],7)="Σ.Ε. CH",Calculations[[#This Row],[Value]]*Calculations[[#This Row],[Τιμή]],"-")</f>
        <v>-</v>
      </c>
      <c r="T82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8" s="81" t="str">
        <f>IF(LEFT(Calculations[[#This Row],[Emission Factor]],3)="GWP",Calculations[[#This Row],[Τιμή]],"-")</f>
        <v>-</v>
      </c>
      <c r="V828" s="247">
        <f>IF(OR(Calculations[[#This Row],[Emission Factor]]="Σ.Ε. CO₂ eq",Calculations[[#This Row],[Emission Factor]]="CO₂ eq"),Calculations[[#This Row],[Value]]*Calculations[[#This Row],[Τιμή]],"-")</f>
        <v>2.6065540259999993E-4</v>
      </c>
      <c r="W828" s="19" t="str">
        <f>IF(Calculations[[#This Row],[Πηγή εκπομπών]]="Electricity consumed in office buildings and projects - market based",Calculations[[#This Row],[t CO2]],"")</f>
        <v/>
      </c>
      <c r="X82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2.6065540259999993E-4</v>
      </c>
    </row>
    <row r="829" spans="1:24" hidden="1">
      <c r="A829" s="15" t="s">
        <v>350</v>
      </c>
      <c r="B829" s="15" t="s">
        <v>645</v>
      </c>
      <c r="C829" s="16" t="s">
        <v>327</v>
      </c>
      <c r="D829" s="77" t="s">
        <v>1276</v>
      </c>
      <c r="E829" s="77" t="s">
        <v>1187</v>
      </c>
      <c r="F829" s="16"/>
      <c r="G829" s="16" t="s">
        <v>646</v>
      </c>
      <c r="H829" s="15" t="s">
        <v>656</v>
      </c>
      <c r="I829" s="17" t="s">
        <v>343</v>
      </c>
      <c r="J829" s="79">
        <v>2430.64</v>
      </c>
      <c r="K829" s="18" t="s">
        <v>280</v>
      </c>
      <c r="L829" s="94" t="s">
        <v>694</v>
      </c>
      <c r="M829" s="148" t="s">
        <v>706</v>
      </c>
      <c r="N829" s="81" t="str">
        <f>_xlfn.XLOOKUP(Calculations[[#This Row],[For XLOOKUP]],Factors[For XLOOKUP],Factors[Factor],"")</f>
        <v>Σ.Ε. CO₂ eq</v>
      </c>
      <c r="O829" s="81">
        <f>_xlfn.XLOOKUP(Calculations[[#This Row],[For XLOOKUP]],Factors[For XLOOKUP],Factors[Value],"")</f>
        <v>6.4106099999999997E-3</v>
      </c>
      <c r="P829" s="81" t="str">
        <f>_xlfn.XLOOKUP(Calculations[[#This Row],[For XLOOKUP]],Factors[For XLOOKUP],Factors[Units],"")</f>
        <v>tn CO2 eq/ tn</v>
      </c>
      <c r="Q829" s="19" t="str">
        <f>_xlfn.XLOOKUP(Calculations[[#This Row],[For XLOOKUP]],Factors[For XLOOKUP],Factors[Source],"")</f>
        <v>DEFRA 2024</v>
      </c>
      <c r="R82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9" s="81" t="str">
        <f>IF(LEFT(Calculations[[#This Row],[Emission Factor]],7)="Σ.Ε. CH",Calculations[[#This Row],[Value]]*Calculations[[#This Row],[Τιμή]],"-")</f>
        <v>-</v>
      </c>
      <c r="T82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9" s="81" t="str">
        <f>IF(LEFT(Calculations[[#This Row],[Emission Factor]],3)="GWP",Calculations[[#This Row],[Τιμή]],"-")</f>
        <v>-</v>
      </c>
      <c r="V829" s="247">
        <f>IF(OR(Calculations[[#This Row],[Emission Factor]]="Σ.Ε. CO₂ eq",Calculations[[#This Row],[Emission Factor]]="CO₂ eq"),Calculations[[#This Row],[Value]]*Calculations[[#This Row],[Τιμή]],"-")</f>
        <v>15.581885090399998</v>
      </c>
      <c r="W829" s="19" t="str">
        <f>IF(Calculations[[#This Row],[Πηγή εκπομπών]]="Electricity consumed in office buildings and projects - market based",Calculations[[#This Row],[t CO2]],"")</f>
        <v/>
      </c>
      <c r="X829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15.581885090399998</v>
      </c>
    </row>
    <row r="830" spans="1:24" hidden="1">
      <c r="A830" s="15" t="s">
        <v>350</v>
      </c>
      <c r="B830" s="15" t="s">
        <v>645</v>
      </c>
      <c r="C830" s="16" t="s">
        <v>624</v>
      </c>
      <c r="D830" s="77" t="s">
        <v>1276</v>
      </c>
      <c r="E830" s="77"/>
      <c r="F830" s="16"/>
      <c r="G830" s="16" t="s">
        <v>646</v>
      </c>
      <c r="H830" s="15" t="s">
        <v>656</v>
      </c>
      <c r="I830" s="17" t="s">
        <v>343</v>
      </c>
      <c r="J830" s="79">
        <v>5537.7025000000003</v>
      </c>
      <c r="K830" s="18" t="s">
        <v>280</v>
      </c>
      <c r="L830" s="94" t="s">
        <v>694</v>
      </c>
      <c r="M830" s="148" t="s">
        <v>706</v>
      </c>
      <c r="N830" s="81" t="str">
        <f>_xlfn.XLOOKUP(Calculations[[#This Row],[For XLOOKUP]],Factors[For XLOOKUP],Factors[Factor],"")</f>
        <v>Σ.Ε. CO₂ eq</v>
      </c>
      <c r="O830" s="81">
        <f>_xlfn.XLOOKUP(Calculations[[#This Row],[For XLOOKUP]],Factors[For XLOOKUP],Factors[Value],"")</f>
        <v>6.4106099999999997E-3</v>
      </c>
      <c r="P830" s="81" t="str">
        <f>_xlfn.XLOOKUP(Calculations[[#This Row],[For XLOOKUP]],Factors[For XLOOKUP],Factors[Units],"")</f>
        <v>tn CO2 eq/ tn</v>
      </c>
      <c r="Q830" s="19" t="str">
        <f>_xlfn.XLOOKUP(Calculations[[#This Row],[For XLOOKUP]],Factors[For XLOOKUP],Factors[Source],"")</f>
        <v>DEFRA 2024</v>
      </c>
      <c r="R83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0" s="81" t="str">
        <f>IF(LEFT(Calculations[[#This Row],[Emission Factor]],7)="Σ.Ε. CH",Calculations[[#This Row],[Value]]*Calculations[[#This Row],[Τιμή]],"-")</f>
        <v>-</v>
      </c>
      <c r="T83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0" s="81" t="str">
        <f>IF(LEFT(Calculations[[#This Row],[Emission Factor]],3)="GWP",Calculations[[#This Row],[Τιμή]],"-")</f>
        <v>-</v>
      </c>
      <c r="V830" s="247">
        <f>IF(OR(Calculations[[#This Row],[Emission Factor]]="Σ.Ε. CO₂ eq",Calculations[[#This Row],[Emission Factor]]="CO₂ eq"),Calculations[[#This Row],[Value]]*Calculations[[#This Row],[Τιμή]],"-")</f>
        <v>35.500051023525003</v>
      </c>
      <c r="W830" s="81" t="str">
        <f>IF(Calculations[[#This Row],[Πηγή εκπομπών]]="Electricity consumed in office buildings and projects - market based",Calculations[[#This Row],[t CO2]],"")</f>
        <v/>
      </c>
      <c r="X83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35.500051023525003</v>
      </c>
    </row>
    <row r="831" spans="1:24" hidden="1">
      <c r="A831" s="15" t="s">
        <v>350</v>
      </c>
      <c r="B831" s="15" t="s">
        <v>645</v>
      </c>
      <c r="C831" s="16" t="s">
        <v>624</v>
      </c>
      <c r="D831" s="77" t="s">
        <v>1273</v>
      </c>
      <c r="E831" s="77" t="s">
        <v>1140</v>
      </c>
      <c r="F831" s="16"/>
      <c r="G831" s="16" t="s">
        <v>646</v>
      </c>
      <c r="H831" s="15" t="s">
        <v>657</v>
      </c>
      <c r="I831" s="17" t="s">
        <v>343</v>
      </c>
      <c r="J831" s="79">
        <v>4.91</v>
      </c>
      <c r="K831" s="18" t="s">
        <v>280</v>
      </c>
      <c r="L831" s="94" t="s">
        <v>694</v>
      </c>
      <c r="M831" s="148" t="s">
        <v>706</v>
      </c>
      <c r="N831" s="81" t="str">
        <f>_xlfn.XLOOKUP(Calculations[[#This Row],[For XLOOKUP]],Factors[For XLOOKUP],Factors[Factor],"")</f>
        <v>Σ.Ε. CO₂ eq</v>
      </c>
      <c r="O831" s="81">
        <f>_xlfn.XLOOKUP(Calculations[[#This Row],[For XLOOKUP]],Factors[For XLOOKUP],Factors[Value],"")</f>
        <v>6.4106099999999997E-3</v>
      </c>
      <c r="P831" s="81" t="str">
        <f>_xlfn.XLOOKUP(Calculations[[#This Row],[For XLOOKUP]],Factors[For XLOOKUP],Factors[Units],"")</f>
        <v>tn CO2 eq/ tn</v>
      </c>
      <c r="Q831" s="19" t="str">
        <f>_xlfn.XLOOKUP(Calculations[[#This Row],[For XLOOKUP]],Factors[For XLOOKUP],Factors[Source],"")</f>
        <v>DEFRA 2024</v>
      </c>
      <c r="R83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1" s="81" t="str">
        <f>IF(LEFT(Calculations[[#This Row],[Emission Factor]],7)="Σ.Ε. CH",Calculations[[#This Row],[Value]]*Calculations[[#This Row],[Τιμή]],"-")</f>
        <v>-</v>
      </c>
      <c r="T83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1" s="81" t="str">
        <f>IF(LEFT(Calculations[[#This Row],[Emission Factor]],3)="GWP",Calculations[[#This Row],[Τιμή]],"-")</f>
        <v>-</v>
      </c>
      <c r="V831" s="247">
        <f>IF(OR(Calculations[[#This Row],[Emission Factor]]="Σ.Ε. CO₂ eq",Calculations[[#This Row],[Emission Factor]]="CO₂ eq"),Calculations[[#This Row],[Value]]*Calculations[[#This Row],[Τιμή]],"-")</f>
        <v>3.1476095099999997E-2</v>
      </c>
      <c r="W831" s="81" t="str">
        <f>IF(Calculations[[#This Row],[Πηγή εκπομπών]]="Electricity consumed in office buildings and projects - market based",Calculations[[#This Row],[t CO2]],"")</f>
        <v/>
      </c>
      <c r="X83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3.1476095099999997E-2</v>
      </c>
    </row>
    <row r="832" spans="1:24" hidden="1">
      <c r="A832" s="15" t="s">
        <v>350</v>
      </c>
      <c r="B832" s="15" t="s">
        <v>645</v>
      </c>
      <c r="C832" s="16" t="s">
        <v>624</v>
      </c>
      <c r="D832" s="77" t="s">
        <v>1273</v>
      </c>
      <c r="E832" s="77" t="s">
        <v>1141</v>
      </c>
      <c r="F832" s="16"/>
      <c r="G832" s="16" t="s">
        <v>646</v>
      </c>
      <c r="H832" s="15" t="s">
        <v>657</v>
      </c>
      <c r="I832" s="17" t="s">
        <v>343</v>
      </c>
      <c r="J832" s="79">
        <v>17.561</v>
      </c>
      <c r="K832" s="18" t="s">
        <v>280</v>
      </c>
      <c r="L832" s="94" t="s">
        <v>694</v>
      </c>
      <c r="M832" s="148" t="s">
        <v>706</v>
      </c>
      <c r="N832" s="81" t="str">
        <f>_xlfn.XLOOKUP(Calculations[[#This Row],[For XLOOKUP]],Factors[For XLOOKUP],Factors[Factor],"")</f>
        <v>Σ.Ε. CO₂ eq</v>
      </c>
      <c r="O832" s="81">
        <f>_xlfn.XLOOKUP(Calculations[[#This Row],[For XLOOKUP]],Factors[For XLOOKUP],Factors[Value],"")</f>
        <v>6.4106099999999997E-3</v>
      </c>
      <c r="P832" s="81" t="str">
        <f>_xlfn.XLOOKUP(Calculations[[#This Row],[For XLOOKUP]],Factors[For XLOOKUP],Factors[Units],"")</f>
        <v>tn CO2 eq/ tn</v>
      </c>
      <c r="Q832" s="19" t="str">
        <f>_xlfn.XLOOKUP(Calculations[[#This Row],[For XLOOKUP]],Factors[For XLOOKUP],Factors[Source],"")</f>
        <v>DEFRA 2024</v>
      </c>
      <c r="R83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2" s="81" t="str">
        <f>IF(LEFT(Calculations[[#This Row],[Emission Factor]],7)="Σ.Ε. CH",Calculations[[#This Row],[Value]]*Calculations[[#This Row],[Τιμή]],"-")</f>
        <v>-</v>
      </c>
      <c r="T83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2" s="81" t="str">
        <f>IF(LEFT(Calculations[[#This Row],[Emission Factor]],3)="GWP",Calculations[[#This Row],[Τιμή]],"-")</f>
        <v>-</v>
      </c>
      <c r="V832" s="247">
        <f>IF(OR(Calculations[[#This Row],[Emission Factor]]="Σ.Ε. CO₂ eq",Calculations[[#This Row],[Emission Factor]]="CO₂ eq"),Calculations[[#This Row],[Value]]*Calculations[[#This Row],[Τιμή]],"-")</f>
        <v>0.11257672220999999</v>
      </c>
      <c r="W832" s="81" t="str">
        <f>IF(Calculations[[#This Row],[Πηγή εκπομπών]]="Electricity consumed in office buildings and projects - market based",Calculations[[#This Row],[t CO2]],"")</f>
        <v/>
      </c>
      <c r="X83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0.11257672220999999</v>
      </c>
    </row>
    <row r="833" spans="1:24" hidden="1">
      <c r="A833" s="15" t="s">
        <v>350</v>
      </c>
      <c r="B833" s="15" t="s">
        <v>645</v>
      </c>
      <c r="C833" s="16" t="s">
        <v>624</v>
      </c>
      <c r="D833" s="77" t="s">
        <v>1273</v>
      </c>
      <c r="E833" s="77" t="s">
        <v>1180</v>
      </c>
      <c r="F833" s="16"/>
      <c r="G833" s="16" t="s">
        <v>646</v>
      </c>
      <c r="H833" s="15" t="s">
        <v>657</v>
      </c>
      <c r="I833" s="17" t="s">
        <v>343</v>
      </c>
      <c r="J833" s="79">
        <v>0.14000000000000001</v>
      </c>
      <c r="K833" s="18" t="s">
        <v>280</v>
      </c>
      <c r="L833" s="94" t="s">
        <v>694</v>
      </c>
      <c r="M833" s="148" t="s">
        <v>706</v>
      </c>
      <c r="N833" s="81" t="str">
        <f>_xlfn.XLOOKUP(Calculations[[#This Row],[For XLOOKUP]],Factors[For XLOOKUP],Factors[Factor],"")</f>
        <v>Σ.Ε. CO₂ eq</v>
      </c>
      <c r="O833" s="81">
        <f>_xlfn.XLOOKUP(Calculations[[#This Row],[For XLOOKUP]],Factors[For XLOOKUP],Factors[Value],"")</f>
        <v>6.4106099999999997E-3</v>
      </c>
      <c r="P833" s="81" t="str">
        <f>_xlfn.XLOOKUP(Calculations[[#This Row],[For XLOOKUP]],Factors[For XLOOKUP],Factors[Units],"")</f>
        <v>tn CO2 eq/ tn</v>
      </c>
      <c r="Q833" s="19" t="str">
        <f>_xlfn.XLOOKUP(Calculations[[#This Row],[For XLOOKUP]],Factors[For XLOOKUP],Factors[Source],"")</f>
        <v>DEFRA 2024</v>
      </c>
      <c r="R83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3" s="81" t="str">
        <f>IF(LEFT(Calculations[[#This Row],[Emission Factor]],7)="Σ.Ε. CH",Calculations[[#This Row],[Value]]*Calculations[[#This Row],[Τιμή]],"-")</f>
        <v>-</v>
      </c>
      <c r="T83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3" s="81" t="str">
        <f>IF(LEFT(Calculations[[#This Row],[Emission Factor]],3)="GWP",Calculations[[#This Row],[Τιμή]],"-")</f>
        <v>-</v>
      </c>
      <c r="V833" s="247">
        <f>IF(OR(Calculations[[#This Row],[Emission Factor]]="Σ.Ε. CO₂ eq",Calculations[[#This Row],[Emission Factor]]="CO₂ eq"),Calculations[[#This Row],[Value]]*Calculations[[#This Row],[Τιμή]],"-")</f>
        <v>8.9748540000000009E-4</v>
      </c>
      <c r="W833" s="81" t="str">
        <f>IF(Calculations[[#This Row],[Πηγή εκπομπών]]="Electricity consumed in office buildings and projects - market based",Calculations[[#This Row],[t CO2]],"")</f>
        <v/>
      </c>
      <c r="X83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8.9748540000000009E-4</v>
      </c>
    </row>
    <row r="834" spans="1:24" hidden="1">
      <c r="A834" s="15" t="s">
        <v>350</v>
      </c>
      <c r="B834" s="15" t="s">
        <v>645</v>
      </c>
      <c r="C834" s="16" t="s">
        <v>624</v>
      </c>
      <c r="D834" s="77" t="s">
        <v>1276</v>
      </c>
      <c r="E834" s="77"/>
      <c r="F834" s="16"/>
      <c r="G834" s="16" t="s">
        <v>646</v>
      </c>
      <c r="H834" s="15" t="s">
        <v>657</v>
      </c>
      <c r="I834" s="17" t="s">
        <v>343</v>
      </c>
      <c r="J834" s="79">
        <v>5.8582800000000006</v>
      </c>
      <c r="K834" s="18" t="s">
        <v>280</v>
      </c>
      <c r="L834" s="94" t="s">
        <v>694</v>
      </c>
      <c r="M834" s="148" t="s">
        <v>706</v>
      </c>
      <c r="N834" s="81" t="str">
        <f>_xlfn.XLOOKUP(Calculations[[#This Row],[For XLOOKUP]],Factors[For XLOOKUP],Factors[Factor],"")</f>
        <v>Σ.Ε. CO₂ eq</v>
      </c>
      <c r="O834" s="81">
        <f>_xlfn.XLOOKUP(Calculations[[#This Row],[For XLOOKUP]],Factors[For XLOOKUP],Factors[Value],"")</f>
        <v>6.4106099999999997E-3</v>
      </c>
      <c r="P834" s="81" t="str">
        <f>_xlfn.XLOOKUP(Calculations[[#This Row],[For XLOOKUP]],Factors[For XLOOKUP],Factors[Units],"")</f>
        <v>tn CO2 eq/ tn</v>
      </c>
      <c r="Q834" s="19" t="str">
        <f>_xlfn.XLOOKUP(Calculations[[#This Row],[For XLOOKUP]],Factors[For XLOOKUP],Factors[Source],"")</f>
        <v>DEFRA 2024</v>
      </c>
      <c r="R83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4" s="81" t="str">
        <f>IF(LEFT(Calculations[[#This Row],[Emission Factor]],7)="Σ.Ε. CH",Calculations[[#This Row],[Value]]*Calculations[[#This Row],[Τιμή]],"-")</f>
        <v>-</v>
      </c>
      <c r="T83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4" s="81" t="str">
        <f>IF(LEFT(Calculations[[#This Row],[Emission Factor]],3)="GWP",Calculations[[#This Row],[Τιμή]],"-")</f>
        <v>-</v>
      </c>
      <c r="V834" s="247">
        <f>IF(OR(Calculations[[#This Row],[Emission Factor]]="Σ.Ε. CO₂ eq",Calculations[[#This Row],[Emission Factor]]="CO₂ eq"),Calculations[[#This Row],[Value]]*Calculations[[#This Row],[Τιμή]],"-")</f>
        <v>3.7555148350800004E-2</v>
      </c>
      <c r="W834" s="81" t="str">
        <f>IF(Calculations[[#This Row],[Πηγή εκπομπών]]="Electricity consumed in office buildings and projects - market based",Calculations[[#This Row],[t CO2]],"")</f>
        <v/>
      </c>
      <c r="X83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3.7555148350800004E-2</v>
      </c>
    </row>
    <row r="835" spans="1:24" hidden="1">
      <c r="A835" s="15" t="s">
        <v>350</v>
      </c>
      <c r="B835" s="15" t="s">
        <v>645</v>
      </c>
      <c r="C835" s="16" t="s">
        <v>327</v>
      </c>
      <c r="D835" s="77" t="s">
        <v>1276</v>
      </c>
      <c r="E835" s="77" t="s">
        <v>1187</v>
      </c>
      <c r="F835" s="16"/>
      <c r="G835" s="16" t="s">
        <v>646</v>
      </c>
      <c r="H835" s="15" t="s">
        <v>658</v>
      </c>
      <c r="I835" s="17" t="s">
        <v>343</v>
      </c>
      <c r="J835" s="79">
        <v>140.78</v>
      </c>
      <c r="K835" s="18" t="s">
        <v>280</v>
      </c>
      <c r="L835" s="94" t="s">
        <v>694</v>
      </c>
      <c r="M835" s="148" t="s">
        <v>707</v>
      </c>
      <c r="N835" s="81" t="str">
        <f>_xlfn.XLOOKUP(Calculations[[#This Row],[For XLOOKUP]],Factors[For XLOOKUP],Factors[Factor],"")</f>
        <v>Σ.Ε. CO₂ eq</v>
      </c>
      <c r="O835" s="81">
        <f>_xlfn.XLOOKUP(Calculations[[#This Row],[For XLOOKUP]],Factors[For XLOOKUP],Factors[Value],"")</f>
        <v>7.7161791764707152E-2</v>
      </c>
      <c r="P835" s="81" t="str">
        <f>_xlfn.XLOOKUP(Calculations[[#This Row],[For XLOOKUP]],Factors[For XLOOKUP],Factors[Units],"")</f>
        <v>tn CO2 eq/ tn</v>
      </c>
      <c r="Q835" s="19" t="str">
        <f>_xlfn.XLOOKUP(Calculations[[#This Row],[For XLOOKUP]],Factors[For XLOOKUP],Factors[Source],"")</f>
        <v>EPA 2024</v>
      </c>
      <c r="R83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5" s="81" t="str">
        <f>IF(LEFT(Calculations[[#This Row],[Emission Factor]],7)="Σ.Ε. CH",Calculations[[#This Row],[Value]]*Calculations[[#This Row],[Τιμή]],"-")</f>
        <v>-</v>
      </c>
      <c r="T83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5" s="81" t="str">
        <f>IF(LEFT(Calculations[[#This Row],[Emission Factor]],3)="GWP",Calculations[[#This Row],[Τιμή]],"-")</f>
        <v>-</v>
      </c>
      <c r="V835" s="247">
        <f>IF(OR(Calculations[[#This Row],[Emission Factor]]="Σ.Ε. CO₂ eq",Calculations[[#This Row],[Emission Factor]]="CO₂ eq"),Calculations[[#This Row],[Value]]*Calculations[[#This Row],[Τιμή]],"-")</f>
        <v>10.862837044635473</v>
      </c>
      <c r="W835" s="81" t="str">
        <f>IF(Calculations[[#This Row],[Πηγή εκπομπών]]="Electricity consumed in office buildings and projects - market based",Calculations[[#This Row],[t CO2]],"")</f>
        <v/>
      </c>
      <c r="X835" s="250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10.862837044635473</v>
      </c>
    </row>
    <row r="836" spans="1:24" hidden="1">
      <c r="A836" s="15" t="s">
        <v>350</v>
      </c>
      <c r="B836" s="15" t="s">
        <v>645</v>
      </c>
      <c r="C836" s="16" t="s">
        <v>624</v>
      </c>
      <c r="D836" s="77" t="s">
        <v>1276</v>
      </c>
      <c r="E836" s="16"/>
      <c r="F836" s="16"/>
      <c r="G836" s="16" t="s">
        <v>646</v>
      </c>
      <c r="H836" s="15" t="s">
        <v>658</v>
      </c>
      <c r="I836" s="17" t="s">
        <v>343</v>
      </c>
      <c r="J836" s="79">
        <v>188.5155</v>
      </c>
      <c r="K836" s="18" t="s">
        <v>280</v>
      </c>
      <c r="L836" s="94" t="s">
        <v>694</v>
      </c>
      <c r="M836" s="148" t="s">
        <v>707</v>
      </c>
      <c r="N836" s="81" t="str">
        <f>_xlfn.XLOOKUP(Calculations[[#This Row],[For XLOOKUP]],Factors[For XLOOKUP],Factors[Factor],"")</f>
        <v>Σ.Ε. CO₂ eq</v>
      </c>
      <c r="O836" s="81">
        <f>_xlfn.XLOOKUP(Calculations[[#This Row],[For XLOOKUP]],Factors[For XLOOKUP],Factors[Value],"")</f>
        <v>7.7161791764707152E-2</v>
      </c>
      <c r="P836" s="81" t="str">
        <f>_xlfn.XLOOKUP(Calculations[[#This Row],[For XLOOKUP]],Factors[For XLOOKUP],Factors[Units],"")</f>
        <v>tn CO2 eq/ tn</v>
      </c>
      <c r="Q836" s="19" t="str">
        <f>_xlfn.XLOOKUP(Calculations[[#This Row],[For XLOOKUP]],Factors[For XLOOKUP],Factors[Source],"")</f>
        <v>EPA 2024</v>
      </c>
      <c r="R83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6" s="81" t="str">
        <f>IF(LEFT(Calculations[[#This Row],[Emission Factor]],7)="Σ.Ε. CH",Calculations[[#This Row],[Value]]*Calculations[[#This Row],[Τιμή]],"-")</f>
        <v>-</v>
      </c>
      <c r="T83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6" s="81" t="str">
        <f>IF(LEFT(Calculations[[#This Row],[Emission Factor]],3)="GWP",Calculations[[#This Row],[Τιμή]],"-")</f>
        <v>-</v>
      </c>
      <c r="V836" s="247">
        <f>IF(OR(Calculations[[#This Row],[Emission Factor]]="Σ.Ε. CO₂ eq",Calculations[[#This Row],[Emission Factor]]="CO₂ eq"),Calculations[[#This Row],[Value]]*Calculations[[#This Row],[Τιμή]],"-")</f>
        <v>14.546193755419651</v>
      </c>
      <c r="W836" s="81" t="str">
        <f>IF(Calculations[[#This Row],[Πηγή εκπομπών]]="Electricity consumed in office buildings and projects - market based",Calculations[[#This Row],[t CO2]],"")</f>
        <v/>
      </c>
      <c r="X836" s="250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14.546193755419651</v>
      </c>
    </row>
    <row r="837" spans="1:24" hidden="1">
      <c r="A837" s="15" t="s">
        <v>350</v>
      </c>
      <c r="B837" s="15" t="s">
        <v>645</v>
      </c>
      <c r="C837" s="16" t="s">
        <v>624</v>
      </c>
      <c r="D837" s="77" t="s">
        <v>1273</v>
      </c>
      <c r="E837" s="77" t="s">
        <v>1141</v>
      </c>
      <c r="F837" s="16"/>
      <c r="G837" s="16" t="s">
        <v>646</v>
      </c>
      <c r="H837" s="15" t="s">
        <v>659</v>
      </c>
      <c r="I837" s="17" t="s">
        <v>343</v>
      </c>
      <c r="J837" s="79">
        <v>0.10400000000000001</v>
      </c>
      <c r="K837" s="18" t="s">
        <v>280</v>
      </c>
      <c r="L837" s="94" t="s">
        <v>694</v>
      </c>
      <c r="M837" s="17" t="s">
        <v>708</v>
      </c>
      <c r="N837" s="81" t="str">
        <f>_xlfn.XLOOKUP(Calculations[[#This Row],[For XLOOKUP]],Factors[For XLOOKUP],Factors[Factor],"")</f>
        <v>Σ.Ε. CO₂ eq</v>
      </c>
      <c r="O837" s="81">
        <f>_xlfn.XLOOKUP(Calculations[[#This Row],[For XLOOKUP]],Factors[For XLOOKUP],Factors[Value],"")</f>
        <v>9.920801798319491E-2</v>
      </c>
      <c r="P837" s="81" t="str">
        <f>_xlfn.XLOOKUP(Calculations[[#This Row],[For XLOOKUP]],Factors[For XLOOKUP],Factors[Units],"")</f>
        <v>tn CO2 eq/ tn</v>
      </c>
      <c r="Q837" s="19" t="str">
        <f>_xlfn.XLOOKUP(Calculations[[#This Row],[For XLOOKUP]],Factors[For XLOOKUP],Factors[Source],"")</f>
        <v>EPA 2024</v>
      </c>
      <c r="R83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7" s="81" t="str">
        <f>IF(LEFT(Calculations[[#This Row],[Emission Factor]],7)="Σ.Ε. CH",Calculations[[#This Row],[Value]]*Calculations[[#This Row],[Τιμή]],"-")</f>
        <v>-</v>
      </c>
      <c r="T83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7" s="81" t="str">
        <f>IF(LEFT(Calculations[[#This Row],[Emission Factor]],3)="GWP",Calculations[[#This Row],[Τιμή]],"-")</f>
        <v>-</v>
      </c>
      <c r="V837" s="247">
        <f>IF(OR(Calculations[[#This Row],[Emission Factor]]="Σ.Ε. CO₂ eq",Calculations[[#This Row],[Emission Factor]]="CO₂ eq"),Calculations[[#This Row],[Value]]*Calculations[[#This Row],[Τιμή]],"-")</f>
        <v>1.0317633870252271E-2</v>
      </c>
      <c r="W837" s="19" t="str">
        <f>IF(Calculations[[#This Row],[Πηγή εκπομπών]]="Electricity consumed in office buildings and projects - market based",Calculations[[#This Row],[t CO2]],"")</f>
        <v/>
      </c>
      <c r="X83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1.0317633870252271E-2</v>
      </c>
    </row>
    <row r="838" spans="1:24" hidden="1">
      <c r="A838" s="15" t="s">
        <v>350</v>
      </c>
      <c r="B838" s="15" t="s">
        <v>645</v>
      </c>
      <c r="C838" s="16" t="s">
        <v>327</v>
      </c>
      <c r="D838" s="77" t="s">
        <v>1276</v>
      </c>
      <c r="E838" s="77" t="s">
        <v>1187</v>
      </c>
      <c r="F838" s="16"/>
      <c r="G838" s="16" t="s">
        <v>646</v>
      </c>
      <c r="H838" s="15" t="s">
        <v>660</v>
      </c>
      <c r="I838" s="17" t="s">
        <v>343</v>
      </c>
      <c r="J838" s="79">
        <v>209548.14</v>
      </c>
      <c r="K838" s="18" t="s">
        <v>280</v>
      </c>
      <c r="L838" s="94" t="s">
        <v>696</v>
      </c>
      <c r="M838" s="148" t="s">
        <v>709</v>
      </c>
      <c r="N838" s="81" t="str">
        <f>_xlfn.XLOOKUP(Calculations[[#This Row],[For XLOOKUP]],Factors[For XLOOKUP],Factors[Factor],"")</f>
        <v>Σ.Ε. CO₂ eq</v>
      </c>
      <c r="O838" s="81">
        <f>_xlfn.XLOOKUP(Calculations[[#This Row],[For XLOOKUP]],Factors[For XLOOKUP],Factors[Value],"")</f>
        <v>0.32822159278727803</v>
      </c>
      <c r="P838" s="81" t="str">
        <f>_xlfn.XLOOKUP(Calculations[[#This Row],[For XLOOKUP]],Factors[For XLOOKUP],Factors[Units],"")</f>
        <v>tn CO2 eq/ tn</v>
      </c>
      <c r="Q838" s="19" t="str">
        <f>_xlfn.XLOOKUP(Calculations[[#This Row],[For XLOOKUP]],Factors[For XLOOKUP],Factors[Source],"")</f>
        <v>Ecoinvent 3.11</v>
      </c>
      <c r="R83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8" s="81" t="str">
        <f>IF(LEFT(Calculations[[#This Row],[Emission Factor]],7)="Σ.Ε. CH",Calculations[[#This Row],[Value]]*Calculations[[#This Row],[Τιμή]],"-")</f>
        <v>-</v>
      </c>
      <c r="T83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8" s="81" t="str">
        <f>IF(LEFT(Calculations[[#This Row],[Emission Factor]],3)="GWP",Calculations[[#This Row],[Τιμή]],"-")</f>
        <v>-</v>
      </c>
      <c r="V838" s="247">
        <f>IF(OR(Calculations[[#This Row],[Emission Factor]]="Σ.Ε. CO₂ eq",Calculations[[#This Row],[Emission Factor]]="CO₂ eq"),Calculations[[#This Row],[Value]]*Calculations[[#This Row],[Τιμή]],"-")</f>
        <v>68778.224276411536</v>
      </c>
      <c r="W838" s="81" t="str">
        <f>IF(Calculations[[#This Row],[Πηγή εκπομπών]]="Electricity consumed in office buildings and projects - market based",Calculations[[#This Row],[t CO2]],"")</f>
        <v/>
      </c>
      <c r="X83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68778.224276411536</v>
      </c>
    </row>
    <row r="839" spans="1:24" hidden="1">
      <c r="A839" s="15" t="s">
        <v>350</v>
      </c>
      <c r="B839" s="15" t="s">
        <v>645</v>
      </c>
      <c r="C839" s="16" t="s">
        <v>624</v>
      </c>
      <c r="D839" s="77" t="s">
        <v>1276</v>
      </c>
      <c r="E839" s="77"/>
      <c r="F839" s="16"/>
      <c r="G839" s="16" t="s">
        <v>646</v>
      </c>
      <c r="H839" s="15" t="s">
        <v>660</v>
      </c>
      <c r="I839" s="17" t="s">
        <v>343</v>
      </c>
      <c r="J839" s="79">
        <v>230405.63</v>
      </c>
      <c r="K839" s="18" t="s">
        <v>280</v>
      </c>
      <c r="L839" s="94" t="s">
        <v>696</v>
      </c>
      <c r="M839" s="148" t="s">
        <v>709</v>
      </c>
      <c r="N839" s="81" t="str">
        <f>_xlfn.XLOOKUP(Calculations[[#This Row],[For XLOOKUP]],Factors[For XLOOKUP],Factors[Factor],"")</f>
        <v>Σ.Ε. CO₂ eq</v>
      </c>
      <c r="O839" s="81">
        <f>_xlfn.XLOOKUP(Calculations[[#This Row],[For XLOOKUP]],Factors[For XLOOKUP],Factors[Value],"")</f>
        <v>0.32822159278727803</v>
      </c>
      <c r="P839" s="81" t="str">
        <f>_xlfn.XLOOKUP(Calculations[[#This Row],[For XLOOKUP]],Factors[For XLOOKUP],Factors[Units],"")</f>
        <v>tn CO2 eq/ tn</v>
      </c>
      <c r="Q839" s="19" t="str">
        <f>_xlfn.XLOOKUP(Calculations[[#This Row],[For XLOOKUP]],Factors[For XLOOKUP],Factors[Source],"")</f>
        <v>Ecoinvent 3.11</v>
      </c>
      <c r="R83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9" s="81" t="str">
        <f>IF(LEFT(Calculations[[#This Row],[Emission Factor]],7)="Σ.Ε. CH",Calculations[[#This Row],[Value]]*Calculations[[#This Row],[Τιμή]],"-")</f>
        <v>-</v>
      </c>
      <c r="T83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9" s="81" t="str">
        <f>IF(LEFT(Calculations[[#This Row],[Emission Factor]],3)="GWP",Calculations[[#This Row],[Τιμή]],"-")</f>
        <v>-</v>
      </c>
      <c r="V839" s="247">
        <f>IF(OR(Calculations[[#This Row],[Emission Factor]]="Σ.Ε. CO₂ eq",Calculations[[#This Row],[Emission Factor]]="CO₂ eq"),Calculations[[#This Row],[Value]]*Calculations[[#This Row],[Τιμή]],"-")</f>
        <v>75624.102865756257</v>
      </c>
      <c r="W839" s="81" t="str">
        <f>IF(Calculations[[#This Row],[Πηγή εκπομπών]]="Electricity consumed in office buildings and projects - market based",Calculations[[#This Row],[t CO2]],"")</f>
        <v/>
      </c>
      <c r="X83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75624.102865756257</v>
      </c>
    </row>
    <row r="840" spans="1:24" hidden="1">
      <c r="A840" s="15" t="s">
        <v>350</v>
      </c>
      <c r="B840" s="15" t="s">
        <v>645</v>
      </c>
      <c r="C840" s="16" t="s">
        <v>624</v>
      </c>
      <c r="D840" s="77" t="s">
        <v>1276</v>
      </c>
      <c r="E840" s="77"/>
      <c r="F840" s="16"/>
      <c r="G840" s="16" t="s">
        <v>646</v>
      </c>
      <c r="H840" s="15" t="s">
        <v>1368</v>
      </c>
      <c r="I840" s="17" t="s">
        <v>343</v>
      </c>
      <c r="J840" s="79">
        <v>138.03</v>
      </c>
      <c r="K840" s="18" t="s">
        <v>280</v>
      </c>
      <c r="L840" s="94" t="s">
        <v>694</v>
      </c>
      <c r="M840" s="148" t="s">
        <v>710</v>
      </c>
      <c r="N840" s="81" t="str">
        <f>_xlfn.XLOOKUP(Calculations[[#This Row],[For XLOOKUP]],Factors[For XLOOKUP],Factors[Factor],"")</f>
        <v>Σ.Ε. CO₂ eq</v>
      </c>
      <c r="O840" s="81">
        <f>_xlfn.XLOOKUP(Calculations[[#This Row],[For XLOOKUP]],Factors[For XLOOKUP],Factors[Value],"")</f>
        <v>6.4106099999999997E-3</v>
      </c>
      <c r="P840" s="81" t="str">
        <f>_xlfn.XLOOKUP(Calculations[[#This Row],[For XLOOKUP]],Factors[For XLOOKUP],Factors[Units],"")</f>
        <v>tn CO2 eq/ tn</v>
      </c>
      <c r="Q840" s="19" t="str">
        <f>_xlfn.XLOOKUP(Calculations[[#This Row],[For XLOOKUP]],Factors[For XLOOKUP],Factors[Source],"")</f>
        <v>DEFRA 2024</v>
      </c>
      <c r="R84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0" s="81" t="str">
        <f>IF(LEFT(Calculations[[#This Row],[Emission Factor]],7)="Σ.Ε. CH",Calculations[[#This Row],[Value]]*Calculations[[#This Row],[Τιμή]],"-")</f>
        <v>-</v>
      </c>
      <c r="T84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0" s="81" t="str">
        <f>IF(LEFT(Calculations[[#This Row],[Emission Factor]],3)="GWP",Calculations[[#This Row],[Τιμή]],"-")</f>
        <v>-</v>
      </c>
      <c r="V840" s="247">
        <f>IF(OR(Calculations[[#This Row],[Emission Factor]]="Σ.Ε. CO₂ eq",Calculations[[#This Row],[Emission Factor]]="CO₂ eq"),Calculations[[#This Row],[Value]]*Calculations[[#This Row],[Τιμή]],"-")</f>
        <v>0.88485649830000002</v>
      </c>
      <c r="W840" s="81" t="str">
        <f>IF(Calculations[[#This Row],[Πηγή εκπομπών]]="Electricity consumed in office buildings and projects - market based",Calculations[[#This Row],[t CO2]],"")</f>
        <v/>
      </c>
      <c r="X84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0.88485649830000002</v>
      </c>
    </row>
    <row r="841" spans="1:24" hidden="1">
      <c r="A841" s="15" t="s">
        <v>350</v>
      </c>
      <c r="B841" s="15" t="s">
        <v>645</v>
      </c>
      <c r="C841" s="16" t="s">
        <v>624</v>
      </c>
      <c r="D841" s="77" t="s">
        <v>1255</v>
      </c>
      <c r="E841" s="77" t="s">
        <v>1151</v>
      </c>
      <c r="F841" s="16"/>
      <c r="G841" s="16" t="s">
        <v>646</v>
      </c>
      <c r="H841" s="15" t="s">
        <v>661</v>
      </c>
      <c r="I841" s="17" t="s">
        <v>343</v>
      </c>
      <c r="J841" s="245">
        <v>7.1819999999999995E-2</v>
      </c>
      <c r="K841" s="18" t="s">
        <v>280</v>
      </c>
      <c r="L841" s="94" t="s">
        <v>700</v>
      </c>
      <c r="M841" s="148" t="s">
        <v>710</v>
      </c>
      <c r="N841" s="81" t="str">
        <f>_xlfn.XLOOKUP(Calculations[[#This Row],[For XLOOKUP]],Factors[For XLOOKUP],Factors[Factor],"")</f>
        <v>Σ.Ε. CO₂ eq</v>
      </c>
      <c r="O841" s="81">
        <f>_xlfn.XLOOKUP(Calculations[[#This Row],[For XLOOKUP]],Factors[For XLOOKUP],Factors[Value],"")</f>
        <v>6.4106099999999997E-3</v>
      </c>
      <c r="P841" s="81" t="str">
        <f>_xlfn.XLOOKUP(Calculations[[#This Row],[For XLOOKUP]],Factors[For XLOOKUP],Factors[Units],"")</f>
        <v>tn CO2 eq/ tn</v>
      </c>
      <c r="Q841" s="19" t="str">
        <f>_xlfn.XLOOKUP(Calculations[[#This Row],[For XLOOKUP]],Factors[For XLOOKUP],Factors[Source],"")</f>
        <v>DEFRA 2024</v>
      </c>
      <c r="R84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1" s="81" t="str">
        <f>IF(LEFT(Calculations[[#This Row],[Emission Factor]],7)="Σ.Ε. CH",Calculations[[#This Row],[Value]]*Calculations[[#This Row],[Τιμή]],"-")</f>
        <v>-</v>
      </c>
      <c r="T84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1" s="81" t="str">
        <f>IF(LEFT(Calculations[[#This Row],[Emission Factor]],3)="GWP",Calculations[[#This Row],[Τιμή]],"-")</f>
        <v>-</v>
      </c>
      <c r="V841" s="247">
        <f>IF(OR(Calculations[[#This Row],[Emission Factor]]="Σ.Ε. CO₂ eq",Calculations[[#This Row],[Emission Factor]]="CO₂ eq"),Calculations[[#This Row],[Value]]*Calculations[[#This Row],[Τιμή]],"-")</f>
        <v>4.6041001019999993E-4</v>
      </c>
      <c r="W841" s="81" t="str">
        <f>IF(Calculations[[#This Row],[Πηγή εκπομπών]]="Electricity consumed in office buildings and projects - market based",Calculations[[#This Row],[t CO2]],"")</f>
        <v/>
      </c>
      <c r="X84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4.6041001019999993E-4</v>
      </c>
    </row>
    <row r="842" spans="1:24" hidden="1">
      <c r="A842" s="15" t="s">
        <v>350</v>
      </c>
      <c r="B842" s="15" t="s">
        <v>645</v>
      </c>
      <c r="C842" s="16" t="s">
        <v>624</v>
      </c>
      <c r="D842" s="77" t="s">
        <v>1273</v>
      </c>
      <c r="E842" s="77" t="s">
        <v>1140</v>
      </c>
      <c r="F842" s="16"/>
      <c r="G842" s="16" t="s">
        <v>646</v>
      </c>
      <c r="H842" s="15" t="s">
        <v>661</v>
      </c>
      <c r="I842" s="17" t="s">
        <v>343</v>
      </c>
      <c r="J842" s="245">
        <v>0.18</v>
      </c>
      <c r="K842" s="18" t="s">
        <v>280</v>
      </c>
      <c r="L842" s="94" t="s">
        <v>694</v>
      </c>
      <c r="M842" s="148" t="s">
        <v>710</v>
      </c>
      <c r="N842" s="81" t="str">
        <f>_xlfn.XLOOKUP(Calculations[[#This Row],[For XLOOKUP]],Factors[For XLOOKUP],Factors[Factor],"")</f>
        <v>Σ.Ε. CO₂ eq</v>
      </c>
      <c r="O842" s="81">
        <f>_xlfn.XLOOKUP(Calculations[[#This Row],[For XLOOKUP]],Factors[For XLOOKUP],Factors[Value],"")</f>
        <v>6.4106099999999997E-3</v>
      </c>
      <c r="P842" s="81" t="str">
        <f>_xlfn.XLOOKUP(Calculations[[#This Row],[For XLOOKUP]],Factors[For XLOOKUP],Factors[Units],"")</f>
        <v>tn CO2 eq/ tn</v>
      </c>
      <c r="Q842" s="19" t="str">
        <f>_xlfn.XLOOKUP(Calculations[[#This Row],[For XLOOKUP]],Factors[For XLOOKUP],Factors[Source],"")</f>
        <v>DEFRA 2024</v>
      </c>
      <c r="R84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2" s="81" t="str">
        <f>IF(LEFT(Calculations[[#This Row],[Emission Factor]],7)="Σ.Ε. CH",Calculations[[#This Row],[Value]]*Calculations[[#This Row],[Τιμή]],"-")</f>
        <v>-</v>
      </c>
      <c r="T84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2" s="81" t="str">
        <f>IF(LEFT(Calculations[[#This Row],[Emission Factor]],3)="GWP",Calculations[[#This Row],[Τιμή]],"-")</f>
        <v>-</v>
      </c>
      <c r="V842" s="247">
        <f>IF(OR(Calculations[[#This Row],[Emission Factor]]="Σ.Ε. CO₂ eq",Calculations[[#This Row],[Emission Factor]]="CO₂ eq"),Calculations[[#This Row],[Value]]*Calculations[[#This Row],[Τιμή]],"-")</f>
        <v>1.1539097999999999E-3</v>
      </c>
      <c r="W842" s="81" t="str">
        <f>IF(Calculations[[#This Row],[Πηγή εκπομπών]]="Electricity consumed in office buildings and projects - market based",Calculations[[#This Row],[t CO2]],"")</f>
        <v/>
      </c>
      <c r="X84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1.1539097999999999E-3</v>
      </c>
    </row>
    <row r="843" spans="1:24" hidden="1">
      <c r="A843" s="15" t="s">
        <v>350</v>
      </c>
      <c r="B843" s="15" t="s">
        <v>645</v>
      </c>
      <c r="C843" s="16" t="s">
        <v>624</v>
      </c>
      <c r="D843" s="77" t="s">
        <v>1273</v>
      </c>
      <c r="E843" s="77" t="s">
        <v>1141</v>
      </c>
      <c r="F843" s="16"/>
      <c r="G843" s="16" t="s">
        <v>646</v>
      </c>
      <c r="H843" s="15" t="s">
        <v>661</v>
      </c>
      <c r="I843" s="17" t="s">
        <v>343</v>
      </c>
      <c r="J843" s="245">
        <v>4.9420000000000002</v>
      </c>
      <c r="K843" s="18" t="s">
        <v>280</v>
      </c>
      <c r="L843" s="94" t="s">
        <v>694</v>
      </c>
      <c r="M843" s="148" t="s">
        <v>710</v>
      </c>
      <c r="N843" s="81" t="str">
        <f>_xlfn.XLOOKUP(Calculations[[#This Row],[For XLOOKUP]],Factors[For XLOOKUP],Factors[Factor],"")</f>
        <v>Σ.Ε. CO₂ eq</v>
      </c>
      <c r="O843" s="81">
        <f>_xlfn.XLOOKUP(Calculations[[#This Row],[For XLOOKUP]],Factors[For XLOOKUP],Factors[Value],"")</f>
        <v>6.4106099999999997E-3</v>
      </c>
      <c r="P843" s="81" t="str">
        <f>_xlfn.XLOOKUP(Calculations[[#This Row],[For XLOOKUP]],Factors[For XLOOKUP],Factors[Units],"")</f>
        <v>tn CO2 eq/ tn</v>
      </c>
      <c r="Q843" s="19" t="str">
        <f>_xlfn.XLOOKUP(Calculations[[#This Row],[For XLOOKUP]],Factors[For XLOOKUP],Factors[Source],"")</f>
        <v>DEFRA 2024</v>
      </c>
      <c r="R84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3" s="81" t="str">
        <f>IF(LEFT(Calculations[[#This Row],[Emission Factor]],7)="Σ.Ε. CH",Calculations[[#This Row],[Value]]*Calculations[[#This Row],[Τιμή]],"-")</f>
        <v>-</v>
      </c>
      <c r="T84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3" s="81" t="str">
        <f>IF(LEFT(Calculations[[#This Row],[Emission Factor]],3)="GWP",Calculations[[#This Row],[Τιμή]],"-")</f>
        <v>-</v>
      </c>
      <c r="V843" s="247">
        <f>IF(OR(Calculations[[#This Row],[Emission Factor]]="Σ.Ε. CO₂ eq",Calculations[[#This Row],[Emission Factor]]="CO₂ eq"),Calculations[[#This Row],[Value]]*Calculations[[#This Row],[Τιμή]],"-")</f>
        <v>3.1681234619999998E-2</v>
      </c>
      <c r="W843" s="81" t="str">
        <f>IF(Calculations[[#This Row],[Πηγή εκπομπών]]="Electricity consumed in office buildings and projects - market based",Calculations[[#This Row],[t CO2]],"")</f>
        <v/>
      </c>
      <c r="X84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3.1681234619999998E-2</v>
      </c>
    </row>
    <row r="844" spans="1:24" hidden="1">
      <c r="A844" s="15" t="s">
        <v>350</v>
      </c>
      <c r="B844" s="15" t="s">
        <v>645</v>
      </c>
      <c r="C844" s="16" t="s">
        <v>624</v>
      </c>
      <c r="D844" s="77" t="s">
        <v>1273</v>
      </c>
      <c r="E844" s="77" t="s">
        <v>1137</v>
      </c>
      <c r="F844" s="16"/>
      <c r="G844" s="16" t="s">
        <v>646</v>
      </c>
      <c r="H844" s="15" t="s">
        <v>661</v>
      </c>
      <c r="I844" s="17" t="s">
        <v>343</v>
      </c>
      <c r="J844" s="245">
        <v>0.10154000000000001</v>
      </c>
      <c r="K844" s="18" t="s">
        <v>280</v>
      </c>
      <c r="L844" s="94" t="s">
        <v>700</v>
      </c>
      <c r="M844" s="148" t="s">
        <v>710</v>
      </c>
      <c r="N844" s="81" t="str">
        <f>_xlfn.XLOOKUP(Calculations[[#This Row],[For XLOOKUP]],Factors[For XLOOKUP],Factors[Factor],"")</f>
        <v>Σ.Ε. CO₂ eq</v>
      </c>
      <c r="O844" s="81">
        <f>_xlfn.XLOOKUP(Calculations[[#This Row],[For XLOOKUP]],Factors[For XLOOKUP],Factors[Value],"")</f>
        <v>6.4106099999999997E-3</v>
      </c>
      <c r="P844" s="81" t="str">
        <f>_xlfn.XLOOKUP(Calculations[[#This Row],[For XLOOKUP]],Factors[For XLOOKUP],Factors[Units],"")</f>
        <v>tn CO2 eq/ tn</v>
      </c>
      <c r="Q844" s="19" t="str">
        <f>_xlfn.XLOOKUP(Calculations[[#This Row],[For XLOOKUP]],Factors[For XLOOKUP],Factors[Source],"")</f>
        <v>DEFRA 2024</v>
      </c>
      <c r="R84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4" s="81" t="str">
        <f>IF(LEFT(Calculations[[#This Row],[Emission Factor]],7)="Σ.Ε. CH",Calculations[[#This Row],[Value]]*Calculations[[#This Row],[Τιμή]],"-")</f>
        <v>-</v>
      </c>
      <c r="T84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4" s="81" t="str">
        <f>IF(LEFT(Calculations[[#This Row],[Emission Factor]],3)="GWP",Calculations[[#This Row],[Τιμή]],"-")</f>
        <v>-</v>
      </c>
      <c r="V844" s="247">
        <f>IF(OR(Calculations[[#This Row],[Emission Factor]]="Σ.Ε. CO₂ eq",Calculations[[#This Row],[Emission Factor]]="CO₂ eq"),Calculations[[#This Row],[Value]]*Calculations[[#This Row],[Τιμή]],"-")</f>
        <v>6.5093333939999999E-4</v>
      </c>
      <c r="W844" s="81" t="str">
        <f>IF(Calculations[[#This Row],[Πηγή εκπομπών]]="Electricity consumed in office buildings and projects - market based",Calculations[[#This Row],[t CO2]],"")</f>
        <v/>
      </c>
      <c r="X84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6.5093333939999999E-4</v>
      </c>
    </row>
    <row r="845" spans="1:24" hidden="1">
      <c r="A845" s="15" t="s">
        <v>350</v>
      </c>
      <c r="B845" s="15" t="s">
        <v>645</v>
      </c>
      <c r="C845" s="16" t="s">
        <v>624</v>
      </c>
      <c r="D845" s="16" t="s">
        <v>1276</v>
      </c>
      <c r="E845" s="16"/>
      <c r="F845" s="16"/>
      <c r="G845" s="16" t="s">
        <v>646</v>
      </c>
      <c r="H845" s="15" t="s">
        <v>661</v>
      </c>
      <c r="I845" s="17" t="s">
        <v>343</v>
      </c>
      <c r="J845" s="245">
        <v>2.04</v>
      </c>
      <c r="K845" s="18" t="s">
        <v>280</v>
      </c>
      <c r="L845" s="94" t="s">
        <v>694</v>
      </c>
      <c r="M845" s="148" t="s">
        <v>710</v>
      </c>
      <c r="N845" s="81" t="str">
        <f>_xlfn.XLOOKUP(Calculations[[#This Row],[For XLOOKUP]],Factors[For XLOOKUP],Factors[Factor],"")</f>
        <v>Σ.Ε. CO₂ eq</v>
      </c>
      <c r="O845" s="81">
        <f>_xlfn.XLOOKUP(Calculations[[#This Row],[For XLOOKUP]],Factors[For XLOOKUP],Factors[Value],"")</f>
        <v>6.4106099999999997E-3</v>
      </c>
      <c r="P845" s="81" t="str">
        <f>_xlfn.XLOOKUP(Calculations[[#This Row],[For XLOOKUP]],Factors[For XLOOKUP],Factors[Units],"")</f>
        <v>tn CO2 eq/ tn</v>
      </c>
      <c r="Q845" s="19" t="str">
        <f>_xlfn.XLOOKUP(Calculations[[#This Row],[For XLOOKUP]],Factors[For XLOOKUP],Factors[Source],"")</f>
        <v>DEFRA 2024</v>
      </c>
      <c r="R84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5" s="81" t="str">
        <f>IF(LEFT(Calculations[[#This Row],[Emission Factor]],7)="Σ.Ε. CH",Calculations[[#This Row],[Value]]*Calculations[[#This Row],[Τιμή]],"-")</f>
        <v>-</v>
      </c>
      <c r="T84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5" s="81" t="str">
        <f>IF(LEFT(Calculations[[#This Row],[Emission Factor]],3)="GWP",Calculations[[#This Row],[Τιμή]],"-")</f>
        <v>-</v>
      </c>
      <c r="V845" s="247">
        <f>IF(OR(Calculations[[#This Row],[Emission Factor]]="Σ.Ε. CO₂ eq",Calculations[[#This Row],[Emission Factor]]="CO₂ eq"),Calculations[[#This Row],[Value]]*Calculations[[#This Row],[Τιμή]],"-")</f>
        <v>1.30776444E-2</v>
      </c>
      <c r="W845" s="81" t="str">
        <f>IF(Calculations[[#This Row],[Πηγή εκπομπών]]="Electricity consumed in office buildings and projects - market based",Calculations[[#This Row],[t CO2]],"")</f>
        <v/>
      </c>
      <c r="X84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1.30776444E-2</v>
      </c>
    </row>
    <row r="846" spans="1:24" hidden="1">
      <c r="A846" s="15" t="s">
        <v>350</v>
      </c>
      <c r="B846" s="15" t="s">
        <v>645</v>
      </c>
      <c r="C846" s="16" t="s">
        <v>624</v>
      </c>
      <c r="D846" s="16" t="s">
        <v>1276</v>
      </c>
      <c r="E846" s="16"/>
      <c r="F846" s="16"/>
      <c r="G846" s="16" t="s">
        <v>646</v>
      </c>
      <c r="H846" s="15" t="s">
        <v>1369</v>
      </c>
      <c r="I846" s="17" t="s">
        <v>343</v>
      </c>
      <c r="J846" s="79">
        <v>22.09</v>
      </c>
      <c r="K846" s="18" t="s">
        <v>280</v>
      </c>
      <c r="L846" s="94" t="s">
        <v>694</v>
      </c>
      <c r="M846" s="148" t="s">
        <v>710</v>
      </c>
      <c r="N846" s="81" t="str">
        <f>_xlfn.XLOOKUP(Calculations[[#This Row],[For XLOOKUP]],Factors[For XLOOKUP],Factors[Factor],"")</f>
        <v>Σ.Ε. CO₂ eq</v>
      </c>
      <c r="O846" s="81">
        <f>_xlfn.XLOOKUP(Calculations[[#This Row],[For XLOOKUP]],Factors[For XLOOKUP],Factors[Value],"")</f>
        <v>6.4106099999999997E-3</v>
      </c>
      <c r="P846" s="81" t="str">
        <f>_xlfn.XLOOKUP(Calculations[[#This Row],[For XLOOKUP]],Factors[For XLOOKUP],Factors[Units],"")</f>
        <v>tn CO2 eq/ tn</v>
      </c>
      <c r="Q846" s="19" t="str">
        <f>_xlfn.XLOOKUP(Calculations[[#This Row],[For XLOOKUP]],Factors[For XLOOKUP],Factors[Source],"")</f>
        <v>DEFRA 2024</v>
      </c>
      <c r="R84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6" s="81" t="str">
        <f>IF(LEFT(Calculations[[#This Row],[Emission Factor]],7)="Σ.Ε. CH",Calculations[[#This Row],[Value]]*Calculations[[#This Row],[Τιμή]],"-")</f>
        <v>-</v>
      </c>
      <c r="T84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6" s="81" t="str">
        <f>IF(LEFT(Calculations[[#This Row],[Emission Factor]],3)="GWP",Calculations[[#This Row],[Τιμή]],"-")</f>
        <v>-</v>
      </c>
      <c r="V846" s="247">
        <f>IF(OR(Calculations[[#This Row],[Emission Factor]]="Σ.Ε. CO₂ eq",Calculations[[#This Row],[Emission Factor]]="CO₂ eq"),Calculations[[#This Row],[Value]]*Calculations[[#This Row],[Τιμή]],"-")</f>
        <v>0.1416103749</v>
      </c>
      <c r="W846" s="81" t="str">
        <f>IF(Calculations[[#This Row],[Πηγή εκπομπών]]="Electricity consumed in office buildings and projects - market based",Calculations[[#This Row],[t CO2]],"")</f>
        <v/>
      </c>
      <c r="X84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0.1416103749</v>
      </c>
    </row>
    <row r="847" spans="1:24" hidden="1">
      <c r="A847" s="15" t="s">
        <v>350</v>
      </c>
      <c r="B847" s="15" t="s">
        <v>645</v>
      </c>
      <c r="C847" s="16" t="s">
        <v>624</v>
      </c>
      <c r="D847" s="16" t="s">
        <v>1273</v>
      </c>
      <c r="E847" s="16" t="s">
        <v>1140</v>
      </c>
      <c r="F847" s="16"/>
      <c r="G847" s="16" t="s">
        <v>646</v>
      </c>
      <c r="H847" s="15" t="s">
        <v>662</v>
      </c>
      <c r="I847" s="17" t="s">
        <v>343</v>
      </c>
      <c r="J847" s="79">
        <v>17.402000000000001</v>
      </c>
      <c r="K847" s="18" t="s">
        <v>280</v>
      </c>
      <c r="L847" s="94" t="s">
        <v>694</v>
      </c>
      <c r="M847" s="148" t="s">
        <v>710</v>
      </c>
      <c r="N847" s="81" t="str">
        <f>_xlfn.XLOOKUP(Calculations[[#This Row],[For XLOOKUP]],Factors[For XLOOKUP],Factors[Factor],"")</f>
        <v>Σ.Ε. CO₂ eq</v>
      </c>
      <c r="O847" s="81">
        <f>_xlfn.XLOOKUP(Calculations[[#This Row],[For XLOOKUP]],Factors[For XLOOKUP],Factors[Value],"")</f>
        <v>6.4106099999999997E-3</v>
      </c>
      <c r="P847" s="81" t="str">
        <f>_xlfn.XLOOKUP(Calculations[[#This Row],[For XLOOKUP]],Factors[For XLOOKUP],Factors[Units],"")</f>
        <v>tn CO2 eq/ tn</v>
      </c>
      <c r="Q847" s="19" t="str">
        <f>_xlfn.XLOOKUP(Calculations[[#This Row],[For XLOOKUP]],Factors[For XLOOKUP],Factors[Source],"")</f>
        <v>DEFRA 2024</v>
      </c>
      <c r="R84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7" s="81" t="str">
        <f>IF(LEFT(Calculations[[#This Row],[Emission Factor]],7)="Σ.Ε. CH",Calculations[[#This Row],[Value]]*Calculations[[#This Row],[Τιμή]],"-")</f>
        <v>-</v>
      </c>
      <c r="T84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7" s="81" t="str">
        <f>IF(LEFT(Calculations[[#This Row],[Emission Factor]],3)="GWP",Calculations[[#This Row],[Τιμή]],"-")</f>
        <v>-</v>
      </c>
      <c r="V847" s="247">
        <f>IF(OR(Calculations[[#This Row],[Emission Factor]]="Σ.Ε. CO₂ eq",Calculations[[#This Row],[Emission Factor]]="CO₂ eq"),Calculations[[#This Row],[Value]]*Calculations[[#This Row],[Τιμή]],"-")</f>
        <v>0.11155743522</v>
      </c>
      <c r="W847" s="81" t="str">
        <f>IF(Calculations[[#This Row],[Πηγή εκπομπών]]="Electricity consumed in office buildings and projects - market based",Calculations[[#This Row],[t CO2]],"")</f>
        <v/>
      </c>
      <c r="X84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0.11155743522</v>
      </c>
    </row>
    <row r="848" spans="1:24" hidden="1">
      <c r="A848" s="15" t="s">
        <v>350</v>
      </c>
      <c r="B848" s="15" t="s">
        <v>645</v>
      </c>
      <c r="C848" s="16" t="s">
        <v>624</v>
      </c>
      <c r="D848" s="16" t="s">
        <v>1255</v>
      </c>
      <c r="E848" s="16" t="s">
        <v>1151</v>
      </c>
      <c r="F848" s="16"/>
      <c r="G848" s="16" t="s">
        <v>646</v>
      </c>
      <c r="H848" s="15" t="s">
        <v>663</v>
      </c>
      <c r="I848" s="17" t="s">
        <v>343</v>
      </c>
      <c r="J848" s="79">
        <v>7.5116800000000001</v>
      </c>
      <c r="K848" s="18" t="s">
        <v>280</v>
      </c>
      <c r="L848" s="94" t="s">
        <v>700</v>
      </c>
      <c r="M848" s="148" t="s">
        <v>708</v>
      </c>
      <c r="N848" s="81" t="str">
        <f>_xlfn.XLOOKUP(Calculations[[#This Row],[For XLOOKUP]],Factors[For XLOOKUP],Factors[Factor],"")</f>
        <v>Σ.Ε. CO₂ eq</v>
      </c>
      <c r="O848" s="81">
        <f>_xlfn.XLOOKUP(Calculations[[#This Row],[For XLOOKUP]],Factors[For XLOOKUP],Factors[Value],"")</f>
        <v>9.920801798319491E-2</v>
      </c>
      <c r="P848" s="81" t="str">
        <f>_xlfn.XLOOKUP(Calculations[[#This Row],[For XLOOKUP]],Factors[For XLOOKUP],Factors[Units],"")</f>
        <v>tn CO2 eq/ tn</v>
      </c>
      <c r="Q848" s="19" t="str">
        <f>_xlfn.XLOOKUP(Calculations[[#This Row],[For XLOOKUP]],Factors[For XLOOKUP],Factors[Source],"")</f>
        <v>EPA 2024</v>
      </c>
      <c r="R84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8" s="81" t="str">
        <f>IF(LEFT(Calculations[[#This Row],[Emission Factor]],7)="Σ.Ε. CH",Calculations[[#This Row],[Value]]*Calculations[[#This Row],[Τιμή]],"-")</f>
        <v>-</v>
      </c>
      <c r="T84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8" s="81" t="str">
        <f>IF(LEFT(Calculations[[#This Row],[Emission Factor]],3)="GWP",Calculations[[#This Row],[Τιμή]],"-")</f>
        <v>-</v>
      </c>
      <c r="V848" s="247">
        <f>IF(OR(Calculations[[#This Row],[Emission Factor]]="Σ.Ε. CO₂ eq",Calculations[[#This Row],[Emission Factor]]="CO₂ eq"),Calculations[[#This Row],[Value]]*Calculations[[#This Row],[Τιμή]],"-")</f>
        <v>0.74521888452400553</v>
      </c>
      <c r="W848" s="81" t="str">
        <f>IF(Calculations[[#This Row],[Πηγή εκπομπών]]="Electricity consumed in office buildings and projects - market based",Calculations[[#This Row],[t CO2]],"")</f>
        <v/>
      </c>
      <c r="X84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0.74521888452400553</v>
      </c>
    </row>
    <row r="849" spans="1:24" hidden="1">
      <c r="A849" s="15" t="s">
        <v>350</v>
      </c>
      <c r="B849" s="15" t="s">
        <v>645</v>
      </c>
      <c r="C849" s="16" t="s">
        <v>624</v>
      </c>
      <c r="D849" s="16" t="s">
        <v>1273</v>
      </c>
      <c r="E849" s="16" t="s">
        <v>1137</v>
      </c>
      <c r="F849" s="16"/>
      <c r="G849" s="16" t="s">
        <v>646</v>
      </c>
      <c r="H849" s="15" t="s">
        <v>663</v>
      </c>
      <c r="I849" s="17" t="s">
        <v>343</v>
      </c>
      <c r="J849" s="252">
        <v>1.243E-2</v>
      </c>
      <c r="K849" s="18" t="s">
        <v>280</v>
      </c>
      <c r="L849" s="94" t="s">
        <v>697</v>
      </c>
      <c r="M849" s="148" t="s">
        <v>711</v>
      </c>
      <c r="N849" s="81" t="str">
        <f>_xlfn.XLOOKUP(Calculations[[#This Row],[For XLOOKUP]],Factors[For XLOOKUP],Factors[Factor],"")</f>
        <v>Σ.Ε. CO₂ eq</v>
      </c>
      <c r="O849" s="81">
        <f>_xlfn.XLOOKUP(Calculations[[#This Row],[For XLOOKUP]],Factors[For XLOOKUP],Factors[Value],"")</f>
        <v>0.82673348319329087</v>
      </c>
      <c r="P849" s="81" t="str">
        <f>_xlfn.XLOOKUP(Calculations[[#This Row],[For XLOOKUP]],Factors[For XLOOKUP],Factors[Units],"")</f>
        <v>tn CO2 eq/ tn</v>
      </c>
      <c r="Q849" s="19" t="str">
        <f>_xlfn.XLOOKUP(Calculations[[#This Row],[For XLOOKUP]],Factors[For XLOOKUP],Factors[Source],"")</f>
        <v>EPA 2024</v>
      </c>
      <c r="R84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9" s="81" t="str">
        <f>IF(LEFT(Calculations[[#This Row],[Emission Factor]],7)="Σ.Ε. CH",Calculations[[#This Row],[Value]]*Calculations[[#This Row],[Τιμή]],"-")</f>
        <v>-</v>
      </c>
      <c r="T84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9" s="81" t="str">
        <f>IF(LEFT(Calculations[[#This Row],[Emission Factor]],3)="GWP",Calculations[[#This Row],[Τιμή]],"-")</f>
        <v>-</v>
      </c>
      <c r="V849" s="247">
        <f>IF(OR(Calculations[[#This Row],[Emission Factor]]="Σ.Ε. CO₂ eq",Calculations[[#This Row],[Emission Factor]]="CO₂ eq"),Calculations[[#This Row],[Value]]*Calculations[[#This Row],[Τιμή]],"-")</f>
        <v>1.0276297196092606E-2</v>
      </c>
      <c r="W849" s="81" t="str">
        <f>IF(Calculations[[#This Row],[Πηγή εκπομπών]]="Electricity consumed in office buildings and projects - market based",Calculations[[#This Row],[t CO2]],"")</f>
        <v/>
      </c>
      <c r="X84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1.0276297196092606E-2</v>
      </c>
    </row>
    <row r="850" spans="1:24" hidden="1">
      <c r="A850" s="15" t="s">
        <v>350</v>
      </c>
      <c r="B850" s="15" t="s">
        <v>645</v>
      </c>
      <c r="C850" s="16" t="s">
        <v>624</v>
      </c>
      <c r="D850" s="77" t="s">
        <v>1273</v>
      </c>
      <c r="E850" s="77" t="s">
        <v>1137</v>
      </c>
      <c r="F850" s="16"/>
      <c r="G850" s="16" t="s">
        <v>646</v>
      </c>
      <c r="H850" s="15" t="s">
        <v>663</v>
      </c>
      <c r="I850" s="17" t="s">
        <v>343</v>
      </c>
      <c r="J850" s="252">
        <v>17.635320000000004</v>
      </c>
      <c r="K850" s="18" t="s">
        <v>280</v>
      </c>
      <c r="L850" s="94" t="s">
        <v>700</v>
      </c>
      <c r="M850" s="148" t="s">
        <v>708</v>
      </c>
      <c r="N850" s="81" t="str">
        <f>_xlfn.XLOOKUP(Calculations[[#This Row],[For XLOOKUP]],Factors[For XLOOKUP],Factors[Factor],"")</f>
        <v>Σ.Ε. CO₂ eq</v>
      </c>
      <c r="O850" s="81">
        <f>_xlfn.XLOOKUP(Calculations[[#This Row],[For XLOOKUP]],Factors[For XLOOKUP],Factors[Value],"")</f>
        <v>9.920801798319491E-2</v>
      </c>
      <c r="P850" s="81" t="str">
        <f>_xlfn.XLOOKUP(Calculations[[#This Row],[For XLOOKUP]],Factors[For XLOOKUP],Factors[Units],"")</f>
        <v>tn CO2 eq/ tn</v>
      </c>
      <c r="Q850" s="19" t="str">
        <f>_xlfn.XLOOKUP(Calculations[[#This Row],[For XLOOKUP]],Factors[For XLOOKUP],Factors[Source],"")</f>
        <v>EPA 2024</v>
      </c>
      <c r="R85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0" s="81" t="str">
        <f>IF(LEFT(Calculations[[#This Row],[Emission Factor]],7)="Σ.Ε. CH",Calculations[[#This Row],[Value]]*Calculations[[#This Row],[Τιμή]],"-")</f>
        <v>-</v>
      </c>
      <c r="T85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0" s="81" t="str">
        <f>IF(LEFT(Calculations[[#This Row],[Emission Factor]],3)="GWP",Calculations[[#This Row],[Τιμή]],"-")</f>
        <v>-</v>
      </c>
      <c r="V850" s="247">
        <f>IF(OR(Calculations[[#This Row],[Emission Factor]]="Σ.Ε. CO₂ eq",Calculations[[#This Row],[Emission Factor]]="CO₂ eq"),Calculations[[#This Row],[Value]]*Calculations[[#This Row],[Τιμή]],"-")</f>
        <v>1.7495651436993973</v>
      </c>
      <c r="W850" s="81" t="str">
        <f>IF(Calculations[[#This Row],[Πηγή εκπομπών]]="Electricity consumed in office buildings and projects - market based",Calculations[[#This Row],[t CO2]],"")</f>
        <v/>
      </c>
      <c r="X85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1.7495651436993973</v>
      </c>
    </row>
    <row r="851" spans="1:24" hidden="1">
      <c r="A851" s="15" t="s">
        <v>350</v>
      </c>
      <c r="B851" s="15" t="s">
        <v>645</v>
      </c>
      <c r="C851" s="16" t="s">
        <v>624</v>
      </c>
      <c r="D851" s="77" t="s">
        <v>1276</v>
      </c>
      <c r="E851" s="77"/>
      <c r="F851" s="16"/>
      <c r="G851" s="16" t="s">
        <v>646</v>
      </c>
      <c r="H851" s="15" t="s">
        <v>663</v>
      </c>
      <c r="I851" s="17" t="s">
        <v>343</v>
      </c>
      <c r="J851" s="79">
        <v>9.4</v>
      </c>
      <c r="K851" s="18" t="s">
        <v>280</v>
      </c>
      <c r="L851" s="94" t="s">
        <v>700</v>
      </c>
      <c r="M851" s="148" t="s">
        <v>708</v>
      </c>
      <c r="N851" s="81" t="str">
        <f>_xlfn.XLOOKUP(Calculations[[#This Row],[For XLOOKUP]],Factors[For XLOOKUP],Factors[Factor],"")</f>
        <v>Σ.Ε. CO₂ eq</v>
      </c>
      <c r="O851" s="81">
        <f>_xlfn.XLOOKUP(Calculations[[#This Row],[For XLOOKUP]],Factors[For XLOOKUP],Factors[Value],"")</f>
        <v>9.920801798319491E-2</v>
      </c>
      <c r="P851" s="81" t="str">
        <f>_xlfn.XLOOKUP(Calculations[[#This Row],[For XLOOKUP]],Factors[For XLOOKUP],Factors[Units],"")</f>
        <v>tn CO2 eq/ tn</v>
      </c>
      <c r="Q851" s="19" t="str">
        <f>_xlfn.XLOOKUP(Calculations[[#This Row],[For XLOOKUP]],Factors[For XLOOKUP],Factors[Source],"")</f>
        <v>EPA 2024</v>
      </c>
      <c r="R85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1" s="81" t="str">
        <f>IF(LEFT(Calculations[[#This Row],[Emission Factor]],7)="Σ.Ε. CH",Calculations[[#This Row],[Value]]*Calculations[[#This Row],[Τιμή]],"-")</f>
        <v>-</v>
      </c>
      <c r="T85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1" s="81" t="str">
        <f>IF(LEFT(Calculations[[#This Row],[Emission Factor]],3)="GWP",Calculations[[#This Row],[Τιμή]],"-")</f>
        <v>-</v>
      </c>
      <c r="V851" s="247">
        <f>IF(OR(Calculations[[#This Row],[Emission Factor]]="Σ.Ε. CO₂ eq",Calculations[[#This Row],[Emission Factor]]="CO₂ eq"),Calculations[[#This Row],[Value]]*Calculations[[#This Row],[Τιμή]],"-")</f>
        <v>0.93255536904203218</v>
      </c>
      <c r="W851" s="81" t="str">
        <f>IF(Calculations[[#This Row],[Πηγή εκπομπών]]="Electricity consumed in office buildings and projects - market based",Calculations[[#This Row],[t CO2]],"")</f>
        <v/>
      </c>
      <c r="X85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0.93255536904203218</v>
      </c>
    </row>
    <row r="852" spans="1:24" hidden="1">
      <c r="A852" s="15" t="s">
        <v>350</v>
      </c>
      <c r="B852" s="15" t="s">
        <v>645</v>
      </c>
      <c r="C852" s="16" t="s">
        <v>624</v>
      </c>
      <c r="D852" s="77" t="s">
        <v>1276</v>
      </c>
      <c r="E852" s="77"/>
      <c r="F852" s="16"/>
      <c r="G852" s="16" t="s">
        <v>646</v>
      </c>
      <c r="H852" s="15" t="s">
        <v>663</v>
      </c>
      <c r="I852" s="17" t="s">
        <v>343</v>
      </c>
      <c r="J852" s="79">
        <v>4.47</v>
      </c>
      <c r="K852" s="18" t="s">
        <v>280</v>
      </c>
      <c r="L852" s="94" t="s">
        <v>694</v>
      </c>
      <c r="M852" s="148" t="s">
        <v>708</v>
      </c>
      <c r="N852" s="81" t="str">
        <f>_xlfn.XLOOKUP(Calculations[[#This Row],[For XLOOKUP]],Factors[For XLOOKUP],Factors[Factor],"")</f>
        <v>Σ.Ε. CO₂ eq</v>
      </c>
      <c r="O852" s="81">
        <f>_xlfn.XLOOKUP(Calculations[[#This Row],[For XLOOKUP]],Factors[For XLOOKUP],Factors[Value],"")</f>
        <v>9.920801798319491E-2</v>
      </c>
      <c r="P852" s="81" t="str">
        <f>_xlfn.XLOOKUP(Calculations[[#This Row],[For XLOOKUP]],Factors[For XLOOKUP],Factors[Units],"")</f>
        <v>tn CO2 eq/ tn</v>
      </c>
      <c r="Q852" s="19" t="str">
        <f>_xlfn.XLOOKUP(Calculations[[#This Row],[For XLOOKUP]],Factors[For XLOOKUP],Factors[Source],"")</f>
        <v>EPA 2024</v>
      </c>
      <c r="R85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2" s="81" t="str">
        <f>IF(LEFT(Calculations[[#This Row],[Emission Factor]],7)="Σ.Ε. CH",Calculations[[#This Row],[Value]]*Calculations[[#This Row],[Τιμή]],"-")</f>
        <v>-</v>
      </c>
      <c r="T85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2" s="81" t="str">
        <f>IF(LEFT(Calculations[[#This Row],[Emission Factor]],3)="GWP",Calculations[[#This Row],[Τιμή]],"-")</f>
        <v>-</v>
      </c>
      <c r="V852" s="247">
        <f>IF(OR(Calculations[[#This Row],[Emission Factor]]="Σ.Ε. CO₂ eq",Calculations[[#This Row],[Emission Factor]]="CO₂ eq"),Calculations[[#This Row],[Value]]*Calculations[[#This Row],[Τιμή]],"-")</f>
        <v>0.44345984038488123</v>
      </c>
      <c r="W852" s="81" t="str">
        <f>IF(Calculations[[#This Row],[Πηγή εκπομπών]]="Electricity consumed in office buildings and projects - market based",Calculations[[#This Row],[t CO2]],"")</f>
        <v/>
      </c>
      <c r="X85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0.44345984038488123</v>
      </c>
    </row>
    <row r="853" spans="1:24" hidden="1">
      <c r="A853" s="15" t="s">
        <v>350</v>
      </c>
      <c r="B853" s="15" t="s">
        <v>645</v>
      </c>
      <c r="C853" s="16" t="s">
        <v>327</v>
      </c>
      <c r="D853" s="16" t="s">
        <v>1276</v>
      </c>
      <c r="E853" s="77" t="s">
        <v>1187</v>
      </c>
      <c r="F853" s="16"/>
      <c r="G853" s="16" t="s">
        <v>646</v>
      </c>
      <c r="H853" s="15" t="s">
        <v>664</v>
      </c>
      <c r="I853" s="17" t="s">
        <v>343</v>
      </c>
      <c r="J853" s="79">
        <v>9386.7900000000009</v>
      </c>
      <c r="K853" s="18" t="s">
        <v>280</v>
      </c>
      <c r="L853" s="94" t="s">
        <v>696</v>
      </c>
      <c r="M853" s="148" t="s">
        <v>711</v>
      </c>
      <c r="N853" s="81" t="str">
        <f>_xlfn.XLOOKUP(Calculations[[#This Row],[For XLOOKUP]],Factors[For XLOOKUP],Factors[Factor],"")</f>
        <v>Σ.Ε. CO₂ eq</v>
      </c>
      <c r="O853" s="81">
        <f>_xlfn.XLOOKUP(Calculations[[#This Row],[For XLOOKUP]],Factors[For XLOOKUP],Factors[Value],"")</f>
        <v>0.82673348319329087</v>
      </c>
      <c r="P853" s="81" t="str">
        <f>_xlfn.XLOOKUP(Calculations[[#This Row],[For XLOOKUP]],Factors[For XLOOKUP],Factors[Units],"")</f>
        <v>tn CO2 eq/ tn</v>
      </c>
      <c r="Q853" s="19" t="str">
        <f>_xlfn.XLOOKUP(Calculations[[#This Row],[For XLOOKUP]],Factors[For XLOOKUP],Factors[Source],"")</f>
        <v>EPA 2024</v>
      </c>
      <c r="R85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3" s="81" t="str">
        <f>IF(LEFT(Calculations[[#This Row],[Emission Factor]],7)="Σ.Ε. CH",Calculations[[#This Row],[Value]]*Calculations[[#This Row],[Τιμή]],"-")</f>
        <v>-</v>
      </c>
      <c r="T85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3" s="81" t="str">
        <f>IF(LEFT(Calculations[[#This Row],[Emission Factor]],3)="GWP",Calculations[[#This Row],[Τιμή]],"-")</f>
        <v>-</v>
      </c>
      <c r="V853" s="247">
        <f>IF(OR(Calculations[[#This Row],[Emission Factor]]="Σ.Ε. CO₂ eq",Calculations[[#This Row],[Emission Factor]]="CO₂ eq"),Calculations[[#This Row],[Value]]*Calculations[[#This Row],[Τιμή]],"-")</f>
        <v>7760.3735927039515</v>
      </c>
      <c r="W853" s="81" t="str">
        <f>IF(Calculations[[#This Row],[Πηγή εκπομπών]]="Electricity consumed in office buildings and projects - market based",Calculations[[#This Row],[t CO2]],"")</f>
        <v/>
      </c>
      <c r="X85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7760.3735927039515</v>
      </c>
    </row>
    <row r="854" spans="1:24" hidden="1">
      <c r="A854" s="15" t="s">
        <v>350</v>
      </c>
      <c r="B854" s="15" t="s">
        <v>645</v>
      </c>
      <c r="C854" s="16" t="s">
        <v>624</v>
      </c>
      <c r="D854" s="16" t="s">
        <v>1273</v>
      </c>
      <c r="E854" s="16" t="s">
        <v>1140</v>
      </c>
      <c r="F854" s="16"/>
      <c r="G854" s="16" t="s">
        <v>646</v>
      </c>
      <c r="H854" s="15" t="s">
        <v>664</v>
      </c>
      <c r="I854" s="17" t="s">
        <v>343</v>
      </c>
      <c r="J854" s="79">
        <v>1.675</v>
      </c>
      <c r="K854" s="18" t="s">
        <v>280</v>
      </c>
      <c r="L854" s="94" t="s">
        <v>698</v>
      </c>
      <c r="M854" s="148" t="s">
        <v>1043</v>
      </c>
      <c r="N854" s="81" t="str">
        <f>_xlfn.XLOOKUP(Calculations[[#This Row],[For XLOOKUP]],Factors[For XLOOKUP],Factors[Factor],"")</f>
        <v>Σ.Ε. CO₂ eq</v>
      </c>
      <c r="O854" s="81">
        <f>_xlfn.XLOOKUP(Calculations[[#This Row],[For XLOOKUP]],Factors[For XLOOKUP],Factors[Value],"")</f>
        <v>2.5794084675630673</v>
      </c>
      <c r="P854" s="81" t="str">
        <f>_xlfn.XLOOKUP(Calculations[[#This Row],[For XLOOKUP]],Factors[For XLOOKUP],Factors[Units],"")</f>
        <v>tn CO2 eq/ tn</v>
      </c>
      <c r="Q854" s="19" t="str">
        <f>_xlfn.XLOOKUP(Calculations[[#This Row],[For XLOOKUP]],Factors[For XLOOKUP],Factors[Source],"")</f>
        <v>EPA 2024</v>
      </c>
      <c r="R85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4" s="81" t="str">
        <f>IF(LEFT(Calculations[[#This Row],[Emission Factor]],7)="Σ.Ε. CH",Calculations[[#This Row],[Value]]*Calculations[[#This Row],[Τιμή]],"-")</f>
        <v>-</v>
      </c>
      <c r="T85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4" s="81" t="str">
        <f>IF(LEFT(Calculations[[#This Row],[Emission Factor]],3)="GWP",Calculations[[#This Row],[Τιμή]],"-")</f>
        <v>-</v>
      </c>
      <c r="V854" s="247">
        <f>IF(OR(Calculations[[#This Row],[Emission Factor]]="Σ.Ε. CO₂ eq",Calculations[[#This Row],[Emission Factor]]="CO₂ eq"),Calculations[[#This Row],[Value]]*Calculations[[#This Row],[Τιμή]],"-")</f>
        <v>4.3205091831681379</v>
      </c>
      <c r="W854" s="81" t="str">
        <f>IF(Calculations[[#This Row],[Πηγή εκπομπών]]="Electricity consumed in office buildings and projects - market based",Calculations[[#This Row],[t CO2]],"")</f>
        <v/>
      </c>
      <c r="X85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4.3205091831681379</v>
      </c>
    </row>
    <row r="855" spans="1:24" hidden="1">
      <c r="A855" s="15" t="s">
        <v>350</v>
      </c>
      <c r="B855" s="15" t="s">
        <v>645</v>
      </c>
      <c r="C855" s="16" t="s">
        <v>624</v>
      </c>
      <c r="D855" s="77" t="s">
        <v>1273</v>
      </c>
      <c r="E855" s="77" t="s">
        <v>1141</v>
      </c>
      <c r="F855" s="16"/>
      <c r="G855" s="16" t="s">
        <v>646</v>
      </c>
      <c r="H855" s="15" t="s">
        <v>664</v>
      </c>
      <c r="I855" s="17" t="s">
        <v>343</v>
      </c>
      <c r="J855" s="79">
        <v>15.280000000000001</v>
      </c>
      <c r="K855" s="18" t="s">
        <v>280</v>
      </c>
      <c r="L855" s="94" t="s">
        <v>694</v>
      </c>
      <c r="M855" s="148" t="s">
        <v>708</v>
      </c>
      <c r="N855" s="81" t="str">
        <f>_xlfn.XLOOKUP(Calculations[[#This Row],[For XLOOKUP]],Factors[For XLOOKUP],Factors[Factor],"")</f>
        <v>Σ.Ε. CO₂ eq</v>
      </c>
      <c r="O855" s="81">
        <f>_xlfn.XLOOKUP(Calculations[[#This Row],[For XLOOKUP]],Factors[For XLOOKUP],Factors[Value],"")</f>
        <v>9.920801798319491E-2</v>
      </c>
      <c r="P855" s="81" t="str">
        <f>_xlfn.XLOOKUP(Calculations[[#This Row],[For XLOOKUP]],Factors[For XLOOKUP],Factors[Units],"")</f>
        <v>tn CO2 eq/ tn</v>
      </c>
      <c r="Q855" s="19" t="str">
        <f>_xlfn.XLOOKUP(Calculations[[#This Row],[For XLOOKUP]],Factors[For XLOOKUP],Factors[Source],"")</f>
        <v>EPA 2024</v>
      </c>
      <c r="R85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5" s="81" t="str">
        <f>IF(LEFT(Calculations[[#This Row],[Emission Factor]],7)="Σ.Ε. CH",Calculations[[#This Row],[Value]]*Calculations[[#This Row],[Τιμή]],"-")</f>
        <v>-</v>
      </c>
      <c r="T85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5" s="81" t="str">
        <f>IF(LEFT(Calculations[[#This Row],[Emission Factor]],3)="GWP",Calculations[[#This Row],[Τιμή]],"-")</f>
        <v>-</v>
      </c>
      <c r="V855" s="247">
        <f>IF(OR(Calculations[[#This Row],[Emission Factor]]="Σ.Ε. CO₂ eq",Calculations[[#This Row],[Emission Factor]]="CO₂ eq"),Calculations[[#This Row],[Value]]*Calculations[[#This Row],[Τιμή]],"-")</f>
        <v>1.5158985147832182</v>
      </c>
      <c r="W855" s="81" t="str">
        <f>IF(Calculations[[#This Row],[Πηγή εκπομπών]]="Electricity consumed in office buildings and projects - market based",Calculations[[#This Row],[t CO2]],"")</f>
        <v/>
      </c>
      <c r="X85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1.5158985147832182</v>
      </c>
    </row>
    <row r="856" spans="1:24" hidden="1">
      <c r="A856" s="15" t="s">
        <v>350</v>
      </c>
      <c r="B856" s="15" t="s">
        <v>645</v>
      </c>
      <c r="C856" s="16" t="s">
        <v>624</v>
      </c>
      <c r="D856" s="77" t="s">
        <v>1273</v>
      </c>
      <c r="E856" s="77" t="s">
        <v>1180</v>
      </c>
      <c r="F856" s="16"/>
      <c r="G856" s="16" t="s">
        <v>646</v>
      </c>
      <c r="H856" s="15" t="s">
        <v>664</v>
      </c>
      <c r="I856" s="17" t="s">
        <v>343</v>
      </c>
      <c r="J856" s="79">
        <v>3.2890000000000001</v>
      </c>
      <c r="K856" s="18" t="s">
        <v>280</v>
      </c>
      <c r="L856" s="94" t="s">
        <v>694</v>
      </c>
      <c r="M856" s="148" t="s">
        <v>708</v>
      </c>
      <c r="N856" s="81" t="str">
        <f>_xlfn.XLOOKUP(Calculations[[#This Row],[For XLOOKUP]],Factors[For XLOOKUP],Factors[Factor],"")</f>
        <v>Σ.Ε. CO₂ eq</v>
      </c>
      <c r="O856" s="81">
        <f>_xlfn.XLOOKUP(Calculations[[#This Row],[For XLOOKUP]],Factors[For XLOOKUP],Factors[Value],"")</f>
        <v>9.920801798319491E-2</v>
      </c>
      <c r="P856" s="81" t="str">
        <f>_xlfn.XLOOKUP(Calculations[[#This Row],[For XLOOKUP]],Factors[For XLOOKUP],Factors[Units],"")</f>
        <v>tn CO2 eq/ tn</v>
      </c>
      <c r="Q856" s="19" t="str">
        <f>_xlfn.XLOOKUP(Calculations[[#This Row],[For XLOOKUP]],Factors[For XLOOKUP],Factors[Source],"")</f>
        <v>EPA 2024</v>
      </c>
      <c r="R85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6" s="81" t="str">
        <f>IF(LEFT(Calculations[[#This Row],[Emission Factor]],7)="Σ.Ε. CH",Calculations[[#This Row],[Value]]*Calculations[[#This Row],[Τιμή]],"-")</f>
        <v>-</v>
      </c>
      <c r="T85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6" s="81" t="str">
        <f>IF(LEFT(Calculations[[#This Row],[Emission Factor]],3)="GWP",Calculations[[#This Row],[Τιμή]],"-")</f>
        <v>-</v>
      </c>
      <c r="V856" s="247">
        <f>IF(OR(Calculations[[#This Row],[Emission Factor]]="Σ.Ε. CO₂ eq",Calculations[[#This Row],[Emission Factor]]="CO₂ eq"),Calculations[[#This Row],[Value]]*Calculations[[#This Row],[Τιμή]],"-")</f>
        <v>0.32629517114672807</v>
      </c>
      <c r="W856" s="81" t="str">
        <f>IF(Calculations[[#This Row],[Πηγή εκπομπών]]="Electricity consumed in office buildings and projects - market based",Calculations[[#This Row],[t CO2]],"")</f>
        <v/>
      </c>
      <c r="X85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0.32629517114672807</v>
      </c>
    </row>
    <row r="857" spans="1:24" hidden="1">
      <c r="A857" s="15" t="s">
        <v>350</v>
      </c>
      <c r="B857" s="15" t="s">
        <v>645</v>
      </c>
      <c r="C857" s="16" t="s">
        <v>624</v>
      </c>
      <c r="D857" s="77" t="s">
        <v>1276</v>
      </c>
      <c r="E857" s="77"/>
      <c r="F857" s="16"/>
      <c r="G857" s="16" t="s">
        <v>646</v>
      </c>
      <c r="H857" s="15" t="s">
        <v>1370</v>
      </c>
      <c r="I857" s="17" t="s">
        <v>343</v>
      </c>
      <c r="J857" s="79">
        <v>36.03</v>
      </c>
      <c r="K857" s="18" t="s">
        <v>280</v>
      </c>
      <c r="L857" s="94" t="s">
        <v>695</v>
      </c>
      <c r="M857" s="148" t="s">
        <v>701</v>
      </c>
      <c r="N857" s="81" t="str">
        <f>_xlfn.XLOOKUP(Calculations[[#This Row],[For XLOOKUP]],Factors[For XLOOKUP],Factors[Factor],"")</f>
        <v>Σ.Ε. CO₂ eq</v>
      </c>
      <c r="O857" s="81">
        <f>_xlfn.XLOOKUP(Calculations[[#This Row],[For XLOOKUP]],Factors[For XLOOKUP],Factors[Value],"")</f>
        <v>9.8485E-4</v>
      </c>
      <c r="P857" s="81" t="str">
        <f>_xlfn.XLOOKUP(Calculations[[#This Row],[For XLOOKUP]],Factors[For XLOOKUP],Factors[Units],"")</f>
        <v>tn CO2 eq/ tn</v>
      </c>
      <c r="Q857" s="19" t="str">
        <f>_xlfn.XLOOKUP(Calculations[[#This Row],[For XLOOKUP]],Factors[For XLOOKUP],Factors[Source],"")</f>
        <v>DEFRA 2024</v>
      </c>
      <c r="R85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7" s="81" t="str">
        <f>IF(LEFT(Calculations[[#This Row],[Emission Factor]],7)="Σ.Ε. CH",Calculations[[#This Row],[Value]]*Calculations[[#This Row],[Τιμή]],"-")</f>
        <v>-</v>
      </c>
      <c r="T85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7" s="81" t="str">
        <f>IF(LEFT(Calculations[[#This Row],[Emission Factor]],3)="GWP",Calculations[[#This Row],[Τιμή]],"-")</f>
        <v>-</v>
      </c>
      <c r="V857" s="247">
        <f>IF(OR(Calculations[[#This Row],[Emission Factor]]="Σ.Ε. CO₂ eq",Calculations[[#This Row],[Emission Factor]]="CO₂ eq"),Calculations[[#This Row],[Value]]*Calculations[[#This Row],[Τιμή]],"-")</f>
        <v>3.5484145500000001E-2</v>
      </c>
      <c r="W857" s="81" t="str">
        <f>IF(Calculations[[#This Row],[Πηγή εκπομπών]]="Electricity consumed in office buildings and projects - market based",Calculations[[#This Row],[t CO2]],"")</f>
        <v/>
      </c>
      <c r="X85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3.5484145500000001E-2</v>
      </c>
    </row>
    <row r="858" spans="1:24" hidden="1">
      <c r="A858" s="15" t="s">
        <v>350</v>
      </c>
      <c r="B858" s="15" t="s">
        <v>645</v>
      </c>
      <c r="C858" s="16" t="s">
        <v>327</v>
      </c>
      <c r="D858" s="77" t="s">
        <v>1276</v>
      </c>
      <c r="E858" s="77" t="s">
        <v>1187</v>
      </c>
      <c r="F858" s="16"/>
      <c r="G858" s="16" t="s">
        <v>646</v>
      </c>
      <c r="H858" s="15" t="s">
        <v>665</v>
      </c>
      <c r="I858" s="17" t="s">
        <v>343</v>
      </c>
      <c r="J858" s="79">
        <v>426.05</v>
      </c>
      <c r="K858" s="18" t="s">
        <v>280</v>
      </c>
      <c r="L858" s="94" t="s">
        <v>696</v>
      </c>
      <c r="M858" s="148" t="s">
        <v>1383</v>
      </c>
      <c r="N858" s="81" t="str">
        <f>_xlfn.XLOOKUP(Calculations[[#This Row],[For XLOOKUP]],Factors[For XLOOKUP],Factors[Factor],"")</f>
        <v>Σ.Ε. CO₂ eq</v>
      </c>
      <c r="O858" s="81">
        <f>_xlfn.XLOOKUP(Calculations[[#This Row],[For XLOOKUP]],Factors[For XLOOKUP],Factors[Value],"")</f>
        <v>0.9810570667227051</v>
      </c>
      <c r="P858" s="81" t="str">
        <f>_xlfn.XLOOKUP(Calculations[[#This Row],[For XLOOKUP]],Factors[For XLOOKUP],Factors[Units],"")</f>
        <v>tn CO2 eq/ tn</v>
      </c>
      <c r="Q858" s="19" t="str">
        <f>_xlfn.XLOOKUP(Calculations[[#This Row],[For XLOOKUP]],Factors[For XLOOKUP],Factors[Source],"")</f>
        <v>EPA 2024</v>
      </c>
      <c r="R85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8" s="81" t="str">
        <f>IF(LEFT(Calculations[[#This Row],[Emission Factor]],7)="Σ.Ε. CH",Calculations[[#This Row],[Value]]*Calculations[[#This Row],[Τιμή]],"-")</f>
        <v>-</v>
      </c>
      <c r="T85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8" s="81" t="str">
        <f>IF(LEFT(Calculations[[#This Row],[Emission Factor]],3)="GWP",Calculations[[#This Row],[Τιμή]],"-")</f>
        <v>-</v>
      </c>
      <c r="V858" s="247">
        <f>IF(OR(Calculations[[#This Row],[Emission Factor]]="Σ.Ε. CO₂ eq",Calculations[[#This Row],[Emission Factor]]="CO₂ eq"),Calculations[[#This Row],[Value]]*Calculations[[#This Row],[Τιμή]],"-")</f>
        <v>417.97936327720851</v>
      </c>
      <c r="W858" s="81" t="str">
        <f>IF(Calculations[[#This Row],[Πηγή εκπομπών]]="Electricity consumed in office buildings and projects - market based",Calculations[[#This Row],[t CO2]],"")</f>
        <v/>
      </c>
      <c r="X85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417.97936327720851</v>
      </c>
    </row>
    <row r="859" spans="1:24" hidden="1">
      <c r="A859" s="15" t="s">
        <v>350</v>
      </c>
      <c r="B859" s="15" t="s">
        <v>645</v>
      </c>
      <c r="C859" s="16" t="s">
        <v>327</v>
      </c>
      <c r="D859" s="77" t="s">
        <v>1276</v>
      </c>
      <c r="E859" s="77" t="s">
        <v>1187</v>
      </c>
      <c r="F859" s="16"/>
      <c r="G859" s="16" t="s">
        <v>646</v>
      </c>
      <c r="H859" s="15" t="s">
        <v>665</v>
      </c>
      <c r="I859" s="17" t="s">
        <v>343</v>
      </c>
      <c r="J859" s="79">
        <v>7128.3600000000006</v>
      </c>
      <c r="K859" s="18" t="s">
        <v>280</v>
      </c>
      <c r="L859" s="94" t="s">
        <v>694</v>
      </c>
      <c r="M859" s="148" t="s">
        <v>707</v>
      </c>
      <c r="N859" s="81" t="str">
        <f>_xlfn.XLOOKUP(Calculations[[#This Row],[For XLOOKUP]],Factors[For XLOOKUP],Factors[Factor],"")</f>
        <v>Σ.Ε. CO₂ eq</v>
      </c>
      <c r="O859" s="81">
        <f>_xlfn.XLOOKUP(Calculations[[#This Row],[For XLOOKUP]],Factors[For XLOOKUP],Factors[Value],"")</f>
        <v>7.7161791764707152E-2</v>
      </c>
      <c r="P859" s="81" t="str">
        <f>_xlfn.XLOOKUP(Calculations[[#This Row],[For XLOOKUP]],Factors[For XLOOKUP],Factors[Units],"")</f>
        <v>tn CO2 eq/ tn</v>
      </c>
      <c r="Q859" s="19" t="str">
        <f>_xlfn.XLOOKUP(Calculations[[#This Row],[For XLOOKUP]],Factors[For XLOOKUP],Factors[Source],"")</f>
        <v>EPA 2024</v>
      </c>
      <c r="R85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9" s="81" t="str">
        <f>IF(LEFT(Calculations[[#This Row],[Emission Factor]],7)="Σ.Ε. CH",Calculations[[#This Row],[Value]]*Calculations[[#This Row],[Τιμή]],"-")</f>
        <v>-</v>
      </c>
      <c r="T85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9" s="81" t="str">
        <f>IF(LEFT(Calculations[[#This Row],[Emission Factor]],3)="GWP",Calculations[[#This Row],[Τιμή]],"-")</f>
        <v>-</v>
      </c>
      <c r="V859" s="247">
        <f>IF(OR(Calculations[[#This Row],[Emission Factor]]="Σ.Ε. CO₂ eq",Calculations[[#This Row],[Emission Factor]]="CO₂ eq"),Calculations[[#This Row],[Value]]*Calculations[[#This Row],[Τιμή]],"-")</f>
        <v>550.03702994386788</v>
      </c>
      <c r="W859" s="81" t="str">
        <f>IF(Calculations[[#This Row],[Πηγή εκπομπών]]="Electricity consumed in office buildings and projects - market based",Calculations[[#This Row],[t CO2]],"")</f>
        <v/>
      </c>
      <c r="X85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550.03702994386788</v>
      </c>
    </row>
    <row r="860" spans="1:24" hidden="1">
      <c r="A860" s="15" t="s">
        <v>350</v>
      </c>
      <c r="B860" s="15" t="s">
        <v>645</v>
      </c>
      <c r="C860" s="16" t="s">
        <v>624</v>
      </c>
      <c r="D860" s="77" t="s">
        <v>1276</v>
      </c>
      <c r="E860" s="16"/>
      <c r="F860" s="16"/>
      <c r="G860" s="16" t="s">
        <v>646</v>
      </c>
      <c r="H860" s="15" t="s">
        <v>665</v>
      </c>
      <c r="I860" s="17" t="s">
        <v>343</v>
      </c>
      <c r="J860" s="79">
        <v>2461.21</v>
      </c>
      <c r="K860" s="18" t="s">
        <v>280</v>
      </c>
      <c r="L860" s="94" t="s">
        <v>696</v>
      </c>
      <c r="M860" s="148" t="s">
        <v>1383</v>
      </c>
      <c r="N860" s="81" t="str">
        <f>_xlfn.XLOOKUP(Calculations[[#This Row],[For XLOOKUP]],Factors[For XLOOKUP],Factors[Factor],"")</f>
        <v>Σ.Ε. CO₂ eq</v>
      </c>
      <c r="O860" s="81">
        <f>_xlfn.XLOOKUP(Calculations[[#This Row],[For XLOOKUP]],Factors[For XLOOKUP],Factors[Value],"")</f>
        <v>0.9810570667227051</v>
      </c>
      <c r="P860" s="81" t="str">
        <f>_xlfn.XLOOKUP(Calculations[[#This Row],[For XLOOKUP]],Factors[For XLOOKUP],Factors[Units],"")</f>
        <v>tn CO2 eq/ tn</v>
      </c>
      <c r="Q860" s="19" t="str">
        <f>_xlfn.XLOOKUP(Calculations[[#This Row],[For XLOOKUP]],Factors[For XLOOKUP],Factors[Source],"")</f>
        <v>EPA 2024</v>
      </c>
      <c r="R86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0" s="81" t="str">
        <f>IF(LEFT(Calculations[[#This Row],[Emission Factor]],7)="Σ.Ε. CH",Calculations[[#This Row],[Value]]*Calculations[[#This Row],[Τιμή]],"-")</f>
        <v>-</v>
      </c>
      <c r="T86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0" s="81" t="str">
        <f>IF(LEFT(Calculations[[#This Row],[Emission Factor]],3)="GWP",Calculations[[#This Row],[Τιμή]],"-")</f>
        <v>-</v>
      </c>
      <c r="V860" s="247">
        <f>IF(OR(Calculations[[#This Row],[Emission Factor]]="Σ.Ε. CO₂ eq",Calculations[[#This Row],[Emission Factor]]="CO₂ eq"),Calculations[[#This Row],[Value]]*Calculations[[#This Row],[Τιμή]],"-")</f>
        <v>2414.587463188589</v>
      </c>
      <c r="W860" s="81" t="str">
        <f>IF(Calculations[[#This Row],[Πηγή εκπομπών]]="Electricity consumed in office buildings and projects - market based",Calculations[[#This Row],[t CO2]],"")</f>
        <v/>
      </c>
      <c r="X86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2414.587463188589</v>
      </c>
    </row>
    <row r="861" spans="1:24" hidden="1">
      <c r="A861" s="15" t="s">
        <v>350</v>
      </c>
      <c r="B861" s="15" t="s">
        <v>645</v>
      </c>
      <c r="C861" s="16" t="s">
        <v>624</v>
      </c>
      <c r="D861" s="77" t="s">
        <v>1276</v>
      </c>
      <c r="E861" s="77"/>
      <c r="F861" s="16"/>
      <c r="G861" s="16" t="s">
        <v>646</v>
      </c>
      <c r="H861" s="15" t="s">
        <v>665</v>
      </c>
      <c r="I861" s="17" t="s">
        <v>343</v>
      </c>
      <c r="J861" s="79">
        <v>3641.4230600000001</v>
      </c>
      <c r="K861" s="18" t="s">
        <v>280</v>
      </c>
      <c r="L861" s="94" t="s">
        <v>694</v>
      </c>
      <c r="M861" s="148" t="s">
        <v>707</v>
      </c>
      <c r="N861" s="81" t="str">
        <f>_xlfn.XLOOKUP(Calculations[[#This Row],[For XLOOKUP]],Factors[For XLOOKUP],Factors[Factor],"")</f>
        <v>Σ.Ε. CO₂ eq</v>
      </c>
      <c r="O861" s="81">
        <f>_xlfn.XLOOKUP(Calculations[[#This Row],[For XLOOKUP]],Factors[For XLOOKUP],Factors[Value],"")</f>
        <v>7.7161791764707152E-2</v>
      </c>
      <c r="P861" s="81" t="str">
        <f>_xlfn.XLOOKUP(Calculations[[#This Row],[For XLOOKUP]],Factors[For XLOOKUP],Factors[Units],"")</f>
        <v>tn CO2 eq/ tn</v>
      </c>
      <c r="Q861" s="19" t="str">
        <f>_xlfn.XLOOKUP(Calculations[[#This Row],[For XLOOKUP]],Factors[For XLOOKUP],Factors[Source],"")</f>
        <v>EPA 2024</v>
      </c>
      <c r="R86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1" s="81" t="str">
        <f>IF(LEFT(Calculations[[#This Row],[Emission Factor]],7)="Σ.Ε. CH",Calculations[[#This Row],[Value]]*Calculations[[#This Row],[Τιμή]],"-")</f>
        <v>-</v>
      </c>
      <c r="T86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1" s="81" t="str">
        <f>IF(LEFT(Calculations[[#This Row],[Emission Factor]],3)="GWP",Calculations[[#This Row],[Τιμή]],"-")</f>
        <v>-</v>
      </c>
      <c r="V861" s="247">
        <f>IF(OR(Calculations[[#This Row],[Emission Factor]]="Σ.Ε. CO₂ eq",Calculations[[#This Row],[Emission Factor]]="CO₂ eq"),Calculations[[#This Row],[Value]]*Calculations[[#This Row],[Τιμή]],"-")</f>
        <v>280.97872788292273</v>
      </c>
      <c r="W861" s="81" t="str">
        <f>IF(Calculations[[#This Row],[Πηγή εκπομπών]]="Electricity consumed in office buildings and projects - market based",Calculations[[#This Row],[t CO2]],"")</f>
        <v/>
      </c>
      <c r="X86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280.97872788292273</v>
      </c>
    </row>
    <row r="862" spans="1:24" hidden="1">
      <c r="A862" s="15" t="s">
        <v>350</v>
      </c>
      <c r="B862" s="15" t="s">
        <v>645</v>
      </c>
      <c r="C862" s="16" t="s">
        <v>624</v>
      </c>
      <c r="D862" s="77" t="s">
        <v>1255</v>
      </c>
      <c r="E862" s="77" t="s">
        <v>1150</v>
      </c>
      <c r="F862" s="16"/>
      <c r="G862" s="16" t="s">
        <v>646</v>
      </c>
      <c r="H862" s="15" t="s">
        <v>666</v>
      </c>
      <c r="I862" s="17" t="s">
        <v>343</v>
      </c>
      <c r="J862" s="79">
        <v>1.7911098037816E-3</v>
      </c>
      <c r="K862" s="18" t="s">
        <v>280</v>
      </c>
      <c r="L862" s="94" t="s">
        <v>694</v>
      </c>
      <c r="M862" s="148" t="s">
        <v>712</v>
      </c>
      <c r="N862" s="81" t="str">
        <f>_xlfn.XLOOKUP(Calculations[[#This Row],[For XLOOKUP]],Factors[For XLOOKUP],Factors[Factor],"")</f>
        <v>Σ.Ε. CO₂ eq</v>
      </c>
      <c r="O862" s="81">
        <f>_xlfn.XLOOKUP(Calculations[[#This Row],[For XLOOKUP]],Factors[For XLOOKUP],Factors[Value],"")</f>
        <v>2.8549618764799001</v>
      </c>
      <c r="P862" s="81" t="str">
        <f>_xlfn.XLOOKUP(Calculations[[#This Row],[For XLOOKUP]],Factors[For XLOOKUP],Factors[Units],"")</f>
        <v>tn CO2 eq/ tn</v>
      </c>
      <c r="Q862" s="19" t="str">
        <f>_xlfn.XLOOKUP(Calculations[[#This Row],[For XLOOKUP]],Factors[For XLOOKUP],Factors[Source],"")</f>
        <v>Ecoinvent 3.11</v>
      </c>
      <c r="R86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2" s="81" t="str">
        <f>IF(LEFT(Calculations[[#This Row],[Emission Factor]],7)="Σ.Ε. CH",Calculations[[#This Row],[Value]]*Calculations[[#This Row],[Τιμή]],"-")</f>
        <v>-</v>
      </c>
      <c r="T86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2" s="81" t="str">
        <f>IF(LEFT(Calculations[[#This Row],[Emission Factor]],3)="GWP",Calculations[[#This Row],[Τιμή]],"-")</f>
        <v>-</v>
      </c>
      <c r="V862" s="247">
        <f>IF(OR(Calculations[[#This Row],[Emission Factor]]="Σ.Ε. CO₂ eq",Calculations[[#This Row],[Emission Factor]]="CO₂ eq"),Calculations[[#This Row],[Value]]*Calculations[[#This Row],[Τιμή]],"-")</f>
        <v>5.1135502063858621E-3</v>
      </c>
      <c r="W862" s="81" t="str">
        <f>IF(Calculations[[#This Row],[Πηγή εκπομπών]]="Electricity consumed in office buildings and projects - market based",Calculations[[#This Row],[t CO2]],"")</f>
        <v/>
      </c>
      <c r="X86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5.1135502063858621E-3</v>
      </c>
    </row>
    <row r="863" spans="1:24" hidden="1">
      <c r="A863" s="15" t="s">
        <v>350</v>
      </c>
      <c r="B863" s="15" t="s">
        <v>645</v>
      </c>
      <c r="C863" s="16" t="s">
        <v>624</v>
      </c>
      <c r="D863" s="77" t="s">
        <v>1255</v>
      </c>
      <c r="E863" s="77" t="s">
        <v>1151</v>
      </c>
      <c r="F863" s="16"/>
      <c r="G863" s="16" t="s">
        <v>646</v>
      </c>
      <c r="H863" s="15" t="s">
        <v>666</v>
      </c>
      <c r="I863" s="17" t="s">
        <v>343</v>
      </c>
      <c r="J863" s="79">
        <v>9.8164999999999996</v>
      </c>
      <c r="K863" s="18" t="s">
        <v>280</v>
      </c>
      <c r="L863" s="94" t="s">
        <v>694</v>
      </c>
      <c r="M863" s="148" t="s">
        <v>712</v>
      </c>
      <c r="N863" s="81" t="str">
        <f>_xlfn.XLOOKUP(Calculations[[#This Row],[For XLOOKUP]],Factors[For XLOOKUP],Factors[Factor],"")</f>
        <v>Σ.Ε. CO₂ eq</v>
      </c>
      <c r="O863" s="81">
        <f>_xlfn.XLOOKUP(Calculations[[#This Row],[For XLOOKUP]],Factors[For XLOOKUP],Factors[Value],"")</f>
        <v>2.8549618764799001</v>
      </c>
      <c r="P863" s="81" t="str">
        <f>_xlfn.XLOOKUP(Calculations[[#This Row],[For XLOOKUP]],Factors[For XLOOKUP],Factors[Units],"")</f>
        <v>tn CO2 eq/ tn</v>
      </c>
      <c r="Q863" s="19" t="str">
        <f>_xlfn.XLOOKUP(Calculations[[#This Row],[For XLOOKUP]],Factors[For XLOOKUP],Factors[Source],"")</f>
        <v>Ecoinvent 3.11</v>
      </c>
      <c r="R86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3" s="81" t="str">
        <f>IF(LEFT(Calculations[[#This Row],[Emission Factor]],7)="Σ.Ε. CH",Calculations[[#This Row],[Value]]*Calculations[[#This Row],[Τιμή]],"-")</f>
        <v>-</v>
      </c>
      <c r="T86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3" s="81" t="str">
        <f>IF(LEFT(Calculations[[#This Row],[Emission Factor]],3)="GWP",Calculations[[#This Row],[Τιμή]],"-")</f>
        <v>-</v>
      </c>
      <c r="V863" s="247">
        <f>IF(OR(Calculations[[#This Row],[Emission Factor]]="Σ.Ε. CO₂ eq",Calculations[[#This Row],[Emission Factor]]="CO₂ eq"),Calculations[[#This Row],[Value]]*Calculations[[#This Row],[Τιμή]],"-")</f>
        <v>28.025733260464939</v>
      </c>
      <c r="W863" s="81" t="str">
        <f>IF(Calculations[[#This Row],[Πηγή εκπομπών]]="Electricity consumed in office buildings and projects - market based",Calculations[[#This Row],[t CO2]],"")</f>
        <v/>
      </c>
      <c r="X86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28.025733260464939</v>
      </c>
    </row>
    <row r="864" spans="1:24" hidden="1">
      <c r="A864" s="15" t="s">
        <v>350</v>
      </c>
      <c r="B864" s="15" t="s">
        <v>645</v>
      </c>
      <c r="C864" s="16" t="s">
        <v>624</v>
      </c>
      <c r="D864" s="16" t="s">
        <v>1268</v>
      </c>
      <c r="E864" s="77" t="s">
        <v>1146</v>
      </c>
      <c r="F864" s="16"/>
      <c r="G864" s="16" t="s">
        <v>646</v>
      </c>
      <c r="H864" s="15" t="s">
        <v>666</v>
      </c>
      <c r="I864" s="17" t="s">
        <v>343</v>
      </c>
      <c r="J864" s="79">
        <v>1.5863650181597098E-2</v>
      </c>
      <c r="K864" s="18" t="s">
        <v>280</v>
      </c>
      <c r="L864" s="94" t="s">
        <v>694</v>
      </c>
      <c r="M864" s="148" t="s">
        <v>712</v>
      </c>
      <c r="N864" s="81" t="str">
        <f>_xlfn.XLOOKUP(Calculations[[#This Row],[For XLOOKUP]],Factors[For XLOOKUP],Factors[Factor],"")</f>
        <v>Σ.Ε. CO₂ eq</v>
      </c>
      <c r="O864" s="81">
        <f>_xlfn.XLOOKUP(Calculations[[#This Row],[For XLOOKUP]],Factors[For XLOOKUP],Factors[Value],"")</f>
        <v>2.8549618764799001</v>
      </c>
      <c r="P864" s="81" t="str">
        <f>_xlfn.XLOOKUP(Calculations[[#This Row],[For XLOOKUP]],Factors[For XLOOKUP],Factors[Units],"")</f>
        <v>tn CO2 eq/ tn</v>
      </c>
      <c r="Q864" s="19" t="str">
        <f>_xlfn.XLOOKUP(Calculations[[#This Row],[For XLOOKUP]],Factors[For XLOOKUP],Factors[Source],"")</f>
        <v>Ecoinvent 3.11</v>
      </c>
      <c r="R86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4" s="81" t="str">
        <f>IF(LEFT(Calculations[[#This Row],[Emission Factor]],7)="Σ.Ε. CH",Calculations[[#This Row],[Value]]*Calculations[[#This Row],[Τιμή]],"-")</f>
        <v>-</v>
      </c>
      <c r="T86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4" s="81" t="str">
        <f>IF(LEFT(Calculations[[#This Row],[Emission Factor]],3)="GWP",Calculations[[#This Row],[Τιμή]],"-")</f>
        <v>-</v>
      </c>
      <c r="V864" s="247">
        <f>IF(OR(Calculations[[#This Row],[Emission Factor]]="Σ.Ε. CO₂ eq",Calculations[[#This Row],[Emission Factor]]="CO₂ eq"),Calculations[[#This Row],[Value]]*Calculations[[#This Row],[Τιμή]],"-")</f>
        <v>4.5290116490273161E-2</v>
      </c>
      <c r="W864" s="81" t="str">
        <f>IF(Calculations[[#This Row],[Πηγή εκπομπών]]="Electricity consumed in office buildings and projects - market based",Calculations[[#This Row],[t CO2]],"")</f>
        <v/>
      </c>
      <c r="X86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4.5290116490273161E-2</v>
      </c>
    </row>
    <row r="865" spans="1:24" hidden="1">
      <c r="A865" s="15" t="s">
        <v>350</v>
      </c>
      <c r="B865" s="15" t="s">
        <v>645</v>
      </c>
      <c r="C865" s="16" t="s">
        <v>624</v>
      </c>
      <c r="D865" s="16" t="s">
        <v>1273</v>
      </c>
      <c r="E865" s="77" t="s">
        <v>1140</v>
      </c>
      <c r="F865" s="16"/>
      <c r="G865" s="16" t="s">
        <v>646</v>
      </c>
      <c r="H865" s="15" t="s">
        <v>666</v>
      </c>
      <c r="I865" s="17" t="s">
        <v>343</v>
      </c>
      <c r="J865" s="79">
        <v>1.62</v>
      </c>
      <c r="K865" s="18" t="s">
        <v>280</v>
      </c>
      <c r="L865" s="94" t="s">
        <v>694</v>
      </c>
      <c r="M865" s="148" t="s">
        <v>712</v>
      </c>
      <c r="N865" s="81" t="str">
        <f>_xlfn.XLOOKUP(Calculations[[#This Row],[For XLOOKUP]],Factors[For XLOOKUP],Factors[Factor],"")</f>
        <v>Σ.Ε. CO₂ eq</v>
      </c>
      <c r="O865" s="81">
        <f>_xlfn.XLOOKUP(Calculations[[#This Row],[For XLOOKUP]],Factors[For XLOOKUP],Factors[Value],"")</f>
        <v>2.8549618764799001</v>
      </c>
      <c r="P865" s="81" t="str">
        <f>_xlfn.XLOOKUP(Calculations[[#This Row],[For XLOOKUP]],Factors[For XLOOKUP],Factors[Units],"")</f>
        <v>tn CO2 eq/ tn</v>
      </c>
      <c r="Q865" s="19" t="str">
        <f>_xlfn.XLOOKUP(Calculations[[#This Row],[For XLOOKUP]],Factors[For XLOOKUP],Factors[Source],"")</f>
        <v>Ecoinvent 3.11</v>
      </c>
      <c r="R86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5" s="81" t="str">
        <f>IF(LEFT(Calculations[[#This Row],[Emission Factor]],7)="Σ.Ε. CH",Calculations[[#This Row],[Value]]*Calculations[[#This Row],[Τιμή]],"-")</f>
        <v>-</v>
      </c>
      <c r="T86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5" s="81" t="str">
        <f>IF(LEFT(Calculations[[#This Row],[Emission Factor]],3)="GWP",Calculations[[#This Row],[Τιμή]],"-")</f>
        <v>-</v>
      </c>
      <c r="V865" s="247">
        <f>IF(OR(Calculations[[#This Row],[Emission Factor]]="Σ.Ε. CO₂ eq",Calculations[[#This Row],[Emission Factor]]="CO₂ eq"),Calculations[[#This Row],[Value]]*Calculations[[#This Row],[Τιμή]],"-")</f>
        <v>4.6250382398974388</v>
      </c>
      <c r="W865" s="81" t="str">
        <f>IF(Calculations[[#This Row],[Πηγή εκπομπών]]="Electricity consumed in office buildings and projects - market based",Calculations[[#This Row],[t CO2]],"")</f>
        <v/>
      </c>
      <c r="X86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4.6250382398974388</v>
      </c>
    </row>
    <row r="866" spans="1:24" hidden="1">
      <c r="A866" s="15" t="s">
        <v>350</v>
      </c>
      <c r="B866" s="15" t="s">
        <v>645</v>
      </c>
      <c r="C866" s="16" t="s">
        <v>624</v>
      </c>
      <c r="D866" s="77" t="s">
        <v>1273</v>
      </c>
      <c r="E866" s="77" t="s">
        <v>1136</v>
      </c>
      <c r="F866" s="16"/>
      <c r="G866" s="16" t="s">
        <v>646</v>
      </c>
      <c r="H866" s="15" t="s">
        <v>666</v>
      </c>
      <c r="I866" s="17" t="s">
        <v>343</v>
      </c>
      <c r="J866" s="79">
        <v>4.8538300310271999E-3</v>
      </c>
      <c r="K866" s="18" t="s">
        <v>280</v>
      </c>
      <c r="L866" s="94" t="s">
        <v>694</v>
      </c>
      <c r="M866" s="148" t="s">
        <v>712</v>
      </c>
      <c r="N866" s="81" t="str">
        <f>_xlfn.XLOOKUP(Calculations[[#This Row],[For XLOOKUP]],Factors[For XLOOKUP],Factors[Factor],"")</f>
        <v>Σ.Ε. CO₂ eq</v>
      </c>
      <c r="O866" s="81">
        <f>_xlfn.XLOOKUP(Calculations[[#This Row],[For XLOOKUP]],Factors[For XLOOKUP],Factors[Value],"")</f>
        <v>2.8549618764799001</v>
      </c>
      <c r="P866" s="81" t="str">
        <f>_xlfn.XLOOKUP(Calculations[[#This Row],[For XLOOKUP]],Factors[For XLOOKUP],Factors[Units],"")</f>
        <v>tn CO2 eq/ tn</v>
      </c>
      <c r="Q866" s="19" t="str">
        <f>_xlfn.XLOOKUP(Calculations[[#This Row],[For XLOOKUP]],Factors[For XLOOKUP],Factors[Source],"")</f>
        <v>Ecoinvent 3.11</v>
      </c>
      <c r="R86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6" s="81" t="str">
        <f>IF(LEFT(Calculations[[#This Row],[Emission Factor]],7)="Σ.Ε. CH",Calculations[[#This Row],[Value]]*Calculations[[#This Row],[Τιμή]],"-")</f>
        <v>-</v>
      </c>
      <c r="T86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6" s="81" t="str">
        <f>IF(LEFT(Calculations[[#This Row],[Emission Factor]],3)="GWP",Calculations[[#This Row],[Τιμή]],"-")</f>
        <v>-</v>
      </c>
      <c r="V866" s="247">
        <f>IF(OR(Calculations[[#This Row],[Emission Factor]]="Σ.Ε. CO₂ eq",Calculations[[#This Row],[Emission Factor]]="CO₂ eq"),Calculations[[#This Row],[Value]]*Calculations[[#This Row],[Τιμή]],"-")</f>
        <v>1.3857499693495905E-2</v>
      </c>
      <c r="W866" s="81" t="str">
        <f>IF(Calculations[[#This Row],[Πηγή εκπομπών]]="Electricity consumed in office buildings and projects - market based",Calculations[[#This Row],[t CO2]],"")</f>
        <v/>
      </c>
      <c r="X86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1.3857499693495905E-2</v>
      </c>
    </row>
    <row r="867" spans="1:24" hidden="1">
      <c r="A867" s="15" t="s">
        <v>350</v>
      </c>
      <c r="B867" s="15" t="s">
        <v>645</v>
      </c>
      <c r="C867" s="16" t="s">
        <v>624</v>
      </c>
      <c r="D867" s="77" t="s">
        <v>1273</v>
      </c>
      <c r="E867" s="77" t="s">
        <v>1142</v>
      </c>
      <c r="F867" s="16"/>
      <c r="G867" s="16" t="s">
        <v>646</v>
      </c>
      <c r="H867" s="15" t="s">
        <v>666</v>
      </c>
      <c r="I867" s="17" t="s">
        <v>343</v>
      </c>
      <c r="J867" s="79">
        <v>4.6522332565755899E-4</v>
      </c>
      <c r="K867" s="18" t="s">
        <v>280</v>
      </c>
      <c r="L867" s="94" t="s">
        <v>694</v>
      </c>
      <c r="M867" s="148" t="s">
        <v>712</v>
      </c>
      <c r="N867" s="81" t="str">
        <f>_xlfn.XLOOKUP(Calculations[[#This Row],[For XLOOKUP]],Factors[For XLOOKUP],Factors[Factor],"")</f>
        <v>Σ.Ε. CO₂ eq</v>
      </c>
      <c r="O867" s="81">
        <f>_xlfn.XLOOKUP(Calculations[[#This Row],[For XLOOKUP]],Factors[For XLOOKUP],Factors[Value],"")</f>
        <v>2.8549618764799001</v>
      </c>
      <c r="P867" s="81" t="str">
        <f>_xlfn.XLOOKUP(Calculations[[#This Row],[For XLOOKUP]],Factors[For XLOOKUP],Factors[Units],"")</f>
        <v>tn CO2 eq/ tn</v>
      </c>
      <c r="Q867" s="19" t="str">
        <f>_xlfn.XLOOKUP(Calculations[[#This Row],[For XLOOKUP]],Factors[For XLOOKUP],Factors[Source],"")</f>
        <v>Ecoinvent 3.11</v>
      </c>
      <c r="R86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7" s="81" t="str">
        <f>IF(LEFT(Calculations[[#This Row],[Emission Factor]],7)="Σ.Ε. CH",Calculations[[#This Row],[Value]]*Calculations[[#This Row],[Τιμή]],"-")</f>
        <v>-</v>
      </c>
      <c r="T86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7" s="81" t="str">
        <f>IF(LEFT(Calculations[[#This Row],[Emission Factor]],3)="GWP",Calculations[[#This Row],[Τιμή]],"-")</f>
        <v>-</v>
      </c>
      <c r="V867" s="247">
        <f>IF(OR(Calculations[[#This Row],[Emission Factor]]="Σ.Ε. CO₂ eq",Calculations[[#This Row],[Emission Factor]]="CO₂ eq"),Calculations[[#This Row],[Value]]*Calculations[[#This Row],[Τιμή]],"-")</f>
        <v>1.3281948588015242E-3</v>
      </c>
      <c r="W867" s="81" t="str">
        <f>IF(Calculations[[#This Row],[Πηγή εκπομπών]]="Electricity consumed in office buildings and projects - market based",Calculations[[#This Row],[t CO2]],"")</f>
        <v/>
      </c>
      <c r="X86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1.3281948588015242E-3</v>
      </c>
    </row>
    <row r="868" spans="1:24" hidden="1">
      <c r="A868" s="15" t="s">
        <v>350</v>
      </c>
      <c r="B868" s="15" t="s">
        <v>645</v>
      </c>
      <c r="C868" s="16" t="s">
        <v>624</v>
      </c>
      <c r="D868" s="77" t="s">
        <v>1273</v>
      </c>
      <c r="E868" s="77" t="s">
        <v>1137</v>
      </c>
      <c r="F868" s="16"/>
      <c r="G868" s="16" t="s">
        <v>646</v>
      </c>
      <c r="H868" s="15" t="s">
        <v>666</v>
      </c>
      <c r="I868" s="17" t="s">
        <v>343</v>
      </c>
      <c r="J868" s="79">
        <v>24.163499999999999</v>
      </c>
      <c r="K868" s="18" t="s">
        <v>280</v>
      </c>
      <c r="L868" s="94" t="s">
        <v>694</v>
      </c>
      <c r="M868" s="148" t="s">
        <v>712</v>
      </c>
      <c r="N868" s="81" t="str">
        <f>_xlfn.XLOOKUP(Calculations[[#This Row],[For XLOOKUP]],Factors[For XLOOKUP],Factors[Factor],"")</f>
        <v>Σ.Ε. CO₂ eq</v>
      </c>
      <c r="O868" s="81">
        <f>_xlfn.XLOOKUP(Calculations[[#This Row],[For XLOOKUP]],Factors[For XLOOKUP],Factors[Value],"")</f>
        <v>2.8549618764799001</v>
      </c>
      <c r="P868" s="81" t="str">
        <f>_xlfn.XLOOKUP(Calculations[[#This Row],[For XLOOKUP]],Factors[For XLOOKUP],Factors[Units],"")</f>
        <v>tn CO2 eq/ tn</v>
      </c>
      <c r="Q868" s="19" t="str">
        <f>_xlfn.XLOOKUP(Calculations[[#This Row],[For XLOOKUP]],Factors[For XLOOKUP],Factors[Source],"")</f>
        <v>Ecoinvent 3.11</v>
      </c>
      <c r="R86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8" s="81" t="str">
        <f>IF(LEFT(Calculations[[#This Row],[Emission Factor]],7)="Σ.Ε. CH",Calculations[[#This Row],[Value]]*Calculations[[#This Row],[Τιμή]],"-")</f>
        <v>-</v>
      </c>
      <c r="T86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8" s="81" t="str">
        <f>IF(LEFT(Calculations[[#This Row],[Emission Factor]],3)="GWP",Calculations[[#This Row],[Τιμή]],"-")</f>
        <v>-</v>
      </c>
      <c r="V868" s="247">
        <f>IF(OR(Calculations[[#This Row],[Emission Factor]]="Σ.Ε. CO₂ eq",Calculations[[#This Row],[Emission Factor]]="CO₂ eq"),Calculations[[#This Row],[Value]]*Calculations[[#This Row],[Τιμή]],"-")</f>
        <v>68.985871302322067</v>
      </c>
      <c r="W868" s="81" t="str">
        <f>IF(Calculations[[#This Row],[Πηγή εκπομπών]]="Electricity consumed in office buildings and projects - market based",Calculations[[#This Row],[t CO2]],"")</f>
        <v/>
      </c>
      <c r="X86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68.985871302322067</v>
      </c>
    </row>
    <row r="869" spans="1:24" hidden="1">
      <c r="A869" s="15" t="s">
        <v>350</v>
      </c>
      <c r="B869" s="15" t="s">
        <v>645</v>
      </c>
      <c r="C869" s="16" t="s">
        <v>624</v>
      </c>
      <c r="D869" s="77" t="s">
        <v>1276</v>
      </c>
      <c r="E869" s="77"/>
      <c r="F869" s="16"/>
      <c r="G869" s="16" t="s">
        <v>646</v>
      </c>
      <c r="H869" s="15" t="s">
        <v>666</v>
      </c>
      <c r="I869" s="17" t="s">
        <v>343</v>
      </c>
      <c r="J869" s="79">
        <v>2.1750000000000003</v>
      </c>
      <c r="K869" s="18" t="s">
        <v>280</v>
      </c>
      <c r="L869" s="94" t="s">
        <v>697</v>
      </c>
      <c r="M869" s="148" t="s">
        <v>712</v>
      </c>
      <c r="N869" s="81" t="str">
        <f>_xlfn.XLOOKUP(Calculations[[#This Row],[For XLOOKUP]],Factors[For XLOOKUP],Factors[Factor],"")</f>
        <v>Σ.Ε. CO₂ eq</v>
      </c>
      <c r="O869" s="81">
        <f>_xlfn.XLOOKUP(Calculations[[#This Row],[For XLOOKUP]],Factors[For XLOOKUP],Factors[Value],"")</f>
        <v>2.8549618764799001</v>
      </c>
      <c r="P869" s="81" t="str">
        <f>_xlfn.XLOOKUP(Calculations[[#This Row],[For XLOOKUP]],Factors[For XLOOKUP],Factors[Units],"")</f>
        <v>tn CO2 eq/ tn</v>
      </c>
      <c r="Q869" s="19" t="str">
        <f>_xlfn.XLOOKUP(Calculations[[#This Row],[For XLOOKUP]],Factors[For XLOOKUP],Factors[Source],"")</f>
        <v>Ecoinvent 3.11</v>
      </c>
      <c r="R86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9" s="81" t="str">
        <f>IF(LEFT(Calculations[[#This Row],[Emission Factor]],7)="Σ.Ε. CH",Calculations[[#This Row],[Value]]*Calculations[[#This Row],[Τιμή]],"-")</f>
        <v>-</v>
      </c>
      <c r="T86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9" s="81" t="str">
        <f>IF(LEFT(Calculations[[#This Row],[Emission Factor]],3)="GWP",Calculations[[#This Row],[Τιμή]],"-")</f>
        <v>-</v>
      </c>
      <c r="V869" s="247">
        <f>IF(OR(Calculations[[#This Row],[Emission Factor]]="Σ.Ε. CO₂ eq",Calculations[[#This Row],[Emission Factor]]="CO₂ eq"),Calculations[[#This Row],[Value]]*Calculations[[#This Row],[Τιμή]],"-")</f>
        <v>6.2095420813437832</v>
      </c>
      <c r="W869" s="81" t="str">
        <f>IF(Calculations[[#This Row],[Πηγή εκπομπών]]="Electricity consumed in office buildings and projects - market based",Calculations[[#This Row],[t CO2]],"")</f>
        <v/>
      </c>
      <c r="X86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6.2095420813437832</v>
      </c>
    </row>
    <row r="870" spans="1:24" hidden="1">
      <c r="A870" s="15" t="s">
        <v>350</v>
      </c>
      <c r="B870" s="15" t="s">
        <v>645</v>
      </c>
      <c r="C870" s="16" t="s">
        <v>624</v>
      </c>
      <c r="D870" s="77" t="s">
        <v>1276</v>
      </c>
      <c r="E870" s="77"/>
      <c r="F870" s="16"/>
      <c r="G870" s="16" t="s">
        <v>646</v>
      </c>
      <c r="H870" s="15" t="s">
        <v>666</v>
      </c>
      <c r="I870" s="17" t="s">
        <v>343</v>
      </c>
      <c r="J870" s="79">
        <v>4.0440000000000005</v>
      </c>
      <c r="K870" s="18" t="s">
        <v>280</v>
      </c>
      <c r="L870" s="94" t="s">
        <v>700</v>
      </c>
      <c r="M870" s="148" t="s">
        <v>712</v>
      </c>
      <c r="N870" s="81" t="str">
        <f>_xlfn.XLOOKUP(Calculations[[#This Row],[For XLOOKUP]],Factors[For XLOOKUP],Factors[Factor],"")</f>
        <v>Σ.Ε. CO₂ eq</v>
      </c>
      <c r="O870" s="81">
        <f>_xlfn.XLOOKUP(Calculations[[#This Row],[For XLOOKUP]],Factors[For XLOOKUP],Factors[Value],"")</f>
        <v>2.8549618764799001</v>
      </c>
      <c r="P870" s="81" t="str">
        <f>_xlfn.XLOOKUP(Calculations[[#This Row],[For XLOOKUP]],Factors[For XLOOKUP],Factors[Units],"")</f>
        <v>tn CO2 eq/ tn</v>
      </c>
      <c r="Q870" s="19" t="str">
        <f>_xlfn.XLOOKUP(Calculations[[#This Row],[For XLOOKUP]],Factors[For XLOOKUP],Factors[Source],"")</f>
        <v>Ecoinvent 3.11</v>
      </c>
      <c r="R87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0" s="81" t="str">
        <f>IF(LEFT(Calculations[[#This Row],[Emission Factor]],7)="Σ.Ε. CH",Calculations[[#This Row],[Value]]*Calculations[[#This Row],[Τιμή]],"-")</f>
        <v>-</v>
      </c>
      <c r="T87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0" s="81" t="str">
        <f>IF(LEFT(Calculations[[#This Row],[Emission Factor]],3)="GWP",Calculations[[#This Row],[Τιμή]],"-")</f>
        <v>-</v>
      </c>
      <c r="V870" s="247">
        <f>IF(OR(Calculations[[#This Row],[Emission Factor]]="Σ.Ε. CO₂ eq",Calculations[[#This Row],[Emission Factor]]="CO₂ eq"),Calculations[[#This Row],[Value]]*Calculations[[#This Row],[Τιμή]],"-")</f>
        <v>11.545465828484717</v>
      </c>
      <c r="W870" s="81" t="str">
        <f>IF(Calculations[[#This Row],[Πηγή εκπομπών]]="Electricity consumed in office buildings and projects - market based",Calculations[[#This Row],[t CO2]],"")</f>
        <v/>
      </c>
      <c r="X87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11.545465828484717</v>
      </c>
    </row>
    <row r="871" spans="1:24" hidden="1">
      <c r="A871" s="15" t="s">
        <v>350</v>
      </c>
      <c r="B871" s="15" t="s">
        <v>645</v>
      </c>
      <c r="C871" s="16" t="s">
        <v>624</v>
      </c>
      <c r="D871" s="16" t="s">
        <v>1276</v>
      </c>
      <c r="E871" s="77"/>
      <c r="F871" s="16"/>
      <c r="G871" s="16" t="s">
        <v>646</v>
      </c>
      <c r="H871" s="15" t="s">
        <v>666</v>
      </c>
      <c r="I871" s="17" t="s">
        <v>343</v>
      </c>
      <c r="J871" s="79">
        <v>70.388542999999999</v>
      </c>
      <c r="K871" s="18" t="s">
        <v>280</v>
      </c>
      <c r="L871" s="94" t="s">
        <v>694</v>
      </c>
      <c r="M871" s="148" t="s">
        <v>712</v>
      </c>
      <c r="N871" s="81" t="str">
        <f>_xlfn.XLOOKUP(Calculations[[#This Row],[For XLOOKUP]],Factors[For XLOOKUP],Factors[Factor],"")</f>
        <v>Σ.Ε. CO₂ eq</v>
      </c>
      <c r="O871" s="81">
        <f>_xlfn.XLOOKUP(Calculations[[#This Row],[For XLOOKUP]],Factors[For XLOOKUP],Factors[Value],"")</f>
        <v>2.8549618764799001</v>
      </c>
      <c r="P871" s="81" t="str">
        <f>_xlfn.XLOOKUP(Calculations[[#This Row],[For XLOOKUP]],Factors[For XLOOKUP],Factors[Units],"")</f>
        <v>tn CO2 eq/ tn</v>
      </c>
      <c r="Q871" s="19" t="str">
        <f>_xlfn.XLOOKUP(Calculations[[#This Row],[For XLOOKUP]],Factors[For XLOOKUP],Factors[Source],"")</f>
        <v>Ecoinvent 3.11</v>
      </c>
      <c r="R87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1" s="81" t="str">
        <f>IF(LEFT(Calculations[[#This Row],[Emission Factor]],7)="Σ.Ε. CH",Calculations[[#This Row],[Value]]*Calculations[[#This Row],[Τιμή]],"-")</f>
        <v>-</v>
      </c>
      <c r="T87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1" s="81" t="str">
        <f>IF(LEFT(Calculations[[#This Row],[Emission Factor]],3)="GWP",Calculations[[#This Row],[Τιμή]],"-")</f>
        <v>-</v>
      </c>
      <c r="V871" s="247">
        <f>IF(OR(Calculations[[#This Row],[Emission Factor]]="Σ.Ε. CO₂ eq",Calculations[[#This Row],[Emission Factor]]="CO₂ eq"),Calculations[[#This Row],[Value]]*Calculations[[#This Row],[Τιμή]],"-")</f>
        <v>200.95660680596612</v>
      </c>
      <c r="W871" s="81" t="str">
        <f>IF(Calculations[[#This Row],[Πηγή εκπομπών]]="Electricity consumed in office buildings and projects - market based",Calculations[[#This Row],[t CO2]],"")</f>
        <v/>
      </c>
      <c r="X87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200.95660680596612</v>
      </c>
    </row>
    <row r="872" spans="1:24" hidden="1">
      <c r="A872" s="15" t="s">
        <v>350</v>
      </c>
      <c r="B872" s="15" t="s">
        <v>645</v>
      </c>
      <c r="C872" s="16" t="s">
        <v>327</v>
      </c>
      <c r="D872" s="16" t="s">
        <v>1276</v>
      </c>
      <c r="E872" s="77" t="s">
        <v>1187</v>
      </c>
      <c r="F872" s="16"/>
      <c r="G872" s="16" t="s">
        <v>646</v>
      </c>
      <c r="H872" s="15" t="s">
        <v>1364</v>
      </c>
      <c r="I872" s="17" t="s">
        <v>343</v>
      </c>
      <c r="J872" s="79">
        <v>8762.880000000001</v>
      </c>
      <c r="K872" s="18" t="s">
        <v>280</v>
      </c>
      <c r="L872" s="94" t="s">
        <v>696</v>
      </c>
      <c r="M872" s="148" t="s">
        <v>1384</v>
      </c>
      <c r="N872" s="81" t="str">
        <f>_xlfn.XLOOKUP(Calculations[[#This Row],[For XLOOKUP]],Factors[For XLOOKUP],Factors[Factor],"")</f>
        <v>Σ.Ε. CO₂ eq</v>
      </c>
      <c r="O872" s="81">
        <f>_xlfn.XLOOKUP(Calculations[[#This Row],[For XLOOKUP]],Factors[For XLOOKUP],Factors[Value],"")</f>
        <v>0.30864716705882861</v>
      </c>
      <c r="P872" s="81" t="str">
        <f>_xlfn.XLOOKUP(Calculations[[#This Row],[For XLOOKUP]],Factors[For XLOOKUP],Factors[Units],"")</f>
        <v>tn CO2 eq/ tn</v>
      </c>
      <c r="Q872" s="19" t="str">
        <f>_xlfn.XLOOKUP(Calculations[[#This Row],[For XLOOKUP]],Factors[For XLOOKUP],Factors[Source],"")</f>
        <v>EPA 2024</v>
      </c>
      <c r="R87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2" s="81" t="str">
        <f>IF(LEFT(Calculations[[#This Row],[Emission Factor]],7)="Σ.Ε. CH",Calculations[[#This Row],[Value]]*Calculations[[#This Row],[Τιμή]],"-")</f>
        <v>-</v>
      </c>
      <c r="T87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2" s="81" t="str">
        <f>IF(LEFT(Calculations[[#This Row],[Emission Factor]],3)="GWP",Calculations[[#This Row],[Τιμή]],"-")</f>
        <v>-</v>
      </c>
      <c r="V872" s="247">
        <f>IF(OR(Calculations[[#This Row],[Emission Factor]]="Σ.Ε. CO₂ eq",Calculations[[#This Row],[Emission Factor]]="CO₂ eq"),Calculations[[#This Row],[Value]]*Calculations[[#This Row],[Τιμή]],"-")</f>
        <v>2704.6380872764685</v>
      </c>
      <c r="W872" s="81" t="str">
        <f>IF(Calculations[[#This Row],[Πηγή εκπομπών]]="Electricity consumed in office buildings and projects - market based",Calculations[[#This Row],[t CO2]],"")</f>
        <v/>
      </c>
      <c r="X87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2704.6380872764685</v>
      </c>
    </row>
    <row r="873" spans="1:24" hidden="1">
      <c r="A873" s="15" t="s">
        <v>350</v>
      </c>
      <c r="B873" s="15" t="s">
        <v>645</v>
      </c>
      <c r="C873" s="16" t="s">
        <v>624</v>
      </c>
      <c r="D873" s="16" t="s">
        <v>1255</v>
      </c>
      <c r="E873" s="77" t="s">
        <v>1262</v>
      </c>
      <c r="F873" s="16"/>
      <c r="G873" s="16" t="s">
        <v>646</v>
      </c>
      <c r="H873" s="15" t="s">
        <v>1364</v>
      </c>
      <c r="I873" s="17" t="s">
        <v>343</v>
      </c>
      <c r="J873" s="79">
        <v>75</v>
      </c>
      <c r="K873" s="18" t="s">
        <v>280</v>
      </c>
      <c r="L873" s="94" t="s">
        <v>697</v>
      </c>
      <c r="M873" s="148" t="s">
        <v>1344</v>
      </c>
      <c r="N873" s="81" t="str">
        <f>_xlfn.XLOOKUP(Calculations[[#This Row],[For XLOOKUP]],Factors[For XLOOKUP],Factors[Factor],"")</f>
        <v>Σ.Ε. CO₂ eq</v>
      </c>
      <c r="O873" s="81">
        <f>_xlfn.XLOOKUP(Calculations[[#This Row],[For XLOOKUP]],Factors[For XLOOKUP],Factors[Value],"")</f>
        <v>0.30864716705882861</v>
      </c>
      <c r="P873" s="81" t="str">
        <f>_xlfn.XLOOKUP(Calculations[[#This Row],[For XLOOKUP]],Factors[For XLOOKUP],Factors[Units],"")</f>
        <v>tn CO2 eq/ tn</v>
      </c>
      <c r="Q873" s="19" t="str">
        <f>_xlfn.XLOOKUP(Calculations[[#This Row],[For XLOOKUP]],Factors[For XLOOKUP],Factors[Source],"")</f>
        <v>EPA 2024</v>
      </c>
      <c r="R87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3" s="81" t="str">
        <f>IF(LEFT(Calculations[[#This Row],[Emission Factor]],7)="Σ.Ε. CH",Calculations[[#This Row],[Value]]*Calculations[[#This Row],[Τιμή]],"-")</f>
        <v>-</v>
      </c>
      <c r="T87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3" s="81" t="str">
        <f>IF(LEFT(Calculations[[#This Row],[Emission Factor]],3)="GWP",Calculations[[#This Row],[Τιμή]],"-")</f>
        <v>-</v>
      </c>
      <c r="V873" s="247">
        <f>IF(OR(Calculations[[#This Row],[Emission Factor]]="Σ.Ε. CO₂ eq",Calculations[[#This Row],[Emission Factor]]="CO₂ eq"),Calculations[[#This Row],[Value]]*Calculations[[#This Row],[Τιμή]],"-")</f>
        <v>23.148537529412145</v>
      </c>
      <c r="W873" s="81" t="str">
        <f>IF(Calculations[[#This Row],[Πηγή εκπομπών]]="Electricity consumed in office buildings and projects - market based",Calculations[[#This Row],[t CO2]],"")</f>
        <v/>
      </c>
      <c r="X87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23.148537529412145</v>
      </c>
    </row>
    <row r="874" spans="1:24" hidden="1">
      <c r="A874" s="15" t="s">
        <v>350</v>
      </c>
      <c r="B874" s="15" t="s">
        <v>645</v>
      </c>
      <c r="C874" s="16" t="s">
        <v>624</v>
      </c>
      <c r="D874" s="16" t="s">
        <v>1276</v>
      </c>
      <c r="E874" s="77"/>
      <c r="F874" s="16"/>
      <c r="G874" s="16" t="s">
        <v>646</v>
      </c>
      <c r="H874" s="15" t="s">
        <v>1364</v>
      </c>
      <c r="I874" s="17" t="s">
        <v>343</v>
      </c>
      <c r="J874" s="79">
        <v>295.2</v>
      </c>
      <c r="K874" s="18" t="s">
        <v>280</v>
      </c>
      <c r="L874" s="94" t="s">
        <v>695</v>
      </c>
      <c r="M874" s="174" t="s">
        <v>713</v>
      </c>
      <c r="N874" s="81" t="str">
        <f>_xlfn.XLOOKUP(Calculations[[#This Row],[For XLOOKUP]],Factors[For XLOOKUP],Factors[Factor],"")</f>
        <v>Σ.Ε. CO₂ eq</v>
      </c>
      <c r="O874" s="81">
        <f>_xlfn.XLOOKUP(Calculations[[#This Row],[For XLOOKUP]],Factors[For XLOOKUP],Factors[Value],"")</f>
        <v>0.1543235835294143</v>
      </c>
      <c r="P874" s="81" t="str">
        <f>_xlfn.XLOOKUP(Calculations[[#This Row],[For XLOOKUP]],Factors[For XLOOKUP],Factors[Units],"")</f>
        <v>tn CO2 eq/ tn</v>
      </c>
      <c r="Q874" s="19" t="str">
        <f>_xlfn.XLOOKUP(Calculations[[#This Row],[For XLOOKUP]],Factors[For XLOOKUP],Factors[Source],"")</f>
        <v>EPA 2024</v>
      </c>
      <c r="R87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4" s="81" t="str">
        <f>IF(LEFT(Calculations[[#This Row],[Emission Factor]],7)="Σ.Ε. CH",Calculations[[#This Row],[Value]]*Calculations[[#This Row],[Τιμή]],"-")</f>
        <v>-</v>
      </c>
      <c r="T87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4" s="81" t="str">
        <f>IF(LEFT(Calculations[[#This Row],[Emission Factor]],3)="GWP",Calculations[[#This Row],[Τιμή]],"-")</f>
        <v>-</v>
      </c>
      <c r="V874" s="247">
        <f>IF(OR(Calculations[[#This Row],[Emission Factor]]="Σ.Ε. CO₂ eq",Calculations[[#This Row],[Emission Factor]]="CO₂ eq"),Calculations[[#This Row],[Value]]*Calculations[[#This Row],[Τιμή]],"-")</f>
        <v>45.556321857883098</v>
      </c>
      <c r="W874" s="81" t="str">
        <f>IF(Calculations[[#This Row],[Πηγή εκπομπών]]="Electricity consumed in office buildings and projects - market based",Calculations[[#This Row],[t CO2]],"")</f>
        <v/>
      </c>
      <c r="X87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45.556321857883098</v>
      </c>
    </row>
    <row r="875" spans="1:24" hidden="1">
      <c r="A875" s="15" t="s">
        <v>350</v>
      </c>
      <c r="B875" s="15" t="s">
        <v>645</v>
      </c>
      <c r="C875" s="16" t="s">
        <v>624</v>
      </c>
      <c r="D875" s="16" t="s">
        <v>1276</v>
      </c>
      <c r="E875" s="77"/>
      <c r="F875" s="16"/>
      <c r="G875" s="16" t="s">
        <v>646</v>
      </c>
      <c r="H875" s="15" t="s">
        <v>1364</v>
      </c>
      <c r="I875" s="17" t="s">
        <v>343</v>
      </c>
      <c r="J875" s="79">
        <v>12767.42</v>
      </c>
      <c r="K875" s="18" t="s">
        <v>280</v>
      </c>
      <c r="L875" s="94" t="s">
        <v>699</v>
      </c>
      <c r="M875" s="148" t="s">
        <v>1385</v>
      </c>
      <c r="N875" s="81" t="str">
        <f>_xlfn.XLOOKUP(Calculations[[#This Row],[For XLOOKUP]],Factors[For XLOOKUP],Factors[Factor],"")</f>
        <v>Σ.Ε. CO₂ eq</v>
      </c>
      <c r="O875" s="81">
        <f>_xlfn.XLOOKUP(Calculations[[#This Row],[For XLOOKUP]],Factors[For XLOOKUP],Factors[Value],"")</f>
        <v>5.5115565546219401E-2</v>
      </c>
      <c r="P875" s="81" t="str">
        <f>_xlfn.XLOOKUP(Calculations[[#This Row],[For XLOOKUP]],Factors[For XLOOKUP],Factors[Units],"")</f>
        <v>tn CO2e/kg</v>
      </c>
      <c r="Q875" s="19" t="str">
        <f>_xlfn.XLOOKUP(Calculations[[#This Row],[For XLOOKUP]],Factors[For XLOOKUP],Factors[Source],"")</f>
        <v>EPA 2024</v>
      </c>
      <c r="R87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5" s="81" t="str">
        <f>IF(LEFT(Calculations[[#This Row],[Emission Factor]],7)="Σ.Ε. CH",Calculations[[#This Row],[Value]]*Calculations[[#This Row],[Τιμή]],"-")</f>
        <v>-</v>
      </c>
      <c r="T87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5" s="81" t="str">
        <f>IF(LEFT(Calculations[[#This Row],[Emission Factor]],3)="GWP",Calculations[[#This Row],[Τιμή]],"-")</f>
        <v>-</v>
      </c>
      <c r="V875" s="247">
        <f>IF(OR(Calculations[[#This Row],[Emission Factor]]="Σ.Ε. CO₂ eq",Calculations[[#This Row],[Emission Factor]]="CO₂ eq"),Calculations[[#This Row],[Value]]*Calculations[[#This Row],[Τιμή]],"-")</f>
        <v>703.68357386611251</v>
      </c>
      <c r="W875" s="81" t="str">
        <f>IF(Calculations[[#This Row],[Πηγή εκπομπών]]="Electricity consumed in office buildings and projects - market based",Calculations[[#This Row],[t CO2]],"")</f>
        <v/>
      </c>
      <c r="X87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703.68357386611251</v>
      </c>
    </row>
    <row r="876" spans="1:24" hidden="1">
      <c r="A876" s="15" t="s">
        <v>350</v>
      </c>
      <c r="B876" s="15" t="s">
        <v>645</v>
      </c>
      <c r="C876" s="16" t="s">
        <v>1152</v>
      </c>
      <c r="D876" s="77" t="s">
        <v>1268</v>
      </c>
      <c r="E876" s="77" t="s">
        <v>1143</v>
      </c>
      <c r="F876" s="16"/>
      <c r="G876" s="16" t="s">
        <v>646</v>
      </c>
      <c r="H876" s="15" t="s">
        <v>1364</v>
      </c>
      <c r="I876" s="17" t="s">
        <v>343</v>
      </c>
      <c r="J876" s="79">
        <v>0.25</v>
      </c>
      <c r="K876" s="18" t="s">
        <v>280</v>
      </c>
      <c r="L876" s="94" t="s">
        <v>694</v>
      </c>
      <c r="M876" s="148" t="s">
        <v>713</v>
      </c>
      <c r="N876" s="81" t="str">
        <f>_xlfn.XLOOKUP(Calculations[[#This Row],[For XLOOKUP]],Factors[For XLOOKUP],Factors[Factor],"")</f>
        <v>Σ.Ε. CO₂ eq</v>
      </c>
      <c r="O876" s="81">
        <f>_xlfn.XLOOKUP(Calculations[[#This Row],[For XLOOKUP]],Factors[For XLOOKUP],Factors[Value],"")</f>
        <v>0.1543235835294143</v>
      </c>
      <c r="P876" s="81" t="str">
        <f>_xlfn.XLOOKUP(Calculations[[#This Row],[For XLOOKUP]],Factors[For XLOOKUP],Factors[Units],"")</f>
        <v>tn CO2 eq/ tn</v>
      </c>
      <c r="Q876" s="19" t="str">
        <f>_xlfn.XLOOKUP(Calculations[[#This Row],[For XLOOKUP]],Factors[For XLOOKUP],Factors[Source],"")</f>
        <v>EPA 2024</v>
      </c>
      <c r="R87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6" s="81" t="str">
        <f>IF(LEFT(Calculations[[#This Row],[Emission Factor]],7)="Σ.Ε. CH",Calculations[[#This Row],[Value]]*Calculations[[#This Row],[Τιμή]],"-")</f>
        <v>-</v>
      </c>
      <c r="T87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6" s="81" t="str">
        <f>IF(LEFT(Calculations[[#This Row],[Emission Factor]],3)="GWP",Calculations[[#This Row],[Τιμή]],"-")</f>
        <v>-</v>
      </c>
      <c r="V876" s="247">
        <f>IF(OR(Calculations[[#This Row],[Emission Factor]]="Σ.Ε. CO₂ eq",Calculations[[#This Row],[Emission Factor]]="CO₂ eq"),Calculations[[#This Row],[Value]]*Calculations[[#This Row],[Τιμή]],"-")</f>
        <v>3.8580895882353576E-2</v>
      </c>
      <c r="W876" s="81" t="str">
        <f>IF(Calculations[[#This Row],[Πηγή εκπομπών]]="Electricity consumed in office buildings and projects - market based",Calculations[[#This Row],[t CO2]],"")</f>
        <v/>
      </c>
      <c r="X87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3.8580895882353576E-2</v>
      </c>
    </row>
    <row r="877" spans="1:24" hidden="1">
      <c r="A877" s="15" t="s">
        <v>350</v>
      </c>
      <c r="B877" s="15" t="s">
        <v>645</v>
      </c>
      <c r="C877" s="16" t="s">
        <v>624</v>
      </c>
      <c r="D877" s="16" t="s">
        <v>1276</v>
      </c>
      <c r="E877" s="77"/>
      <c r="F877" s="16"/>
      <c r="G877" s="16" t="s">
        <v>646</v>
      </c>
      <c r="H877" s="15" t="s">
        <v>1371</v>
      </c>
      <c r="I877" s="17" t="s">
        <v>343</v>
      </c>
      <c r="J877" s="236">
        <v>0</v>
      </c>
      <c r="K877" s="18" t="s">
        <v>280</v>
      </c>
      <c r="L877" s="94" t="s">
        <v>697</v>
      </c>
      <c r="M877" s="148" t="s">
        <v>714</v>
      </c>
      <c r="N877" s="81" t="str">
        <f>_xlfn.XLOOKUP(Calculations[[#This Row],[For XLOOKUP]],Factors[For XLOOKUP],Factors[Factor],"")</f>
        <v>Σ.Ε. CO₂ eq</v>
      </c>
      <c r="O877" s="81">
        <f>_xlfn.XLOOKUP(Calculations[[#This Row],[For XLOOKUP]],Factors[For XLOOKUP],Factors[Value],"")</f>
        <v>0.52033419999999997</v>
      </c>
      <c r="P877" s="81" t="str">
        <f>_xlfn.XLOOKUP(Calculations[[#This Row],[For XLOOKUP]],Factors[For XLOOKUP],Factors[Units],"")</f>
        <v>tn CO2 eq/ tn</v>
      </c>
      <c r="Q877" s="19" t="str">
        <f>_xlfn.XLOOKUP(Calculations[[#This Row],[For XLOOKUP]],Factors[For XLOOKUP],Factors[Source],"")</f>
        <v>DEFRA 2024</v>
      </c>
      <c r="R87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7" s="81" t="str">
        <f>IF(LEFT(Calculations[[#This Row],[Emission Factor]],7)="Σ.Ε. CH",Calculations[[#This Row],[Value]]*Calculations[[#This Row],[Τιμή]],"-")</f>
        <v>-</v>
      </c>
      <c r="T87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7" s="81" t="str">
        <f>IF(LEFT(Calculations[[#This Row],[Emission Factor]],3)="GWP",Calculations[[#This Row],[Τιμή]],"-")</f>
        <v>-</v>
      </c>
      <c r="V877" s="247">
        <f>IF(OR(Calculations[[#This Row],[Emission Factor]]="Σ.Ε. CO₂ eq",Calculations[[#This Row],[Emission Factor]]="CO₂ eq"),Calculations[[#This Row],[Value]]*Calculations[[#This Row],[Τιμή]],"-")</f>
        <v>0</v>
      </c>
      <c r="W877" s="81" t="str">
        <f>IF(Calculations[[#This Row],[Πηγή εκπομπών]]="Electricity consumed in office buildings and projects - market based",Calculations[[#This Row],[t CO2]],"")</f>
        <v/>
      </c>
      <c r="X87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878" spans="1:24" hidden="1">
      <c r="A878" s="15" t="s">
        <v>350</v>
      </c>
      <c r="B878" s="15" t="s">
        <v>645</v>
      </c>
      <c r="C878" s="16" t="s">
        <v>624</v>
      </c>
      <c r="D878" s="16" t="s">
        <v>1276</v>
      </c>
      <c r="E878" s="77"/>
      <c r="F878" s="16"/>
      <c r="G878" s="16" t="s">
        <v>646</v>
      </c>
      <c r="H878" s="15" t="s">
        <v>1372</v>
      </c>
      <c r="I878" s="17" t="s">
        <v>343</v>
      </c>
      <c r="J878" s="79">
        <v>4152.1000000000004</v>
      </c>
      <c r="K878" s="18" t="s">
        <v>280</v>
      </c>
      <c r="L878" s="94" t="s">
        <v>696</v>
      </c>
      <c r="M878" s="148" t="s">
        <v>714</v>
      </c>
      <c r="N878" s="81" t="str">
        <f>_xlfn.XLOOKUP(Calculations[[#This Row],[For XLOOKUP]],Factors[For XLOOKUP],Factors[Factor],"")</f>
        <v>Σ.Ε. CO₂ eq</v>
      </c>
      <c r="O878" s="81">
        <f>_xlfn.XLOOKUP(Calculations[[#This Row],[For XLOOKUP]],Factors[For XLOOKUP],Factors[Value],"")</f>
        <v>0.52033419999999997</v>
      </c>
      <c r="P878" s="81" t="str">
        <f>_xlfn.XLOOKUP(Calculations[[#This Row],[For XLOOKUP]],Factors[For XLOOKUP],Factors[Units],"")</f>
        <v>tn CO2 eq/ tn</v>
      </c>
      <c r="Q878" s="19" t="str">
        <f>_xlfn.XLOOKUP(Calculations[[#This Row],[For XLOOKUP]],Factors[For XLOOKUP],Factors[Source],"")</f>
        <v>DEFRA 2024</v>
      </c>
      <c r="R87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8" s="81" t="str">
        <f>IF(LEFT(Calculations[[#This Row],[Emission Factor]],7)="Σ.Ε. CH",Calculations[[#This Row],[Value]]*Calculations[[#This Row],[Τιμή]],"-")</f>
        <v>-</v>
      </c>
      <c r="T87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8" s="81" t="str">
        <f>IF(LEFT(Calculations[[#This Row],[Emission Factor]],3)="GWP",Calculations[[#This Row],[Τιμή]],"-")</f>
        <v>-</v>
      </c>
      <c r="V878" s="247">
        <f>IF(OR(Calculations[[#This Row],[Emission Factor]]="Σ.Ε. CO₂ eq",Calculations[[#This Row],[Emission Factor]]="CO₂ eq"),Calculations[[#This Row],[Value]]*Calculations[[#This Row],[Τιμή]],"-")</f>
        <v>2160.4796318200001</v>
      </c>
      <c r="W878" s="81" t="str">
        <f>IF(Calculations[[#This Row],[Πηγή εκπομπών]]="Electricity consumed in office buildings and projects - market based",Calculations[[#This Row],[t CO2]],"")</f>
        <v/>
      </c>
      <c r="X87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2160.4796318200001</v>
      </c>
    </row>
    <row r="879" spans="1:24" hidden="1">
      <c r="A879" s="15" t="s">
        <v>350</v>
      </c>
      <c r="B879" s="15" t="s">
        <v>645</v>
      </c>
      <c r="C879" s="16" t="s">
        <v>624</v>
      </c>
      <c r="D879" s="77" t="s">
        <v>1276</v>
      </c>
      <c r="E879" s="77"/>
      <c r="F879" s="16"/>
      <c r="G879" s="16" t="s">
        <v>646</v>
      </c>
      <c r="H879" s="15" t="s">
        <v>1373</v>
      </c>
      <c r="I879" s="17" t="s">
        <v>343</v>
      </c>
      <c r="J879" s="79">
        <v>2234.5</v>
      </c>
      <c r="K879" s="18" t="s">
        <v>280</v>
      </c>
      <c r="L879" s="94" t="s">
        <v>695</v>
      </c>
      <c r="M879" s="148" t="s">
        <v>1045</v>
      </c>
      <c r="N879" s="81" t="str">
        <f>_xlfn.XLOOKUP(Calculations[[#This Row],[For XLOOKUP]],Factors[For XLOOKUP],Factors[Factor],"")</f>
        <v>Σ.Ε. CO₂ eq</v>
      </c>
      <c r="O879" s="81">
        <f>_xlfn.XLOOKUP(Calculations[[#This Row],[For XLOOKUP]],Factors[For XLOOKUP],Factors[Value],"")</f>
        <v>4.4319176903303399E-2</v>
      </c>
      <c r="P879" s="81" t="str">
        <f>_xlfn.XLOOKUP(Calculations[[#This Row],[For XLOOKUP]],Factors[For XLOOKUP],Factors[Units],"")</f>
        <v>tn CO2 eq/ tn</v>
      </c>
      <c r="Q879" s="19" t="str">
        <f>_xlfn.XLOOKUP(Calculations[[#This Row],[For XLOOKUP]],Factors[For XLOOKUP],Factors[Source],"")</f>
        <v>Ecoinvent 3.11</v>
      </c>
      <c r="R87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9" s="81" t="str">
        <f>IF(LEFT(Calculations[[#This Row],[Emission Factor]],7)="Σ.Ε. CH",Calculations[[#This Row],[Value]]*Calculations[[#This Row],[Τιμή]],"-")</f>
        <v>-</v>
      </c>
      <c r="T87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9" s="81" t="str">
        <f>IF(LEFT(Calculations[[#This Row],[Emission Factor]],3)="GWP",Calculations[[#This Row],[Τιμή]],"-")</f>
        <v>-</v>
      </c>
      <c r="V879" s="247">
        <f>IF(OR(Calculations[[#This Row],[Emission Factor]]="Σ.Ε. CO₂ eq",Calculations[[#This Row],[Emission Factor]]="CO₂ eq"),Calculations[[#This Row],[Value]]*Calculations[[#This Row],[Τιμή]],"-")</f>
        <v>99.031200790431441</v>
      </c>
      <c r="W879" s="81" t="str">
        <f>IF(Calculations[[#This Row],[Πηγή εκπομπών]]="Electricity consumed in office buildings and projects - market based",Calculations[[#This Row],[t CO2]],"")</f>
        <v/>
      </c>
      <c r="X87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99.031200790431441</v>
      </c>
    </row>
    <row r="880" spans="1:24" hidden="1">
      <c r="A880" s="15" t="s">
        <v>350</v>
      </c>
      <c r="B880" s="15" t="s">
        <v>645</v>
      </c>
      <c r="C880" s="16" t="s">
        <v>624</v>
      </c>
      <c r="D880" s="77" t="s">
        <v>1255</v>
      </c>
      <c r="E880" s="16" t="s">
        <v>1150</v>
      </c>
      <c r="F880" s="16"/>
      <c r="G880" s="16" t="s">
        <v>646</v>
      </c>
      <c r="H880" s="15" t="s">
        <v>667</v>
      </c>
      <c r="I880" s="17" t="s">
        <v>343</v>
      </c>
      <c r="J880" s="252">
        <v>1.07977386007469E-2</v>
      </c>
      <c r="K880" s="18" t="s">
        <v>280</v>
      </c>
      <c r="L880" s="94" t="s">
        <v>694</v>
      </c>
      <c r="M880" s="148" t="s">
        <v>715</v>
      </c>
      <c r="N880" s="81" t="str">
        <f>_xlfn.XLOOKUP(Calculations[[#This Row],[For XLOOKUP]],Factors[For XLOOKUP],Factors[Factor],"")</f>
        <v>Σ.Ε. CO₂ eq</v>
      </c>
      <c r="O880" s="81">
        <f>_xlfn.XLOOKUP(Calculations[[#This Row],[For XLOOKUP]],Factors[For XLOOKUP],Factors[Value],"")</f>
        <v>5.5115565546219394E-2</v>
      </c>
      <c r="P880" s="81" t="str">
        <f>_xlfn.XLOOKUP(Calculations[[#This Row],[For XLOOKUP]],Factors[For XLOOKUP],Factors[Units],"")</f>
        <v>tn CO2 eq/ tn</v>
      </c>
      <c r="Q880" s="19" t="str">
        <f>_xlfn.XLOOKUP(Calculations[[#This Row],[For XLOOKUP]],Factors[For XLOOKUP],Factors[Source],"")</f>
        <v>EPA 2024</v>
      </c>
      <c r="R88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0" s="81" t="str">
        <f>IF(LEFT(Calculations[[#This Row],[Emission Factor]],7)="Σ.Ε. CH",Calculations[[#This Row],[Value]]*Calculations[[#This Row],[Τιμή]],"-")</f>
        <v>-</v>
      </c>
      <c r="T88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0" s="81" t="str">
        <f>IF(LEFT(Calculations[[#This Row],[Emission Factor]],3)="GWP",Calculations[[#This Row],[Τιμή]],"-")</f>
        <v>-</v>
      </c>
      <c r="V880" s="247">
        <f>IF(OR(Calculations[[#This Row],[Emission Factor]]="Σ.Ε. CO₂ eq",Calculations[[#This Row],[Emission Factor]]="CO₂ eq"),Calculations[[#This Row],[Value]]*Calculations[[#This Row],[Τιμή]],"-")</f>
        <v>5.9512346960040904E-4</v>
      </c>
      <c r="W880" s="81" t="str">
        <f>IF(Calculations[[#This Row],[Πηγή εκπομπών]]="Electricity consumed in office buildings and projects - market based",Calculations[[#This Row],[t CO2]],"")</f>
        <v/>
      </c>
      <c r="X88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5.9512346960040904E-4</v>
      </c>
    </row>
    <row r="881" spans="1:24" hidden="1">
      <c r="A881" s="15" t="s">
        <v>350</v>
      </c>
      <c r="B881" s="15" t="s">
        <v>645</v>
      </c>
      <c r="C881" s="16" t="s">
        <v>624</v>
      </c>
      <c r="D881" s="77" t="s">
        <v>1268</v>
      </c>
      <c r="E881" s="77" t="s">
        <v>1146</v>
      </c>
      <c r="F881" s="16"/>
      <c r="G881" s="16" t="s">
        <v>646</v>
      </c>
      <c r="H881" s="15" t="s">
        <v>667</v>
      </c>
      <c r="I881" s="17" t="s">
        <v>343</v>
      </c>
      <c r="J881" s="252">
        <v>9.5634308713472393E-2</v>
      </c>
      <c r="K881" s="18" t="s">
        <v>280</v>
      </c>
      <c r="L881" s="94" t="s">
        <v>694</v>
      </c>
      <c r="M881" s="148" t="s">
        <v>715</v>
      </c>
      <c r="N881" s="81" t="str">
        <f>_xlfn.XLOOKUP(Calculations[[#This Row],[For XLOOKUP]],Factors[For XLOOKUP],Factors[Factor],"")</f>
        <v>Σ.Ε. CO₂ eq</v>
      </c>
      <c r="O881" s="81">
        <f>_xlfn.XLOOKUP(Calculations[[#This Row],[For XLOOKUP]],Factors[For XLOOKUP],Factors[Value],"")</f>
        <v>5.5115565546219394E-2</v>
      </c>
      <c r="P881" s="81" t="str">
        <f>_xlfn.XLOOKUP(Calculations[[#This Row],[For XLOOKUP]],Factors[For XLOOKUP],Factors[Units],"")</f>
        <v>tn CO2 eq/ tn</v>
      </c>
      <c r="Q881" s="19" t="str">
        <f>_xlfn.XLOOKUP(Calculations[[#This Row],[For XLOOKUP]],Factors[For XLOOKUP],Factors[Source],"")</f>
        <v>EPA 2024</v>
      </c>
      <c r="R88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1" s="81" t="str">
        <f>IF(LEFT(Calculations[[#This Row],[Emission Factor]],7)="Σ.Ε. CH",Calculations[[#This Row],[Value]]*Calculations[[#This Row],[Τιμή]],"-")</f>
        <v>-</v>
      </c>
      <c r="T88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1" s="81" t="str">
        <f>IF(LEFT(Calculations[[#This Row],[Emission Factor]],3)="GWP",Calculations[[#This Row],[Τιμή]],"-")</f>
        <v>-</v>
      </c>
      <c r="V881" s="247">
        <f>IF(OR(Calculations[[#This Row],[Emission Factor]]="Σ.Ε. CO₂ eq",Calculations[[#This Row],[Emission Factor]]="CO₂ eq"),Calculations[[#This Row],[Value]]*Calculations[[#This Row],[Τιμή]],"-")</f>
        <v>5.2709390103647686E-3</v>
      </c>
      <c r="W881" s="81" t="str">
        <f>IF(Calculations[[#This Row],[Πηγή εκπομπών]]="Electricity consumed in office buildings and projects - market based",Calculations[[#This Row],[t CO2]],"")</f>
        <v/>
      </c>
      <c r="X88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5.2709390103647686E-3</v>
      </c>
    </row>
    <row r="882" spans="1:24" hidden="1">
      <c r="A882" s="15" t="s">
        <v>350</v>
      </c>
      <c r="B882" s="15" t="s">
        <v>645</v>
      </c>
      <c r="C882" s="16" t="s">
        <v>624</v>
      </c>
      <c r="D882" s="77" t="s">
        <v>1273</v>
      </c>
      <c r="E882" s="77" t="s">
        <v>1136</v>
      </c>
      <c r="F882" s="16"/>
      <c r="G882" s="16" t="s">
        <v>646</v>
      </c>
      <c r="H882" s="15" t="s">
        <v>667</v>
      </c>
      <c r="I882" s="17" t="s">
        <v>343</v>
      </c>
      <c r="J882" s="252">
        <v>2.9261404173452701E-2</v>
      </c>
      <c r="K882" s="18" t="s">
        <v>280</v>
      </c>
      <c r="L882" s="94" t="s">
        <v>694</v>
      </c>
      <c r="M882" s="148" t="s">
        <v>715</v>
      </c>
      <c r="N882" s="81" t="str">
        <f>_xlfn.XLOOKUP(Calculations[[#This Row],[For XLOOKUP]],Factors[For XLOOKUP],Factors[Factor],"")</f>
        <v>Σ.Ε. CO₂ eq</v>
      </c>
      <c r="O882" s="81">
        <f>_xlfn.XLOOKUP(Calculations[[#This Row],[For XLOOKUP]],Factors[For XLOOKUP],Factors[Value],"")</f>
        <v>5.5115565546219394E-2</v>
      </c>
      <c r="P882" s="81" t="str">
        <f>_xlfn.XLOOKUP(Calculations[[#This Row],[For XLOOKUP]],Factors[For XLOOKUP],Factors[Units],"")</f>
        <v>tn CO2 eq/ tn</v>
      </c>
      <c r="Q882" s="19" t="str">
        <f>_xlfn.XLOOKUP(Calculations[[#This Row],[For XLOOKUP]],Factors[For XLOOKUP],Factors[Source],"")</f>
        <v>EPA 2024</v>
      </c>
      <c r="R88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2" s="81" t="str">
        <f>IF(LEFT(Calculations[[#This Row],[Emission Factor]],7)="Σ.Ε. CH",Calculations[[#This Row],[Value]]*Calculations[[#This Row],[Τιμή]],"-")</f>
        <v>-</v>
      </c>
      <c r="T88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2" s="81" t="str">
        <f>IF(LEFT(Calculations[[#This Row],[Emission Factor]],3)="GWP",Calculations[[#This Row],[Τιμή]],"-")</f>
        <v>-</v>
      </c>
      <c r="V882" s="247">
        <f>IF(OR(Calculations[[#This Row],[Emission Factor]]="Σ.Ε. CO₂ eq",Calculations[[#This Row],[Emission Factor]]="CO₂ eq"),Calculations[[#This Row],[Value]]*Calculations[[#This Row],[Τιμή]],"-")</f>
        <v>1.6127588396963502E-3</v>
      </c>
      <c r="W882" s="81" t="str">
        <f>IF(Calculations[[#This Row],[Πηγή εκπομπών]]="Electricity consumed in office buildings and projects - market based",Calculations[[#This Row],[t CO2]],"")</f>
        <v/>
      </c>
      <c r="X88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1.6127588396963502E-3</v>
      </c>
    </row>
    <row r="883" spans="1:24" hidden="1">
      <c r="A883" s="15" t="s">
        <v>350</v>
      </c>
      <c r="B883" s="15" t="s">
        <v>645</v>
      </c>
      <c r="C883" s="16" t="s">
        <v>624</v>
      </c>
      <c r="D883" s="77" t="s">
        <v>1273</v>
      </c>
      <c r="E883" s="77" t="s">
        <v>1142</v>
      </c>
      <c r="F883" s="16"/>
      <c r="G883" s="16" t="s">
        <v>646</v>
      </c>
      <c r="H883" s="15" t="s">
        <v>667</v>
      </c>
      <c r="I883" s="17" t="s">
        <v>343</v>
      </c>
      <c r="J883" s="252">
        <v>2.80460742876543E-3</v>
      </c>
      <c r="K883" s="18" t="s">
        <v>280</v>
      </c>
      <c r="L883" s="94" t="s">
        <v>694</v>
      </c>
      <c r="M883" s="148" t="s">
        <v>715</v>
      </c>
      <c r="N883" s="81" t="str">
        <f>_xlfn.XLOOKUP(Calculations[[#This Row],[For XLOOKUP]],Factors[For XLOOKUP],Factors[Factor],"")</f>
        <v>Σ.Ε. CO₂ eq</v>
      </c>
      <c r="O883" s="81">
        <f>_xlfn.XLOOKUP(Calculations[[#This Row],[For XLOOKUP]],Factors[For XLOOKUP],Factors[Value],"")</f>
        <v>5.5115565546219394E-2</v>
      </c>
      <c r="P883" s="81" t="str">
        <f>_xlfn.XLOOKUP(Calculations[[#This Row],[For XLOOKUP]],Factors[For XLOOKUP],Factors[Units],"")</f>
        <v>tn CO2 eq/ tn</v>
      </c>
      <c r="Q883" s="19" t="str">
        <f>_xlfn.XLOOKUP(Calculations[[#This Row],[For XLOOKUP]],Factors[For XLOOKUP],Factors[Source],"")</f>
        <v>EPA 2024</v>
      </c>
      <c r="R88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3" s="81" t="str">
        <f>IF(LEFT(Calculations[[#This Row],[Emission Factor]],7)="Σ.Ε. CH",Calculations[[#This Row],[Value]]*Calculations[[#This Row],[Τιμή]],"-")</f>
        <v>-</v>
      </c>
      <c r="T88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3" s="81" t="str">
        <f>IF(LEFT(Calculations[[#This Row],[Emission Factor]],3)="GWP",Calculations[[#This Row],[Τιμή]],"-")</f>
        <v>-</v>
      </c>
      <c r="V883" s="247">
        <f>IF(OR(Calculations[[#This Row],[Emission Factor]]="Σ.Ε. CO₂ eq",Calculations[[#This Row],[Emission Factor]]="CO₂ eq"),Calculations[[#This Row],[Value]]*Calculations[[#This Row],[Τιμή]],"-")</f>
        <v>1.545775245715349E-4</v>
      </c>
      <c r="W883" s="81" t="str">
        <f>IF(Calculations[[#This Row],[Πηγή εκπομπών]]="Electricity consumed in office buildings and projects - market based",Calculations[[#This Row],[t CO2]],"")</f>
        <v/>
      </c>
      <c r="X88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1.545775245715349E-4</v>
      </c>
    </row>
    <row r="884" spans="1:24" hidden="1">
      <c r="A884" s="15" t="s">
        <v>350</v>
      </c>
      <c r="B884" s="15" t="s">
        <v>645</v>
      </c>
      <c r="C884" s="16" t="s">
        <v>624</v>
      </c>
      <c r="D884" s="16" t="s">
        <v>1276</v>
      </c>
      <c r="E884" s="77"/>
      <c r="F884" s="16"/>
      <c r="G884" s="16" t="s">
        <v>646</v>
      </c>
      <c r="H884" s="15" t="s">
        <v>667</v>
      </c>
      <c r="I884" s="17" t="s">
        <v>343</v>
      </c>
      <c r="J884" s="252">
        <v>5.1500000000000004E-2</v>
      </c>
      <c r="K884" s="18" t="s">
        <v>280</v>
      </c>
      <c r="L884" s="94" t="s">
        <v>694</v>
      </c>
      <c r="M884" s="148" t="s">
        <v>715</v>
      </c>
      <c r="N884" s="81" t="str">
        <f>_xlfn.XLOOKUP(Calculations[[#This Row],[For XLOOKUP]],Factors[For XLOOKUP],Factors[Factor],"")</f>
        <v>Σ.Ε. CO₂ eq</v>
      </c>
      <c r="O884" s="81">
        <f>_xlfn.XLOOKUP(Calculations[[#This Row],[For XLOOKUP]],Factors[For XLOOKUP],Factors[Value],"")</f>
        <v>5.5115565546219394E-2</v>
      </c>
      <c r="P884" s="81" t="str">
        <f>_xlfn.XLOOKUP(Calculations[[#This Row],[For XLOOKUP]],Factors[For XLOOKUP],Factors[Units],"")</f>
        <v>tn CO2 eq/ tn</v>
      </c>
      <c r="Q884" s="19" t="str">
        <f>_xlfn.XLOOKUP(Calculations[[#This Row],[For XLOOKUP]],Factors[For XLOOKUP],Factors[Source],"")</f>
        <v>EPA 2024</v>
      </c>
      <c r="R88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4" s="81" t="str">
        <f>IF(LEFT(Calculations[[#This Row],[Emission Factor]],7)="Σ.Ε. CH",Calculations[[#This Row],[Value]]*Calculations[[#This Row],[Τιμή]],"-")</f>
        <v>-</v>
      </c>
      <c r="T88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4" s="81" t="str">
        <f>IF(LEFT(Calculations[[#This Row],[Emission Factor]],3)="GWP",Calculations[[#This Row],[Τιμή]],"-")</f>
        <v>-</v>
      </c>
      <c r="V884" s="247">
        <f>IF(OR(Calculations[[#This Row],[Emission Factor]]="Σ.Ε. CO₂ eq",Calculations[[#This Row],[Emission Factor]]="CO₂ eq"),Calculations[[#This Row],[Value]]*Calculations[[#This Row],[Τιμή]],"-")</f>
        <v>2.838451625630299E-3</v>
      </c>
      <c r="W884" s="81" t="str">
        <f>IF(Calculations[[#This Row],[Πηγή εκπομπών]]="Electricity consumed in office buildings and projects - market based",Calculations[[#This Row],[t CO2]],"")</f>
        <v/>
      </c>
      <c r="X88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2.838451625630299E-3</v>
      </c>
    </row>
    <row r="885" spans="1:24" hidden="1">
      <c r="A885" s="15" t="s">
        <v>350</v>
      </c>
      <c r="B885" s="15" t="s">
        <v>645</v>
      </c>
      <c r="C885" s="16" t="s">
        <v>327</v>
      </c>
      <c r="D885" s="77" t="s">
        <v>1276</v>
      </c>
      <c r="E885" s="77" t="s">
        <v>1187</v>
      </c>
      <c r="F885" s="16"/>
      <c r="G885" s="16" t="s">
        <v>646</v>
      </c>
      <c r="H885" s="15" t="s">
        <v>668</v>
      </c>
      <c r="I885" s="17" t="s">
        <v>343</v>
      </c>
      <c r="J885" s="79">
        <v>286.94</v>
      </c>
      <c r="K885" s="18" t="s">
        <v>280</v>
      </c>
      <c r="L885" s="94" t="s">
        <v>698</v>
      </c>
      <c r="M885" s="148" t="s">
        <v>716</v>
      </c>
      <c r="N885" s="81" t="str">
        <f>_xlfn.XLOOKUP(Calculations[[#This Row],[For XLOOKUP]],Factors[For XLOOKUP],Factors[Factor],"")</f>
        <v>Σ.Ε. CO₂ eq</v>
      </c>
      <c r="O885" s="81">
        <f>_xlfn.XLOOKUP(Calculations[[#This Row],[For XLOOKUP]],Factors[For XLOOKUP],Factors[Value],"")</f>
        <v>1.1023113109243879E-2</v>
      </c>
      <c r="P885" s="81" t="str">
        <f>_xlfn.XLOOKUP(Calculations[[#This Row],[For XLOOKUP]],Factors[For XLOOKUP],Factors[Units],"")</f>
        <v>tn CO2 eq/ tn</v>
      </c>
      <c r="Q885" s="19" t="str">
        <f>_xlfn.XLOOKUP(Calculations[[#This Row],[For XLOOKUP]],Factors[For XLOOKUP],Factors[Source],"")</f>
        <v>EPA 2024</v>
      </c>
      <c r="R88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5" s="81" t="str">
        <f>IF(LEFT(Calculations[[#This Row],[Emission Factor]],7)="Σ.Ε. CH",Calculations[[#This Row],[Value]]*Calculations[[#This Row],[Τιμή]],"-")</f>
        <v>-</v>
      </c>
      <c r="T88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5" s="81" t="str">
        <f>IF(LEFT(Calculations[[#This Row],[Emission Factor]],3)="GWP",Calculations[[#This Row],[Τιμή]],"-")</f>
        <v>-</v>
      </c>
      <c r="V885" s="247">
        <f>IF(OR(Calculations[[#This Row],[Emission Factor]]="Σ.Ε. CO₂ eq",Calculations[[#This Row],[Emission Factor]]="CO₂ eq"),Calculations[[#This Row],[Value]]*Calculations[[#This Row],[Τιμή]],"-")</f>
        <v>3.1629720755664388</v>
      </c>
      <c r="W885" s="81" t="str">
        <f>IF(Calculations[[#This Row],[Πηγή εκπομπών]]="Electricity consumed in office buildings and projects - market based",Calculations[[#This Row],[t CO2]],"")</f>
        <v/>
      </c>
      <c r="X88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3.1629720755664388</v>
      </c>
    </row>
    <row r="886" spans="1:24" hidden="1">
      <c r="A886" s="15" t="s">
        <v>350</v>
      </c>
      <c r="B886" s="15" t="s">
        <v>645</v>
      </c>
      <c r="C886" s="16" t="s">
        <v>624</v>
      </c>
      <c r="D886" s="77" t="s">
        <v>1276</v>
      </c>
      <c r="E886" s="77"/>
      <c r="F886" s="16"/>
      <c r="G886" s="16" t="s">
        <v>646</v>
      </c>
      <c r="H886" s="15" t="s">
        <v>668</v>
      </c>
      <c r="I886" s="17" t="s">
        <v>343</v>
      </c>
      <c r="J886" s="79">
        <v>124.81</v>
      </c>
      <c r="K886" s="18" t="s">
        <v>280</v>
      </c>
      <c r="L886" s="94" t="s">
        <v>699</v>
      </c>
      <c r="M886" s="148" t="s">
        <v>716</v>
      </c>
      <c r="N886" s="81" t="str">
        <f>_xlfn.XLOOKUP(Calculations[[#This Row],[For XLOOKUP]],Factors[For XLOOKUP],Factors[Factor],"")</f>
        <v>Σ.Ε. CO₂ eq</v>
      </c>
      <c r="O886" s="81">
        <f>_xlfn.XLOOKUP(Calculations[[#This Row],[For XLOOKUP]],Factors[For XLOOKUP],Factors[Value],"")</f>
        <v>1.1023113109243879E-2</v>
      </c>
      <c r="P886" s="81" t="str">
        <f>_xlfn.XLOOKUP(Calculations[[#This Row],[For XLOOKUP]],Factors[For XLOOKUP],Factors[Units],"")</f>
        <v>tn CO2 eq/ tn</v>
      </c>
      <c r="Q886" s="19" t="str">
        <f>_xlfn.XLOOKUP(Calculations[[#This Row],[For XLOOKUP]],Factors[For XLOOKUP],Factors[Source],"")</f>
        <v>EPA 2024</v>
      </c>
      <c r="R88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6" s="81" t="str">
        <f>IF(LEFT(Calculations[[#This Row],[Emission Factor]],7)="Σ.Ε. CH",Calculations[[#This Row],[Value]]*Calculations[[#This Row],[Τιμή]],"-")</f>
        <v>-</v>
      </c>
      <c r="T88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6" s="81" t="str">
        <f>IF(LEFT(Calculations[[#This Row],[Emission Factor]],3)="GWP",Calculations[[#This Row],[Τιμή]],"-")</f>
        <v>-</v>
      </c>
      <c r="V886" s="247">
        <f>IF(OR(Calculations[[#This Row],[Emission Factor]]="Σ.Ε. CO₂ eq",Calculations[[#This Row],[Emission Factor]]="CO₂ eq"),Calculations[[#This Row],[Value]]*Calculations[[#This Row],[Τιμή]],"-")</f>
        <v>1.3757947471647285</v>
      </c>
      <c r="W886" s="81" t="str">
        <f>IF(Calculations[[#This Row],[Πηγή εκπομπών]]="Electricity consumed in office buildings and projects - market based",Calculations[[#This Row],[t CO2]],"")</f>
        <v/>
      </c>
      <c r="X88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1.3757947471647285</v>
      </c>
    </row>
    <row r="887" spans="1:24" hidden="1">
      <c r="A887" s="15" t="s">
        <v>350</v>
      </c>
      <c r="B887" s="15" t="s">
        <v>645</v>
      </c>
      <c r="C887" s="16" t="s">
        <v>624</v>
      </c>
      <c r="D887" s="77" t="s">
        <v>1276</v>
      </c>
      <c r="E887" s="77"/>
      <c r="F887" s="16"/>
      <c r="G887" s="16" t="s">
        <v>646</v>
      </c>
      <c r="H887" s="15" t="s">
        <v>668</v>
      </c>
      <c r="I887" s="17" t="s">
        <v>343</v>
      </c>
      <c r="J887" s="79">
        <v>134.71</v>
      </c>
      <c r="K887" s="18" t="s">
        <v>280</v>
      </c>
      <c r="L887" s="94" t="s">
        <v>696</v>
      </c>
      <c r="M887" s="148" t="s">
        <v>717</v>
      </c>
      <c r="N887" s="81" t="str">
        <f>_xlfn.XLOOKUP(Calculations[[#This Row],[For XLOOKUP]],Factors[For XLOOKUP],Factors[Factor],"")</f>
        <v>Σ.Ε. CO₂ eq</v>
      </c>
      <c r="O887" s="81">
        <f>_xlfn.XLOOKUP(Calculations[[#This Row],[For XLOOKUP]],Factors[For XLOOKUP],Factors[Value],"")</f>
        <v>2.2046226218487758E-2</v>
      </c>
      <c r="P887" s="81" t="str">
        <f>_xlfn.XLOOKUP(Calculations[[#This Row],[For XLOOKUP]],Factors[For XLOOKUP],Factors[Units],"")</f>
        <v>tn CO2 eq/ tn</v>
      </c>
      <c r="Q887" s="19" t="str">
        <f>_xlfn.XLOOKUP(Calculations[[#This Row],[For XLOOKUP]],Factors[For XLOOKUP],Factors[Source],"")</f>
        <v>EPA 2024</v>
      </c>
      <c r="R88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7" s="81" t="str">
        <f>IF(LEFT(Calculations[[#This Row],[Emission Factor]],7)="Σ.Ε. CH",Calculations[[#This Row],[Value]]*Calculations[[#This Row],[Τιμή]],"-")</f>
        <v>-</v>
      </c>
      <c r="T88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7" s="81" t="str">
        <f>IF(LEFT(Calculations[[#This Row],[Emission Factor]],3)="GWP",Calculations[[#This Row],[Τιμή]],"-")</f>
        <v>-</v>
      </c>
      <c r="V887" s="247">
        <f>IF(OR(Calculations[[#This Row],[Emission Factor]]="Σ.Ε. CO₂ eq",Calculations[[#This Row],[Emission Factor]]="CO₂ eq"),Calculations[[#This Row],[Value]]*Calculations[[#This Row],[Τιμή]],"-")</f>
        <v>2.9698471338924861</v>
      </c>
      <c r="W887" s="81" t="str">
        <f>IF(Calculations[[#This Row],[Πηγή εκπομπών]]="Electricity consumed in office buildings and projects - market based",Calculations[[#This Row],[t CO2]],"")</f>
        <v/>
      </c>
      <c r="X88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2.9698471338924861</v>
      </c>
    </row>
    <row r="888" spans="1:24" hidden="1">
      <c r="A888" s="15" t="s">
        <v>350</v>
      </c>
      <c r="B888" s="15" t="s">
        <v>645</v>
      </c>
      <c r="C888" s="16" t="s">
        <v>624</v>
      </c>
      <c r="D888" s="77" t="s">
        <v>1276</v>
      </c>
      <c r="E888" s="77"/>
      <c r="F888" s="16"/>
      <c r="G888" s="16" t="s">
        <v>646</v>
      </c>
      <c r="H888" s="15" t="s">
        <v>668</v>
      </c>
      <c r="I888" s="17" t="s">
        <v>343</v>
      </c>
      <c r="J888" s="79">
        <v>2991.29</v>
      </c>
      <c r="K888" s="18" t="s">
        <v>280</v>
      </c>
      <c r="L888" s="94" t="s">
        <v>697</v>
      </c>
      <c r="M888" s="148" t="s">
        <v>717</v>
      </c>
      <c r="N888" s="81" t="str">
        <f>_xlfn.XLOOKUP(Calculations[[#This Row],[For XLOOKUP]],Factors[For XLOOKUP],Factors[Factor],"")</f>
        <v>Σ.Ε. CO₂ eq</v>
      </c>
      <c r="O888" s="81">
        <f>_xlfn.XLOOKUP(Calculations[[#This Row],[For XLOOKUP]],Factors[For XLOOKUP],Factors[Value],"")</f>
        <v>2.2046226218487758E-2</v>
      </c>
      <c r="P888" s="81" t="str">
        <f>_xlfn.XLOOKUP(Calculations[[#This Row],[For XLOOKUP]],Factors[For XLOOKUP],Factors[Units],"")</f>
        <v>tn CO2 eq/ tn</v>
      </c>
      <c r="Q888" s="19" t="str">
        <f>_xlfn.XLOOKUP(Calculations[[#This Row],[For XLOOKUP]],Factors[For XLOOKUP],Factors[Source],"")</f>
        <v>EPA 2024</v>
      </c>
      <c r="R88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8" s="81" t="str">
        <f>IF(LEFT(Calculations[[#This Row],[Emission Factor]],7)="Σ.Ε. CH",Calculations[[#This Row],[Value]]*Calculations[[#This Row],[Τιμή]],"-")</f>
        <v>-</v>
      </c>
      <c r="T88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8" s="81" t="str">
        <f>IF(LEFT(Calculations[[#This Row],[Emission Factor]],3)="GWP",Calculations[[#This Row],[Τιμή]],"-")</f>
        <v>-</v>
      </c>
      <c r="V888" s="247">
        <f>IF(OR(Calculations[[#This Row],[Emission Factor]]="Σ.Ε. CO₂ eq",Calculations[[#This Row],[Emission Factor]]="CO₂ eq"),Calculations[[#This Row],[Value]]*Calculations[[#This Row],[Τιμή]],"-")</f>
        <v>65.946656025100239</v>
      </c>
      <c r="W888" s="81" t="str">
        <f>IF(Calculations[[#This Row],[Πηγή εκπομπών]]="Electricity consumed in office buildings and projects - market based",Calculations[[#This Row],[t CO2]],"")</f>
        <v/>
      </c>
      <c r="X88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65.946656025100239</v>
      </c>
    </row>
    <row r="889" spans="1:24" hidden="1">
      <c r="A889" s="15" t="s">
        <v>350</v>
      </c>
      <c r="B889" s="15" t="s">
        <v>645</v>
      </c>
      <c r="C889" s="16" t="s">
        <v>624</v>
      </c>
      <c r="D889" s="16" t="s">
        <v>1276</v>
      </c>
      <c r="E889" s="77"/>
      <c r="F889" s="16"/>
      <c r="G889" s="16" t="s">
        <v>646</v>
      </c>
      <c r="H889" s="15" t="s">
        <v>668</v>
      </c>
      <c r="I889" s="17" t="s">
        <v>343</v>
      </c>
      <c r="J889" s="79">
        <v>13162.050000000001</v>
      </c>
      <c r="K889" s="18" t="s">
        <v>280</v>
      </c>
      <c r="L889" s="94" t="s">
        <v>700</v>
      </c>
      <c r="M889" s="148" t="s">
        <v>717</v>
      </c>
      <c r="N889" s="81" t="str">
        <f>_xlfn.XLOOKUP(Calculations[[#This Row],[For XLOOKUP]],Factors[For XLOOKUP],Factors[Factor],"")</f>
        <v>Σ.Ε. CO₂ eq</v>
      </c>
      <c r="O889" s="81">
        <f>_xlfn.XLOOKUP(Calculations[[#This Row],[For XLOOKUP]],Factors[For XLOOKUP],Factors[Value],"")</f>
        <v>2.2046226218487758E-2</v>
      </c>
      <c r="P889" s="81" t="str">
        <f>_xlfn.XLOOKUP(Calculations[[#This Row],[For XLOOKUP]],Factors[For XLOOKUP],Factors[Units],"")</f>
        <v>tn CO2 eq/ tn</v>
      </c>
      <c r="Q889" s="19" t="str">
        <f>_xlfn.XLOOKUP(Calculations[[#This Row],[For XLOOKUP]],Factors[For XLOOKUP],Factors[Source],"")</f>
        <v>EPA 2024</v>
      </c>
      <c r="R88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9" s="81" t="str">
        <f>IF(LEFT(Calculations[[#This Row],[Emission Factor]],7)="Σ.Ε. CH",Calculations[[#This Row],[Value]]*Calculations[[#This Row],[Τιμή]],"-")</f>
        <v>-</v>
      </c>
      <c r="T88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9" s="81" t="str">
        <f>IF(LEFT(Calculations[[#This Row],[Emission Factor]],3)="GWP",Calculations[[#This Row],[Τιμή]],"-")</f>
        <v>-</v>
      </c>
      <c r="V889" s="247">
        <f>IF(OR(Calculations[[#This Row],[Emission Factor]]="Σ.Ε. CO₂ eq",Calculations[[#This Row],[Emission Factor]]="CO₂ eq"),Calculations[[#This Row],[Value]]*Calculations[[#This Row],[Τιμή]],"-")</f>
        <v>290.17353179904683</v>
      </c>
      <c r="W889" s="81" t="str">
        <f>IF(Calculations[[#This Row],[Πηγή εκπομπών]]="Electricity consumed in office buildings and projects - market based",Calculations[[#This Row],[t CO2]],"")</f>
        <v/>
      </c>
      <c r="X88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290.17353179904683</v>
      </c>
    </row>
    <row r="890" spans="1:24" hidden="1">
      <c r="A890" s="15" t="s">
        <v>350</v>
      </c>
      <c r="B890" s="15" t="s">
        <v>645</v>
      </c>
      <c r="C890" s="16" t="s">
        <v>624</v>
      </c>
      <c r="D890" s="16" t="s">
        <v>1276</v>
      </c>
      <c r="E890" s="77"/>
      <c r="F890" s="16"/>
      <c r="G890" s="16" t="s">
        <v>646</v>
      </c>
      <c r="H890" s="15" t="s">
        <v>668</v>
      </c>
      <c r="I890" s="17" t="s">
        <v>343</v>
      </c>
      <c r="J890" s="79">
        <v>24038.468499999999</v>
      </c>
      <c r="K890" s="18" t="s">
        <v>280</v>
      </c>
      <c r="L890" s="94" t="s">
        <v>694</v>
      </c>
      <c r="M890" s="148" t="s">
        <v>715</v>
      </c>
      <c r="N890" s="81" t="str">
        <f>_xlfn.XLOOKUP(Calculations[[#This Row],[For XLOOKUP]],Factors[For XLOOKUP],Factors[Factor],"")</f>
        <v>Σ.Ε. CO₂ eq</v>
      </c>
      <c r="O890" s="81">
        <f>_xlfn.XLOOKUP(Calculations[[#This Row],[For XLOOKUP]],Factors[For XLOOKUP],Factors[Value],"")</f>
        <v>5.5115565546219394E-2</v>
      </c>
      <c r="P890" s="81" t="str">
        <f>_xlfn.XLOOKUP(Calculations[[#This Row],[For XLOOKUP]],Factors[For XLOOKUP],Factors[Units],"")</f>
        <v>tn CO2 eq/ tn</v>
      </c>
      <c r="Q890" s="19" t="str">
        <f>_xlfn.XLOOKUP(Calculations[[#This Row],[For XLOOKUP]],Factors[For XLOOKUP],Factors[Source],"")</f>
        <v>EPA 2024</v>
      </c>
      <c r="R89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0" s="81" t="str">
        <f>IF(LEFT(Calculations[[#This Row],[Emission Factor]],7)="Σ.Ε. CH",Calculations[[#This Row],[Value]]*Calculations[[#This Row],[Τιμή]],"-")</f>
        <v>-</v>
      </c>
      <c r="T89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0" s="81" t="str">
        <f>IF(LEFT(Calculations[[#This Row],[Emission Factor]],3)="GWP",Calculations[[#This Row],[Τιμή]],"-")</f>
        <v>-</v>
      </c>
      <c r="V890" s="247">
        <f>IF(OR(Calculations[[#This Row],[Emission Factor]]="Σ.Ε. CO₂ eq",Calculations[[#This Row],[Emission Factor]]="CO₂ eq"),Calculations[[#This Row],[Value]]*Calculations[[#This Row],[Τιμή]],"-")</f>
        <v>1324.8937862424802</v>
      </c>
      <c r="W890" s="81" t="str">
        <f>IF(Calculations[[#This Row],[Πηγή εκπομπών]]="Electricity consumed in office buildings and projects - market based",Calculations[[#This Row],[t CO2]],"")</f>
        <v/>
      </c>
      <c r="X89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1324.8937862424802</v>
      </c>
    </row>
    <row r="891" spans="1:24" hidden="1">
      <c r="A891" s="15" t="s">
        <v>350</v>
      </c>
      <c r="B891" s="15" t="s">
        <v>645</v>
      </c>
      <c r="C891" s="16" t="s">
        <v>624</v>
      </c>
      <c r="D891" s="16" t="s">
        <v>1273</v>
      </c>
      <c r="E891" s="16" t="s">
        <v>1140</v>
      </c>
      <c r="F891" s="16"/>
      <c r="G891" s="16" t="s">
        <v>646</v>
      </c>
      <c r="H891" s="15" t="s">
        <v>669</v>
      </c>
      <c r="I891" s="17" t="s">
        <v>343</v>
      </c>
      <c r="J891" s="79">
        <v>85067.86</v>
      </c>
      <c r="K891" s="18" t="s">
        <v>280</v>
      </c>
      <c r="L891" s="94" t="s">
        <v>694</v>
      </c>
      <c r="M891" s="148" t="s">
        <v>701</v>
      </c>
      <c r="N891" s="81" t="str">
        <f>_xlfn.XLOOKUP(Calculations[[#This Row],[For XLOOKUP]],Factors[For XLOOKUP],Factors[Factor],"")</f>
        <v>Σ.Ε. CO₂ eq</v>
      </c>
      <c r="O891" s="81">
        <f>_xlfn.XLOOKUP(Calculations[[#This Row],[For XLOOKUP]],Factors[For XLOOKUP],Factors[Value],"")</f>
        <v>9.8485E-4</v>
      </c>
      <c r="P891" s="81" t="str">
        <f>_xlfn.XLOOKUP(Calculations[[#This Row],[For XLOOKUP]],Factors[For XLOOKUP],Factors[Units],"")</f>
        <v>tn CO2 eq/ tn</v>
      </c>
      <c r="Q891" s="19" t="str">
        <f>_xlfn.XLOOKUP(Calculations[[#This Row],[For XLOOKUP]],Factors[For XLOOKUP],Factors[Source],"")</f>
        <v>DEFRA 2024</v>
      </c>
      <c r="R89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1" s="81" t="str">
        <f>IF(LEFT(Calculations[[#This Row],[Emission Factor]],7)="Σ.Ε. CH",Calculations[[#This Row],[Value]]*Calculations[[#This Row],[Τιμή]],"-")</f>
        <v>-</v>
      </c>
      <c r="T89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1" s="81" t="str">
        <f>IF(LEFT(Calculations[[#This Row],[Emission Factor]],3)="GWP",Calculations[[#This Row],[Τιμή]],"-")</f>
        <v>-</v>
      </c>
      <c r="V891" s="247">
        <f>IF(OR(Calculations[[#This Row],[Emission Factor]]="Σ.Ε. CO₂ eq",Calculations[[#This Row],[Emission Factor]]="CO₂ eq"),Calculations[[#This Row],[Value]]*Calculations[[#This Row],[Τιμή]],"-")</f>
        <v>83.779081921</v>
      </c>
      <c r="W891" s="81" t="str">
        <f>IF(Calculations[[#This Row],[Πηγή εκπομπών]]="Electricity consumed in office buildings and projects - market based",Calculations[[#This Row],[t CO2]],"")</f>
        <v/>
      </c>
      <c r="X89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83.779081921</v>
      </c>
    </row>
    <row r="892" spans="1:24" hidden="1">
      <c r="A892" s="15" t="s">
        <v>350</v>
      </c>
      <c r="B892" s="15" t="s">
        <v>645</v>
      </c>
      <c r="C892" s="16" t="s">
        <v>624</v>
      </c>
      <c r="D892" s="16" t="s">
        <v>1273</v>
      </c>
      <c r="E892" s="77" t="s">
        <v>1156</v>
      </c>
      <c r="F892" s="16"/>
      <c r="G892" s="16" t="s">
        <v>646</v>
      </c>
      <c r="H892" s="15" t="s">
        <v>669</v>
      </c>
      <c r="I892" s="17" t="s">
        <v>343</v>
      </c>
      <c r="J892" s="79">
        <v>80000</v>
      </c>
      <c r="K892" s="18" t="s">
        <v>280</v>
      </c>
      <c r="L892" s="94" t="s">
        <v>694</v>
      </c>
      <c r="M892" s="148" t="s">
        <v>701</v>
      </c>
      <c r="N892" s="81" t="str">
        <f>_xlfn.XLOOKUP(Calculations[[#This Row],[For XLOOKUP]],Factors[For XLOOKUP],Factors[Factor],"")</f>
        <v>Σ.Ε. CO₂ eq</v>
      </c>
      <c r="O892" s="81">
        <f>_xlfn.XLOOKUP(Calculations[[#This Row],[For XLOOKUP]],Factors[For XLOOKUP],Factors[Value],"")</f>
        <v>9.8485E-4</v>
      </c>
      <c r="P892" s="81" t="str">
        <f>_xlfn.XLOOKUP(Calculations[[#This Row],[For XLOOKUP]],Factors[For XLOOKUP],Factors[Units],"")</f>
        <v>tn CO2 eq/ tn</v>
      </c>
      <c r="Q892" s="19" t="str">
        <f>_xlfn.XLOOKUP(Calculations[[#This Row],[For XLOOKUP]],Factors[For XLOOKUP],Factors[Source],"")</f>
        <v>DEFRA 2024</v>
      </c>
      <c r="R89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2" s="81" t="str">
        <f>IF(LEFT(Calculations[[#This Row],[Emission Factor]],7)="Σ.Ε. CH",Calculations[[#This Row],[Value]]*Calculations[[#This Row],[Τιμή]],"-")</f>
        <v>-</v>
      </c>
      <c r="T89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2" s="81" t="str">
        <f>IF(LEFT(Calculations[[#This Row],[Emission Factor]],3)="GWP",Calculations[[#This Row],[Τιμή]],"-")</f>
        <v>-</v>
      </c>
      <c r="V892" s="247">
        <f>IF(OR(Calculations[[#This Row],[Emission Factor]]="Σ.Ε. CO₂ eq",Calculations[[#This Row],[Emission Factor]]="CO₂ eq"),Calculations[[#This Row],[Value]]*Calculations[[#This Row],[Τιμή]],"-")</f>
        <v>78.787999999999997</v>
      </c>
      <c r="W892" s="81" t="str">
        <f>IF(Calculations[[#This Row],[Πηγή εκπομπών]]="Electricity consumed in office buildings and projects - market based",Calculations[[#This Row],[t CO2]],"")</f>
        <v/>
      </c>
      <c r="X89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78.787999999999997</v>
      </c>
    </row>
    <row r="893" spans="1:24" hidden="1">
      <c r="A893" s="15" t="s">
        <v>350</v>
      </c>
      <c r="B893" s="15" t="s">
        <v>645</v>
      </c>
      <c r="C893" s="16" t="s">
        <v>624</v>
      </c>
      <c r="D893" s="16" t="s">
        <v>1276</v>
      </c>
      <c r="E893" s="77"/>
      <c r="F893" s="16"/>
      <c r="G893" s="16" t="s">
        <v>646</v>
      </c>
      <c r="H893" s="15" t="s">
        <v>669</v>
      </c>
      <c r="I893" s="17" t="s">
        <v>343</v>
      </c>
      <c r="J893" s="79">
        <v>0</v>
      </c>
      <c r="K893" s="18" t="s">
        <v>280</v>
      </c>
      <c r="L893" s="94" t="s">
        <v>694</v>
      </c>
      <c r="M893" s="148" t="s">
        <v>701</v>
      </c>
      <c r="N893" s="81" t="str">
        <f>_xlfn.XLOOKUP(Calculations[[#This Row],[For XLOOKUP]],Factors[For XLOOKUP],Factors[Factor],"")</f>
        <v>Σ.Ε. CO₂ eq</v>
      </c>
      <c r="O893" s="81">
        <f>_xlfn.XLOOKUP(Calculations[[#This Row],[For XLOOKUP]],Factors[For XLOOKUP],Factors[Value],"")</f>
        <v>9.8485E-4</v>
      </c>
      <c r="P893" s="81" t="str">
        <f>_xlfn.XLOOKUP(Calculations[[#This Row],[For XLOOKUP]],Factors[For XLOOKUP],Factors[Units],"")</f>
        <v>tn CO2 eq/ tn</v>
      </c>
      <c r="Q893" s="19" t="str">
        <f>_xlfn.XLOOKUP(Calculations[[#This Row],[For XLOOKUP]],Factors[For XLOOKUP],Factors[Source],"")</f>
        <v>DEFRA 2024</v>
      </c>
      <c r="R89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3" s="81" t="str">
        <f>IF(LEFT(Calculations[[#This Row],[Emission Factor]],7)="Σ.Ε. CH",Calculations[[#This Row],[Value]]*Calculations[[#This Row],[Τιμή]],"-")</f>
        <v>-</v>
      </c>
      <c r="T89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3" s="81" t="str">
        <f>IF(LEFT(Calculations[[#This Row],[Emission Factor]],3)="GWP",Calculations[[#This Row],[Τιμή]],"-")</f>
        <v>-</v>
      </c>
      <c r="V893" s="247">
        <f>IF(OR(Calculations[[#This Row],[Emission Factor]]="Σ.Ε. CO₂ eq",Calculations[[#This Row],[Emission Factor]]="CO₂ eq"),Calculations[[#This Row],[Value]]*Calculations[[#This Row],[Τιμή]],"-")</f>
        <v>0</v>
      </c>
      <c r="W893" s="81" t="str">
        <f>IF(Calculations[[#This Row],[Πηγή εκπομπών]]="Electricity consumed in office buildings and projects - market based",Calculations[[#This Row],[t CO2]],"")</f>
        <v/>
      </c>
      <c r="X89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894" spans="1:24" hidden="1">
      <c r="A894" s="15" t="s">
        <v>350</v>
      </c>
      <c r="B894" s="15" t="s">
        <v>645</v>
      </c>
      <c r="C894" s="16" t="s">
        <v>624</v>
      </c>
      <c r="D894" s="16" t="s">
        <v>1276</v>
      </c>
      <c r="E894" s="77"/>
      <c r="F894" s="16"/>
      <c r="G894" s="16" t="s">
        <v>646</v>
      </c>
      <c r="H894" s="15" t="s">
        <v>670</v>
      </c>
      <c r="I894" s="17" t="s">
        <v>343</v>
      </c>
      <c r="J894" s="79">
        <v>22.919999999999998</v>
      </c>
      <c r="K894" s="18" t="s">
        <v>280</v>
      </c>
      <c r="L894" s="94" t="s">
        <v>694</v>
      </c>
      <c r="M894" s="148" t="s">
        <v>718</v>
      </c>
      <c r="N894" s="81" t="str">
        <f>_xlfn.XLOOKUP(Calculations[[#This Row],[For XLOOKUP]],Factors[For XLOOKUP],Factors[Factor],"")</f>
        <v>Σ.Ε. CO₂ eq</v>
      </c>
      <c r="O894" s="81">
        <f>_xlfn.XLOOKUP(Calculations[[#This Row],[For XLOOKUP]],Factors[For XLOOKUP],Factors[Value],"")</f>
        <v>0.11023113109243879</v>
      </c>
      <c r="P894" s="81" t="str">
        <f>_xlfn.XLOOKUP(Calculations[[#This Row],[For XLOOKUP]],Factors[For XLOOKUP],Factors[Units],"")</f>
        <v>tn CO2 eq/ tn</v>
      </c>
      <c r="Q894" s="19" t="str">
        <f>_xlfn.XLOOKUP(Calculations[[#This Row],[For XLOOKUP]],Factors[For XLOOKUP],Factors[Source],"")</f>
        <v>EPA 2024</v>
      </c>
      <c r="R89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4" s="81" t="str">
        <f>IF(LEFT(Calculations[[#This Row],[Emission Factor]],7)="Σ.Ε. CH",Calculations[[#This Row],[Value]]*Calculations[[#This Row],[Τιμή]],"-")</f>
        <v>-</v>
      </c>
      <c r="T89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4" s="81" t="str">
        <f>IF(LEFT(Calculations[[#This Row],[Emission Factor]],3)="GWP",Calculations[[#This Row],[Τιμή]],"-")</f>
        <v>-</v>
      </c>
      <c r="V894" s="247">
        <f>IF(OR(Calculations[[#This Row],[Emission Factor]]="Σ.Ε. CO₂ eq",Calculations[[#This Row],[Emission Factor]]="CO₂ eq"),Calculations[[#This Row],[Value]]*Calculations[[#This Row],[Τιμή]],"-")</f>
        <v>2.5264975246386969</v>
      </c>
      <c r="W894" s="81" t="str">
        <f>IF(Calculations[[#This Row],[Πηγή εκπομπών]]="Electricity consumed in office buildings and projects - market based",Calculations[[#This Row],[t CO2]],"")</f>
        <v/>
      </c>
      <c r="X89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2.5264975246386969</v>
      </c>
    </row>
    <row r="895" spans="1:24" hidden="1">
      <c r="A895" s="15" t="s">
        <v>350</v>
      </c>
      <c r="B895" s="15" t="s">
        <v>645</v>
      </c>
      <c r="C895" s="16" t="s">
        <v>624</v>
      </c>
      <c r="D895" s="16" t="s">
        <v>1276</v>
      </c>
      <c r="E895" s="77"/>
      <c r="F895" s="16"/>
      <c r="G895" s="16" t="s">
        <v>646</v>
      </c>
      <c r="H895" s="15" t="s">
        <v>671</v>
      </c>
      <c r="I895" s="17" t="s">
        <v>343</v>
      </c>
      <c r="J895" s="79">
        <v>770.94</v>
      </c>
      <c r="K895" s="18" t="s">
        <v>280</v>
      </c>
      <c r="L895" s="94" t="s">
        <v>698</v>
      </c>
      <c r="M895" s="148" t="s">
        <v>719</v>
      </c>
      <c r="N895" s="81" t="str">
        <f>_xlfn.XLOOKUP(Calculations[[#This Row],[For XLOOKUP]],Factors[For XLOOKUP],Factors[Factor],"")</f>
        <v>Σ.Ε. CO₂ eq</v>
      </c>
      <c r="O895" s="81">
        <f>_xlfn.XLOOKUP(Calculations[[#This Row],[For XLOOKUP]],Factors[For XLOOKUP],Factors[Value],"")</f>
        <v>5.5115565546219394E-2</v>
      </c>
      <c r="P895" s="81" t="str">
        <f>_xlfn.XLOOKUP(Calculations[[#This Row],[For XLOOKUP]],Factors[For XLOOKUP],Factors[Units],"")</f>
        <v>tn CO2 eq/ tn</v>
      </c>
      <c r="Q895" s="19" t="str">
        <f>_xlfn.XLOOKUP(Calculations[[#This Row],[For XLOOKUP]],Factors[For XLOOKUP],Factors[Source],"")</f>
        <v>EPA 2024</v>
      </c>
      <c r="R89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5" s="81" t="str">
        <f>IF(LEFT(Calculations[[#This Row],[Emission Factor]],7)="Σ.Ε. CH",Calculations[[#This Row],[Value]]*Calculations[[#This Row],[Τιμή]],"-")</f>
        <v>-</v>
      </c>
      <c r="T89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5" s="81" t="str">
        <f>IF(LEFT(Calculations[[#This Row],[Emission Factor]],3)="GWP",Calculations[[#This Row],[Τιμή]],"-")</f>
        <v>-</v>
      </c>
      <c r="V895" s="247">
        <f>IF(OR(Calculations[[#This Row],[Emission Factor]]="Σ.Ε. CO₂ eq",Calculations[[#This Row],[Emission Factor]]="CO₂ eq"),Calculations[[#This Row],[Value]]*Calculations[[#This Row],[Τιμή]],"-")</f>
        <v>42.490794102202386</v>
      </c>
      <c r="W895" s="81" t="str">
        <f>IF(Calculations[[#This Row],[Πηγή εκπομπών]]="Electricity consumed in office buildings and projects - market based",Calculations[[#This Row],[t CO2]],"")</f>
        <v/>
      </c>
      <c r="X89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42.490794102202386</v>
      </c>
    </row>
    <row r="896" spans="1:24" hidden="1">
      <c r="A896" s="15" t="s">
        <v>350</v>
      </c>
      <c r="B896" s="15" t="s">
        <v>645</v>
      </c>
      <c r="C896" s="16" t="s">
        <v>624</v>
      </c>
      <c r="D896" s="16" t="s">
        <v>1276</v>
      </c>
      <c r="E896" s="77"/>
      <c r="F896" s="16"/>
      <c r="G896" s="16" t="s">
        <v>646</v>
      </c>
      <c r="H896" s="15" t="s">
        <v>671</v>
      </c>
      <c r="I896" s="17" t="s">
        <v>343</v>
      </c>
      <c r="J896" s="79">
        <v>64.710000000000008</v>
      </c>
      <c r="K896" s="18" t="s">
        <v>280</v>
      </c>
      <c r="L896" s="94" t="s">
        <v>699</v>
      </c>
      <c r="M896" s="148" t="s">
        <v>719</v>
      </c>
      <c r="N896" s="81" t="str">
        <f>_xlfn.XLOOKUP(Calculations[[#This Row],[For XLOOKUP]],Factors[For XLOOKUP],Factors[Factor],"")</f>
        <v>Σ.Ε. CO₂ eq</v>
      </c>
      <c r="O896" s="81">
        <f>_xlfn.XLOOKUP(Calculations[[#This Row],[For XLOOKUP]],Factors[For XLOOKUP],Factors[Value],"")</f>
        <v>5.5115565546219394E-2</v>
      </c>
      <c r="P896" s="81" t="str">
        <f>_xlfn.XLOOKUP(Calculations[[#This Row],[For XLOOKUP]],Factors[For XLOOKUP],Factors[Units],"")</f>
        <v>tn CO2 eq/ tn</v>
      </c>
      <c r="Q896" s="19" t="str">
        <f>_xlfn.XLOOKUP(Calculations[[#This Row],[For XLOOKUP]],Factors[For XLOOKUP],Factors[Source],"")</f>
        <v>EPA 2024</v>
      </c>
      <c r="R89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6" s="81" t="str">
        <f>IF(LEFT(Calculations[[#This Row],[Emission Factor]],7)="Σ.Ε. CH",Calculations[[#This Row],[Value]]*Calculations[[#This Row],[Τιμή]],"-")</f>
        <v>-</v>
      </c>
      <c r="T89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6" s="81" t="str">
        <f>IF(LEFT(Calculations[[#This Row],[Emission Factor]],3)="GWP",Calculations[[#This Row],[Τιμή]],"-")</f>
        <v>-</v>
      </c>
      <c r="V896" s="247">
        <f>IF(OR(Calculations[[#This Row],[Emission Factor]]="Σ.Ε. CO₂ eq",Calculations[[#This Row],[Emission Factor]]="CO₂ eq"),Calculations[[#This Row],[Value]]*Calculations[[#This Row],[Τιμή]],"-")</f>
        <v>3.5665282464958574</v>
      </c>
      <c r="W896" s="81" t="str">
        <f>IF(Calculations[[#This Row],[Πηγή εκπομπών]]="Electricity consumed in office buildings and projects - market based",Calculations[[#This Row],[t CO2]],"")</f>
        <v/>
      </c>
      <c r="X89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3.5665282464958574</v>
      </c>
    </row>
    <row r="897" spans="1:24" hidden="1">
      <c r="A897" s="15" t="s">
        <v>350</v>
      </c>
      <c r="B897" s="15" t="s">
        <v>645</v>
      </c>
      <c r="C897" s="16" t="s">
        <v>624</v>
      </c>
      <c r="D897" s="16" t="s">
        <v>1276</v>
      </c>
      <c r="E897" s="77"/>
      <c r="F897" s="16"/>
      <c r="G897" s="16" t="s">
        <v>646</v>
      </c>
      <c r="H897" s="15" t="s">
        <v>672</v>
      </c>
      <c r="I897" s="17" t="s">
        <v>343</v>
      </c>
      <c r="J897" s="79">
        <v>3137.42</v>
      </c>
      <c r="K897" s="18" t="s">
        <v>280</v>
      </c>
      <c r="L897" s="94" t="s">
        <v>699</v>
      </c>
      <c r="M897" s="148" t="s">
        <v>719</v>
      </c>
      <c r="N897" s="81" t="str">
        <f>_xlfn.XLOOKUP(Calculations[[#This Row],[For XLOOKUP]],Factors[For XLOOKUP],Factors[Factor],"")</f>
        <v>Σ.Ε. CO₂ eq</v>
      </c>
      <c r="O897" s="81">
        <f>_xlfn.XLOOKUP(Calculations[[#This Row],[For XLOOKUP]],Factors[For XLOOKUP],Factors[Value],"")</f>
        <v>5.5115565546219394E-2</v>
      </c>
      <c r="P897" s="81" t="str">
        <f>_xlfn.XLOOKUP(Calculations[[#This Row],[For XLOOKUP]],Factors[For XLOOKUP],Factors[Units],"")</f>
        <v>tn CO2 eq/ tn</v>
      </c>
      <c r="Q897" s="19" t="str">
        <f>_xlfn.XLOOKUP(Calculations[[#This Row],[For XLOOKUP]],Factors[For XLOOKUP],Factors[Source],"")</f>
        <v>EPA 2024</v>
      </c>
      <c r="R89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7" s="81" t="str">
        <f>IF(LEFT(Calculations[[#This Row],[Emission Factor]],7)="Σ.Ε. CH",Calculations[[#This Row],[Value]]*Calculations[[#This Row],[Τιμή]],"-")</f>
        <v>-</v>
      </c>
      <c r="T89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7" s="81" t="str">
        <f>IF(LEFT(Calculations[[#This Row],[Emission Factor]],3)="GWP",Calculations[[#This Row],[Τιμή]],"-")</f>
        <v>-</v>
      </c>
      <c r="V897" s="247">
        <f>IF(OR(Calculations[[#This Row],[Emission Factor]]="Σ.Ε. CO₂ eq",Calculations[[#This Row],[Emission Factor]]="CO₂ eq"),Calculations[[#This Row],[Value]]*Calculations[[#This Row],[Τιμή]],"-")</f>
        <v>172.92067765601965</v>
      </c>
      <c r="W897" s="81" t="str">
        <f>IF(Calculations[[#This Row],[Πηγή εκπομπών]]="Electricity consumed in office buildings and projects - market based",Calculations[[#This Row],[t CO2]],"")</f>
        <v/>
      </c>
      <c r="X89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172.92067765601965</v>
      </c>
    </row>
    <row r="898" spans="1:24" hidden="1">
      <c r="A898" s="15" t="s">
        <v>350</v>
      </c>
      <c r="B898" s="15" t="s">
        <v>645</v>
      </c>
      <c r="C898" s="16" t="s">
        <v>624</v>
      </c>
      <c r="D898" s="16" t="s">
        <v>1276</v>
      </c>
      <c r="E898" s="77"/>
      <c r="F898" s="16"/>
      <c r="G898" s="16" t="s">
        <v>646</v>
      </c>
      <c r="H898" s="14" t="s">
        <v>673</v>
      </c>
      <c r="I898" s="17" t="s">
        <v>343</v>
      </c>
      <c r="J898" s="79">
        <v>9.0999999999999998E-2</v>
      </c>
      <c r="K898" s="18" t="s">
        <v>280</v>
      </c>
      <c r="L898" s="94" t="s">
        <v>697</v>
      </c>
      <c r="M898" s="17" t="s">
        <v>714</v>
      </c>
      <c r="N898" s="19" t="str">
        <f>_xlfn.XLOOKUP(Calculations[[#This Row],[For XLOOKUP]],Factors[For XLOOKUP],Factors[Factor],"")</f>
        <v>Σ.Ε. CO₂ eq</v>
      </c>
      <c r="O898" s="19">
        <f>_xlfn.XLOOKUP(Calculations[[#This Row],[For XLOOKUP]],Factors[For XLOOKUP],Factors[Value],"")</f>
        <v>0.52033419999999997</v>
      </c>
      <c r="P898" s="19" t="str">
        <f>_xlfn.XLOOKUP(Calculations[[#This Row],[For XLOOKUP]],Factors[For XLOOKUP],Factors[Units],"")</f>
        <v>tn CO2 eq/ tn</v>
      </c>
      <c r="Q898" s="19" t="str">
        <f>_xlfn.XLOOKUP(Calculations[[#This Row],[For XLOOKUP]],Factors[For XLOOKUP],Factors[Source],"")</f>
        <v>DEFRA 2024</v>
      </c>
      <c r="R898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8" s="19" t="str">
        <f>IF(LEFT(Calculations[[#This Row],[Emission Factor]],7)="Σ.Ε. CH",Calculations[[#This Row],[Value]]*Calculations[[#This Row],[Τιμή]],"-")</f>
        <v>-</v>
      </c>
      <c r="T898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8" s="19" t="str">
        <f>IF(LEFT(Calculations[[#This Row],[Emission Factor]],3)="GWP",Calculations[[#This Row],[Τιμή]],"-")</f>
        <v>-</v>
      </c>
      <c r="V898" s="248">
        <f>IF(OR(Calculations[[#This Row],[Emission Factor]]="Σ.Ε. CO₂ eq",Calculations[[#This Row],[Emission Factor]]="CO₂ eq"),Calculations[[#This Row],[Value]]*Calculations[[#This Row],[Τιμή]],"-")</f>
        <v>4.7350412199999997E-2</v>
      </c>
      <c r="W898" s="19" t="str">
        <f>IF(Calculations[[#This Row],[Πηγή εκπομπών]]="Electricity consumed in office buildings and projects - market based",Calculations[[#This Row],[t CO2]],"")</f>
        <v/>
      </c>
      <c r="X898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4.7350412199999997E-2</v>
      </c>
    </row>
    <row r="899" spans="1:24" hidden="1">
      <c r="A899" s="15" t="s">
        <v>350</v>
      </c>
      <c r="B899" s="15" t="s">
        <v>645</v>
      </c>
      <c r="C899" s="16" t="s">
        <v>624</v>
      </c>
      <c r="D899" s="16" t="s">
        <v>1276</v>
      </c>
      <c r="E899" s="77"/>
      <c r="F899" s="16"/>
      <c r="G899" s="16" t="s">
        <v>646</v>
      </c>
      <c r="H899" s="15" t="s">
        <v>1374</v>
      </c>
      <c r="I899" s="17" t="s">
        <v>343</v>
      </c>
      <c r="J899" s="79">
        <v>13.120000000000001</v>
      </c>
      <c r="K899" s="18" t="s">
        <v>280</v>
      </c>
      <c r="L899" s="94" t="s">
        <v>695</v>
      </c>
      <c r="M899" s="148" t="s">
        <v>701</v>
      </c>
      <c r="N899" s="81" t="str">
        <f>_xlfn.XLOOKUP(Calculations[[#This Row],[For XLOOKUP]],Factors[For XLOOKUP],Factors[Factor],"")</f>
        <v>Σ.Ε. CO₂ eq</v>
      </c>
      <c r="O899" s="81">
        <f>_xlfn.XLOOKUP(Calculations[[#This Row],[For XLOOKUP]],Factors[For XLOOKUP],Factors[Value],"")</f>
        <v>9.8485E-4</v>
      </c>
      <c r="P899" s="81" t="str">
        <f>_xlfn.XLOOKUP(Calculations[[#This Row],[For XLOOKUP]],Factors[For XLOOKUP],Factors[Units],"")</f>
        <v>tn CO2 eq/ tn</v>
      </c>
      <c r="Q899" s="19" t="str">
        <f>_xlfn.XLOOKUP(Calculations[[#This Row],[For XLOOKUP]],Factors[For XLOOKUP],Factors[Source],"")</f>
        <v>DEFRA 2024</v>
      </c>
      <c r="R89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9" s="81" t="str">
        <f>IF(LEFT(Calculations[[#This Row],[Emission Factor]],7)="Σ.Ε. CH",Calculations[[#This Row],[Value]]*Calculations[[#This Row],[Τιμή]],"-")</f>
        <v>-</v>
      </c>
      <c r="T89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9" s="81" t="str">
        <f>IF(LEFT(Calculations[[#This Row],[Emission Factor]],3)="GWP",Calculations[[#This Row],[Τιμή]],"-")</f>
        <v>-</v>
      </c>
      <c r="V899" s="247">
        <f>IF(OR(Calculations[[#This Row],[Emission Factor]]="Σ.Ε. CO₂ eq",Calculations[[#This Row],[Emission Factor]]="CO₂ eq"),Calculations[[#This Row],[Value]]*Calculations[[#This Row],[Τιμή]],"-")</f>
        <v>1.2921232000000001E-2</v>
      </c>
      <c r="W899" s="81" t="str">
        <f>IF(Calculations[[#This Row],[Πηγή εκπομπών]]="Electricity consumed in office buildings and projects - market based",Calculations[[#This Row],[t CO2]],"")</f>
        <v/>
      </c>
      <c r="X89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1.2921232000000001E-2</v>
      </c>
    </row>
    <row r="900" spans="1:24" hidden="1">
      <c r="A900" s="15" t="s">
        <v>350</v>
      </c>
      <c r="B900" s="15" t="s">
        <v>645</v>
      </c>
      <c r="C900" s="16" t="s">
        <v>624</v>
      </c>
      <c r="D900" s="16" t="s">
        <v>1276</v>
      </c>
      <c r="E900" s="77"/>
      <c r="F900" s="16"/>
      <c r="G900" s="16" t="s">
        <v>646</v>
      </c>
      <c r="H900" s="15" t="s">
        <v>1375</v>
      </c>
      <c r="I900" s="17" t="s">
        <v>343</v>
      </c>
      <c r="J900" s="79">
        <v>1.8393280000000001</v>
      </c>
      <c r="K900" s="18" t="s">
        <v>280</v>
      </c>
      <c r="L900" s="94" t="s">
        <v>698</v>
      </c>
      <c r="M900" s="148" t="s">
        <v>1056</v>
      </c>
      <c r="N900" s="81" t="str">
        <f>_xlfn.XLOOKUP(Calculations[[#This Row],[For XLOOKUP]],Factors[For XLOOKUP],Factors[Factor],"")</f>
        <v>Σ.Ε. CO₂ eq</v>
      </c>
      <c r="O900" s="81">
        <f>_xlfn.XLOOKUP(Calculations[[#This Row],[For XLOOKUP]],Factors[For XLOOKUP],Factors[Value],"")</f>
        <v>6.4106099999999997E-3</v>
      </c>
      <c r="P900" s="81" t="str">
        <f>_xlfn.XLOOKUP(Calculations[[#This Row],[For XLOOKUP]],Factors[For XLOOKUP],Factors[Units],"")</f>
        <v>tn CO2 eq/ tn</v>
      </c>
      <c r="Q900" s="19" t="str">
        <f>_xlfn.XLOOKUP(Calculations[[#This Row],[For XLOOKUP]],Factors[For XLOOKUP],Factors[Source],"")</f>
        <v>DEFRA 2024</v>
      </c>
      <c r="R90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0" s="81" t="str">
        <f>IF(LEFT(Calculations[[#This Row],[Emission Factor]],7)="Σ.Ε. CH",Calculations[[#This Row],[Value]]*Calculations[[#This Row],[Τιμή]],"-")</f>
        <v>-</v>
      </c>
      <c r="T90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0" s="81" t="str">
        <f>IF(LEFT(Calculations[[#This Row],[Emission Factor]],3)="GWP",Calculations[[#This Row],[Τιμή]],"-")</f>
        <v>-</v>
      </c>
      <c r="V900" s="247">
        <f>IF(OR(Calculations[[#This Row],[Emission Factor]]="Σ.Ε. CO₂ eq",Calculations[[#This Row],[Emission Factor]]="CO₂ eq"),Calculations[[#This Row],[Value]]*Calculations[[#This Row],[Τιμή]],"-")</f>
        <v>1.179121447008E-2</v>
      </c>
      <c r="W900" s="81" t="str">
        <f>IF(Calculations[[#This Row],[Πηγή εκπομπών]]="Electricity consumed in office buildings and projects - market based",Calculations[[#This Row],[t CO2]],"")</f>
        <v/>
      </c>
      <c r="X90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1.179121447008E-2</v>
      </c>
    </row>
    <row r="901" spans="1:24" hidden="1">
      <c r="A901" s="15" t="s">
        <v>350</v>
      </c>
      <c r="B901" s="15" t="s">
        <v>645</v>
      </c>
      <c r="C901" s="16" t="s">
        <v>624</v>
      </c>
      <c r="D901" s="16" t="s">
        <v>1276</v>
      </c>
      <c r="E901" s="77"/>
      <c r="F901" s="16"/>
      <c r="G901" s="16" t="s">
        <v>646</v>
      </c>
      <c r="H901" s="15" t="s">
        <v>1375</v>
      </c>
      <c r="I901" s="17" t="s">
        <v>343</v>
      </c>
      <c r="J901" s="79">
        <v>1.7753140000000001</v>
      </c>
      <c r="K901" s="18" t="s">
        <v>280</v>
      </c>
      <c r="L901" s="94" t="s">
        <v>697</v>
      </c>
      <c r="M901" s="148" t="s">
        <v>1056</v>
      </c>
      <c r="N901" s="81" t="str">
        <f>_xlfn.XLOOKUP(Calculations[[#This Row],[For XLOOKUP]],Factors[For XLOOKUP],Factors[Factor],"")</f>
        <v>Σ.Ε. CO₂ eq</v>
      </c>
      <c r="O901" s="81">
        <f>_xlfn.XLOOKUP(Calculations[[#This Row],[For XLOOKUP]],Factors[For XLOOKUP],Factors[Value],"")</f>
        <v>6.4106099999999997E-3</v>
      </c>
      <c r="P901" s="81" t="str">
        <f>_xlfn.XLOOKUP(Calculations[[#This Row],[For XLOOKUP]],Factors[For XLOOKUP],Factors[Units],"")</f>
        <v>tn CO2 eq/ tn</v>
      </c>
      <c r="Q901" s="19" t="str">
        <f>_xlfn.XLOOKUP(Calculations[[#This Row],[For XLOOKUP]],Factors[For XLOOKUP],Factors[Source],"")</f>
        <v>DEFRA 2024</v>
      </c>
      <c r="R90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1" s="81" t="str">
        <f>IF(LEFT(Calculations[[#This Row],[Emission Factor]],7)="Σ.Ε. CH",Calculations[[#This Row],[Value]]*Calculations[[#This Row],[Τιμή]],"-")</f>
        <v>-</v>
      </c>
      <c r="T90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1" s="81" t="str">
        <f>IF(LEFT(Calculations[[#This Row],[Emission Factor]],3)="GWP",Calculations[[#This Row],[Τιμή]],"-")</f>
        <v>-</v>
      </c>
      <c r="V901" s="247">
        <f>IF(OR(Calculations[[#This Row],[Emission Factor]]="Σ.Ε. CO₂ eq",Calculations[[#This Row],[Emission Factor]]="CO₂ eq"),Calculations[[#This Row],[Value]]*Calculations[[#This Row],[Τιμή]],"-")</f>
        <v>1.138084568154E-2</v>
      </c>
      <c r="W901" s="81" t="str">
        <f>IF(Calculations[[#This Row],[Πηγή εκπομπών]]="Electricity consumed in office buildings and projects - market based",Calculations[[#This Row],[t CO2]],"")</f>
        <v/>
      </c>
      <c r="X90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1.138084568154E-2</v>
      </c>
    </row>
    <row r="902" spans="1:24" hidden="1">
      <c r="A902" s="15" t="s">
        <v>350</v>
      </c>
      <c r="B902" s="15" t="s">
        <v>645</v>
      </c>
      <c r="C902" s="16" t="s">
        <v>624</v>
      </c>
      <c r="D902" s="16" t="s">
        <v>1276</v>
      </c>
      <c r="E902" s="77"/>
      <c r="F902" s="16"/>
      <c r="G902" s="16" t="s">
        <v>646</v>
      </c>
      <c r="H902" s="15" t="s">
        <v>1376</v>
      </c>
      <c r="I902" s="17" t="s">
        <v>343</v>
      </c>
      <c r="J902" s="79">
        <v>4683.0051000000003</v>
      </c>
      <c r="K902" s="18" t="s">
        <v>280</v>
      </c>
      <c r="L902" s="94" t="s">
        <v>698</v>
      </c>
      <c r="M902" s="148" t="s">
        <v>1347</v>
      </c>
      <c r="N902" s="81" t="str">
        <f>_xlfn.XLOOKUP(Calculations[[#This Row],[For XLOOKUP]],Factors[For XLOOKUP],Factors[Factor],"")</f>
        <v>Σ.Ε. CO₂ eq</v>
      </c>
      <c r="O902" s="81">
        <f>_xlfn.XLOOKUP(Calculations[[#This Row],[For XLOOKUP]],Factors[For XLOOKUP],Factors[Value],"")</f>
        <v>2.4404656276834</v>
      </c>
      <c r="P902" s="81" t="str">
        <f>_xlfn.XLOOKUP(Calculations[[#This Row],[For XLOOKUP]],Factors[For XLOOKUP],Factors[Units],"")</f>
        <v>tn CO2 eq/ tn</v>
      </c>
      <c r="Q902" s="19" t="str">
        <f>_xlfn.XLOOKUP(Calculations[[#This Row],[For XLOOKUP]],Factors[For XLOOKUP],Factors[Source],"")</f>
        <v>Ecoinvent 3.11</v>
      </c>
      <c r="R90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2" s="81" t="str">
        <f>IF(LEFT(Calculations[[#This Row],[Emission Factor]],7)="Σ.Ε. CH",Calculations[[#This Row],[Value]]*Calculations[[#This Row],[Τιμή]],"-")</f>
        <v>-</v>
      </c>
      <c r="T90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2" s="81" t="str">
        <f>IF(LEFT(Calculations[[#This Row],[Emission Factor]],3)="GWP",Calculations[[#This Row],[Τιμή]],"-")</f>
        <v>-</v>
      </c>
      <c r="V902" s="247">
        <f>IF(OR(Calculations[[#This Row],[Emission Factor]]="Σ.Ε. CO₂ eq",Calculations[[#This Row],[Emission Factor]]="CO₂ eq"),Calculations[[#This Row],[Value]]*Calculations[[#This Row],[Τιμή]],"-")</f>
        <v>11428.712980816064</v>
      </c>
      <c r="W902" s="81" t="str">
        <f>IF(Calculations[[#This Row],[Πηγή εκπομπών]]="Electricity consumed in office buildings and projects - market based",Calculations[[#This Row],[t CO2]],"")</f>
        <v/>
      </c>
      <c r="X90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11428.712980816064</v>
      </c>
    </row>
    <row r="903" spans="1:24" hidden="1">
      <c r="A903" s="15" t="s">
        <v>350</v>
      </c>
      <c r="B903" s="15" t="s">
        <v>645</v>
      </c>
      <c r="C903" s="16" t="s">
        <v>624</v>
      </c>
      <c r="D903" s="16" t="s">
        <v>1276</v>
      </c>
      <c r="E903" s="77"/>
      <c r="F903" s="16"/>
      <c r="G903" s="16" t="s">
        <v>646</v>
      </c>
      <c r="H903" s="15" t="s">
        <v>674</v>
      </c>
      <c r="I903" s="17" t="s">
        <v>343</v>
      </c>
      <c r="J903" s="79">
        <v>437.15000000000003</v>
      </c>
      <c r="K903" s="18" t="s">
        <v>280</v>
      </c>
      <c r="L903" s="94" t="s">
        <v>700</v>
      </c>
      <c r="M903" s="148" t="s">
        <v>1346</v>
      </c>
      <c r="N903" s="81" t="str">
        <f>_xlfn.XLOOKUP(Calculations[[#This Row],[For XLOOKUP]],Factors[For XLOOKUP],Factors[Factor],"")</f>
        <v>Σ.Ε. CO₂ eq</v>
      </c>
      <c r="O903" s="81">
        <f>_xlfn.XLOOKUP(Calculations[[#This Row],[For XLOOKUP]],Factors[For XLOOKUP],Factors[Value],"")</f>
        <v>2.2046226218487758E-2</v>
      </c>
      <c r="P903" s="81" t="str">
        <f>_xlfn.XLOOKUP(Calculations[[#This Row],[For XLOOKUP]],Factors[For XLOOKUP],Factors[Units],"")</f>
        <v>tn CO2 eq/ tn</v>
      </c>
      <c r="Q903" s="19" t="str">
        <f>_xlfn.XLOOKUP(Calculations[[#This Row],[For XLOOKUP]],Factors[For XLOOKUP],Factors[Source],"")</f>
        <v>EPA 2024</v>
      </c>
      <c r="R90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3" s="81" t="str">
        <f>IF(LEFT(Calculations[[#This Row],[Emission Factor]],7)="Σ.Ε. CH",Calculations[[#This Row],[Value]]*Calculations[[#This Row],[Τιμή]],"-")</f>
        <v>-</v>
      </c>
      <c r="T90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3" s="81" t="str">
        <f>IF(LEFT(Calculations[[#This Row],[Emission Factor]],3)="GWP",Calculations[[#This Row],[Τιμή]],"-")</f>
        <v>-</v>
      </c>
      <c r="V903" s="247">
        <f>IF(OR(Calculations[[#This Row],[Emission Factor]]="Σ.Ε. CO₂ eq",Calculations[[#This Row],[Emission Factor]]="CO₂ eq"),Calculations[[#This Row],[Value]]*Calculations[[#This Row],[Τιμή]],"-")</f>
        <v>9.6375077914119238</v>
      </c>
      <c r="W903" s="81" t="str">
        <f>IF(Calculations[[#This Row],[Πηγή εκπομπών]]="Electricity consumed in office buildings and projects - market based",Calculations[[#This Row],[t CO2]],"")</f>
        <v/>
      </c>
      <c r="X90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9.6375077914119238</v>
      </c>
    </row>
    <row r="904" spans="1:24" hidden="1">
      <c r="A904" s="15" t="s">
        <v>350</v>
      </c>
      <c r="B904" s="15" t="s">
        <v>645</v>
      </c>
      <c r="C904" s="16" t="s">
        <v>624</v>
      </c>
      <c r="D904" s="16" t="s">
        <v>1255</v>
      </c>
      <c r="E904" s="77" t="s">
        <v>1151</v>
      </c>
      <c r="F904" s="16"/>
      <c r="G904" s="16" t="s">
        <v>646</v>
      </c>
      <c r="H904" s="15" t="s">
        <v>675</v>
      </c>
      <c r="I904" s="17" t="s">
        <v>343</v>
      </c>
      <c r="J904" s="79">
        <v>4.3600000000000002E-3</v>
      </c>
      <c r="K904" s="18" t="s">
        <v>280</v>
      </c>
      <c r="L904" s="94" t="s">
        <v>700</v>
      </c>
      <c r="M904" s="148" t="s">
        <v>721</v>
      </c>
      <c r="N904" s="81" t="str">
        <f>_xlfn.XLOOKUP(Calculations[[#This Row],[For XLOOKUP]],Factors[For XLOOKUP],Factors[Factor],"")</f>
        <v>Σ.Ε. CO₂ eq</v>
      </c>
      <c r="O904" s="81">
        <f>_xlfn.XLOOKUP(Calculations[[#This Row],[For XLOOKUP]],Factors[For XLOOKUP],Factors[Value],"")</f>
        <v>0.19841603596638982</v>
      </c>
      <c r="P904" s="81" t="str">
        <f>_xlfn.XLOOKUP(Calculations[[#This Row],[For XLOOKUP]],Factors[For XLOOKUP],Factors[Units],"")</f>
        <v>tn CO2 eq/ tn</v>
      </c>
      <c r="Q904" s="19" t="str">
        <f>_xlfn.XLOOKUP(Calculations[[#This Row],[For XLOOKUP]],Factors[For XLOOKUP],Factors[Source],"")</f>
        <v>EPA 2024</v>
      </c>
      <c r="R90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4" s="81" t="str">
        <f>IF(LEFT(Calculations[[#This Row],[Emission Factor]],7)="Σ.Ε. CH",Calculations[[#This Row],[Value]]*Calculations[[#This Row],[Τιμή]],"-")</f>
        <v>-</v>
      </c>
      <c r="T90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4" s="81" t="str">
        <f>IF(LEFT(Calculations[[#This Row],[Emission Factor]],3)="GWP",Calculations[[#This Row],[Τιμή]],"-")</f>
        <v>-</v>
      </c>
      <c r="V904" s="247">
        <f>IF(OR(Calculations[[#This Row],[Emission Factor]]="Σ.Ε. CO₂ eq",Calculations[[#This Row],[Emission Factor]]="CO₂ eq"),Calculations[[#This Row],[Value]]*Calculations[[#This Row],[Τιμή]],"-")</f>
        <v>8.6509391681345962E-4</v>
      </c>
      <c r="W904" s="81" t="str">
        <f>IF(Calculations[[#This Row],[Πηγή εκπομπών]]="Electricity consumed in office buildings and projects - market based",Calculations[[#This Row],[t CO2]],"")</f>
        <v/>
      </c>
      <c r="X90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8.6509391681345962E-4</v>
      </c>
    </row>
    <row r="905" spans="1:24" hidden="1">
      <c r="A905" s="15" t="s">
        <v>350</v>
      </c>
      <c r="B905" s="15" t="s">
        <v>645</v>
      </c>
      <c r="C905" s="16" t="s">
        <v>624</v>
      </c>
      <c r="D905" s="16" t="s">
        <v>1273</v>
      </c>
      <c r="E905" s="77" t="s">
        <v>1141</v>
      </c>
      <c r="F905" s="16"/>
      <c r="G905" s="16" t="s">
        <v>646</v>
      </c>
      <c r="H905" s="15" t="s">
        <v>675</v>
      </c>
      <c r="I905" s="17" t="s">
        <v>343</v>
      </c>
      <c r="J905" s="79">
        <v>0.89900000000000002</v>
      </c>
      <c r="K905" s="18" t="s">
        <v>280</v>
      </c>
      <c r="L905" s="94" t="s">
        <v>694</v>
      </c>
      <c r="M905" s="148" t="s">
        <v>721</v>
      </c>
      <c r="N905" s="81" t="str">
        <f>_xlfn.XLOOKUP(Calculations[[#This Row],[For XLOOKUP]],Factors[For XLOOKUP],Factors[Factor],"")</f>
        <v>Σ.Ε. CO₂ eq</v>
      </c>
      <c r="O905" s="81">
        <f>_xlfn.XLOOKUP(Calculations[[#This Row],[For XLOOKUP]],Factors[For XLOOKUP],Factors[Value],"")</f>
        <v>0.19841603596638982</v>
      </c>
      <c r="P905" s="81" t="str">
        <f>_xlfn.XLOOKUP(Calculations[[#This Row],[For XLOOKUP]],Factors[For XLOOKUP],Factors[Units],"")</f>
        <v>tn CO2 eq/ tn</v>
      </c>
      <c r="Q905" s="19" t="str">
        <f>_xlfn.XLOOKUP(Calculations[[#This Row],[For XLOOKUP]],Factors[For XLOOKUP],Factors[Source],"")</f>
        <v>EPA 2024</v>
      </c>
      <c r="R90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5" s="81" t="str">
        <f>IF(LEFT(Calculations[[#This Row],[Emission Factor]],7)="Σ.Ε. CH",Calculations[[#This Row],[Value]]*Calculations[[#This Row],[Τιμή]],"-")</f>
        <v>-</v>
      </c>
      <c r="T90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5" s="81" t="str">
        <f>IF(LEFT(Calculations[[#This Row],[Emission Factor]],3)="GWP",Calculations[[#This Row],[Τιμή]],"-")</f>
        <v>-</v>
      </c>
      <c r="V905" s="247">
        <f>IF(OR(Calculations[[#This Row],[Emission Factor]]="Σ.Ε. CO₂ eq",Calculations[[#This Row],[Emission Factor]]="CO₂ eq"),Calculations[[#This Row],[Value]]*Calculations[[#This Row],[Τιμή]],"-")</f>
        <v>0.17837601633378444</v>
      </c>
      <c r="W905" s="81" t="str">
        <f>IF(Calculations[[#This Row],[Πηγή εκπομπών]]="Electricity consumed in office buildings and projects - market based",Calculations[[#This Row],[t CO2]],"")</f>
        <v/>
      </c>
      <c r="X90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0.17837601633378444</v>
      </c>
    </row>
    <row r="906" spans="1:24" hidden="1">
      <c r="A906" s="15" t="s">
        <v>350</v>
      </c>
      <c r="B906" s="15" t="s">
        <v>645</v>
      </c>
      <c r="C906" s="16" t="s">
        <v>624</v>
      </c>
      <c r="D906" s="16" t="s">
        <v>1276</v>
      </c>
      <c r="E906" s="77"/>
      <c r="F906" s="16"/>
      <c r="G906" s="16" t="s">
        <v>646</v>
      </c>
      <c r="H906" s="15" t="s">
        <v>675</v>
      </c>
      <c r="I906" s="17" t="s">
        <v>343</v>
      </c>
      <c r="J906" s="79">
        <v>18.57</v>
      </c>
      <c r="K906" s="18" t="s">
        <v>280</v>
      </c>
      <c r="L906" s="94" t="s">
        <v>694</v>
      </c>
      <c r="M906" s="148" t="s">
        <v>721</v>
      </c>
      <c r="N906" s="81" t="str">
        <f>_xlfn.XLOOKUP(Calculations[[#This Row],[For XLOOKUP]],Factors[For XLOOKUP],Factors[Factor],"")</f>
        <v>Σ.Ε. CO₂ eq</v>
      </c>
      <c r="O906" s="81">
        <f>_xlfn.XLOOKUP(Calculations[[#This Row],[For XLOOKUP]],Factors[For XLOOKUP],Factors[Value],"")</f>
        <v>0.19841603596638982</v>
      </c>
      <c r="P906" s="81" t="str">
        <f>_xlfn.XLOOKUP(Calculations[[#This Row],[For XLOOKUP]],Factors[For XLOOKUP],Factors[Units],"")</f>
        <v>tn CO2 eq/ tn</v>
      </c>
      <c r="Q906" s="19" t="str">
        <f>_xlfn.XLOOKUP(Calculations[[#This Row],[For XLOOKUP]],Factors[For XLOOKUP],Factors[Source],"")</f>
        <v>EPA 2024</v>
      </c>
      <c r="R90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6" s="81" t="str">
        <f>IF(LEFT(Calculations[[#This Row],[Emission Factor]],7)="Σ.Ε. CH",Calculations[[#This Row],[Value]]*Calculations[[#This Row],[Τιμή]],"-")</f>
        <v>-</v>
      </c>
      <c r="T90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6" s="81" t="str">
        <f>IF(LEFT(Calculations[[#This Row],[Emission Factor]],3)="GWP",Calculations[[#This Row],[Τιμή]],"-")</f>
        <v>-</v>
      </c>
      <c r="V906" s="247">
        <f>IF(OR(Calculations[[#This Row],[Emission Factor]]="Σ.Ε. CO₂ eq",Calculations[[#This Row],[Emission Factor]]="CO₂ eq"),Calculations[[#This Row],[Value]]*Calculations[[#This Row],[Τιμή]],"-")</f>
        <v>3.684585787895859</v>
      </c>
      <c r="W906" s="81" t="str">
        <f>IF(Calculations[[#This Row],[Πηγή εκπομπών]]="Electricity consumed in office buildings and projects - market based",Calculations[[#This Row],[t CO2]],"")</f>
        <v/>
      </c>
      <c r="X90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3.684585787895859</v>
      </c>
    </row>
    <row r="907" spans="1:24" hidden="1">
      <c r="A907" s="15" t="s">
        <v>350</v>
      </c>
      <c r="B907" s="15" t="s">
        <v>645</v>
      </c>
      <c r="C907" s="16" t="s">
        <v>624</v>
      </c>
      <c r="D907" s="16" t="s">
        <v>1273</v>
      </c>
      <c r="E907" s="77" t="s">
        <v>1141</v>
      </c>
      <c r="F907" s="16"/>
      <c r="G907" s="16" t="s">
        <v>646</v>
      </c>
      <c r="H907" s="15" t="s">
        <v>676</v>
      </c>
      <c r="I907" s="17" t="s">
        <v>343</v>
      </c>
      <c r="J907" s="79">
        <v>603.61</v>
      </c>
      <c r="K907" s="18" t="s">
        <v>280</v>
      </c>
      <c r="L907" s="94" t="s">
        <v>694</v>
      </c>
      <c r="M907" s="148" t="s">
        <v>701</v>
      </c>
      <c r="N907" s="81" t="str">
        <f>_xlfn.XLOOKUP(Calculations[[#This Row],[For XLOOKUP]],Factors[For XLOOKUP],Factors[Factor],"")</f>
        <v>Σ.Ε. CO₂ eq</v>
      </c>
      <c r="O907" s="81">
        <f>_xlfn.XLOOKUP(Calculations[[#This Row],[For XLOOKUP]],Factors[For XLOOKUP],Factors[Value],"")</f>
        <v>9.8485E-4</v>
      </c>
      <c r="P907" s="81" t="str">
        <f>_xlfn.XLOOKUP(Calculations[[#This Row],[For XLOOKUP]],Factors[For XLOOKUP],Factors[Units],"")</f>
        <v>tn CO2 eq/ tn</v>
      </c>
      <c r="Q907" s="19" t="str">
        <f>_xlfn.XLOOKUP(Calculations[[#This Row],[For XLOOKUP]],Factors[For XLOOKUP],Factors[Source],"")</f>
        <v>DEFRA 2024</v>
      </c>
      <c r="R90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7" s="81" t="str">
        <f>IF(LEFT(Calculations[[#This Row],[Emission Factor]],7)="Σ.Ε. CH",Calculations[[#This Row],[Value]]*Calculations[[#This Row],[Τιμή]],"-")</f>
        <v>-</v>
      </c>
      <c r="T90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7" s="81" t="str">
        <f>IF(LEFT(Calculations[[#This Row],[Emission Factor]],3)="GWP",Calculations[[#This Row],[Τιμή]],"-")</f>
        <v>-</v>
      </c>
      <c r="V907" s="247">
        <f>IF(OR(Calculations[[#This Row],[Emission Factor]]="Σ.Ε. CO₂ eq",Calculations[[#This Row],[Emission Factor]]="CO₂ eq"),Calculations[[#This Row],[Value]]*Calculations[[#This Row],[Τιμή]],"-")</f>
        <v>0.59446530850000001</v>
      </c>
      <c r="W907" s="81" t="str">
        <f>IF(Calculations[[#This Row],[Πηγή εκπομπών]]="Electricity consumed in office buildings and projects - market based",Calculations[[#This Row],[t CO2]],"")</f>
        <v/>
      </c>
      <c r="X90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0.59446530850000001</v>
      </c>
    </row>
    <row r="908" spans="1:24" hidden="1">
      <c r="A908" s="15" t="s">
        <v>350</v>
      </c>
      <c r="B908" s="15" t="s">
        <v>645</v>
      </c>
      <c r="C908" s="16" t="s">
        <v>624</v>
      </c>
      <c r="D908" s="16" t="s">
        <v>1276</v>
      </c>
      <c r="E908" s="77"/>
      <c r="F908" s="16"/>
      <c r="G908" s="16" t="s">
        <v>646</v>
      </c>
      <c r="H908" s="15" t="s">
        <v>676</v>
      </c>
      <c r="I908" s="17" t="s">
        <v>343</v>
      </c>
      <c r="J908" s="79">
        <v>328.25</v>
      </c>
      <c r="K908" s="18" t="s">
        <v>280</v>
      </c>
      <c r="L908" s="94" t="s">
        <v>694</v>
      </c>
      <c r="M908" s="148" t="s">
        <v>701</v>
      </c>
      <c r="N908" s="81" t="str">
        <f>_xlfn.XLOOKUP(Calculations[[#This Row],[For XLOOKUP]],Factors[For XLOOKUP],Factors[Factor],"")</f>
        <v>Σ.Ε. CO₂ eq</v>
      </c>
      <c r="O908" s="81">
        <f>_xlfn.XLOOKUP(Calculations[[#This Row],[For XLOOKUP]],Factors[For XLOOKUP],Factors[Value],"")</f>
        <v>9.8485E-4</v>
      </c>
      <c r="P908" s="81" t="str">
        <f>_xlfn.XLOOKUP(Calculations[[#This Row],[For XLOOKUP]],Factors[For XLOOKUP],Factors[Units],"")</f>
        <v>tn CO2 eq/ tn</v>
      </c>
      <c r="Q908" s="19" t="str">
        <f>_xlfn.XLOOKUP(Calculations[[#This Row],[For XLOOKUP]],Factors[For XLOOKUP],Factors[Source],"")</f>
        <v>DEFRA 2024</v>
      </c>
      <c r="R90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8" s="81" t="str">
        <f>IF(LEFT(Calculations[[#This Row],[Emission Factor]],7)="Σ.Ε. CH",Calculations[[#This Row],[Value]]*Calculations[[#This Row],[Τιμή]],"-")</f>
        <v>-</v>
      </c>
      <c r="T90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8" s="81" t="str">
        <f>IF(LEFT(Calculations[[#This Row],[Emission Factor]],3)="GWP",Calculations[[#This Row],[Τιμή]],"-")</f>
        <v>-</v>
      </c>
      <c r="V908" s="247">
        <f>IF(OR(Calculations[[#This Row],[Emission Factor]]="Σ.Ε. CO₂ eq",Calculations[[#This Row],[Emission Factor]]="CO₂ eq"),Calculations[[#This Row],[Value]]*Calculations[[#This Row],[Τιμή]],"-")</f>
        <v>0.32327701250000002</v>
      </c>
      <c r="W908" s="81" t="str">
        <f>IF(Calculations[[#This Row],[Πηγή εκπομπών]]="Electricity consumed in office buildings and projects - market based",Calculations[[#This Row],[t CO2]],"")</f>
        <v/>
      </c>
      <c r="X90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0.32327701250000002</v>
      </c>
    </row>
    <row r="909" spans="1:24" hidden="1">
      <c r="A909" s="15" t="s">
        <v>350</v>
      </c>
      <c r="B909" s="15" t="s">
        <v>645</v>
      </c>
      <c r="C909" s="16" t="s">
        <v>624</v>
      </c>
      <c r="D909" s="16" t="s">
        <v>1276</v>
      </c>
      <c r="E909" s="77"/>
      <c r="F909" s="16"/>
      <c r="G909" s="16" t="s">
        <v>646</v>
      </c>
      <c r="H909" s="15" t="s">
        <v>677</v>
      </c>
      <c r="I909" s="17" t="s">
        <v>343</v>
      </c>
      <c r="J909" s="79">
        <v>277.45999999999998</v>
      </c>
      <c r="K909" s="18" t="s">
        <v>280</v>
      </c>
      <c r="L909" s="94" t="s">
        <v>697</v>
      </c>
      <c r="M909" s="148" t="s">
        <v>1045</v>
      </c>
      <c r="N909" s="81" t="str">
        <f>_xlfn.XLOOKUP(Calculations[[#This Row],[For XLOOKUP]],Factors[For XLOOKUP],Factors[Factor],"")</f>
        <v>Σ.Ε. CO₂ eq</v>
      </c>
      <c r="O909" s="81">
        <f>_xlfn.XLOOKUP(Calculations[[#This Row],[For XLOOKUP]],Factors[For XLOOKUP],Factors[Value],"")</f>
        <v>4.4319176903303399E-2</v>
      </c>
      <c r="P909" s="81" t="str">
        <f>_xlfn.XLOOKUP(Calculations[[#This Row],[For XLOOKUP]],Factors[For XLOOKUP],Factors[Units],"")</f>
        <v>tn CO2 eq/ tn</v>
      </c>
      <c r="Q909" s="19" t="str">
        <f>_xlfn.XLOOKUP(Calculations[[#This Row],[For XLOOKUP]],Factors[For XLOOKUP],Factors[Source],"")</f>
        <v>Ecoinvent 3.11</v>
      </c>
      <c r="R90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9" s="81" t="str">
        <f>IF(LEFT(Calculations[[#This Row],[Emission Factor]],7)="Σ.Ε. CH",Calculations[[#This Row],[Value]]*Calculations[[#This Row],[Τιμή]],"-")</f>
        <v>-</v>
      </c>
      <c r="T90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9" s="81" t="str">
        <f>IF(LEFT(Calculations[[#This Row],[Emission Factor]],3)="GWP",Calculations[[#This Row],[Τιμή]],"-")</f>
        <v>-</v>
      </c>
      <c r="V909" s="247">
        <f>IF(OR(Calculations[[#This Row],[Emission Factor]]="Σ.Ε. CO₂ eq",Calculations[[#This Row],[Emission Factor]]="CO₂ eq"),Calculations[[#This Row],[Value]]*Calculations[[#This Row],[Τιμή]],"-")</f>
        <v>12.29679882359056</v>
      </c>
      <c r="W909" s="81" t="str">
        <f>IF(Calculations[[#This Row],[Πηγή εκπομπών]]="Electricity consumed in office buildings and projects - market based",Calculations[[#This Row],[t CO2]],"")</f>
        <v/>
      </c>
      <c r="X90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12.29679882359056</v>
      </c>
    </row>
    <row r="910" spans="1:24" hidden="1">
      <c r="A910" s="15" t="s">
        <v>350</v>
      </c>
      <c r="B910" s="15" t="s">
        <v>645</v>
      </c>
      <c r="C910" s="16" t="s">
        <v>624</v>
      </c>
      <c r="D910" s="16" t="s">
        <v>1255</v>
      </c>
      <c r="E910" s="77" t="s">
        <v>1151</v>
      </c>
      <c r="F910" s="16"/>
      <c r="G910" s="16" t="s">
        <v>646</v>
      </c>
      <c r="H910" s="15" t="s">
        <v>678</v>
      </c>
      <c r="I910" s="17" t="s">
        <v>343</v>
      </c>
      <c r="J910" s="79">
        <v>3.46E-3</v>
      </c>
      <c r="K910" s="18" t="s">
        <v>280</v>
      </c>
      <c r="L910" s="94" t="s">
        <v>700</v>
      </c>
      <c r="M910" s="148" t="s">
        <v>722</v>
      </c>
      <c r="N910" s="81" t="str">
        <f>_xlfn.XLOOKUP(Calculations[[#This Row],[For XLOOKUP]],Factors[For XLOOKUP],Factors[Factor],"")</f>
        <v>Σ.Ε. CO₂ eq</v>
      </c>
      <c r="O910" s="81">
        <f>_xlfn.XLOOKUP(Calculations[[#This Row],[For XLOOKUP]],Factors[For XLOOKUP],Factors[Value],"")</f>
        <v>6.4106099999999997E-3</v>
      </c>
      <c r="P910" s="81" t="str">
        <f>_xlfn.XLOOKUP(Calculations[[#This Row],[For XLOOKUP]],Factors[For XLOOKUP],Factors[Units],"")</f>
        <v>tn CO2 eq/ tn</v>
      </c>
      <c r="Q910" s="19" t="str">
        <f>_xlfn.XLOOKUP(Calculations[[#This Row],[For XLOOKUP]],Factors[For XLOOKUP],Factors[Source],"")</f>
        <v>DEFRA 2024</v>
      </c>
      <c r="R91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0" s="81" t="str">
        <f>IF(LEFT(Calculations[[#This Row],[Emission Factor]],7)="Σ.Ε. CH",Calculations[[#This Row],[Value]]*Calculations[[#This Row],[Τιμή]],"-")</f>
        <v>-</v>
      </c>
      <c r="T91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0" s="81" t="str">
        <f>IF(LEFT(Calculations[[#This Row],[Emission Factor]],3)="GWP",Calculations[[#This Row],[Τιμή]],"-")</f>
        <v>-</v>
      </c>
      <c r="V910" s="247">
        <f>IF(OR(Calculations[[#This Row],[Emission Factor]]="Σ.Ε. CO₂ eq",Calculations[[#This Row],[Emission Factor]]="CO₂ eq"),Calculations[[#This Row],[Value]]*Calculations[[#This Row],[Τιμή]],"-")</f>
        <v>2.21807106E-5</v>
      </c>
      <c r="W910" s="81" t="str">
        <f>IF(Calculations[[#This Row],[Πηγή εκπομπών]]="Electricity consumed in office buildings and projects - market based",Calculations[[#This Row],[t CO2]],"")</f>
        <v/>
      </c>
      <c r="X91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2.21807106E-5</v>
      </c>
    </row>
    <row r="911" spans="1:24" hidden="1">
      <c r="A911" s="15" t="s">
        <v>350</v>
      </c>
      <c r="B911" s="15" t="s">
        <v>645</v>
      </c>
      <c r="C911" s="16" t="s">
        <v>624</v>
      </c>
      <c r="D911" s="16" t="s">
        <v>1273</v>
      </c>
      <c r="E911" s="77" t="s">
        <v>1141</v>
      </c>
      <c r="F911" s="16"/>
      <c r="G911" s="16" t="s">
        <v>646</v>
      </c>
      <c r="H911" s="15" t="s">
        <v>678</v>
      </c>
      <c r="I911" s="17" t="s">
        <v>343</v>
      </c>
      <c r="J911" s="79">
        <v>4.3000000000000003E-2</v>
      </c>
      <c r="K911" s="18" t="s">
        <v>280</v>
      </c>
      <c r="L911" s="94" t="s">
        <v>694</v>
      </c>
      <c r="M911" s="148" t="s">
        <v>722</v>
      </c>
      <c r="N911" s="81" t="str">
        <f>_xlfn.XLOOKUP(Calculations[[#This Row],[For XLOOKUP]],Factors[For XLOOKUP],Factors[Factor],"")</f>
        <v>Σ.Ε. CO₂ eq</v>
      </c>
      <c r="O911" s="81">
        <f>_xlfn.XLOOKUP(Calculations[[#This Row],[For XLOOKUP]],Factors[For XLOOKUP],Factors[Value],"")</f>
        <v>6.4106099999999997E-3</v>
      </c>
      <c r="P911" s="81" t="str">
        <f>_xlfn.XLOOKUP(Calculations[[#This Row],[For XLOOKUP]],Factors[For XLOOKUP],Factors[Units],"")</f>
        <v>tn CO2 eq/ tn</v>
      </c>
      <c r="Q911" s="19" t="str">
        <f>_xlfn.XLOOKUP(Calculations[[#This Row],[For XLOOKUP]],Factors[For XLOOKUP],Factors[Source],"")</f>
        <v>DEFRA 2024</v>
      </c>
      <c r="R91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1" s="81" t="str">
        <f>IF(LEFT(Calculations[[#This Row],[Emission Factor]],7)="Σ.Ε. CH",Calculations[[#This Row],[Value]]*Calculations[[#This Row],[Τιμή]],"-")</f>
        <v>-</v>
      </c>
      <c r="T91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1" s="81" t="str">
        <f>IF(LEFT(Calculations[[#This Row],[Emission Factor]],3)="GWP",Calculations[[#This Row],[Τιμή]],"-")</f>
        <v>-</v>
      </c>
      <c r="V911" s="247">
        <f>IF(OR(Calculations[[#This Row],[Emission Factor]]="Σ.Ε. CO₂ eq",Calculations[[#This Row],[Emission Factor]]="CO₂ eq"),Calculations[[#This Row],[Value]]*Calculations[[#This Row],[Τιμή]],"-")</f>
        <v>2.7565622999999999E-4</v>
      </c>
      <c r="W911" s="81" t="str">
        <f>IF(Calculations[[#This Row],[Πηγή εκπομπών]]="Electricity consumed in office buildings and projects - market based",Calculations[[#This Row],[t CO2]],"")</f>
        <v/>
      </c>
      <c r="X91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2.7565622999999999E-4</v>
      </c>
    </row>
    <row r="912" spans="1:24" hidden="1">
      <c r="A912" s="15" t="s">
        <v>350</v>
      </c>
      <c r="B912" s="15" t="s">
        <v>645</v>
      </c>
      <c r="C912" s="16" t="s">
        <v>624</v>
      </c>
      <c r="D912" s="16" t="s">
        <v>1273</v>
      </c>
      <c r="E912" s="77" t="s">
        <v>1137</v>
      </c>
      <c r="F912" s="16"/>
      <c r="G912" s="16" t="s">
        <v>646</v>
      </c>
      <c r="H912" s="15" t="s">
        <v>678</v>
      </c>
      <c r="I912" s="17" t="s">
        <v>343</v>
      </c>
      <c r="J912" s="79">
        <v>8.539999999999999E-3</v>
      </c>
      <c r="K912" s="18" t="s">
        <v>280</v>
      </c>
      <c r="L912" s="94" t="s">
        <v>700</v>
      </c>
      <c r="M912" s="148" t="s">
        <v>722</v>
      </c>
      <c r="N912" s="81" t="str">
        <f>_xlfn.XLOOKUP(Calculations[[#This Row],[For XLOOKUP]],Factors[For XLOOKUP],Factors[Factor],"")</f>
        <v>Σ.Ε. CO₂ eq</v>
      </c>
      <c r="O912" s="81">
        <f>_xlfn.XLOOKUP(Calculations[[#This Row],[For XLOOKUP]],Factors[For XLOOKUP],Factors[Value],"")</f>
        <v>6.4106099999999997E-3</v>
      </c>
      <c r="P912" s="81" t="str">
        <f>_xlfn.XLOOKUP(Calculations[[#This Row],[For XLOOKUP]],Factors[For XLOOKUP],Factors[Units],"")</f>
        <v>tn CO2 eq/ tn</v>
      </c>
      <c r="Q912" s="19" t="str">
        <f>_xlfn.XLOOKUP(Calculations[[#This Row],[For XLOOKUP]],Factors[For XLOOKUP],Factors[Source],"")</f>
        <v>DEFRA 2024</v>
      </c>
      <c r="R91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2" s="81" t="str">
        <f>IF(LEFT(Calculations[[#This Row],[Emission Factor]],7)="Σ.Ε. CH",Calculations[[#This Row],[Value]]*Calculations[[#This Row],[Τιμή]],"-")</f>
        <v>-</v>
      </c>
      <c r="T91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2" s="81" t="str">
        <f>IF(LEFT(Calculations[[#This Row],[Emission Factor]],3)="GWP",Calculations[[#This Row],[Τιμή]],"-")</f>
        <v>-</v>
      </c>
      <c r="V912" s="247">
        <f>IF(OR(Calculations[[#This Row],[Emission Factor]]="Σ.Ε. CO₂ eq",Calculations[[#This Row],[Emission Factor]]="CO₂ eq"),Calculations[[#This Row],[Value]]*Calculations[[#This Row],[Τιμή]],"-")</f>
        <v>5.4746609399999993E-5</v>
      </c>
      <c r="W912" s="81" t="str">
        <f>IF(Calculations[[#This Row],[Πηγή εκπομπών]]="Electricity consumed in office buildings and projects - market based",Calculations[[#This Row],[t CO2]],"")</f>
        <v/>
      </c>
      <c r="X91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5.4746609399999993E-5</v>
      </c>
    </row>
    <row r="913" spans="1:24" hidden="1">
      <c r="A913" s="15" t="s">
        <v>350</v>
      </c>
      <c r="B913" s="15" t="s">
        <v>645</v>
      </c>
      <c r="C913" s="16" t="s">
        <v>624</v>
      </c>
      <c r="D913" s="16" t="s">
        <v>1276</v>
      </c>
      <c r="E913" s="77"/>
      <c r="F913" s="16"/>
      <c r="G913" s="16" t="s">
        <v>646</v>
      </c>
      <c r="H913" s="15" t="s">
        <v>678</v>
      </c>
      <c r="I913" s="17" t="s">
        <v>343</v>
      </c>
      <c r="J913" s="79">
        <v>3.0800000000000001E-2</v>
      </c>
      <c r="K913" s="18" t="s">
        <v>280</v>
      </c>
      <c r="L913" s="94" t="s">
        <v>694</v>
      </c>
      <c r="M913" s="148" t="s">
        <v>722</v>
      </c>
      <c r="N913" s="81" t="str">
        <f>_xlfn.XLOOKUP(Calculations[[#This Row],[For XLOOKUP]],Factors[For XLOOKUP],Factors[Factor],"")</f>
        <v>Σ.Ε. CO₂ eq</v>
      </c>
      <c r="O913" s="81">
        <f>_xlfn.XLOOKUP(Calculations[[#This Row],[For XLOOKUP]],Factors[For XLOOKUP],Factors[Value],"")</f>
        <v>6.4106099999999997E-3</v>
      </c>
      <c r="P913" s="81" t="str">
        <f>_xlfn.XLOOKUP(Calculations[[#This Row],[For XLOOKUP]],Factors[For XLOOKUP],Factors[Units],"")</f>
        <v>tn CO2 eq/ tn</v>
      </c>
      <c r="Q913" s="19" t="str">
        <f>_xlfn.XLOOKUP(Calculations[[#This Row],[For XLOOKUP]],Factors[For XLOOKUP],Factors[Source],"")</f>
        <v>DEFRA 2024</v>
      </c>
      <c r="R91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3" s="81" t="str">
        <f>IF(LEFT(Calculations[[#This Row],[Emission Factor]],7)="Σ.Ε. CH",Calculations[[#This Row],[Value]]*Calculations[[#This Row],[Τιμή]],"-")</f>
        <v>-</v>
      </c>
      <c r="T91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3" s="81" t="str">
        <f>IF(LEFT(Calculations[[#This Row],[Emission Factor]],3)="GWP",Calculations[[#This Row],[Τιμή]],"-")</f>
        <v>-</v>
      </c>
      <c r="V913" s="247">
        <f>IF(OR(Calculations[[#This Row],[Emission Factor]]="Σ.Ε. CO₂ eq",Calculations[[#This Row],[Emission Factor]]="CO₂ eq"),Calculations[[#This Row],[Value]]*Calculations[[#This Row],[Τιμή]],"-")</f>
        <v>1.9744678799999999E-4</v>
      </c>
      <c r="W913" s="81" t="str">
        <f>IF(Calculations[[#This Row],[Πηγή εκπομπών]]="Electricity consumed in office buildings and projects - market based",Calculations[[#This Row],[t CO2]],"")</f>
        <v/>
      </c>
      <c r="X91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1.9744678799999999E-4</v>
      </c>
    </row>
    <row r="914" spans="1:24" hidden="1">
      <c r="A914" s="15" t="s">
        <v>350</v>
      </c>
      <c r="B914" s="15" t="s">
        <v>645</v>
      </c>
      <c r="C914" s="16" t="s">
        <v>624</v>
      </c>
      <c r="D914" s="16" t="s">
        <v>1255</v>
      </c>
      <c r="E914" s="77" t="s">
        <v>1150</v>
      </c>
      <c r="F914" s="16"/>
      <c r="G914" s="16" t="s">
        <v>646</v>
      </c>
      <c r="H914" s="15" t="s">
        <v>679</v>
      </c>
      <c r="I914" s="17" t="s">
        <v>343</v>
      </c>
      <c r="J914" s="79">
        <v>0.26596535079734501</v>
      </c>
      <c r="K914" s="18" t="s">
        <v>280</v>
      </c>
      <c r="L914" s="94" t="s">
        <v>694</v>
      </c>
      <c r="M914" s="148" t="s">
        <v>723</v>
      </c>
      <c r="N914" s="81" t="str">
        <f>_xlfn.XLOOKUP(Calculations[[#This Row],[For XLOOKUP]],Factors[For XLOOKUP],Factors[Factor],"")</f>
        <v>Σ.Ε. CO₂ eq</v>
      </c>
      <c r="O914" s="81">
        <f>_xlfn.XLOOKUP(Calculations[[#This Row],[For XLOOKUP]],Factors[For XLOOKUP],Factors[Value],"")</f>
        <v>6.4106099999999997E-3</v>
      </c>
      <c r="P914" s="81" t="str">
        <f>_xlfn.XLOOKUP(Calculations[[#This Row],[For XLOOKUP]],Factors[For XLOOKUP],Factors[Units],"")</f>
        <v>tn CO2 eq/ tn</v>
      </c>
      <c r="Q914" s="19" t="str">
        <f>_xlfn.XLOOKUP(Calculations[[#This Row],[For XLOOKUP]],Factors[For XLOOKUP],Factors[Source],"")</f>
        <v>DEFRA 2024</v>
      </c>
      <c r="R91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4" s="81" t="str">
        <f>IF(LEFT(Calculations[[#This Row],[Emission Factor]],7)="Σ.Ε. CH",Calculations[[#This Row],[Value]]*Calculations[[#This Row],[Τιμή]],"-")</f>
        <v>-</v>
      </c>
      <c r="T91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4" s="81" t="str">
        <f>IF(LEFT(Calculations[[#This Row],[Emission Factor]],3)="GWP",Calculations[[#This Row],[Τιμή]],"-")</f>
        <v>-</v>
      </c>
      <c r="V914" s="247">
        <f>IF(OR(Calculations[[#This Row],[Emission Factor]]="Σ.Ε. CO₂ eq",Calculations[[#This Row],[Emission Factor]]="CO₂ eq"),Calculations[[#This Row],[Value]]*Calculations[[#This Row],[Τιμή]],"-")</f>
        <v>1.7050001374749677E-3</v>
      </c>
      <c r="W914" s="81" t="str">
        <f>IF(Calculations[[#This Row],[Πηγή εκπομπών]]="Electricity consumed in office buildings and projects - market based",Calculations[[#This Row],[t CO2]],"")</f>
        <v/>
      </c>
      <c r="X91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1.7050001374749677E-3</v>
      </c>
    </row>
    <row r="915" spans="1:24" hidden="1">
      <c r="A915" s="15" t="s">
        <v>350</v>
      </c>
      <c r="B915" s="15" t="s">
        <v>645</v>
      </c>
      <c r="C915" s="16" t="s">
        <v>624</v>
      </c>
      <c r="D915" s="16" t="s">
        <v>1268</v>
      </c>
      <c r="E915" s="77" t="s">
        <v>1146</v>
      </c>
      <c r="F915" s="16"/>
      <c r="G915" s="16" t="s">
        <v>646</v>
      </c>
      <c r="H915" s="15" t="s">
        <v>679</v>
      </c>
      <c r="I915" s="17" t="s">
        <v>343</v>
      </c>
      <c r="J915" s="79">
        <v>2.3556240251528999</v>
      </c>
      <c r="K915" s="18" t="s">
        <v>280</v>
      </c>
      <c r="L915" s="94" t="s">
        <v>694</v>
      </c>
      <c r="M915" s="148" t="s">
        <v>723</v>
      </c>
      <c r="N915" s="81" t="str">
        <f>_xlfn.XLOOKUP(Calculations[[#This Row],[For XLOOKUP]],Factors[For XLOOKUP],Factors[Factor],"")</f>
        <v>Σ.Ε. CO₂ eq</v>
      </c>
      <c r="O915" s="81">
        <f>_xlfn.XLOOKUP(Calculations[[#This Row],[For XLOOKUP]],Factors[For XLOOKUP],Factors[Value],"")</f>
        <v>6.4106099999999997E-3</v>
      </c>
      <c r="P915" s="81" t="str">
        <f>_xlfn.XLOOKUP(Calculations[[#This Row],[For XLOOKUP]],Factors[For XLOOKUP],Factors[Units],"")</f>
        <v>tn CO2 eq/ tn</v>
      </c>
      <c r="Q915" s="19" t="str">
        <f>_xlfn.XLOOKUP(Calculations[[#This Row],[For XLOOKUP]],Factors[For XLOOKUP],Factors[Source],"")</f>
        <v>DEFRA 2024</v>
      </c>
      <c r="R91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5" s="81" t="str">
        <f>IF(LEFT(Calculations[[#This Row],[Emission Factor]],7)="Σ.Ε. CH",Calculations[[#This Row],[Value]]*Calculations[[#This Row],[Τιμή]],"-")</f>
        <v>-</v>
      </c>
      <c r="T91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5" s="81" t="str">
        <f>IF(LEFT(Calculations[[#This Row],[Emission Factor]],3)="GWP",Calculations[[#This Row],[Τιμή]],"-")</f>
        <v>-</v>
      </c>
      <c r="V915" s="247">
        <f>IF(OR(Calculations[[#This Row],[Emission Factor]]="Σ.Ε. CO₂ eq",Calculations[[#This Row],[Emission Factor]]="CO₂ eq"),Calculations[[#This Row],[Value]]*Calculations[[#This Row],[Τιμή]],"-")</f>
        <v>1.5100986931885432E-2</v>
      </c>
      <c r="W915" s="81" t="str">
        <f>IF(Calculations[[#This Row],[Πηγή εκπομπών]]="Electricity consumed in office buildings and projects - market based",Calculations[[#This Row],[t CO2]],"")</f>
        <v/>
      </c>
      <c r="X91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1.5100986931885432E-2</v>
      </c>
    </row>
    <row r="916" spans="1:24" hidden="1">
      <c r="A916" s="15" t="s">
        <v>350</v>
      </c>
      <c r="B916" s="15" t="s">
        <v>645</v>
      </c>
      <c r="C916" s="16" t="s">
        <v>624</v>
      </c>
      <c r="D916" s="16" t="s">
        <v>1273</v>
      </c>
      <c r="E916" s="77" t="s">
        <v>1136</v>
      </c>
      <c r="F916" s="16"/>
      <c r="G916" s="16" t="s">
        <v>646</v>
      </c>
      <c r="H916" s="15" t="s">
        <v>679</v>
      </c>
      <c r="I916" s="17" t="s">
        <v>343</v>
      </c>
      <c r="J916" s="79">
        <v>0.7207545870092551</v>
      </c>
      <c r="K916" s="18" t="s">
        <v>280</v>
      </c>
      <c r="L916" s="94" t="s">
        <v>694</v>
      </c>
      <c r="M916" s="148" t="s">
        <v>723</v>
      </c>
      <c r="N916" s="81" t="str">
        <f>_xlfn.XLOOKUP(Calculations[[#This Row],[For XLOOKUP]],Factors[For XLOOKUP],Factors[Factor],"")</f>
        <v>Σ.Ε. CO₂ eq</v>
      </c>
      <c r="O916" s="81">
        <f>_xlfn.XLOOKUP(Calculations[[#This Row],[For XLOOKUP]],Factors[For XLOOKUP],Factors[Value],"")</f>
        <v>6.4106099999999997E-3</v>
      </c>
      <c r="P916" s="81" t="str">
        <f>_xlfn.XLOOKUP(Calculations[[#This Row],[For XLOOKUP]],Factors[For XLOOKUP],Factors[Units],"")</f>
        <v>tn CO2 eq/ tn</v>
      </c>
      <c r="Q916" s="19" t="str">
        <f>_xlfn.XLOOKUP(Calculations[[#This Row],[For XLOOKUP]],Factors[For XLOOKUP],Factors[Source],"")</f>
        <v>DEFRA 2024</v>
      </c>
      <c r="R91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6" s="81" t="str">
        <f>IF(LEFT(Calculations[[#This Row],[Emission Factor]],7)="Σ.Ε. CH",Calculations[[#This Row],[Value]]*Calculations[[#This Row],[Τιμή]],"-")</f>
        <v>-</v>
      </c>
      <c r="T91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6" s="81" t="str">
        <f>IF(LEFT(Calculations[[#This Row],[Emission Factor]],3)="GWP",Calculations[[#This Row],[Τιμή]],"-")</f>
        <v>-</v>
      </c>
      <c r="V916" s="247">
        <f>IF(OR(Calculations[[#This Row],[Emission Factor]]="Σ.Ε. CO₂ eq",Calculations[[#This Row],[Emission Factor]]="CO₂ eq"),Calculations[[#This Row],[Value]]*Calculations[[#This Row],[Τιμή]],"-")</f>
        <v>4.6204765630274008E-3</v>
      </c>
      <c r="W916" s="81" t="str">
        <f>IF(Calculations[[#This Row],[Πηγή εκπομπών]]="Electricity consumed in office buildings and projects - market based",Calculations[[#This Row],[t CO2]],"")</f>
        <v/>
      </c>
      <c r="X91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4.6204765630274008E-3</v>
      </c>
    </row>
    <row r="917" spans="1:24" hidden="1">
      <c r="A917" s="15" t="s">
        <v>350</v>
      </c>
      <c r="B917" s="15" t="s">
        <v>645</v>
      </c>
      <c r="C917" s="16" t="s">
        <v>624</v>
      </c>
      <c r="D917" s="16" t="s">
        <v>1273</v>
      </c>
      <c r="E917" s="77" t="s">
        <v>1141</v>
      </c>
      <c r="F917" s="16"/>
      <c r="G917" s="16" t="s">
        <v>646</v>
      </c>
      <c r="H917" s="15" t="s">
        <v>679</v>
      </c>
      <c r="I917" s="17" t="s">
        <v>343</v>
      </c>
      <c r="J917" s="79">
        <v>1.3</v>
      </c>
      <c r="K917" s="18" t="s">
        <v>280</v>
      </c>
      <c r="L917" s="94" t="s">
        <v>694</v>
      </c>
      <c r="M917" s="148" t="s">
        <v>723</v>
      </c>
      <c r="N917" s="81" t="str">
        <f>_xlfn.XLOOKUP(Calculations[[#This Row],[For XLOOKUP]],Factors[For XLOOKUP],Factors[Factor],"")</f>
        <v>Σ.Ε. CO₂ eq</v>
      </c>
      <c r="O917" s="81">
        <f>_xlfn.XLOOKUP(Calculations[[#This Row],[For XLOOKUP]],Factors[For XLOOKUP],Factors[Value],"")</f>
        <v>6.4106099999999997E-3</v>
      </c>
      <c r="P917" s="81" t="str">
        <f>_xlfn.XLOOKUP(Calculations[[#This Row],[For XLOOKUP]],Factors[For XLOOKUP],Factors[Units],"")</f>
        <v>tn CO2 eq/ tn</v>
      </c>
      <c r="Q917" s="19" t="str">
        <f>_xlfn.XLOOKUP(Calculations[[#This Row],[For XLOOKUP]],Factors[For XLOOKUP],Factors[Source],"")</f>
        <v>DEFRA 2024</v>
      </c>
      <c r="R91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7" s="81" t="str">
        <f>IF(LEFT(Calculations[[#This Row],[Emission Factor]],7)="Σ.Ε. CH",Calculations[[#This Row],[Value]]*Calculations[[#This Row],[Τιμή]],"-")</f>
        <v>-</v>
      </c>
      <c r="T91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7" s="81" t="str">
        <f>IF(LEFT(Calculations[[#This Row],[Emission Factor]],3)="GWP",Calculations[[#This Row],[Τιμή]],"-")</f>
        <v>-</v>
      </c>
      <c r="V917" s="247">
        <f>IF(OR(Calculations[[#This Row],[Emission Factor]]="Σ.Ε. CO₂ eq",Calculations[[#This Row],[Emission Factor]]="CO₂ eq"),Calculations[[#This Row],[Value]]*Calculations[[#This Row],[Τιμή]],"-")</f>
        <v>8.3337930000000008E-3</v>
      </c>
      <c r="W917" s="81" t="str">
        <f>IF(Calculations[[#This Row],[Πηγή εκπομπών]]="Electricity consumed in office buildings and projects - market based",Calculations[[#This Row],[t CO2]],"")</f>
        <v/>
      </c>
      <c r="X91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8.3337930000000008E-3</v>
      </c>
    </row>
    <row r="918" spans="1:24" hidden="1">
      <c r="A918" s="15" t="s">
        <v>350</v>
      </c>
      <c r="B918" s="15" t="s">
        <v>645</v>
      </c>
      <c r="C918" s="16" t="s">
        <v>624</v>
      </c>
      <c r="D918" s="16" t="s">
        <v>1273</v>
      </c>
      <c r="E918" s="77" t="s">
        <v>1180</v>
      </c>
      <c r="F918" s="16"/>
      <c r="G918" s="16" t="s">
        <v>646</v>
      </c>
      <c r="H918" s="15" t="s">
        <v>679</v>
      </c>
      <c r="I918" s="17" t="s">
        <v>343</v>
      </c>
      <c r="J918" s="79">
        <v>0.35000000000000003</v>
      </c>
      <c r="K918" s="18" t="s">
        <v>280</v>
      </c>
      <c r="L918" s="94" t="s">
        <v>694</v>
      </c>
      <c r="M918" s="148" t="s">
        <v>723</v>
      </c>
      <c r="N918" s="81" t="str">
        <f>_xlfn.XLOOKUP(Calculations[[#This Row],[For XLOOKUP]],Factors[For XLOOKUP],Factors[Factor],"")</f>
        <v>Σ.Ε. CO₂ eq</v>
      </c>
      <c r="O918" s="81">
        <f>_xlfn.XLOOKUP(Calculations[[#This Row],[For XLOOKUP]],Factors[For XLOOKUP],Factors[Value],"")</f>
        <v>6.4106099999999997E-3</v>
      </c>
      <c r="P918" s="81" t="str">
        <f>_xlfn.XLOOKUP(Calculations[[#This Row],[For XLOOKUP]],Factors[For XLOOKUP],Factors[Units],"")</f>
        <v>tn CO2 eq/ tn</v>
      </c>
      <c r="Q918" s="19" t="str">
        <f>_xlfn.XLOOKUP(Calculations[[#This Row],[For XLOOKUP]],Factors[For XLOOKUP],Factors[Source],"")</f>
        <v>DEFRA 2024</v>
      </c>
      <c r="R91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8" s="81" t="str">
        <f>IF(LEFT(Calculations[[#This Row],[Emission Factor]],7)="Σ.Ε. CH",Calculations[[#This Row],[Value]]*Calculations[[#This Row],[Τιμή]],"-")</f>
        <v>-</v>
      </c>
      <c r="T91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8" s="81" t="str">
        <f>IF(LEFT(Calculations[[#This Row],[Emission Factor]],3)="GWP",Calculations[[#This Row],[Τιμή]],"-")</f>
        <v>-</v>
      </c>
      <c r="V918" s="247">
        <f>IF(OR(Calculations[[#This Row],[Emission Factor]]="Σ.Ε. CO₂ eq",Calculations[[#This Row],[Emission Factor]]="CO₂ eq"),Calculations[[#This Row],[Value]]*Calculations[[#This Row],[Τιμή]],"-")</f>
        <v>2.2437135000000002E-3</v>
      </c>
      <c r="W918" s="81" t="str">
        <f>IF(Calculations[[#This Row],[Πηγή εκπομπών]]="Electricity consumed in office buildings and projects - market based",Calculations[[#This Row],[t CO2]],"")</f>
        <v/>
      </c>
      <c r="X91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2.2437135000000002E-3</v>
      </c>
    </row>
    <row r="919" spans="1:24" hidden="1">
      <c r="A919" s="15" t="s">
        <v>350</v>
      </c>
      <c r="B919" s="15" t="s">
        <v>645</v>
      </c>
      <c r="C919" s="16" t="s">
        <v>624</v>
      </c>
      <c r="D919" s="16" t="s">
        <v>1273</v>
      </c>
      <c r="E919" s="77" t="s">
        <v>1142</v>
      </c>
      <c r="F919" s="16"/>
      <c r="G919" s="16" t="s">
        <v>646</v>
      </c>
      <c r="H919" s="15" t="s">
        <v>679</v>
      </c>
      <c r="I919" s="17" t="s">
        <v>343</v>
      </c>
      <c r="J919" s="79">
        <v>6.9081909298011696E-2</v>
      </c>
      <c r="K919" s="18" t="s">
        <v>280</v>
      </c>
      <c r="L919" s="94" t="s">
        <v>694</v>
      </c>
      <c r="M919" s="148" t="s">
        <v>723</v>
      </c>
      <c r="N919" s="81" t="str">
        <f>_xlfn.XLOOKUP(Calculations[[#This Row],[For XLOOKUP]],Factors[For XLOOKUP],Factors[Factor],"")</f>
        <v>Σ.Ε. CO₂ eq</v>
      </c>
      <c r="O919" s="81">
        <f>_xlfn.XLOOKUP(Calculations[[#This Row],[For XLOOKUP]],Factors[For XLOOKUP],Factors[Value],"")</f>
        <v>6.4106099999999997E-3</v>
      </c>
      <c r="P919" s="81" t="str">
        <f>_xlfn.XLOOKUP(Calculations[[#This Row],[For XLOOKUP]],Factors[For XLOOKUP],Factors[Units],"")</f>
        <v>tn CO2 eq/ tn</v>
      </c>
      <c r="Q919" s="19" t="str">
        <f>_xlfn.XLOOKUP(Calculations[[#This Row],[For XLOOKUP]],Factors[For XLOOKUP],Factors[Source],"")</f>
        <v>DEFRA 2024</v>
      </c>
      <c r="R91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9" s="81" t="str">
        <f>IF(LEFT(Calculations[[#This Row],[Emission Factor]],7)="Σ.Ε. CH",Calculations[[#This Row],[Value]]*Calculations[[#This Row],[Τιμή]],"-")</f>
        <v>-</v>
      </c>
      <c r="T91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9" s="81" t="str">
        <f>IF(LEFT(Calculations[[#This Row],[Emission Factor]],3)="GWP",Calculations[[#This Row],[Τιμή]],"-")</f>
        <v>-</v>
      </c>
      <c r="V919" s="247">
        <f>IF(OR(Calculations[[#This Row],[Emission Factor]]="Σ.Ε. CO₂ eq",Calculations[[#This Row],[Emission Factor]]="CO₂ eq"),Calculations[[#This Row],[Value]]*Calculations[[#This Row],[Τιμή]],"-")</f>
        <v>4.4285717856492674E-4</v>
      </c>
      <c r="W919" s="81" t="str">
        <f>IF(Calculations[[#This Row],[Πηγή εκπομπών]]="Electricity consumed in office buildings and projects - market based",Calculations[[#This Row],[t CO2]],"")</f>
        <v/>
      </c>
      <c r="X91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4.4285717856492674E-4</v>
      </c>
    </row>
    <row r="920" spans="1:24" hidden="1">
      <c r="A920" s="15" t="s">
        <v>350</v>
      </c>
      <c r="B920" s="15" t="s">
        <v>645</v>
      </c>
      <c r="C920" s="16" t="s">
        <v>624</v>
      </c>
      <c r="D920" s="77" t="s">
        <v>1276</v>
      </c>
      <c r="E920" s="77"/>
      <c r="F920" s="16"/>
      <c r="G920" s="16" t="s">
        <v>646</v>
      </c>
      <c r="H920" s="15" t="s">
        <v>679</v>
      </c>
      <c r="I920" s="17" t="s">
        <v>343</v>
      </c>
      <c r="J920" s="79">
        <v>145.42857000000001</v>
      </c>
      <c r="K920" s="18" t="s">
        <v>280</v>
      </c>
      <c r="L920" s="94" t="s">
        <v>694</v>
      </c>
      <c r="M920" s="148" t="s">
        <v>723</v>
      </c>
      <c r="N920" s="81" t="str">
        <f>_xlfn.XLOOKUP(Calculations[[#This Row],[For XLOOKUP]],Factors[For XLOOKUP],Factors[Factor],"")</f>
        <v>Σ.Ε. CO₂ eq</v>
      </c>
      <c r="O920" s="81">
        <f>_xlfn.XLOOKUP(Calculations[[#This Row],[For XLOOKUP]],Factors[For XLOOKUP],Factors[Value],"")</f>
        <v>6.4106099999999997E-3</v>
      </c>
      <c r="P920" s="81" t="str">
        <f>_xlfn.XLOOKUP(Calculations[[#This Row],[For XLOOKUP]],Factors[For XLOOKUP],Factors[Units],"")</f>
        <v>tn CO2 eq/ tn</v>
      </c>
      <c r="Q920" s="19" t="str">
        <f>_xlfn.XLOOKUP(Calculations[[#This Row],[For XLOOKUP]],Factors[For XLOOKUP],Factors[Source],"")</f>
        <v>DEFRA 2024</v>
      </c>
      <c r="R92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0" s="81" t="str">
        <f>IF(LEFT(Calculations[[#This Row],[Emission Factor]],7)="Σ.Ε. CH",Calculations[[#This Row],[Value]]*Calculations[[#This Row],[Τιμή]],"-")</f>
        <v>-</v>
      </c>
      <c r="T92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0" s="81" t="str">
        <f>IF(LEFT(Calculations[[#This Row],[Emission Factor]],3)="GWP",Calculations[[#This Row],[Τιμή]],"-")</f>
        <v>-</v>
      </c>
      <c r="V920" s="247">
        <f>IF(OR(Calculations[[#This Row],[Emission Factor]]="Σ.Ε. CO₂ eq",Calculations[[#This Row],[Emission Factor]]="CO₂ eq"),Calculations[[#This Row],[Value]]*Calculations[[#This Row],[Τιμή]],"-")</f>
        <v>0.93228584512769996</v>
      </c>
      <c r="W920" s="81" t="str">
        <f>IF(Calculations[[#This Row],[Πηγή εκπομπών]]="Electricity consumed in office buildings and projects - market based",Calculations[[#This Row],[t CO2]],"")</f>
        <v/>
      </c>
      <c r="X92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0.93228584512769996</v>
      </c>
    </row>
    <row r="921" spans="1:24" hidden="1">
      <c r="A921" s="15" t="s">
        <v>350</v>
      </c>
      <c r="B921" s="15" t="s">
        <v>645</v>
      </c>
      <c r="C921" s="16" t="s">
        <v>328</v>
      </c>
      <c r="D921" s="77" t="s">
        <v>1276</v>
      </c>
      <c r="E921" s="77" t="s">
        <v>1188</v>
      </c>
      <c r="F921" s="16"/>
      <c r="G921" s="16" t="s">
        <v>646</v>
      </c>
      <c r="H921" s="15" t="s">
        <v>680</v>
      </c>
      <c r="I921" s="17" t="s">
        <v>343</v>
      </c>
      <c r="J921" s="79">
        <v>3.96</v>
      </c>
      <c r="K921" s="18" t="s">
        <v>280</v>
      </c>
      <c r="L921" s="94" t="s">
        <v>694</v>
      </c>
      <c r="M921" s="148" t="s">
        <v>724</v>
      </c>
      <c r="N921" s="81" t="str">
        <f>_xlfn.XLOOKUP(Calculations[[#This Row],[For XLOOKUP]],Factors[For XLOOKUP],Factors[Factor],"")</f>
        <v>Σ.Ε. CO₂ eq</v>
      </c>
      <c r="O921" s="81">
        <f>_xlfn.XLOOKUP(Calculations[[#This Row],[For XLOOKUP]],Factors[For XLOOKUP],Factors[Value],"")</f>
        <v>0.63934056033614495</v>
      </c>
      <c r="P921" s="81" t="str">
        <f>_xlfn.XLOOKUP(Calculations[[#This Row],[For XLOOKUP]],Factors[For XLOOKUP],Factors[Units],"")</f>
        <v>tn CO2 eq/ tn</v>
      </c>
      <c r="Q921" s="19" t="str">
        <f>_xlfn.XLOOKUP(Calculations[[#This Row],[For XLOOKUP]],Factors[For XLOOKUP],Factors[Source],"")</f>
        <v>EPA 2024</v>
      </c>
      <c r="R92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1" s="81" t="str">
        <f>IF(LEFT(Calculations[[#This Row],[Emission Factor]],7)="Σ.Ε. CH",Calculations[[#This Row],[Value]]*Calculations[[#This Row],[Τιμή]],"-")</f>
        <v>-</v>
      </c>
      <c r="T92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1" s="81" t="str">
        <f>IF(LEFT(Calculations[[#This Row],[Emission Factor]],3)="GWP",Calculations[[#This Row],[Τιμή]],"-")</f>
        <v>-</v>
      </c>
      <c r="V921" s="247">
        <f>IF(OR(Calculations[[#This Row],[Emission Factor]]="Σ.Ε. CO₂ eq",Calculations[[#This Row],[Emission Factor]]="CO₂ eq"),Calculations[[#This Row],[Value]]*Calculations[[#This Row],[Τιμή]],"-")</f>
        <v>2.531788618931134</v>
      </c>
      <c r="W921" s="81" t="str">
        <f>IF(Calculations[[#This Row],[Πηγή εκπομπών]]="Electricity consumed in office buildings and projects - market based",Calculations[[#This Row],[t CO2]],"")</f>
        <v/>
      </c>
      <c r="X92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2.531788618931134</v>
      </c>
    </row>
    <row r="922" spans="1:24" hidden="1">
      <c r="A922" s="15" t="s">
        <v>350</v>
      </c>
      <c r="B922" s="15" t="s">
        <v>645</v>
      </c>
      <c r="C922" s="16" t="s">
        <v>624</v>
      </c>
      <c r="D922" s="77" t="s">
        <v>1255</v>
      </c>
      <c r="E922" s="77" t="s">
        <v>1150</v>
      </c>
      <c r="F922" s="16"/>
      <c r="G922" s="16" t="s">
        <v>646</v>
      </c>
      <c r="H922" s="15" t="s">
        <v>680</v>
      </c>
      <c r="I922" s="17" t="s">
        <v>343</v>
      </c>
      <c r="J922" s="79">
        <v>0.56831567086701706</v>
      </c>
      <c r="K922" s="18" t="s">
        <v>280</v>
      </c>
      <c r="L922" s="94" t="s">
        <v>696</v>
      </c>
      <c r="M922" s="148" t="s">
        <v>724</v>
      </c>
      <c r="N922" s="81" t="str">
        <f>_xlfn.XLOOKUP(Calculations[[#This Row],[For XLOOKUP]],Factors[For XLOOKUP],Factors[Factor],"")</f>
        <v>Σ.Ε. CO₂ eq</v>
      </c>
      <c r="O922" s="81">
        <f>_xlfn.XLOOKUP(Calculations[[#This Row],[For XLOOKUP]],Factors[For XLOOKUP],Factors[Value],"")</f>
        <v>0.63934056033614495</v>
      </c>
      <c r="P922" s="81" t="str">
        <f>_xlfn.XLOOKUP(Calculations[[#This Row],[For XLOOKUP]],Factors[For XLOOKUP],Factors[Units],"")</f>
        <v>tn CO2 eq/ tn</v>
      </c>
      <c r="Q922" s="19" t="str">
        <f>_xlfn.XLOOKUP(Calculations[[#This Row],[For XLOOKUP]],Factors[For XLOOKUP],Factors[Source],"")</f>
        <v>EPA 2024</v>
      </c>
      <c r="R92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2" s="81" t="str">
        <f>IF(LEFT(Calculations[[#This Row],[Emission Factor]],7)="Σ.Ε. CH",Calculations[[#This Row],[Value]]*Calculations[[#This Row],[Τιμή]],"-")</f>
        <v>-</v>
      </c>
      <c r="T92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2" s="81" t="str">
        <f>IF(LEFT(Calculations[[#This Row],[Emission Factor]],3)="GWP",Calculations[[#This Row],[Τιμή]],"-")</f>
        <v>-</v>
      </c>
      <c r="V922" s="247">
        <f>IF(OR(Calculations[[#This Row],[Emission Factor]]="Σ.Ε. CO₂ eq",Calculations[[#This Row],[Emission Factor]]="CO₂ eq"),Calculations[[#This Row],[Value]]*Calculations[[#This Row],[Τιμή]],"-")</f>
        <v>0.36334725945993079</v>
      </c>
      <c r="W922" s="81" t="str">
        <f>IF(Calculations[[#This Row],[Πηγή εκπομπών]]="Electricity consumed in office buildings and projects - market based",Calculations[[#This Row],[t CO2]],"")</f>
        <v/>
      </c>
      <c r="X92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0.36334725945993079</v>
      </c>
    </row>
    <row r="923" spans="1:24" hidden="1">
      <c r="A923" s="15" t="s">
        <v>350</v>
      </c>
      <c r="B923" s="15" t="s">
        <v>645</v>
      </c>
      <c r="C923" s="16" t="s">
        <v>624</v>
      </c>
      <c r="D923" s="77" t="s">
        <v>1255</v>
      </c>
      <c r="E923" s="77" t="s">
        <v>1151</v>
      </c>
      <c r="F923" s="16"/>
      <c r="G923" s="16" t="s">
        <v>646</v>
      </c>
      <c r="H923" s="15" t="s">
        <v>680</v>
      </c>
      <c r="I923" s="17" t="s">
        <v>343</v>
      </c>
      <c r="J923" s="79">
        <v>3.5000000000000001E-3</v>
      </c>
      <c r="K923" s="18" t="s">
        <v>280</v>
      </c>
      <c r="L923" s="94" t="s">
        <v>696</v>
      </c>
      <c r="M923" s="148" t="s">
        <v>724</v>
      </c>
      <c r="N923" s="81" t="str">
        <f>_xlfn.XLOOKUP(Calculations[[#This Row],[For XLOOKUP]],Factors[For XLOOKUP],Factors[Factor],"")</f>
        <v>Σ.Ε. CO₂ eq</v>
      </c>
      <c r="O923" s="81">
        <f>_xlfn.XLOOKUP(Calculations[[#This Row],[For XLOOKUP]],Factors[For XLOOKUP],Factors[Value],"")</f>
        <v>0.63934056033614495</v>
      </c>
      <c r="P923" s="81" t="str">
        <f>_xlfn.XLOOKUP(Calculations[[#This Row],[For XLOOKUP]],Factors[For XLOOKUP],Factors[Units],"")</f>
        <v>tn CO2 eq/ tn</v>
      </c>
      <c r="Q923" s="19" t="str">
        <f>_xlfn.XLOOKUP(Calculations[[#This Row],[For XLOOKUP]],Factors[For XLOOKUP],Factors[Source],"")</f>
        <v>EPA 2024</v>
      </c>
      <c r="R92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3" s="81" t="str">
        <f>IF(LEFT(Calculations[[#This Row],[Emission Factor]],7)="Σ.Ε. CH",Calculations[[#This Row],[Value]]*Calculations[[#This Row],[Τιμή]],"-")</f>
        <v>-</v>
      </c>
      <c r="T92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3" s="81" t="str">
        <f>IF(LEFT(Calculations[[#This Row],[Emission Factor]],3)="GWP",Calculations[[#This Row],[Τιμή]],"-")</f>
        <v>-</v>
      </c>
      <c r="V923" s="247">
        <f>IF(OR(Calculations[[#This Row],[Emission Factor]]="Σ.Ε. CO₂ eq",Calculations[[#This Row],[Emission Factor]]="CO₂ eq"),Calculations[[#This Row],[Value]]*Calculations[[#This Row],[Τιμή]],"-")</f>
        <v>2.2376919611765073E-3</v>
      </c>
      <c r="W923" s="81" t="str">
        <f>IF(Calculations[[#This Row],[Πηγή εκπομπών]]="Electricity consumed in office buildings and projects - market based",Calculations[[#This Row],[t CO2]],"")</f>
        <v/>
      </c>
      <c r="X92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2.2376919611765073E-3</v>
      </c>
    </row>
    <row r="924" spans="1:24" hidden="1">
      <c r="A924" s="15" t="s">
        <v>350</v>
      </c>
      <c r="B924" s="15" t="s">
        <v>645</v>
      </c>
      <c r="C924" s="16" t="s">
        <v>624</v>
      </c>
      <c r="D924" s="77" t="s">
        <v>1268</v>
      </c>
      <c r="E924" s="77" t="s">
        <v>1146</v>
      </c>
      <c r="F924" s="16"/>
      <c r="G924" s="16" t="s">
        <v>646</v>
      </c>
      <c r="H924" s="15" t="s">
        <v>680</v>
      </c>
      <c r="I924" s="17" t="s">
        <v>343</v>
      </c>
      <c r="J924" s="292">
        <v>5.03350547036219</v>
      </c>
      <c r="K924" s="294" t="s">
        <v>280</v>
      </c>
      <c r="L924" s="77" t="s">
        <v>696</v>
      </c>
      <c r="M924" s="174" t="s">
        <v>724</v>
      </c>
      <c r="N924" s="81" t="str">
        <f>_xlfn.XLOOKUP(Calculations[[#This Row],[For XLOOKUP]],Factors[For XLOOKUP],Factors[Factor],"")</f>
        <v>Σ.Ε. CO₂ eq</v>
      </c>
      <c r="O924" s="81">
        <f>_xlfn.XLOOKUP(Calculations[[#This Row],[For XLOOKUP]],Factors[For XLOOKUP],Factors[Value],"")</f>
        <v>0.63934056033614495</v>
      </c>
      <c r="P924" s="81" t="str">
        <f>_xlfn.XLOOKUP(Calculations[[#This Row],[For XLOOKUP]],Factors[For XLOOKUP],Factors[Units],"")</f>
        <v>tn CO2 eq/ tn</v>
      </c>
      <c r="Q924" s="19" t="str">
        <f>_xlfn.XLOOKUP(Calculations[[#This Row],[For XLOOKUP]],Factors[For XLOOKUP],Factors[Source],"")</f>
        <v>EPA 2024</v>
      </c>
      <c r="R92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4" s="81" t="str">
        <f>IF(LEFT(Calculations[[#This Row],[Emission Factor]],7)="Σ.Ε. CH",Calculations[[#This Row],[Value]]*Calculations[[#This Row],[Τιμή]],"-")</f>
        <v>-</v>
      </c>
      <c r="T92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4" s="81" t="str">
        <f>IF(LEFT(Calculations[[#This Row],[Emission Factor]],3)="GWP",Calculations[[#This Row],[Τιμή]],"-")</f>
        <v>-</v>
      </c>
      <c r="V924" s="247">
        <f>IF(OR(Calculations[[#This Row],[Emission Factor]]="Σ.Ε. CO₂ eq",Calculations[[#This Row],[Emission Factor]]="CO₂ eq"),Calculations[[#This Row],[Value]]*Calculations[[#This Row],[Τιμή]],"-")</f>
        <v>3.2181242078764134</v>
      </c>
      <c r="W924" s="81" t="str">
        <f>IF(Calculations[[#This Row],[Πηγή εκπομπών]]="Electricity consumed in office buildings and projects - market based",Calculations[[#This Row],[t CO2]],"")</f>
        <v/>
      </c>
      <c r="X92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3.2181242078764134</v>
      </c>
    </row>
    <row r="925" spans="1:24" hidden="1">
      <c r="A925" s="15" t="s">
        <v>350</v>
      </c>
      <c r="B925" s="15" t="s">
        <v>645</v>
      </c>
      <c r="C925" s="16" t="s">
        <v>624</v>
      </c>
      <c r="D925" s="77" t="s">
        <v>1273</v>
      </c>
      <c r="E925" s="77" t="s">
        <v>1140</v>
      </c>
      <c r="F925" s="16"/>
      <c r="G925" s="16" t="s">
        <v>646</v>
      </c>
      <c r="H925" s="15" t="s">
        <v>680</v>
      </c>
      <c r="I925" s="17" t="s">
        <v>343</v>
      </c>
      <c r="J925" s="292">
        <v>118.00556</v>
      </c>
      <c r="K925" s="294" t="s">
        <v>280</v>
      </c>
      <c r="L925" s="77" t="s">
        <v>696</v>
      </c>
      <c r="M925" s="174" t="s">
        <v>724</v>
      </c>
      <c r="N925" s="81" t="str">
        <f>_xlfn.XLOOKUP(Calculations[[#This Row],[For XLOOKUP]],Factors[For XLOOKUP],Factors[Factor],"")</f>
        <v>Σ.Ε. CO₂ eq</v>
      </c>
      <c r="O925" s="81">
        <f>_xlfn.XLOOKUP(Calculations[[#This Row],[For XLOOKUP]],Factors[For XLOOKUP],Factors[Value],"")</f>
        <v>0.63934056033614495</v>
      </c>
      <c r="P925" s="81" t="str">
        <f>_xlfn.XLOOKUP(Calculations[[#This Row],[For XLOOKUP]],Factors[For XLOOKUP],Factors[Units],"")</f>
        <v>tn CO2 eq/ tn</v>
      </c>
      <c r="Q925" s="19" t="str">
        <f>_xlfn.XLOOKUP(Calculations[[#This Row],[For XLOOKUP]],Factors[For XLOOKUP],Factors[Source],"")</f>
        <v>EPA 2024</v>
      </c>
      <c r="R92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5" s="81" t="str">
        <f>IF(LEFT(Calculations[[#This Row],[Emission Factor]],7)="Σ.Ε. CH",Calculations[[#This Row],[Value]]*Calculations[[#This Row],[Τιμή]],"-")</f>
        <v>-</v>
      </c>
      <c r="T92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5" s="81" t="str">
        <f>IF(LEFT(Calculations[[#This Row],[Emission Factor]],3)="GWP",Calculations[[#This Row],[Τιμή]],"-")</f>
        <v>-</v>
      </c>
      <c r="V925" s="247">
        <f>IF(OR(Calculations[[#This Row],[Emission Factor]]="Σ.Ε. CO₂ eq",Calculations[[#This Row],[Emission Factor]]="CO₂ eq"),Calculations[[#This Row],[Value]]*Calculations[[#This Row],[Τιμή]],"-")</f>
        <v>75.445740853180581</v>
      </c>
      <c r="W925" s="81" t="str">
        <f>IF(Calculations[[#This Row],[Πηγή εκπομπών]]="Electricity consumed in office buildings and projects - market based",Calculations[[#This Row],[t CO2]],"")</f>
        <v/>
      </c>
      <c r="X92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75.445740853180581</v>
      </c>
    </row>
    <row r="926" spans="1:24" hidden="1">
      <c r="A926" s="15" t="s">
        <v>350</v>
      </c>
      <c r="B926" s="15" t="s">
        <v>645</v>
      </c>
      <c r="C926" s="16" t="s">
        <v>624</v>
      </c>
      <c r="D926" s="77" t="s">
        <v>1273</v>
      </c>
      <c r="E926" s="77" t="s">
        <v>1140</v>
      </c>
      <c r="F926" s="16"/>
      <c r="G926" s="16" t="s">
        <v>646</v>
      </c>
      <c r="H926" s="15" t="s">
        <v>680</v>
      </c>
      <c r="I926" s="17" t="s">
        <v>343</v>
      </c>
      <c r="J926" s="79">
        <v>2.335</v>
      </c>
      <c r="K926" s="18" t="s">
        <v>280</v>
      </c>
      <c r="L926" s="94" t="s">
        <v>700</v>
      </c>
      <c r="M926" s="148" t="s">
        <v>726</v>
      </c>
      <c r="N926" s="81" t="str">
        <f>_xlfn.XLOOKUP(Calculations[[#This Row],[For XLOOKUP]],Factors[For XLOOKUP],Factors[Factor],"")</f>
        <v>Σ.Ε. CO₂ eq</v>
      </c>
      <c r="O926" s="81">
        <f>_xlfn.XLOOKUP(Calculations[[#This Row],[For XLOOKUP]],Factors[For XLOOKUP],Factors[Value],"")</f>
        <v>2.2046226218487758E-2</v>
      </c>
      <c r="P926" s="81" t="str">
        <f>_xlfn.XLOOKUP(Calculations[[#This Row],[For XLOOKUP]],Factors[For XLOOKUP],Factors[Units],"")</f>
        <v>tn CO2 eq/ tn</v>
      </c>
      <c r="Q926" s="19" t="str">
        <f>_xlfn.XLOOKUP(Calculations[[#This Row],[For XLOOKUP]],Factors[For XLOOKUP],Factors[Source],"")</f>
        <v>EPA 2024</v>
      </c>
      <c r="R92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6" s="81" t="str">
        <f>IF(LEFT(Calculations[[#This Row],[Emission Factor]],7)="Σ.Ε. CH",Calculations[[#This Row],[Value]]*Calculations[[#This Row],[Τιμή]],"-")</f>
        <v>-</v>
      </c>
      <c r="T92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6" s="81" t="str">
        <f>IF(LEFT(Calculations[[#This Row],[Emission Factor]],3)="GWP",Calculations[[#This Row],[Τιμή]],"-")</f>
        <v>-</v>
      </c>
      <c r="V926" s="247">
        <f>IF(OR(Calculations[[#This Row],[Emission Factor]]="Σ.Ε. CO₂ eq",Calculations[[#This Row],[Emission Factor]]="CO₂ eq"),Calculations[[#This Row],[Value]]*Calculations[[#This Row],[Τιμή]],"-")</f>
        <v>5.1477938220168912E-2</v>
      </c>
      <c r="W926" s="81" t="str">
        <f>IF(Calculations[[#This Row],[Πηγή εκπομπών]]="Electricity consumed in office buildings and projects - market based",Calculations[[#This Row],[t CO2]],"")</f>
        <v/>
      </c>
      <c r="X92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5.1477938220168912E-2</v>
      </c>
    </row>
    <row r="927" spans="1:24" hidden="1">
      <c r="A927" s="15" t="s">
        <v>350</v>
      </c>
      <c r="B927" s="15" t="s">
        <v>645</v>
      </c>
      <c r="C927" s="16" t="s">
        <v>624</v>
      </c>
      <c r="D927" s="77" t="s">
        <v>1273</v>
      </c>
      <c r="E927" s="77" t="s">
        <v>1136</v>
      </c>
      <c r="F927" s="16"/>
      <c r="G927" s="16" t="s">
        <v>646</v>
      </c>
      <c r="H927" s="15" t="s">
        <v>680</v>
      </c>
      <c r="I927" s="17" t="s">
        <v>343</v>
      </c>
      <c r="J927" s="79">
        <v>1.5401108656396201</v>
      </c>
      <c r="K927" s="18" t="s">
        <v>280</v>
      </c>
      <c r="L927" s="94" t="s">
        <v>696</v>
      </c>
      <c r="M927" s="148" t="s">
        <v>724</v>
      </c>
      <c r="N927" s="81" t="str">
        <f>_xlfn.XLOOKUP(Calculations[[#This Row],[For XLOOKUP]],Factors[For XLOOKUP],Factors[Factor],"")</f>
        <v>Σ.Ε. CO₂ eq</v>
      </c>
      <c r="O927" s="81">
        <f>_xlfn.XLOOKUP(Calculations[[#This Row],[For XLOOKUP]],Factors[For XLOOKUP],Factors[Value],"")</f>
        <v>0.63934056033614495</v>
      </c>
      <c r="P927" s="81" t="str">
        <f>_xlfn.XLOOKUP(Calculations[[#This Row],[For XLOOKUP]],Factors[For XLOOKUP],Factors[Units],"")</f>
        <v>tn CO2 eq/ tn</v>
      </c>
      <c r="Q927" s="19" t="str">
        <f>_xlfn.XLOOKUP(Calculations[[#This Row],[For XLOOKUP]],Factors[For XLOOKUP],Factors[Source],"")</f>
        <v>EPA 2024</v>
      </c>
      <c r="R92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7" s="81" t="str">
        <f>IF(LEFT(Calculations[[#This Row],[Emission Factor]],7)="Σ.Ε. CH",Calculations[[#This Row],[Value]]*Calculations[[#This Row],[Τιμή]],"-")</f>
        <v>-</v>
      </c>
      <c r="T92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7" s="81" t="str">
        <f>IF(LEFT(Calculations[[#This Row],[Emission Factor]],3)="GWP",Calculations[[#This Row],[Τιμή]],"-")</f>
        <v>-</v>
      </c>
      <c r="V927" s="247">
        <f>IF(OR(Calculations[[#This Row],[Emission Factor]]="Σ.Ε. CO₂ eq",Calculations[[#This Row],[Emission Factor]]="CO₂ eq"),Calculations[[#This Row],[Value]]*Calculations[[#This Row],[Τιμή]],"-")</f>
        <v>0.98465534381781994</v>
      </c>
      <c r="W927" s="81" t="str">
        <f>IF(Calculations[[#This Row],[Πηγή εκπομπών]]="Electricity consumed in office buildings and projects - market based",Calculations[[#This Row],[t CO2]],"")</f>
        <v/>
      </c>
      <c r="X92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0.98465534381781994</v>
      </c>
    </row>
    <row r="928" spans="1:24" hidden="1">
      <c r="A928" s="15" t="s">
        <v>350</v>
      </c>
      <c r="B928" s="15" t="s">
        <v>645</v>
      </c>
      <c r="C928" s="16" t="s">
        <v>624</v>
      </c>
      <c r="D928" s="77" t="s">
        <v>1273</v>
      </c>
      <c r="E928" s="77" t="s">
        <v>1142</v>
      </c>
      <c r="F928" s="16"/>
      <c r="G928" s="16" t="s">
        <v>646</v>
      </c>
      <c r="H928" s="15" t="s">
        <v>680</v>
      </c>
      <c r="I928" s="17" t="s">
        <v>343</v>
      </c>
      <c r="J928" s="79">
        <v>0.14761445996545899</v>
      </c>
      <c r="K928" s="18" t="s">
        <v>280</v>
      </c>
      <c r="L928" s="94" t="s">
        <v>696</v>
      </c>
      <c r="M928" s="148" t="s">
        <v>724</v>
      </c>
      <c r="N928" s="81" t="str">
        <f>_xlfn.XLOOKUP(Calculations[[#This Row],[For XLOOKUP]],Factors[For XLOOKUP],Factors[Factor],"")</f>
        <v>Σ.Ε. CO₂ eq</v>
      </c>
      <c r="O928" s="81">
        <f>_xlfn.XLOOKUP(Calculations[[#This Row],[For XLOOKUP]],Factors[For XLOOKUP],Factors[Value],"")</f>
        <v>0.63934056033614495</v>
      </c>
      <c r="P928" s="81" t="str">
        <f>_xlfn.XLOOKUP(Calculations[[#This Row],[For XLOOKUP]],Factors[For XLOOKUP],Factors[Units],"")</f>
        <v>tn CO2 eq/ tn</v>
      </c>
      <c r="Q928" s="19" t="str">
        <f>_xlfn.XLOOKUP(Calculations[[#This Row],[For XLOOKUP]],Factors[For XLOOKUP],Factors[Source],"")</f>
        <v>EPA 2024</v>
      </c>
      <c r="R92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8" s="81" t="str">
        <f>IF(LEFT(Calculations[[#This Row],[Emission Factor]],7)="Σ.Ε. CH",Calculations[[#This Row],[Value]]*Calculations[[#This Row],[Τιμή]],"-")</f>
        <v>-</v>
      </c>
      <c r="T92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8" s="81" t="str">
        <f>IF(LEFT(Calculations[[#This Row],[Emission Factor]],3)="GWP",Calculations[[#This Row],[Τιμή]],"-")</f>
        <v>-</v>
      </c>
      <c r="V928" s="247">
        <f>IF(OR(Calculations[[#This Row],[Emission Factor]]="Σ.Ε. CO₂ eq",Calculations[[#This Row],[Emission Factor]]="CO₂ eq"),Calculations[[#This Row],[Value]]*Calculations[[#This Row],[Τιμή]],"-")</f>
        <v>9.4375911548033986E-2</v>
      </c>
      <c r="W928" s="81" t="str">
        <f>IF(Calculations[[#This Row],[Πηγή εκπομπών]]="Electricity consumed in office buildings and projects - market based",Calculations[[#This Row],[t CO2]],"")</f>
        <v/>
      </c>
      <c r="X92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9.4375911548033986E-2</v>
      </c>
    </row>
    <row r="929" spans="1:24" hidden="1">
      <c r="A929" s="15" t="s">
        <v>350</v>
      </c>
      <c r="B929" s="15" t="s">
        <v>645</v>
      </c>
      <c r="C929" s="16" t="s">
        <v>624</v>
      </c>
      <c r="D929" s="77" t="s">
        <v>1273</v>
      </c>
      <c r="E929" s="77" t="s">
        <v>1137</v>
      </c>
      <c r="F929" s="16"/>
      <c r="G929" s="16" t="s">
        <v>646</v>
      </c>
      <c r="H929" s="15" t="s">
        <v>680</v>
      </c>
      <c r="I929" s="17" t="s">
        <v>343</v>
      </c>
      <c r="J929" s="79">
        <v>8.5000000000000006E-3</v>
      </c>
      <c r="K929" s="18" t="s">
        <v>280</v>
      </c>
      <c r="L929" s="94" t="s">
        <v>696</v>
      </c>
      <c r="M929" s="148" t="s">
        <v>724</v>
      </c>
      <c r="N929" s="81" t="str">
        <f>_xlfn.XLOOKUP(Calculations[[#This Row],[For XLOOKUP]],Factors[For XLOOKUP],Factors[Factor],"")</f>
        <v>Σ.Ε. CO₂ eq</v>
      </c>
      <c r="O929" s="81">
        <f>_xlfn.XLOOKUP(Calculations[[#This Row],[For XLOOKUP]],Factors[For XLOOKUP],Factors[Value],"")</f>
        <v>0.63934056033614495</v>
      </c>
      <c r="P929" s="81" t="str">
        <f>_xlfn.XLOOKUP(Calculations[[#This Row],[For XLOOKUP]],Factors[For XLOOKUP],Factors[Units],"")</f>
        <v>tn CO2 eq/ tn</v>
      </c>
      <c r="Q929" s="19" t="str">
        <f>_xlfn.XLOOKUP(Calculations[[#This Row],[For XLOOKUP]],Factors[For XLOOKUP],Factors[Source],"")</f>
        <v>EPA 2024</v>
      </c>
      <c r="R92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9" s="81" t="str">
        <f>IF(LEFT(Calculations[[#This Row],[Emission Factor]],7)="Σ.Ε. CH",Calculations[[#This Row],[Value]]*Calculations[[#This Row],[Τιμή]],"-")</f>
        <v>-</v>
      </c>
      <c r="T92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9" s="81" t="str">
        <f>IF(LEFT(Calculations[[#This Row],[Emission Factor]],3)="GWP",Calculations[[#This Row],[Τιμή]],"-")</f>
        <v>-</v>
      </c>
      <c r="V929" s="247">
        <f>IF(OR(Calculations[[#This Row],[Emission Factor]]="Σ.Ε. CO₂ eq",Calculations[[#This Row],[Emission Factor]]="CO₂ eq"),Calculations[[#This Row],[Value]]*Calculations[[#This Row],[Τιμή]],"-")</f>
        <v>5.4343947628572326E-3</v>
      </c>
      <c r="W929" s="81" t="str">
        <f>IF(Calculations[[#This Row],[Πηγή εκπομπών]]="Electricity consumed in office buildings and projects - market based",Calculations[[#This Row],[t CO2]],"")</f>
        <v/>
      </c>
      <c r="X92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5.4343947628572326E-3</v>
      </c>
    </row>
    <row r="930" spans="1:24" hidden="1">
      <c r="A930" s="15" t="s">
        <v>350</v>
      </c>
      <c r="B930" s="15" t="s">
        <v>645</v>
      </c>
      <c r="C930" s="16" t="s">
        <v>624</v>
      </c>
      <c r="D930" s="16" t="s">
        <v>1276</v>
      </c>
      <c r="E930" s="16"/>
      <c r="F930" s="16"/>
      <c r="G930" s="16" t="s">
        <v>646</v>
      </c>
      <c r="H930" s="15" t="s">
        <v>680</v>
      </c>
      <c r="I930" s="17" t="s">
        <v>343</v>
      </c>
      <c r="J930" s="79">
        <v>17.599</v>
      </c>
      <c r="K930" s="18" t="s">
        <v>280</v>
      </c>
      <c r="L930" s="94" t="s">
        <v>696</v>
      </c>
      <c r="M930" s="148" t="s">
        <v>724</v>
      </c>
      <c r="N930" s="81" t="str">
        <f>_xlfn.XLOOKUP(Calculations[[#This Row],[For XLOOKUP]],Factors[For XLOOKUP],Factors[Factor],"")</f>
        <v>Σ.Ε. CO₂ eq</v>
      </c>
      <c r="O930" s="81">
        <f>_xlfn.XLOOKUP(Calculations[[#This Row],[For XLOOKUP]],Factors[For XLOOKUP],Factors[Value],"")</f>
        <v>0.63934056033614495</v>
      </c>
      <c r="P930" s="81" t="str">
        <f>_xlfn.XLOOKUP(Calculations[[#This Row],[For XLOOKUP]],Factors[For XLOOKUP],Factors[Units],"")</f>
        <v>tn CO2 eq/ tn</v>
      </c>
      <c r="Q930" s="19" t="str">
        <f>_xlfn.XLOOKUP(Calculations[[#This Row],[For XLOOKUP]],Factors[For XLOOKUP],Factors[Source],"")</f>
        <v>EPA 2024</v>
      </c>
      <c r="R93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0" s="81" t="str">
        <f>IF(LEFT(Calculations[[#This Row],[Emission Factor]],7)="Σ.Ε. CH",Calculations[[#This Row],[Value]]*Calculations[[#This Row],[Τιμή]],"-")</f>
        <v>-</v>
      </c>
      <c r="T93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0" s="81" t="str">
        <f>IF(LEFT(Calculations[[#This Row],[Emission Factor]],3)="GWP",Calculations[[#This Row],[Τιμή]],"-")</f>
        <v>-</v>
      </c>
      <c r="V930" s="247">
        <f>IF(OR(Calculations[[#This Row],[Emission Factor]]="Σ.Ε. CO₂ eq",Calculations[[#This Row],[Emission Factor]]="CO₂ eq"),Calculations[[#This Row],[Value]]*Calculations[[#This Row],[Τιμή]],"-")</f>
        <v>11.251754521355815</v>
      </c>
      <c r="W930" s="81" t="str">
        <f>IF(Calculations[[#This Row],[Πηγή εκπομπών]]="Electricity consumed in office buildings and projects - market based",Calculations[[#This Row],[t CO2]],"")</f>
        <v/>
      </c>
      <c r="X93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11.251754521355815</v>
      </c>
    </row>
    <row r="931" spans="1:24" hidden="1">
      <c r="A931" s="15" t="s">
        <v>350</v>
      </c>
      <c r="B931" s="15" t="s">
        <v>645</v>
      </c>
      <c r="C931" s="16" t="s">
        <v>624</v>
      </c>
      <c r="D931" s="16" t="s">
        <v>1273</v>
      </c>
      <c r="E931" s="16" t="s">
        <v>1137</v>
      </c>
      <c r="F931" s="16"/>
      <c r="G931" s="16" t="s">
        <v>646</v>
      </c>
      <c r="H931" s="15" t="s">
        <v>1367</v>
      </c>
      <c r="I931" s="17" t="s">
        <v>343</v>
      </c>
      <c r="J931" s="79">
        <v>0.41000000000000003</v>
      </c>
      <c r="K931" s="18" t="s">
        <v>280</v>
      </c>
      <c r="L931" s="94" t="s">
        <v>697</v>
      </c>
      <c r="M931" s="148" t="s">
        <v>704</v>
      </c>
      <c r="N931" s="81" t="str">
        <f>_xlfn.XLOOKUP(Calculations[[#This Row],[For XLOOKUP]],Factors[For XLOOKUP],Factors[Factor],"")</f>
        <v>Σ.Ε. CO₂ eq</v>
      </c>
      <c r="O931" s="81">
        <f>_xlfn.XLOOKUP(Calculations[[#This Row],[For XLOOKUP]],Factors[For XLOOKUP],Factors[Value],"")</f>
        <v>6.4106099999999997E-3</v>
      </c>
      <c r="P931" s="81" t="str">
        <f>_xlfn.XLOOKUP(Calculations[[#This Row],[For XLOOKUP]],Factors[For XLOOKUP],Factors[Units],"")</f>
        <v>tn CO2 eq/ tn</v>
      </c>
      <c r="Q931" s="19" t="str">
        <f>_xlfn.XLOOKUP(Calculations[[#This Row],[For XLOOKUP]],Factors[For XLOOKUP],Factors[Source],"")</f>
        <v>DEFRA 2024</v>
      </c>
      <c r="R93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1" s="81" t="str">
        <f>IF(LEFT(Calculations[[#This Row],[Emission Factor]],7)="Σ.Ε. CH",Calculations[[#This Row],[Value]]*Calculations[[#This Row],[Τιμή]],"-")</f>
        <v>-</v>
      </c>
      <c r="T93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1" s="81" t="str">
        <f>IF(LEFT(Calculations[[#This Row],[Emission Factor]],3)="GWP",Calculations[[#This Row],[Τιμή]],"-")</f>
        <v>-</v>
      </c>
      <c r="V931" s="247">
        <f>IF(OR(Calculations[[#This Row],[Emission Factor]]="Σ.Ε. CO₂ eq",Calculations[[#This Row],[Emission Factor]]="CO₂ eq"),Calculations[[#This Row],[Value]]*Calculations[[#This Row],[Τιμή]],"-")</f>
        <v>2.6283501000000003E-3</v>
      </c>
      <c r="W931" s="81" t="str">
        <f>IF(Calculations[[#This Row],[Πηγή εκπομπών]]="Electricity consumed in office buildings and projects - market based",Calculations[[#This Row],[t CO2]],"")</f>
        <v/>
      </c>
      <c r="X93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2.6283501000000003E-3</v>
      </c>
    </row>
    <row r="932" spans="1:24" hidden="1">
      <c r="A932" s="15" t="s">
        <v>350</v>
      </c>
      <c r="B932" s="15" t="s">
        <v>645</v>
      </c>
      <c r="C932" s="16" t="s">
        <v>624</v>
      </c>
      <c r="D932" s="16" t="s">
        <v>1276</v>
      </c>
      <c r="E932" s="16"/>
      <c r="F932" s="16"/>
      <c r="G932" s="16" t="s">
        <v>646</v>
      </c>
      <c r="H932" s="15" t="s">
        <v>1377</v>
      </c>
      <c r="I932" s="17" t="s">
        <v>343</v>
      </c>
      <c r="J932" s="79">
        <v>3.7</v>
      </c>
      <c r="K932" s="18" t="s">
        <v>280</v>
      </c>
      <c r="L932" s="94" t="s">
        <v>694</v>
      </c>
      <c r="M932" s="148" t="s">
        <v>723</v>
      </c>
      <c r="N932" s="81" t="str">
        <f>_xlfn.XLOOKUP(Calculations[[#This Row],[For XLOOKUP]],Factors[For XLOOKUP],Factors[Factor],"")</f>
        <v>Σ.Ε. CO₂ eq</v>
      </c>
      <c r="O932" s="81">
        <f>_xlfn.XLOOKUP(Calculations[[#This Row],[For XLOOKUP]],Factors[For XLOOKUP],Factors[Value],"")</f>
        <v>6.4106099999999997E-3</v>
      </c>
      <c r="P932" s="81" t="str">
        <f>_xlfn.XLOOKUP(Calculations[[#This Row],[For XLOOKUP]],Factors[For XLOOKUP],Factors[Units],"")</f>
        <v>tn CO2 eq/ tn</v>
      </c>
      <c r="Q932" s="19" t="str">
        <f>_xlfn.XLOOKUP(Calculations[[#This Row],[For XLOOKUP]],Factors[For XLOOKUP],Factors[Source],"")</f>
        <v>DEFRA 2024</v>
      </c>
      <c r="R93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2" s="81" t="str">
        <f>IF(LEFT(Calculations[[#This Row],[Emission Factor]],7)="Σ.Ε. CH",Calculations[[#This Row],[Value]]*Calculations[[#This Row],[Τιμή]],"-")</f>
        <v>-</v>
      </c>
      <c r="T93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2" s="81" t="str">
        <f>IF(LEFT(Calculations[[#This Row],[Emission Factor]],3)="GWP",Calculations[[#This Row],[Τιμή]],"-")</f>
        <v>-</v>
      </c>
      <c r="V932" s="247">
        <f>IF(OR(Calculations[[#This Row],[Emission Factor]]="Σ.Ε. CO₂ eq",Calculations[[#This Row],[Emission Factor]]="CO₂ eq"),Calculations[[#This Row],[Value]]*Calculations[[#This Row],[Τιμή]],"-")</f>
        <v>2.3719257000000001E-2</v>
      </c>
      <c r="W932" s="81" t="str">
        <f>IF(Calculations[[#This Row],[Πηγή εκπομπών]]="Electricity consumed in office buildings and projects - market based",Calculations[[#This Row],[t CO2]],"")</f>
        <v/>
      </c>
      <c r="X93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2.3719257000000001E-2</v>
      </c>
    </row>
    <row r="933" spans="1:24" hidden="1">
      <c r="A933" s="15" t="s">
        <v>350</v>
      </c>
      <c r="B933" s="15" t="s">
        <v>645</v>
      </c>
      <c r="C933" s="16" t="s">
        <v>327</v>
      </c>
      <c r="D933" s="77" t="s">
        <v>1276</v>
      </c>
      <c r="E933" s="77" t="s">
        <v>1187</v>
      </c>
      <c r="F933" s="16"/>
      <c r="G933" s="16" t="s">
        <v>646</v>
      </c>
      <c r="H933" s="15" t="s">
        <v>681</v>
      </c>
      <c r="I933" s="17" t="s">
        <v>343</v>
      </c>
      <c r="J933" s="79">
        <v>2492.84</v>
      </c>
      <c r="K933" s="18" t="s">
        <v>280</v>
      </c>
      <c r="L933" s="94" t="s">
        <v>694</v>
      </c>
      <c r="M933" s="148" t="s">
        <v>725</v>
      </c>
      <c r="N933" s="81" t="str">
        <f>_xlfn.XLOOKUP(Calculations[[#This Row],[For XLOOKUP]],Factors[For XLOOKUP],Factors[Factor],"")</f>
        <v>Σ.Ε. CO₂ eq</v>
      </c>
      <c r="O933" s="81">
        <f>_xlfn.XLOOKUP(Calculations[[#This Row],[For XLOOKUP]],Factors[For XLOOKUP],Factors[Value],"")</f>
        <v>0.24250848840336534</v>
      </c>
      <c r="P933" s="81" t="str">
        <f>_xlfn.XLOOKUP(Calculations[[#This Row],[For XLOOKUP]],Factors[For XLOOKUP],Factors[Units],"")</f>
        <v>tn CO2 eq/ tn</v>
      </c>
      <c r="Q933" s="19" t="str">
        <f>_xlfn.XLOOKUP(Calculations[[#This Row],[For XLOOKUP]],Factors[For XLOOKUP],Factors[Source],"")</f>
        <v>EPA 2024</v>
      </c>
      <c r="R93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3" s="81" t="str">
        <f>IF(LEFT(Calculations[[#This Row],[Emission Factor]],7)="Σ.Ε. CH",Calculations[[#This Row],[Value]]*Calculations[[#This Row],[Τιμή]],"-")</f>
        <v>-</v>
      </c>
      <c r="T93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3" s="81" t="str">
        <f>IF(LEFT(Calculations[[#This Row],[Emission Factor]],3)="GWP",Calculations[[#This Row],[Τιμή]],"-")</f>
        <v>-</v>
      </c>
      <c r="V933" s="247">
        <f>IF(OR(Calculations[[#This Row],[Emission Factor]]="Σ.Ε. CO₂ eq",Calculations[[#This Row],[Emission Factor]]="CO₂ eq"),Calculations[[#This Row],[Value]]*Calculations[[#This Row],[Τιμή]],"-")</f>
        <v>604.53486023144524</v>
      </c>
      <c r="W933" s="81" t="str">
        <f>IF(Calculations[[#This Row],[Πηγή εκπομπών]]="Electricity consumed in office buildings and projects - market based",Calculations[[#This Row],[t CO2]],"")</f>
        <v/>
      </c>
      <c r="X93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604.53486023144524</v>
      </c>
    </row>
    <row r="934" spans="1:24" hidden="1">
      <c r="A934" s="15" t="s">
        <v>350</v>
      </c>
      <c r="B934" s="15" t="s">
        <v>645</v>
      </c>
      <c r="C934" s="16" t="s">
        <v>624</v>
      </c>
      <c r="D934" s="16" t="s">
        <v>1255</v>
      </c>
      <c r="E934" s="16" t="s">
        <v>1150</v>
      </c>
      <c r="F934" s="16"/>
      <c r="G934" s="16" t="s">
        <v>646</v>
      </c>
      <c r="H934" s="15" t="s">
        <v>681</v>
      </c>
      <c r="I934" s="17" t="s">
        <v>343</v>
      </c>
      <c r="J934" s="79">
        <v>5.6830203161825903E-2</v>
      </c>
      <c r="K934" s="18" t="s">
        <v>280</v>
      </c>
      <c r="L934" s="94" t="s">
        <v>694</v>
      </c>
      <c r="M934" s="148" t="s">
        <v>725</v>
      </c>
      <c r="N934" s="81" t="str">
        <f>_xlfn.XLOOKUP(Calculations[[#This Row],[For XLOOKUP]],Factors[For XLOOKUP],Factors[Factor],"")</f>
        <v>Σ.Ε. CO₂ eq</v>
      </c>
      <c r="O934" s="81">
        <f>_xlfn.XLOOKUP(Calculations[[#This Row],[For XLOOKUP]],Factors[For XLOOKUP],Factors[Value],"")</f>
        <v>0.24250848840336534</v>
      </c>
      <c r="P934" s="81" t="str">
        <f>_xlfn.XLOOKUP(Calculations[[#This Row],[For XLOOKUP]],Factors[For XLOOKUP],Factors[Units],"")</f>
        <v>tn CO2 eq/ tn</v>
      </c>
      <c r="Q934" s="19" t="str">
        <f>_xlfn.XLOOKUP(Calculations[[#This Row],[For XLOOKUP]],Factors[For XLOOKUP],Factors[Source],"")</f>
        <v>EPA 2024</v>
      </c>
      <c r="R93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4" s="81" t="str">
        <f>IF(LEFT(Calculations[[#This Row],[Emission Factor]],7)="Σ.Ε. CH",Calculations[[#This Row],[Value]]*Calculations[[#This Row],[Τιμή]],"-")</f>
        <v>-</v>
      </c>
      <c r="T93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4" s="81" t="str">
        <f>IF(LEFT(Calculations[[#This Row],[Emission Factor]],3)="GWP",Calculations[[#This Row],[Τιμή]],"-")</f>
        <v>-</v>
      </c>
      <c r="V934" s="247">
        <f>IF(OR(Calculations[[#This Row],[Emission Factor]]="Σ.Ε. CO₂ eq",Calculations[[#This Row],[Emission Factor]]="CO₂ eq"),Calculations[[#This Row],[Value]]*Calculations[[#This Row],[Τιμή]],"-")</f>
        <v>1.3781806664430553E-2</v>
      </c>
      <c r="W934" s="81" t="str">
        <f>IF(Calculations[[#This Row],[Πηγή εκπομπών]]="Electricity consumed in office buildings and projects - market based",Calculations[[#This Row],[t CO2]],"")</f>
        <v/>
      </c>
      <c r="X93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1.3781806664430553E-2</v>
      </c>
    </row>
    <row r="935" spans="1:24" hidden="1">
      <c r="A935" s="15" t="s">
        <v>350</v>
      </c>
      <c r="B935" s="15" t="s">
        <v>645</v>
      </c>
      <c r="C935" s="16" t="s">
        <v>624</v>
      </c>
      <c r="D935" s="77" t="s">
        <v>1268</v>
      </c>
      <c r="E935" s="77" t="s">
        <v>1146</v>
      </c>
      <c r="F935" s="16"/>
      <c r="G935" s="16" t="s">
        <v>646</v>
      </c>
      <c r="H935" s="15" t="s">
        <v>681</v>
      </c>
      <c r="I935" s="17" t="s">
        <v>343</v>
      </c>
      <c r="J935" s="79">
        <v>0.50333846691301298</v>
      </c>
      <c r="K935" s="18" t="s">
        <v>280</v>
      </c>
      <c r="L935" s="94" t="s">
        <v>694</v>
      </c>
      <c r="M935" s="148" t="s">
        <v>725</v>
      </c>
      <c r="N935" s="81" t="str">
        <f>_xlfn.XLOOKUP(Calculations[[#This Row],[For XLOOKUP]],Factors[For XLOOKUP],Factors[Factor],"")</f>
        <v>Σ.Ε. CO₂ eq</v>
      </c>
      <c r="O935" s="81">
        <f>_xlfn.XLOOKUP(Calculations[[#This Row],[For XLOOKUP]],Factors[For XLOOKUP],Factors[Value],"")</f>
        <v>0.24250848840336534</v>
      </c>
      <c r="P935" s="81" t="str">
        <f>_xlfn.XLOOKUP(Calculations[[#This Row],[For XLOOKUP]],Factors[For XLOOKUP],Factors[Units],"")</f>
        <v>tn CO2 eq/ tn</v>
      </c>
      <c r="Q935" s="19" t="str">
        <f>_xlfn.XLOOKUP(Calculations[[#This Row],[For XLOOKUP]],Factors[For XLOOKUP],Factors[Source],"")</f>
        <v>EPA 2024</v>
      </c>
      <c r="R93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5" s="81" t="str">
        <f>IF(LEFT(Calculations[[#This Row],[Emission Factor]],7)="Σ.Ε. CH",Calculations[[#This Row],[Value]]*Calculations[[#This Row],[Τιμή]],"-")</f>
        <v>-</v>
      </c>
      <c r="T93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5" s="81" t="str">
        <f>IF(LEFT(Calculations[[#This Row],[Emission Factor]],3)="GWP",Calculations[[#This Row],[Τιμή]],"-")</f>
        <v>-</v>
      </c>
      <c r="V935" s="247">
        <f>IF(OR(Calculations[[#This Row],[Emission Factor]]="Σ.Ε. CO₂ eq",Calculations[[#This Row],[Emission Factor]]="CO₂ eq"),Calculations[[#This Row],[Value]]*Calculations[[#This Row],[Τιμή]],"-")</f>
        <v>0.1220638507663421</v>
      </c>
      <c r="W935" s="81" t="str">
        <f>IF(Calculations[[#This Row],[Πηγή εκπομπών]]="Electricity consumed in office buildings and projects - market based",Calculations[[#This Row],[t CO2]],"")</f>
        <v/>
      </c>
      <c r="X93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0.1220638507663421</v>
      </c>
    </row>
    <row r="936" spans="1:24" hidden="1">
      <c r="A936" s="15" t="s">
        <v>350</v>
      </c>
      <c r="B936" s="15" t="s">
        <v>645</v>
      </c>
      <c r="C936" s="16" t="s">
        <v>624</v>
      </c>
      <c r="D936" s="77" t="s">
        <v>1273</v>
      </c>
      <c r="E936" s="77" t="s">
        <v>1136</v>
      </c>
      <c r="F936" s="16"/>
      <c r="G936" s="16" t="s">
        <v>646</v>
      </c>
      <c r="H936" s="15" t="s">
        <v>681</v>
      </c>
      <c r="I936" s="17" t="s">
        <v>343</v>
      </c>
      <c r="J936" s="79">
        <v>0.154007390386593</v>
      </c>
      <c r="K936" s="18" t="s">
        <v>280</v>
      </c>
      <c r="L936" s="94" t="s">
        <v>694</v>
      </c>
      <c r="M936" s="148" t="s">
        <v>725</v>
      </c>
      <c r="N936" s="81" t="str">
        <f>_xlfn.XLOOKUP(Calculations[[#This Row],[For XLOOKUP]],Factors[For XLOOKUP],Factors[Factor],"")</f>
        <v>Σ.Ε. CO₂ eq</v>
      </c>
      <c r="O936" s="81">
        <f>_xlfn.XLOOKUP(Calculations[[#This Row],[For XLOOKUP]],Factors[For XLOOKUP],Factors[Value],"")</f>
        <v>0.24250848840336534</v>
      </c>
      <c r="P936" s="81" t="str">
        <f>_xlfn.XLOOKUP(Calculations[[#This Row],[For XLOOKUP]],Factors[For XLOOKUP],Factors[Units],"")</f>
        <v>tn CO2 eq/ tn</v>
      </c>
      <c r="Q936" s="19" t="str">
        <f>_xlfn.XLOOKUP(Calculations[[#This Row],[For XLOOKUP]],Factors[For XLOOKUP],Factors[Source],"")</f>
        <v>EPA 2024</v>
      </c>
      <c r="R93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6" s="81" t="str">
        <f>IF(LEFT(Calculations[[#This Row],[Emission Factor]],7)="Σ.Ε. CH",Calculations[[#This Row],[Value]]*Calculations[[#This Row],[Τιμή]],"-")</f>
        <v>-</v>
      </c>
      <c r="T93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6" s="81" t="str">
        <f>IF(LEFT(Calculations[[#This Row],[Emission Factor]],3)="GWP",Calculations[[#This Row],[Τιμή]],"-")</f>
        <v>-</v>
      </c>
      <c r="V936" s="247">
        <f>IF(OR(Calculations[[#This Row],[Emission Factor]]="Σ.Ε. CO₂ eq",Calculations[[#This Row],[Emission Factor]]="CO₂ eq"),Calculations[[#This Row],[Value]]*Calculations[[#This Row],[Τιμή]],"-")</f>
        <v>3.734809944559965E-2</v>
      </c>
      <c r="W936" s="81" t="str">
        <f>IF(Calculations[[#This Row],[Πηγή εκπομπών]]="Electricity consumed in office buildings and projects - market based",Calculations[[#This Row],[t CO2]],"")</f>
        <v/>
      </c>
      <c r="X93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3.734809944559965E-2</v>
      </c>
    </row>
    <row r="937" spans="1:24" hidden="1">
      <c r="A937" s="15" t="s">
        <v>350</v>
      </c>
      <c r="B937" s="15" t="s">
        <v>645</v>
      </c>
      <c r="C937" s="16" t="s">
        <v>624</v>
      </c>
      <c r="D937" s="16" t="s">
        <v>1273</v>
      </c>
      <c r="E937" s="77" t="s">
        <v>1141</v>
      </c>
      <c r="F937" s="16"/>
      <c r="G937" s="16" t="s">
        <v>646</v>
      </c>
      <c r="H937" s="15" t="s">
        <v>681</v>
      </c>
      <c r="I937" s="17" t="s">
        <v>343</v>
      </c>
      <c r="J937" s="79">
        <v>8.19</v>
      </c>
      <c r="K937" s="18" t="s">
        <v>280</v>
      </c>
      <c r="L937" s="94" t="s">
        <v>694</v>
      </c>
      <c r="M937" s="148" t="s">
        <v>725</v>
      </c>
      <c r="N937" s="81" t="str">
        <f>_xlfn.XLOOKUP(Calculations[[#This Row],[For XLOOKUP]],Factors[For XLOOKUP],Factors[Factor],"")</f>
        <v>Σ.Ε. CO₂ eq</v>
      </c>
      <c r="O937" s="81">
        <f>_xlfn.XLOOKUP(Calculations[[#This Row],[For XLOOKUP]],Factors[For XLOOKUP],Factors[Value],"")</f>
        <v>0.24250848840336534</v>
      </c>
      <c r="P937" s="81" t="str">
        <f>_xlfn.XLOOKUP(Calculations[[#This Row],[For XLOOKUP]],Factors[For XLOOKUP],Factors[Units],"")</f>
        <v>tn CO2 eq/ tn</v>
      </c>
      <c r="Q937" s="19" t="str">
        <f>_xlfn.XLOOKUP(Calculations[[#This Row],[For XLOOKUP]],Factors[For XLOOKUP],Factors[Source],"")</f>
        <v>EPA 2024</v>
      </c>
      <c r="R93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7" s="81" t="str">
        <f>IF(LEFT(Calculations[[#This Row],[Emission Factor]],7)="Σ.Ε. CH",Calculations[[#This Row],[Value]]*Calculations[[#This Row],[Τιμή]],"-")</f>
        <v>-</v>
      </c>
      <c r="T93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7" s="81" t="str">
        <f>IF(LEFT(Calculations[[#This Row],[Emission Factor]],3)="GWP",Calculations[[#This Row],[Τιμή]],"-")</f>
        <v>-</v>
      </c>
      <c r="V937" s="247">
        <f>IF(OR(Calculations[[#This Row],[Emission Factor]]="Σ.Ε. CO₂ eq",Calculations[[#This Row],[Emission Factor]]="CO₂ eq"),Calculations[[#This Row],[Value]]*Calculations[[#This Row],[Τιμή]],"-")</f>
        <v>1.9861445200235619</v>
      </c>
      <c r="W937" s="81" t="str">
        <f>IF(Calculations[[#This Row],[Πηγή εκπομπών]]="Electricity consumed in office buildings and projects - market based",Calculations[[#This Row],[t CO2]],"")</f>
        <v/>
      </c>
      <c r="X93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1.9861445200235619</v>
      </c>
    </row>
    <row r="938" spans="1:24" hidden="1">
      <c r="A938" s="15" t="s">
        <v>350</v>
      </c>
      <c r="B938" s="15" t="s">
        <v>645</v>
      </c>
      <c r="C938" s="16" t="s">
        <v>624</v>
      </c>
      <c r="D938" s="16" t="s">
        <v>1273</v>
      </c>
      <c r="E938" s="16" t="s">
        <v>1180</v>
      </c>
      <c r="F938" s="16"/>
      <c r="G938" s="16" t="s">
        <v>646</v>
      </c>
      <c r="H938" s="15" t="s">
        <v>681</v>
      </c>
      <c r="I938" s="17" t="s">
        <v>343</v>
      </c>
      <c r="J938" s="79">
        <v>0.26</v>
      </c>
      <c r="K938" s="18" t="s">
        <v>280</v>
      </c>
      <c r="L938" s="94" t="s">
        <v>694</v>
      </c>
      <c r="M938" s="148" t="s">
        <v>725</v>
      </c>
      <c r="N938" s="81" t="str">
        <f>_xlfn.XLOOKUP(Calculations[[#This Row],[For XLOOKUP]],Factors[For XLOOKUP],Factors[Factor],"")</f>
        <v>Σ.Ε. CO₂ eq</v>
      </c>
      <c r="O938" s="81">
        <f>_xlfn.XLOOKUP(Calculations[[#This Row],[For XLOOKUP]],Factors[For XLOOKUP],Factors[Value],"")</f>
        <v>0.24250848840336534</v>
      </c>
      <c r="P938" s="81" t="str">
        <f>_xlfn.XLOOKUP(Calculations[[#This Row],[For XLOOKUP]],Factors[For XLOOKUP],Factors[Units],"")</f>
        <v>tn CO2 eq/ tn</v>
      </c>
      <c r="Q938" s="19" t="str">
        <f>_xlfn.XLOOKUP(Calculations[[#This Row],[For XLOOKUP]],Factors[For XLOOKUP],Factors[Source],"")</f>
        <v>EPA 2024</v>
      </c>
      <c r="R93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8" s="81" t="str">
        <f>IF(LEFT(Calculations[[#This Row],[Emission Factor]],7)="Σ.Ε. CH",Calculations[[#This Row],[Value]]*Calculations[[#This Row],[Τιμή]],"-")</f>
        <v>-</v>
      </c>
      <c r="T93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8" s="81" t="str">
        <f>IF(LEFT(Calculations[[#This Row],[Emission Factor]],3)="GWP",Calculations[[#This Row],[Τιμή]],"-")</f>
        <v>-</v>
      </c>
      <c r="V938" s="247">
        <f>IF(OR(Calculations[[#This Row],[Emission Factor]]="Σ.Ε. CO₂ eq",Calculations[[#This Row],[Emission Factor]]="CO₂ eq"),Calculations[[#This Row],[Value]]*Calculations[[#This Row],[Τιμή]],"-")</f>
        <v>6.3052206984874987E-2</v>
      </c>
      <c r="W938" s="81" t="str">
        <f>IF(Calculations[[#This Row],[Πηγή εκπομπών]]="Electricity consumed in office buildings and projects - market based",Calculations[[#This Row],[t CO2]],"")</f>
        <v/>
      </c>
      <c r="X93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6.3052206984874987E-2</v>
      </c>
    </row>
    <row r="939" spans="1:24" hidden="1">
      <c r="A939" s="15" t="s">
        <v>350</v>
      </c>
      <c r="B939" s="15" t="s">
        <v>645</v>
      </c>
      <c r="C939" s="16" t="s">
        <v>624</v>
      </c>
      <c r="D939" s="77" t="s">
        <v>1273</v>
      </c>
      <c r="E939" s="77" t="s">
        <v>1142</v>
      </c>
      <c r="F939" s="16"/>
      <c r="G939" s="16" t="s">
        <v>646</v>
      </c>
      <c r="H939" s="15" t="s">
        <v>681</v>
      </c>
      <c r="I939" s="17" t="s">
        <v>343</v>
      </c>
      <c r="J939" s="79">
        <v>1.47610917303444E-2</v>
      </c>
      <c r="K939" s="18" t="s">
        <v>280</v>
      </c>
      <c r="L939" s="94" t="s">
        <v>694</v>
      </c>
      <c r="M939" s="148" t="s">
        <v>725</v>
      </c>
      <c r="N939" s="81" t="str">
        <f>_xlfn.XLOOKUP(Calculations[[#This Row],[For XLOOKUP]],Factors[For XLOOKUP],Factors[Factor],"")</f>
        <v>Σ.Ε. CO₂ eq</v>
      </c>
      <c r="O939" s="81">
        <f>_xlfn.XLOOKUP(Calculations[[#This Row],[For XLOOKUP]],Factors[For XLOOKUP],Factors[Value],"")</f>
        <v>0.24250848840336534</v>
      </c>
      <c r="P939" s="81" t="str">
        <f>_xlfn.XLOOKUP(Calculations[[#This Row],[For XLOOKUP]],Factors[For XLOOKUP],Factors[Units],"")</f>
        <v>tn CO2 eq/ tn</v>
      </c>
      <c r="Q939" s="19" t="str">
        <f>_xlfn.XLOOKUP(Calculations[[#This Row],[For XLOOKUP]],Factors[For XLOOKUP],Factors[Source],"")</f>
        <v>EPA 2024</v>
      </c>
      <c r="R93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9" s="81" t="str">
        <f>IF(LEFT(Calculations[[#This Row],[Emission Factor]],7)="Σ.Ε. CH",Calculations[[#This Row],[Value]]*Calculations[[#This Row],[Τιμή]],"-")</f>
        <v>-</v>
      </c>
      <c r="T93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9" s="81" t="str">
        <f>IF(LEFT(Calculations[[#This Row],[Emission Factor]],3)="GWP",Calculations[[#This Row],[Τιμή]],"-")</f>
        <v>-</v>
      </c>
      <c r="V939" s="247">
        <f>IF(OR(Calculations[[#This Row],[Emission Factor]]="Σ.Ε. CO₂ eq",Calculations[[#This Row],[Emission Factor]]="CO₂ eq"),Calculations[[#This Row],[Value]]*Calculations[[#This Row],[Τιμή]],"-")</f>
        <v>3.5796900427092367E-3</v>
      </c>
      <c r="W939" s="81" t="str">
        <f>IF(Calculations[[#This Row],[Πηγή εκπομπών]]="Electricity consumed in office buildings and projects - market based",Calculations[[#This Row],[t CO2]],"")</f>
        <v/>
      </c>
      <c r="X93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3.5796900427092367E-3</v>
      </c>
    </row>
    <row r="940" spans="1:24" hidden="1">
      <c r="A940" s="15" t="s">
        <v>350</v>
      </c>
      <c r="B940" s="15" t="s">
        <v>645</v>
      </c>
      <c r="C940" s="16" t="s">
        <v>624</v>
      </c>
      <c r="D940" s="77" t="s">
        <v>1276</v>
      </c>
      <c r="E940" s="77"/>
      <c r="F940" s="16"/>
      <c r="G940" s="16" t="s">
        <v>646</v>
      </c>
      <c r="H940" s="15" t="s">
        <v>681</v>
      </c>
      <c r="I940" s="17" t="s">
        <v>343</v>
      </c>
      <c r="J940" s="79">
        <v>584.2010600000001</v>
      </c>
      <c r="K940" s="18" t="s">
        <v>280</v>
      </c>
      <c r="L940" s="94" t="s">
        <v>694</v>
      </c>
      <c r="M940" s="148" t="s">
        <v>725</v>
      </c>
      <c r="N940" s="81" t="str">
        <f>_xlfn.XLOOKUP(Calculations[[#This Row],[For XLOOKUP]],Factors[For XLOOKUP],Factors[Factor],"")</f>
        <v>Σ.Ε. CO₂ eq</v>
      </c>
      <c r="O940" s="81">
        <f>_xlfn.XLOOKUP(Calculations[[#This Row],[For XLOOKUP]],Factors[For XLOOKUP],Factors[Value],"")</f>
        <v>0.24250848840336534</v>
      </c>
      <c r="P940" s="81" t="str">
        <f>_xlfn.XLOOKUP(Calculations[[#This Row],[For XLOOKUP]],Factors[For XLOOKUP],Factors[Units],"")</f>
        <v>tn CO2 eq/ tn</v>
      </c>
      <c r="Q940" s="19" t="str">
        <f>_xlfn.XLOOKUP(Calculations[[#This Row],[For XLOOKUP]],Factors[For XLOOKUP],Factors[Source],"")</f>
        <v>EPA 2024</v>
      </c>
      <c r="R94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0" s="81" t="str">
        <f>IF(LEFT(Calculations[[#This Row],[Emission Factor]],7)="Σ.Ε. CH",Calculations[[#This Row],[Value]]*Calculations[[#This Row],[Τιμή]],"-")</f>
        <v>-</v>
      </c>
      <c r="T94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0" s="81" t="str">
        <f>IF(LEFT(Calculations[[#This Row],[Emission Factor]],3)="GWP",Calculations[[#This Row],[Τιμή]],"-")</f>
        <v>-</v>
      </c>
      <c r="V940" s="247">
        <f>IF(OR(Calculations[[#This Row],[Emission Factor]]="Σ.Ε. CO₂ eq",Calculations[[#This Row],[Emission Factor]]="CO₂ eq"),Calculations[[#This Row],[Value]]*Calculations[[#This Row],[Τιμή]],"-")</f>
        <v>141.67371598424376</v>
      </c>
      <c r="W940" s="81" t="str">
        <f>IF(Calculations[[#This Row],[Πηγή εκπομπών]]="Electricity consumed in office buildings and projects - market based",Calculations[[#This Row],[t CO2]],"")</f>
        <v/>
      </c>
      <c r="X94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141.67371598424376</v>
      </c>
    </row>
    <row r="941" spans="1:24" hidden="1">
      <c r="A941" s="15" t="s">
        <v>350</v>
      </c>
      <c r="B941" s="15" t="s">
        <v>645</v>
      </c>
      <c r="C941" s="16" t="s">
        <v>327</v>
      </c>
      <c r="D941" s="16" t="s">
        <v>1276</v>
      </c>
      <c r="E941" s="77" t="s">
        <v>1187</v>
      </c>
      <c r="F941" s="16"/>
      <c r="G941" s="16" t="s">
        <v>646</v>
      </c>
      <c r="H941" s="15" t="s">
        <v>682</v>
      </c>
      <c r="I941" s="17" t="s">
        <v>343</v>
      </c>
      <c r="J941" s="79">
        <v>1673.88</v>
      </c>
      <c r="K941" s="18" t="s">
        <v>280</v>
      </c>
      <c r="L941" s="94" t="s">
        <v>699</v>
      </c>
      <c r="M941" s="148" t="s">
        <v>1043</v>
      </c>
      <c r="N941" s="81" t="str">
        <f>_xlfn.XLOOKUP(Calculations[[#This Row],[For XLOOKUP]],Factors[For XLOOKUP],Factors[Factor],"")</f>
        <v>Σ.Ε. CO₂ eq</v>
      </c>
      <c r="O941" s="81">
        <f>_xlfn.XLOOKUP(Calculations[[#This Row],[For XLOOKUP]],Factors[For XLOOKUP],Factors[Value],"")</f>
        <v>2.5794084675630673</v>
      </c>
      <c r="P941" s="81" t="str">
        <f>_xlfn.XLOOKUP(Calculations[[#This Row],[For XLOOKUP]],Factors[For XLOOKUP],Factors[Units],"")</f>
        <v>tn CO2 eq/ tn</v>
      </c>
      <c r="Q941" s="19" t="str">
        <f>_xlfn.XLOOKUP(Calculations[[#This Row],[For XLOOKUP]],Factors[For XLOOKUP],Factors[Source],"")</f>
        <v>EPA 2024</v>
      </c>
      <c r="R94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1" s="81" t="str">
        <f>IF(LEFT(Calculations[[#This Row],[Emission Factor]],7)="Σ.Ε. CH",Calculations[[#This Row],[Value]]*Calculations[[#This Row],[Τιμή]],"-")</f>
        <v>-</v>
      </c>
      <c r="T94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1" s="81" t="str">
        <f>IF(LEFT(Calculations[[#This Row],[Emission Factor]],3)="GWP",Calculations[[#This Row],[Τιμή]],"-")</f>
        <v>-</v>
      </c>
      <c r="V941" s="247">
        <f>IF(OR(Calculations[[#This Row],[Emission Factor]]="Σ.Ε. CO₂ eq",Calculations[[#This Row],[Emission Factor]]="CO₂ eq"),Calculations[[#This Row],[Value]]*Calculations[[#This Row],[Τιμή]],"-")</f>
        <v>4317.6202456844676</v>
      </c>
      <c r="W941" s="81" t="str">
        <f>IF(Calculations[[#This Row],[Πηγή εκπομπών]]="Electricity consumed in office buildings and projects - market based",Calculations[[#This Row],[t CO2]],"")</f>
        <v/>
      </c>
      <c r="X94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4317.6202456844676</v>
      </c>
    </row>
    <row r="942" spans="1:24" hidden="1">
      <c r="A942" s="15" t="s">
        <v>350</v>
      </c>
      <c r="B942" s="15" t="s">
        <v>645</v>
      </c>
      <c r="C942" s="16" t="s">
        <v>327</v>
      </c>
      <c r="D942" s="77" t="s">
        <v>1276</v>
      </c>
      <c r="E942" s="77" t="s">
        <v>1187</v>
      </c>
      <c r="F942" s="16"/>
      <c r="G942" s="16" t="s">
        <v>646</v>
      </c>
      <c r="H942" s="15" t="s">
        <v>682</v>
      </c>
      <c r="I942" s="17" t="s">
        <v>343</v>
      </c>
      <c r="J942" s="79">
        <v>2573.58</v>
      </c>
      <c r="K942" s="18" t="s">
        <v>280</v>
      </c>
      <c r="L942" s="94" t="s">
        <v>696</v>
      </c>
      <c r="M942" s="148" t="s">
        <v>1046</v>
      </c>
      <c r="N942" s="81" t="str">
        <f>_xlfn.XLOOKUP(Calculations[[#This Row],[For XLOOKUP]],Factors[For XLOOKUP],Factors[Factor],"")</f>
        <v>Σ.Ε. CO₂ eq</v>
      </c>
      <c r="O942" s="81">
        <f>_xlfn.XLOOKUP(Calculations[[#This Row],[For XLOOKUP]],Factors[For XLOOKUP],Factors[Value],"")</f>
        <v>8.8838600000000004E-3</v>
      </c>
      <c r="P942" s="81" t="str">
        <f>_xlfn.XLOOKUP(Calculations[[#This Row],[For XLOOKUP]],Factors[For XLOOKUP],Factors[Units],"")</f>
        <v>tn CO2 eq/ tn</v>
      </c>
      <c r="Q942" s="19" t="str">
        <f>_xlfn.XLOOKUP(Calculations[[#This Row],[For XLOOKUP]],Factors[For XLOOKUP],Factors[Source],"")</f>
        <v>DEFRA 2024</v>
      </c>
      <c r="R94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2" s="81" t="str">
        <f>IF(LEFT(Calculations[[#This Row],[Emission Factor]],7)="Σ.Ε. CH",Calculations[[#This Row],[Value]]*Calculations[[#This Row],[Τιμή]],"-")</f>
        <v>-</v>
      </c>
      <c r="T94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2" s="81" t="str">
        <f>IF(LEFT(Calculations[[#This Row],[Emission Factor]],3)="GWP",Calculations[[#This Row],[Τιμή]],"-")</f>
        <v>-</v>
      </c>
      <c r="V942" s="247">
        <f>IF(OR(Calculations[[#This Row],[Emission Factor]]="Σ.Ε. CO₂ eq",Calculations[[#This Row],[Emission Factor]]="CO₂ eq"),Calculations[[#This Row],[Value]]*Calculations[[#This Row],[Τιμή]],"-")</f>
        <v>22.863324418800001</v>
      </c>
      <c r="W942" s="81" t="str">
        <f>IF(Calculations[[#This Row],[Πηγή εκπομπών]]="Electricity consumed in office buildings and projects - market based",Calculations[[#This Row],[t CO2]],"")</f>
        <v/>
      </c>
      <c r="X94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22.863324418800001</v>
      </c>
    </row>
    <row r="943" spans="1:24" hidden="1">
      <c r="A943" s="15" t="s">
        <v>350</v>
      </c>
      <c r="B943" s="15" t="s">
        <v>645</v>
      </c>
      <c r="C943" s="16" t="s">
        <v>327</v>
      </c>
      <c r="D943" s="77" t="s">
        <v>1276</v>
      </c>
      <c r="E943" s="77" t="s">
        <v>1187</v>
      </c>
      <c r="F943" s="16"/>
      <c r="G943" s="16" t="s">
        <v>646</v>
      </c>
      <c r="H943" s="15" t="s">
        <v>682</v>
      </c>
      <c r="I943" s="17" t="s">
        <v>343</v>
      </c>
      <c r="J943" s="79">
        <v>1881.1000000000001</v>
      </c>
      <c r="K943" s="18" t="s">
        <v>280</v>
      </c>
      <c r="L943" s="94" t="s">
        <v>694</v>
      </c>
      <c r="M943" s="148" t="s">
        <v>725</v>
      </c>
      <c r="N943" s="81" t="str">
        <f>_xlfn.XLOOKUP(Calculations[[#This Row],[For XLOOKUP]],Factors[For XLOOKUP],Factors[Factor],"")</f>
        <v>Σ.Ε. CO₂ eq</v>
      </c>
      <c r="O943" s="81">
        <f>_xlfn.XLOOKUP(Calculations[[#This Row],[For XLOOKUP]],Factors[For XLOOKUP],Factors[Value],"")</f>
        <v>0.24250848840336534</v>
      </c>
      <c r="P943" s="81" t="str">
        <f>_xlfn.XLOOKUP(Calculations[[#This Row],[For XLOOKUP]],Factors[For XLOOKUP],Factors[Units],"")</f>
        <v>tn CO2 eq/ tn</v>
      </c>
      <c r="Q943" s="19" t="str">
        <f>_xlfn.XLOOKUP(Calculations[[#This Row],[For XLOOKUP]],Factors[For XLOOKUP],Factors[Source],"")</f>
        <v>EPA 2024</v>
      </c>
      <c r="R94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3" s="81" t="str">
        <f>IF(LEFT(Calculations[[#This Row],[Emission Factor]],7)="Σ.Ε. CH",Calculations[[#This Row],[Value]]*Calculations[[#This Row],[Τιμή]],"-")</f>
        <v>-</v>
      </c>
      <c r="T94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3" s="81" t="str">
        <f>IF(LEFT(Calculations[[#This Row],[Emission Factor]],3)="GWP",Calculations[[#This Row],[Τιμή]],"-")</f>
        <v>-</v>
      </c>
      <c r="V943" s="247">
        <f>IF(OR(Calculations[[#This Row],[Emission Factor]]="Σ.Ε. CO₂ eq",Calculations[[#This Row],[Emission Factor]]="CO₂ eq"),Calculations[[#This Row],[Value]]*Calculations[[#This Row],[Τιμή]],"-")</f>
        <v>456.18271753557059</v>
      </c>
      <c r="W943" s="81" t="str">
        <f>IF(Calculations[[#This Row],[Πηγή εκπομπών]]="Electricity consumed in office buildings and projects - market based",Calculations[[#This Row],[t CO2]],"")</f>
        <v/>
      </c>
      <c r="X94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456.18271753557059</v>
      </c>
    </row>
    <row r="944" spans="1:24" hidden="1">
      <c r="A944" s="15" t="s">
        <v>350</v>
      </c>
      <c r="B944" s="15" t="s">
        <v>645</v>
      </c>
      <c r="C944" s="16" t="s">
        <v>624</v>
      </c>
      <c r="D944" s="16" t="s">
        <v>1276</v>
      </c>
      <c r="E944" s="16"/>
      <c r="F944" s="16"/>
      <c r="G944" s="16" t="s">
        <v>646</v>
      </c>
      <c r="H944" s="15" t="s">
        <v>682</v>
      </c>
      <c r="I944" s="17" t="s">
        <v>343</v>
      </c>
      <c r="J944" s="79">
        <v>4351.29</v>
      </c>
      <c r="K944" s="18" t="s">
        <v>280</v>
      </c>
      <c r="L944" s="94" t="s">
        <v>696</v>
      </c>
      <c r="M944" s="148" t="s">
        <v>1046</v>
      </c>
      <c r="N944" s="81" t="str">
        <f>_xlfn.XLOOKUP(Calculations[[#This Row],[For XLOOKUP]],Factors[For XLOOKUP],Factors[Factor],"")</f>
        <v>Σ.Ε. CO₂ eq</v>
      </c>
      <c r="O944" s="81">
        <f>_xlfn.XLOOKUP(Calculations[[#This Row],[For XLOOKUP]],Factors[For XLOOKUP],Factors[Value],"")</f>
        <v>8.8838600000000004E-3</v>
      </c>
      <c r="P944" s="81" t="str">
        <f>_xlfn.XLOOKUP(Calculations[[#This Row],[For XLOOKUP]],Factors[For XLOOKUP],Factors[Units],"")</f>
        <v>tn CO2 eq/ tn</v>
      </c>
      <c r="Q944" s="19" t="str">
        <f>_xlfn.XLOOKUP(Calculations[[#This Row],[For XLOOKUP]],Factors[For XLOOKUP],Factors[Source],"")</f>
        <v>DEFRA 2024</v>
      </c>
      <c r="R94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4" s="81" t="str">
        <f>IF(LEFT(Calculations[[#This Row],[Emission Factor]],7)="Σ.Ε. CH",Calculations[[#This Row],[Value]]*Calculations[[#This Row],[Τιμή]],"-")</f>
        <v>-</v>
      </c>
      <c r="T94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4" s="81" t="str">
        <f>IF(LEFT(Calculations[[#This Row],[Emission Factor]],3)="GWP",Calculations[[#This Row],[Τιμή]],"-")</f>
        <v>-</v>
      </c>
      <c r="V944" s="247">
        <f>IF(OR(Calculations[[#This Row],[Emission Factor]]="Σ.Ε. CO₂ eq",Calculations[[#This Row],[Emission Factor]]="CO₂ eq"),Calculations[[#This Row],[Value]]*Calculations[[#This Row],[Τιμή]],"-")</f>
        <v>38.656251179400002</v>
      </c>
      <c r="W944" s="81" t="str">
        <f>IF(Calculations[[#This Row],[Πηγή εκπομπών]]="Electricity consumed in office buildings and projects - market based",Calculations[[#This Row],[t CO2]],"")</f>
        <v/>
      </c>
      <c r="X94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38.656251179400002</v>
      </c>
    </row>
    <row r="945" spans="1:24" hidden="1">
      <c r="A945" s="15" t="s">
        <v>350</v>
      </c>
      <c r="B945" s="15" t="s">
        <v>645</v>
      </c>
      <c r="C945" s="16" t="s">
        <v>624</v>
      </c>
      <c r="D945" s="77" t="s">
        <v>1276</v>
      </c>
      <c r="E945" s="77"/>
      <c r="F945" s="16"/>
      <c r="G945" s="16" t="s">
        <v>646</v>
      </c>
      <c r="H945" s="15" t="s">
        <v>682</v>
      </c>
      <c r="I945" s="17" t="s">
        <v>343</v>
      </c>
      <c r="J945" s="79">
        <v>2152.2179999999998</v>
      </c>
      <c r="K945" s="18" t="s">
        <v>280</v>
      </c>
      <c r="L945" s="94" t="s">
        <v>694</v>
      </c>
      <c r="M945" s="148" t="s">
        <v>725</v>
      </c>
      <c r="N945" s="81" t="str">
        <f>_xlfn.XLOOKUP(Calculations[[#This Row],[For XLOOKUP]],Factors[For XLOOKUP],Factors[Factor],"")</f>
        <v>Σ.Ε. CO₂ eq</v>
      </c>
      <c r="O945" s="81">
        <f>_xlfn.XLOOKUP(Calculations[[#This Row],[For XLOOKUP]],Factors[For XLOOKUP],Factors[Value],"")</f>
        <v>0.24250848840336534</v>
      </c>
      <c r="P945" s="81" t="str">
        <f>_xlfn.XLOOKUP(Calculations[[#This Row],[For XLOOKUP]],Factors[For XLOOKUP],Factors[Units],"")</f>
        <v>tn CO2 eq/ tn</v>
      </c>
      <c r="Q945" s="19" t="str">
        <f>_xlfn.XLOOKUP(Calculations[[#This Row],[For XLOOKUP]],Factors[For XLOOKUP],Factors[Source],"")</f>
        <v>EPA 2024</v>
      </c>
      <c r="R94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5" s="81" t="str">
        <f>IF(LEFT(Calculations[[#This Row],[Emission Factor]],7)="Σ.Ε. CH",Calculations[[#This Row],[Value]]*Calculations[[#This Row],[Τιμή]],"-")</f>
        <v>-</v>
      </c>
      <c r="T94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5" s="81" t="str">
        <f>IF(LEFT(Calculations[[#This Row],[Emission Factor]],3)="GWP",Calculations[[#This Row],[Τιμή]],"-")</f>
        <v>-</v>
      </c>
      <c r="V945" s="247">
        <f>IF(OR(Calculations[[#This Row],[Emission Factor]]="Σ.Ε. CO₂ eq",Calculations[[#This Row],[Emission Factor]]="CO₂ eq"),Calculations[[#This Row],[Value]]*Calculations[[#This Row],[Τιμή]],"-")</f>
        <v>521.93113389451412</v>
      </c>
      <c r="W945" s="81" t="str">
        <f>IF(Calculations[[#This Row],[Πηγή εκπομπών]]="Electricity consumed in office buildings and projects - market based",Calculations[[#This Row],[t CO2]],"")</f>
        <v/>
      </c>
      <c r="X94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521.93113389451412</v>
      </c>
    </row>
    <row r="946" spans="1:24" hidden="1">
      <c r="A946" s="15" t="s">
        <v>350</v>
      </c>
      <c r="B946" s="15" t="s">
        <v>645</v>
      </c>
      <c r="C946" s="16" t="s">
        <v>624</v>
      </c>
      <c r="D946" s="16" t="s">
        <v>1276</v>
      </c>
      <c r="E946" s="77"/>
      <c r="F946" s="16"/>
      <c r="G946" s="16" t="s">
        <v>646</v>
      </c>
      <c r="H946" s="15" t="s">
        <v>1378</v>
      </c>
      <c r="I946" s="17" t="s">
        <v>343</v>
      </c>
      <c r="J946" s="79">
        <v>589.95349999999996</v>
      </c>
      <c r="K946" s="18" t="s">
        <v>280</v>
      </c>
      <c r="L946" s="94" t="s">
        <v>694</v>
      </c>
      <c r="M946" s="148" t="s">
        <v>727</v>
      </c>
      <c r="N946" s="81" t="str">
        <f>_xlfn.XLOOKUP(Calculations[[#This Row],[For XLOOKUP]],Factors[For XLOOKUP],Factors[Factor],"")</f>
        <v>Σ.Ε. CO₂ eq</v>
      </c>
      <c r="O946" s="81">
        <f>_xlfn.XLOOKUP(Calculations[[#This Row],[For XLOOKUP]],Factors[For XLOOKUP],Factors[Value],"")</f>
        <v>0.23148537529412144</v>
      </c>
      <c r="P946" s="81" t="str">
        <f>_xlfn.XLOOKUP(Calculations[[#This Row],[For XLOOKUP]],Factors[For XLOOKUP],Factors[Units],"")</f>
        <v>tn CO2 eq/ tn</v>
      </c>
      <c r="Q946" s="19" t="str">
        <f>_xlfn.XLOOKUP(Calculations[[#This Row],[For XLOOKUP]],Factors[For XLOOKUP],Factors[Source],"")</f>
        <v>EPA 2024</v>
      </c>
      <c r="R94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6" s="81" t="str">
        <f>IF(LEFT(Calculations[[#This Row],[Emission Factor]],7)="Σ.Ε. CH",Calculations[[#This Row],[Value]]*Calculations[[#This Row],[Τιμή]],"-")</f>
        <v>-</v>
      </c>
      <c r="T94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6" s="81" t="str">
        <f>IF(LEFT(Calculations[[#This Row],[Emission Factor]],3)="GWP",Calculations[[#This Row],[Τιμή]],"-")</f>
        <v>-</v>
      </c>
      <c r="V946" s="247">
        <f>IF(OR(Calculations[[#This Row],[Emission Factor]]="Σ.Ε. CO₂ eq",Calculations[[#This Row],[Emission Factor]]="CO₂ eq"),Calculations[[#This Row],[Value]]*Calculations[[#This Row],[Τιμή]],"-")</f>
        <v>136.56560735358048</v>
      </c>
      <c r="W946" s="81" t="str">
        <f>IF(Calculations[[#This Row],[Πηγή εκπομπών]]="Electricity consumed in office buildings and projects - market based",Calculations[[#This Row],[t CO2]],"")</f>
        <v/>
      </c>
      <c r="X94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136.56560735358048</v>
      </c>
    </row>
    <row r="947" spans="1:24" hidden="1">
      <c r="A947" s="15" t="s">
        <v>350</v>
      </c>
      <c r="B947" s="15" t="s">
        <v>645</v>
      </c>
      <c r="C947" s="16" t="s">
        <v>624</v>
      </c>
      <c r="D947" s="16" t="s">
        <v>1276</v>
      </c>
      <c r="E947" s="77"/>
      <c r="F947" s="16"/>
      <c r="G947" s="16" t="s">
        <v>646</v>
      </c>
      <c r="H947" s="15" t="s">
        <v>683</v>
      </c>
      <c r="I947" s="17" t="s">
        <v>343</v>
      </c>
      <c r="J947" s="79">
        <v>1443.48</v>
      </c>
      <c r="K947" s="18" t="s">
        <v>280</v>
      </c>
      <c r="L947" s="94" t="s">
        <v>694</v>
      </c>
      <c r="M947" s="148" t="s">
        <v>725</v>
      </c>
      <c r="N947" s="81" t="str">
        <f>_xlfn.XLOOKUP(Calculations[[#This Row],[For XLOOKUP]],Factors[For XLOOKUP],Factors[Factor],"")</f>
        <v>Σ.Ε. CO₂ eq</v>
      </c>
      <c r="O947" s="81">
        <f>_xlfn.XLOOKUP(Calculations[[#This Row],[For XLOOKUP]],Factors[For XLOOKUP],Factors[Value],"")</f>
        <v>0.24250848840336534</v>
      </c>
      <c r="P947" s="81" t="str">
        <f>_xlfn.XLOOKUP(Calculations[[#This Row],[For XLOOKUP]],Factors[For XLOOKUP],Factors[Units],"")</f>
        <v>tn CO2 eq/ tn</v>
      </c>
      <c r="Q947" s="19" t="str">
        <f>_xlfn.XLOOKUP(Calculations[[#This Row],[For XLOOKUP]],Factors[For XLOOKUP],Factors[Source],"")</f>
        <v>EPA 2024</v>
      </c>
      <c r="R94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7" s="81" t="str">
        <f>IF(LEFT(Calculations[[#This Row],[Emission Factor]],7)="Σ.Ε. CH",Calculations[[#This Row],[Value]]*Calculations[[#This Row],[Τιμή]],"-")</f>
        <v>-</v>
      </c>
      <c r="T94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7" s="81" t="str">
        <f>IF(LEFT(Calculations[[#This Row],[Emission Factor]],3)="GWP",Calculations[[#This Row],[Τιμή]],"-")</f>
        <v>-</v>
      </c>
      <c r="V947" s="247">
        <f>IF(OR(Calculations[[#This Row],[Emission Factor]]="Σ.Ε. CO₂ eq",Calculations[[#This Row],[Emission Factor]]="CO₂ eq"),Calculations[[#This Row],[Value]]*Calculations[[#This Row],[Τιμή]],"-")</f>
        <v>350.0561528404898</v>
      </c>
      <c r="W947" s="81" t="str">
        <f>IF(Calculations[[#This Row],[Πηγή εκπομπών]]="Electricity consumed in office buildings and projects - market based",Calculations[[#This Row],[t CO2]],"")</f>
        <v/>
      </c>
      <c r="X94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350.0561528404898</v>
      </c>
    </row>
    <row r="948" spans="1:24" hidden="1">
      <c r="A948" s="15" t="s">
        <v>350</v>
      </c>
      <c r="B948" s="15" t="s">
        <v>645</v>
      </c>
      <c r="C948" s="16" t="s">
        <v>327</v>
      </c>
      <c r="D948" s="16" t="s">
        <v>1276</v>
      </c>
      <c r="E948" s="77" t="s">
        <v>1187</v>
      </c>
      <c r="F948" s="16"/>
      <c r="G948" s="16" t="s">
        <v>646</v>
      </c>
      <c r="H948" s="15" t="s">
        <v>684</v>
      </c>
      <c r="I948" s="17" t="s">
        <v>343</v>
      </c>
      <c r="J948" s="79">
        <v>3277.28</v>
      </c>
      <c r="K948" s="18" t="s">
        <v>280</v>
      </c>
      <c r="L948" s="94" t="s">
        <v>694</v>
      </c>
      <c r="M948" s="148" t="s">
        <v>1047</v>
      </c>
      <c r="N948" s="81" t="str">
        <f>_xlfn.XLOOKUP(Calculations[[#This Row],[For XLOOKUP]],Factors[For XLOOKUP],Factors[Factor],"")</f>
        <v>Σ.Ε. CO₂ eq</v>
      </c>
      <c r="O948" s="81">
        <f>_xlfn.XLOOKUP(Calculations[[#This Row],[For XLOOKUP]],Factors[For XLOOKUP],Factors[Value],"")</f>
        <v>0.25353160151260923</v>
      </c>
      <c r="P948" s="81" t="str">
        <f>_xlfn.XLOOKUP(Calculations[[#This Row],[For XLOOKUP]],Factors[For XLOOKUP],Factors[Units],"")</f>
        <v>tn CO2 eq/ tn</v>
      </c>
      <c r="Q948" s="19" t="str">
        <f>_xlfn.XLOOKUP(Calculations[[#This Row],[For XLOOKUP]],Factors[For XLOOKUP],Factors[Source],"")</f>
        <v>EPA 2024</v>
      </c>
      <c r="R94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8" s="81" t="str">
        <f>IF(LEFT(Calculations[[#This Row],[Emission Factor]],7)="Σ.Ε. CH",Calculations[[#This Row],[Value]]*Calculations[[#This Row],[Τιμή]],"-")</f>
        <v>-</v>
      </c>
      <c r="T94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8" s="81" t="str">
        <f>IF(LEFT(Calculations[[#This Row],[Emission Factor]],3)="GWP",Calculations[[#This Row],[Τιμή]],"-")</f>
        <v>-</v>
      </c>
      <c r="V948" s="247">
        <f>IF(OR(Calculations[[#This Row],[Emission Factor]]="Σ.Ε. CO₂ eq",Calculations[[#This Row],[Emission Factor]]="CO₂ eq"),Calculations[[#This Row],[Value]]*Calculations[[#This Row],[Τιμή]],"-")</f>
        <v>830.89404700524403</v>
      </c>
      <c r="W948" s="81" t="str">
        <f>IF(Calculations[[#This Row],[Πηγή εκπομπών]]="Electricity consumed in office buildings and projects - market based",Calculations[[#This Row],[t CO2]],"")</f>
        <v/>
      </c>
      <c r="X94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830.89404700524403</v>
      </c>
    </row>
    <row r="949" spans="1:24" hidden="1">
      <c r="A949" s="15" t="s">
        <v>350</v>
      </c>
      <c r="B949" s="15" t="s">
        <v>645</v>
      </c>
      <c r="C949" s="16" t="s">
        <v>624</v>
      </c>
      <c r="D949" s="16" t="s">
        <v>1276</v>
      </c>
      <c r="E949" s="16"/>
      <c r="F949" s="16"/>
      <c r="G949" s="16" t="s">
        <v>646</v>
      </c>
      <c r="H949" s="15" t="s">
        <v>684</v>
      </c>
      <c r="I949" s="17" t="s">
        <v>343</v>
      </c>
      <c r="J949" s="79">
        <v>7216.4790000000003</v>
      </c>
      <c r="K949" s="18" t="s">
        <v>280</v>
      </c>
      <c r="L949" s="94" t="s">
        <v>694</v>
      </c>
      <c r="M949" s="148" t="s">
        <v>1047</v>
      </c>
      <c r="N949" s="81" t="str">
        <f>_xlfn.XLOOKUP(Calculations[[#This Row],[For XLOOKUP]],Factors[For XLOOKUP],Factors[Factor],"")</f>
        <v>Σ.Ε. CO₂ eq</v>
      </c>
      <c r="O949" s="81">
        <f>_xlfn.XLOOKUP(Calculations[[#This Row],[For XLOOKUP]],Factors[For XLOOKUP],Factors[Value],"")</f>
        <v>0.25353160151260923</v>
      </c>
      <c r="P949" s="81" t="str">
        <f>_xlfn.XLOOKUP(Calculations[[#This Row],[For XLOOKUP]],Factors[For XLOOKUP],Factors[Units],"")</f>
        <v>tn CO2 eq/ tn</v>
      </c>
      <c r="Q949" s="19" t="str">
        <f>_xlfn.XLOOKUP(Calculations[[#This Row],[For XLOOKUP]],Factors[For XLOOKUP],Factors[Source],"")</f>
        <v>EPA 2024</v>
      </c>
      <c r="R94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9" s="81" t="str">
        <f>IF(LEFT(Calculations[[#This Row],[Emission Factor]],7)="Σ.Ε. CH",Calculations[[#This Row],[Value]]*Calculations[[#This Row],[Τιμή]],"-")</f>
        <v>-</v>
      </c>
      <c r="T94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9" s="81" t="str">
        <f>IF(LEFT(Calculations[[#This Row],[Emission Factor]],3)="GWP",Calculations[[#This Row],[Τιμή]],"-")</f>
        <v>-</v>
      </c>
      <c r="V949" s="247">
        <f>IF(OR(Calculations[[#This Row],[Emission Factor]]="Σ.Ε. CO₂ eq",Calculations[[#This Row],[Emission Factor]]="CO₂ eq"),Calculations[[#This Row],[Value]]*Calculations[[#This Row],[Τιμή]],"-")</f>
        <v>1829.6054781521127</v>
      </c>
      <c r="W949" s="81" t="str">
        <f>IF(Calculations[[#This Row],[Πηγή εκπομπών]]="Electricity consumed in office buildings and projects - market based",Calculations[[#This Row],[t CO2]],"")</f>
        <v/>
      </c>
      <c r="X94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1829.6054781521127</v>
      </c>
    </row>
    <row r="950" spans="1:24" hidden="1">
      <c r="A950" s="15" t="s">
        <v>350</v>
      </c>
      <c r="B950" s="15" t="s">
        <v>645</v>
      </c>
      <c r="C950" s="16" t="s">
        <v>624</v>
      </c>
      <c r="D950" s="77" t="s">
        <v>1276</v>
      </c>
      <c r="E950" s="77"/>
      <c r="F950" s="16"/>
      <c r="G950" s="16" t="s">
        <v>646</v>
      </c>
      <c r="H950" s="15" t="s">
        <v>685</v>
      </c>
      <c r="I950" s="17" t="s">
        <v>343</v>
      </c>
      <c r="J950" s="79">
        <v>2555.5299999999997</v>
      </c>
      <c r="K950" s="18" t="s">
        <v>280</v>
      </c>
      <c r="L950" s="94" t="s">
        <v>694</v>
      </c>
      <c r="M950" s="148" t="s">
        <v>725</v>
      </c>
      <c r="N950" s="81" t="str">
        <f>_xlfn.XLOOKUP(Calculations[[#This Row],[For XLOOKUP]],Factors[For XLOOKUP],Factors[Factor],"")</f>
        <v>Σ.Ε. CO₂ eq</v>
      </c>
      <c r="O950" s="81">
        <f>_xlfn.XLOOKUP(Calculations[[#This Row],[For XLOOKUP]],Factors[For XLOOKUP],Factors[Value],"")</f>
        <v>0.24250848840336534</v>
      </c>
      <c r="P950" s="81" t="str">
        <f>_xlfn.XLOOKUP(Calculations[[#This Row],[For XLOOKUP]],Factors[For XLOOKUP],Factors[Units],"")</f>
        <v>tn CO2 eq/ tn</v>
      </c>
      <c r="Q950" s="19" t="str">
        <f>_xlfn.XLOOKUP(Calculations[[#This Row],[For XLOOKUP]],Factors[For XLOOKUP],Factors[Source],"")</f>
        <v>EPA 2024</v>
      </c>
      <c r="R95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0" s="81" t="str">
        <f>IF(LEFT(Calculations[[#This Row],[Emission Factor]],7)="Σ.Ε. CH",Calculations[[#This Row],[Value]]*Calculations[[#This Row],[Τιμή]],"-")</f>
        <v>-</v>
      </c>
      <c r="T95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0" s="81" t="str">
        <f>IF(LEFT(Calculations[[#This Row],[Emission Factor]],3)="GWP",Calculations[[#This Row],[Τιμή]],"-")</f>
        <v>-</v>
      </c>
      <c r="V950" s="247">
        <f>IF(OR(Calculations[[#This Row],[Emission Factor]]="Σ.Ε. CO₂ eq",Calculations[[#This Row],[Emission Factor]]="CO₂ eq"),Calculations[[#This Row],[Value]]*Calculations[[#This Row],[Τιμή]],"-")</f>
        <v>619.73771736945218</v>
      </c>
      <c r="W950" s="81" t="str">
        <f>IF(Calculations[[#This Row],[Πηγή εκπομπών]]="Electricity consumed in office buildings and projects - market based",Calculations[[#This Row],[t CO2]],"")</f>
        <v/>
      </c>
      <c r="X95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619.73771736945218</v>
      </c>
    </row>
    <row r="951" spans="1:24" hidden="1">
      <c r="A951" s="15" t="s">
        <v>350</v>
      </c>
      <c r="B951" s="15" t="s">
        <v>645</v>
      </c>
      <c r="C951" s="16" t="s">
        <v>624</v>
      </c>
      <c r="D951" s="16" t="s">
        <v>1255</v>
      </c>
      <c r="E951" s="77" t="s">
        <v>1151</v>
      </c>
      <c r="F951" s="77"/>
      <c r="G951" s="16" t="s">
        <v>646</v>
      </c>
      <c r="H951" s="15" t="s">
        <v>1365</v>
      </c>
      <c r="I951" s="17" t="s">
        <v>343</v>
      </c>
      <c r="J951" s="79">
        <v>0.47467000000000004</v>
      </c>
      <c r="K951" s="18" t="s">
        <v>280</v>
      </c>
      <c r="L951" s="94" t="s">
        <v>700</v>
      </c>
      <c r="M951" s="148" t="s">
        <v>728</v>
      </c>
      <c r="N951" s="81" t="str">
        <f>_xlfn.XLOOKUP(Calculations[[#This Row],[For XLOOKUP]],Factors[For XLOOKUP],Factors[Factor],"")</f>
        <v>Σ.Ε. CO₂ eq</v>
      </c>
      <c r="O951" s="81">
        <f>_xlfn.XLOOKUP(Calculations[[#This Row],[For XLOOKUP]],Factors[For XLOOKUP],Factors[Value],"")</f>
        <v>1.05157427048723</v>
      </c>
      <c r="P951" s="81" t="str">
        <f>_xlfn.XLOOKUP(Calculations[[#This Row],[For XLOOKUP]],Factors[For XLOOKUP],Factors[Units],"")</f>
        <v>tn CO2 eq/ tn</v>
      </c>
      <c r="Q951" s="19" t="str">
        <f>_xlfn.XLOOKUP(Calculations[[#This Row],[For XLOOKUP]],Factors[For XLOOKUP],Factors[Source],"")</f>
        <v>Ecoinvent 3.11</v>
      </c>
      <c r="R95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1" s="81" t="str">
        <f>IF(LEFT(Calculations[[#This Row],[Emission Factor]],7)="Σ.Ε. CH",Calculations[[#This Row],[Value]]*Calculations[[#This Row],[Τιμή]],"-")</f>
        <v>-</v>
      </c>
      <c r="T95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1" s="81" t="str">
        <f>IF(LEFT(Calculations[[#This Row],[Emission Factor]],3)="GWP",Calculations[[#This Row],[Τιμή]],"-")</f>
        <v>-</v>
      </c>
      <c r="V951" s="247">
        <f>IF(OR(Calculations[[#This Row],[Emission Factor]]="Σ.Ε. CO₂ eq",Calculations[[#This Row],[Emission Factor]]="CO₂ eq"),Calculations[[#This Row],[Value]]*Calculations[[#This Row],[Τιμή]],"-")</f>
        <v>0.49915075897217348</v>
      </c>
      <c r="W951" s="81" t="str">
        <f>IF(Calculations[[#This Row],[Πηγή εκπομπών]]="Electricity consumed in office buildings and projects - market based",Calculations[[#This Row],[t CO2]],"")</f>
        <v/>
      </c>
      <c r="X95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0.49915075897217348</v>
      </c>
    </row>
    <row r="952" spans="1:24" hidden="1">
      <c r="A952" s="15" t="s">
        <v>350</v>
      </c>
      <c r="B952" s="15" t="s">
        <v>645</v>
      </c>
      <c r="C952" s="16" t="s">
        <v>624</v>
      </c>
      <c r="D952" s="77" t="s">
        <v>1273</v>
      </c>
      <c r="E952" s="77" t="s">
        <v>1137</v>
      </c>
      <c r="F952" s="16"/>
      <c r="G952" s="16" t="s">
        <v>646</v>
      </c>
      <c r="H952" s="15" t="s">
        <v>1365</v>
      </c>
      <c r="I952" s="17" t="s">
        <v>343</v>
      </c>
      <c r="J952" s="79">
        <v>1.1703299999999999</v>
      </c>
      <c r="K952" s="18" t="s">
        <v>280</v>
      </c>
      <c r="L952" s="94" t="s">
        <v>700</v>
      </c>
      <c r="M952" s="148" t="s">
        <v>728</v>
      </c>
      <c r="N952" s="81" t="str">
        <f>_xlfn.XLOOKUP(Calculations[[#This Row],[For XLOOKUP]],Factors[For XLOOKUP],Factors[Factor],"")</f>
        <v>Σ.Ε. CO₂ eq</v>
      </c>
      <c r="O952" s="81">
        <f>_xlfn.XLOOKUP(Calculations[[#This Row],[For XLOOKUP]],Factors[For XLOOKUP],Factors[Value],"")</f>
        <v>1.05157427048723</v>
      </c>
      <c r="P952" s="81" t="str">
        <f>_xlfn.XLOOKUP(Calculations[[#This Row],[For XLOOKUP]],Factors[For XLOOKUP],Factors[Units],"")</f>
        <v>tn CO2 eq/ tn</v>
      </c>
      <c r="Q952" s="19" t="str">
        <f>_xlfn.XLOOKUP(Calculations[[#This Row],[For XLOOKUP]],Factors[For XLOOKUP],Factors[Source],"")</f>
        <v>Ecoinvent 3.11</v>
      </c>
      <c r="R95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2" s="81" t="str">
        <f>IF(LEFT(Calculations[[#This Row],[Emission Factor]],7)="Σ.Ε. CH",Calculations[[#This Row],[Value]]*Calculations[[#This Row],[Τιμή]],"-")</f>
        <v>-</v>
      </c>
      <c r="T95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2" s="81" t="str">
        <f>IF(LEFT(Calculations[[#This Row],[Emission Factor]],3)="GWP",Calculations[[#This Row],[Τιμή]],"-")</f>
        <v>-</v>
      </c>
      <c r="V952" s="247">
        <f>IF(OR(Calculations[[#This Row],[Emission Factor]]="Σ.Ε. CO₂ eq",Calculations[[#This Row],[Emission Factor]]="CO₂ eq"),Calculations[[#This Row],[Value]]*Calculations[[#This Row],[Τιμή]],"-")</f>
        <v>1.2306889159793197</v>
      </c>
      <c r="W952" s="81" t="str">
        <f>IF(Calculations[[#This Row],[Πηγή εκπομπών]]="Electricity consumed in office buildings and projects - market based",Calculations[[#This Row],[t CO2]],"")</f>
        <v/>
      </c>
      <c r="X95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1.2306889159793197</v>
      </c>
    </row>
    <row r="953" spans="1:24" hidden="1">
      <c r="A953" s="15" t="s">
        <v>350</v>
      </c>
      <c r="B953" s="15" t="s">
        <v>645</v>
      </c>
      <c r="C953" s="16" t="s">
        <v>624</v>
      </c>
      <c r="D953" s="77" t="s">
        <v>1276</v>
      </c>
      <c r="E953" s="77"/>
      <c r="F953" s="16"/>
      <c r="G953" s="16" t="s">
        <v>646</v>
      </c>
      <c r="H953" s="15" t="s">
        <v>1365</v>
      </c>
      <c r="I953" s="17" t="s">
        <v>343</v>
      </c>
      <c r="J953" s="79">
        <v>0.222</v>
      </c>
      <c r="K953" s="18" t="s">
        <v>280</v>
      </c>
      <c r="L953" s="94" t="s">
        <v>700</v>
      </c>
      <c r="M953" s="148" t="s">
        <v>728</v>
      </c>
      <c r="N953" s="81" t="str">
        <f>_xlfn.XLOOKUP(Calculations[[#This Row],[For XLOOKUP]],Factors[For XLOOKUP],Factors[Factor],"")</f>
        <v>Σ.Ε. CO₂ eq</v>
      </c>
      <c r="O953" s="81">
        <f>_xlfn.XLOOKUP(Calculations[[#This Row],[For XLOOKUP]],Factors[For XLOOKUP],Factors[Value],"")</f>
        <v>1.05157427048723</v>
      </c>
      <c r="P953" s="81" t="str">
        <f>_xlfn.XLOOKUP(Calculations[[#This Row],[For XLOOKUP]],Factors[For XLOOKUP],Factors[Units],"")</f>
        <v>tn CO2 eq/ tn</v>
      </c>
      <c r="Q953" s="19" t="str">
        <f>_xlfn.XLOOKUP(Calculations[[#This Row],[For XLOOKUP]],Factors[For XLOOKUP],Factors[Source],"")</f>
        <v>Ecoinvent 3.11</v>
      </c>
      <c r="R95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3" s="81" t="str">
        <f>IF(LEFT(Calculations[[#This Row],[Emission Factor]],7)="Σ.Ε. CH",Calculations[[#This Row],[Value]]*Calculations[[#This Row],[Τιμή]],"-")</f>
        <v>-</v>
      </c>
      <c r="T95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3" s="81" t="str">
        <f>IF(LEFT(Calculations[[#This Row],[Emission Factor]],3)="GWP",Calculations[[#This Row],[Τιμή]],"-")</f>
        <v>-</v>
      </c>
      <c r="V953" s="247">
        <f>IF(OR(Calculations[[#This Row],[Emission Factor]]="Σ.Ε. CO₂ eq",Calculations[[#This Row],[Emission Factor]]="CO₂ eq"),Calculations[[#This Row],[Value]]*Calculations[[#This Row],[Τιμή]],"-")</f>
        <v>0.23344948804816507</v>
      </c>
      <c r="W953" s="81" t="str">
        <f>IF(Calculations[[#This Row],[Πηγή εκπομπών]]="Electricity consumed in office buildings and projects - market based",Calculations[[#This Row],[t CO2]],"")</f>
        <v/>
      </c>
      <c r="X95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0.23344948804816507</v>
      </c>
    </row>
    <row r="954" spans="1:24" hidden="1">
      <c r="A954" s="15" t="s">
        <v>350</v>
      </c>
      <c r="B954" s="15" t="s">
        <v>645</v>
      </c>
      <c r="C954" s="16" t="s">
        <v>624</v>
      </c>
      <c r="D954" s="16" t="s">
        <v>1276</v>
      </c>
      <c r="E954" s="16"/>
      <c r="F954" s="16"/>
      <c r="G954" s="16" t="s">
        <v>646</v>
      </c>
      <c r="H954" s="15" t="s">
        <v>1365</v>
      </c>
      <c r="I954" s="17" t="s">
        <v>343</v>
      </c>
      <c r="J954" s="79">
        <v>2.3740000000000001</v>
      </c>
      <c r="K954" s="18" t="s">
        <v>280</v>
      </c>
      <c r="L954" s="94" t="s">
        <v>694</v>
      </c>
      <c r="M954" s="148" t="s">
        <v>728</v>
      </c>
      <c r="N954" s="81" t="str">
        <f>_xlfn.XLOOKUP(Calculations[[#This Row],[For XLOOKUP]],Factors[For XLOOKUP],Factors[Factor],"")</f>
        <v>Σ.Ε. CO₂ eq</v>
      </c>
      <c r="O954" s="81">
        <f>_xlfn.XLOOKUP(Calculations[[#This Row],[For XLOOKUP]],Factors[For XLOOKUP],Factors[Value],"")</f>
        <v>1.05157427048723</v>
      </c>
      <c r="P954" s="81" t="str">
        <f>_xlfn.XLOOKUP(Calculations[[#This Row],[For XLOOKUP]],Factors[For XLOOKUP],Factors[Units],"")</f>
        <v>tn CO2 eq/ tn</v>
      </c>
      <c r="Q954" s="19" t="str">
        <f>_xlfn.XLOOKUP(Calculations[[#This Row],[For XLOOKUP]],Factors[For XLOOKUP],Factors[Source],"")</f>
        <v>Ecoinvent 3.11</v>
      </c>
      <c r="R95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4" s="81" t="str">
        <f>IF(LEFT(Calculations[[#This Row],[Emission Factor]],7)="Σ.Ε. CH",Calculations[[#This Row],[Value]]*Calculations[[#This Row],[Τιμή]],"-")</f>
        <v>-</v>
      </c>
      <c r="T95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4" s="81" t="str">
        <f>IF(LEFT(Calculations[[#This Row],[Emission Factor]],3)="GWP",Calculations[[#This Row],[Τιμή]],"-")</f>
        <v>-</v>
      </c>
      <c r="V954" s="247">
        <f>IF(OR(Calculations[[#This Row],[Emission Factor]]="Σ.Ε. CO₂ eq",Calculations[[#This Row],[Emission Factor]]="CO₂ eq"),Calculations[[#This Row],[Value]]*Calculations[[#This Row],[Τιμή]],"-")</f>
        <v>2.4964373181366839</v>
      </c>
      <c r="W954" s="81" t="str">
        <f>IF(Calculations[[#This Row],[Πηγή εκπομπών]]="Electricity consumed in office buildings and projects - market based",Calculations[[#This Row],[t CO2]],"")</f>
        <v/>
      </c>
      <c r="X95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2.4964373181366839</v>
      </c>
    </row>
    <row r="955" spans="1:24" hidden="1">
      <c r="A955" s="15" t="s">
        <v>350</v>
      </c>
      <c r="B955" s="15" t="s">
        <v>645</v>
      </c>
      <c r="C955" s="16" t="s">
        <v>624</v>
      </c>
      <c r="D955" s="77" t="s">
        <v>1255</v>
      </c>
      <c r="E955" s="77" t="s">
        <v>1151</v>
      </c>
      <c r="F955" s="16"/>
      <c r="G955" s="16" t="s">
        <v>646</v>
      </c>
      <c r="H955" s="15" t="s">
        <v>686</v>
      </c>
      <c r="I955" s="17" t="s">
        <v>343</v>
      </c>
      <c r="J955" s="251">
        <v>0.14498</v>
      </c>
      <c r="K955" s="18" t="s">
        <v>280</v>
      </c>
      <c r="L955" s="94" t="s">
        <v>700</v>
      </c>
      <c r="M955" s="148" t="s">
        <v>708</v>
      </c>
      <c r="N955" s="81" t="str">
        <f>_xlfn.XLOOKUP(Calculations[[#This Row],[For XLOOKUP]],Factors[For XLOOKUP],Factors[Factor],"")</f>
        <v>Σ.Ε. CO₂ eq</v>
      </c>
      <c r="O955" s="81">
        <f>_xlfn.XLOOKUP(Calculations[[#This Row],[For XLOOKUP]],Factors[For XLOOKUP],Factors[Value],"")</f>
        <v>9.920801798319491E-2</v>
      </c>
      <c r="P955" s="81" t="str">
        <f>_xlfn.XLOOKUP(Calculations[[#This Row],[For XLOOKUP]],Factors[For XLOOKUP],Factors[Units],"")</f>
        <v>tn CO2 eq/ tn</v>
      </c>
      <c r="Q955" s="19" t="str">
        <f>_xlfn.XLOOKUP(Calculations[[#This Row],[For XLOOKUP]],Factors[For XLOOKUP],Factors[Source],"")</f>
        <v>EPA 2024</v>
      </c>
      <c r="R95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5" s="81" t="str">
        <f>IF(LEFT(Calculations[[#This Row],[Emission Factor]],7)="Σ.Ε. CH",Calculations[[#This Row],[Value]]*Calculations[[#This Row],[Τιμή]],"-")</f>
        <v>-</v>
      </c>
      <c r="T95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5" s="81" t="str">
        <f>IF(LEFT(Calculations[[#This Row],[Emission Factor]],3)="GWP",Calculations[[#This Row],[Τιμή]],"-")</f>
        <v>-</v>
      </c>
      <c r="V955" s="247">
        <f>IF(OR(Calculations[[#This Row],[Emission Factor]]="Σ.Ε. CO₂ eq",Calculations[[#This Row],[Emission Factor]]="CO₂ eq"),Calculations[[#This Row],[Value]]*Calculations[[#This Row],[Τιμή]],"-")</f>
        <v>1.4383178447203597E-2</v>
      </c>
      <c r="W955" s="81" t="str">
        <f>IF(Calculations[[#This Row],[Πηγή εκπομπών]]="Electricity consumed in office buildings and projects - market based",Calculations[[#This Row],[t CO2]],"")</f>
        <v/>
      </c>
      <c r="X95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1.4383178447203597E-2</v>
      </c>
    </row>
    <row r="956" spans="1:24" hidden="1">
      <c r="A956" s="15" t="s">
        <v>350</v>
      </c>
      <c r="B956" s="15" t="s">
        <v>645</v>
      </c>
      <c r="C956" s="16" t="s">
        <v>624</v>
      </c>
      <c r="D956" s="16" t="s">
        <v>1273</v>
      </c>
      <c r="E956" s="16" t="s">
        <v>1137</v>
      </c>
      <c r="F956" s="16"/>
      <c r="G956" s="16" t="s">
        <v>646</v>
      </c>
      <c r="H956" s="15" t="s">
        <v>686</v>
      </c>
      <c r="I956" s="17" t="s">
        <v>343</v>
      </c>
      <c r="J956" s="251">
        <v>0.35502</v>
      </c>
      <c r="K956" s="18" t="s">
        <v>280</v>
      </c>
      <c r="L956" s="94" t="s">
        <v>700</v>
      </c>
      <c r="M956" s="148" t="s">
        <v>708</v>
      </c>
      <c r="N956" s="81" t="str">
        <f>_xlfn.XLOOKUP(Calculations[[#This Row],[For XLOOKUP]],Factors[For XLOOKUP],Factors[Factor],"")</f>
        <v>Σ.Ε. CO₂ eq</v>
      </c>
      <c r="O956" s="81">
        <f>_xlfn.XLOOKUP(Calculations[[#This Row],[For XLOOKUP]],Factors[For XLOOKUP],Factors[Value],"")</f>
        <v>9.920801798319491E-2</v>
      </c>
      <c r="P956" s="81" t="str">
        <f>_xlfn.XLOOKUP(Calculations[[#This Row],[For XLOOKUP]],Factors[For XLOOKUP],Factors[Units],"")</f>
        <v>tn CO2 eq/ tn</v>
      </c>
      <c r="Q956" s="19" t="str">
        <f>_xlfn.XLOOKUP(Calculations[[#This Row],[For XLOOKUP]],Factors[For XLOOKUP],Factors[Source],"")</f>
        <v>EPA 2024</v>
      </c>
      <c r="R95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6" s="81" t="str">
        <f>IF(LEFT(Calculations[[#This Row],[Emission Factor]],7)="Σ.Ε. CH",Calculations[[#This Row],[Value]]*Calculations[[#This Row],[Τιμή]],"-")</f>
        <v>-</v>
      </c>
      <c r="T95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6" s="81" t="str">
        <f>IF(LEFT(Calculations[[#This Row],[Emission Factor]],3)="GWP",Calculations[[#This Row],[Τιμή]],"-")</f>
        <v>-</v>
      </c>
      <c r="V956" s="247">
        <f>IF(OR(Calculations[[#This Row],[Emission Factor]]="Σ.Ε. CO₂ eq",Calculations[[#This Row],[Emission Factor]]="CO₂ eq"),Calculations[[#This Row],[Value]]*Calculations[[#This Row],[Τιμή]],"-")</f>
        <v>3.5220830544393858E-2</v>
      </c>
      <c r="W956" s="81" t="str">
        <f>IF(Calculations[[#This Row],[Πηγή εκπομπών]]="Electricity consumed in office buildings and projects - market based",Calculations[[#This Row],[t CO2]],"")</f>
        <v/>
      </c>
      <c r="X95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3.5220830544393858E-2</v>
      </c>
    </row>
    <row r="957" spans="1:24" hidden="1">
      <c r="A957" s="15" t="s">
        <v>350</v>
      </c>
      <c r="B957" s="15" t="s">
        <v>645</v>
      </c>
      <c r="C957" s="16" t="s">
        <v>624</v>
      </c>
      <c r="D957" s="16" t="s">
        <v>1276</v>
      </c>
      <c r="E957" s="16"/>
      <c r="F957" s="16"/>
      <c r="G957" s="16" t="s">
        <v>646</v>
      </c>
      <c r="H957" s="15" t="s">
        <v>686</v>
      </c>
      <c r="I957" s="17" t="s">
        <v>343</v>
      </c>
      <c r="J957" s="251">
        <v>0.65400000000000003</v>
      </c>
      <c r="K957" s="18" t="s">
        <v>280</v>
      </c>
      <c r="L957" s="94" t="s">
        <v>694</v>
      </c>
      <c r="M957" s="148" t="s">
        <v>708</v>
      </c>
      <c r="N957" s="81" t="str">
        <f>_xlfn.XLOOKUP(Calculations[[#This Row],[For XLOOKUP]],Factors[For XLOOKUP],Factors[Factor],"")</f>
        <v>Σ.Ε. CO₂ eq</v>
      </c>
      <c r="O957" s="81">
        <f>_xlfn.XLOOKUP(Calculations[[#This Row],[For XLOOKUP]],Factors[For XLOOKUP],Factors[Value],"")</f>
        <v>9.920801798319491E-2</v>
      </c>
      <c r="P957" s="81" t="str">
        <f>_xlfn.XLOOKUP(Calculations[[#This Row],[For XLOOKUP]],Factors[For XLOOKUP],Factors[Units],"")</f>
        <v>tn CO2 eq/ tn</v>
      </c>
      <c r="Q957" s="19" t="str">
        <f>_xlfn.XLOOKUP(Calculations[[#This Row],[For XLOOKUP]],Factors[For XLOOKUP],Factors[Source],"")</f>
        <v>EPA 2024</v>
      </c>
      <c r="R95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7" s="81" t="str">
        <f>IF(LEFT(Calculations[[#This Row],[Emission Factor]],7)="Σ.Ε. CH",Calculations[[#This Row],[Value]]*Calculations[[#This Row],[Τιμή]],"-")</f>
        <v>-</v>
      </c>
      <c r="T95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7" s="81" t="str">
        <f>IF(LEFT(Calculations[[#This Row],[Emission Factor]],3)="GWP",Calculations[[#This Row],[Τιμή]],"-")</f>
        <v>-</v>
      </c>
      <c r="V957" s="247">
        <f>IF(OR(Calculations[[#This Row],[Emission Factor]]="Σ.Ε. CO₂ eq",Calculations[[#This Row],[Emission Factor]]="CO₂ eq"),Calculations[[#This Row],[Value]]*Calculations[[#This Row],[Τιμή]],"-")</f>
        <v>6.4882043761009478E-2</v>
      </c>
      <c r="W957" s="81" t="str">
        <f>IF(Calculations[[#This Row],[Πηγή εκπομπών]]="Electricity consumed in office buildings and projects - market based",Calculations[[#This Row],[t CO2]],"")</f>
        <v/>
      </c>
      <c r="X95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6.4882043761009478E-2</v>
      </c>
    </row>
    <row r="958" spans="1:24" hidden="1">
      <c r="A958" s="15" t="s">
        <v>350</v>
      </c>
      <c r="B958" s="15" t="s">
        <v>645</v>
      </c>
      <c r="C958" s="16" t="s">
        <v>624</v>
      </c>
      <c r="D958" s="77" t="s">
        <v>1276</v>
      </c>
      <c r="E958" s="77"/>
      <c r="F958" s="16"/>
      <c r="G958" s="16" t="s">
        <v>646</v>
      </c>
      <c r="H958" s="15" t="s">
        <v>1379</v>
      </c>
      <c r="I958" s="17" t="s">
        <v>343</v>
      </c>
      <c r="J958" s="79">
        <v>0.21</v>
      </c>
      <c r="K958" s="18" t="s">
        <v>280</v>
      </c>
      <c r="L958" s="94" t="s">
        <v>698</v>
      </c>
      <c r="M958" s="148" t="s">
        <v>1043</v>
      </c>
      <c r="N958" s="81" t="str">
        <f>_xlfn.XLOOKUP(Calculations[[#This Row],[For XLOOKUP]],Factors[For XLOOKUP],Factors[Factor],"")</f>
        <v>Σ.Ε. CO₂ eq</v>
      </c>
      <c r="O958" s="81">
        <f>_xlfn.XLOOKUP(Calculations[[#This Row],[For XLOOKUP]],Factors[For XLOOKUP],Factors[Value],"")</f>
        <v>2.5794084675630673</v>
      </c>
      <c r="P958" s="81" t="str">
        <f>_xlfn.XLOOKUP(Calculations[[#This Row],[For XLOOKUP]],Factors[For XLOOKUP],Factors[Units],"")</f>
        <v>tn CO2 eq/ tn</v>
      </c>
      <c r="Q958" s="19" t="str">
        <f>_xlfn.XLOOKUP(Calculations[[#This Row],[For XLOOKUP]],Factors[For XLOOKUP],Factors[Source],"")</f>
        <v>EPA 2024</v>
      </c>
      <c r="R95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8" s="81" t="str">
        <f>IF(LEFT(Calculations[[#This Row],[Emission Factor]],7)="Σ.Ε. CH",Calculations[[#This Row],[Value]]*Calculations[[#This Row],[Τιμή]],"-")</f>
        <v>-</v>
      </c>
      <c r="T95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8" s="81" t="str">
        <f>IF(LEFT(Calculations[[#This Row],[Emission Factor]],3)="GWP",Calculations[[#This Row],[Τιμή]],"-")</f>
        <v>-</v>
      </c>
      <c r="V958" s="247">
        <f>IF(OR(Calculations[[#This Row],[Emission Factor]]="Σ.Ε. CO₂ eq",Calculations[[#This Row],[Emission Factor]]="CO₂ eq"),Calculations[[#This Row],[Value]]*Calculations[[#This Row],[Τιμή]],"-")</f>
        <v>0.54167577818824408</v>
      </c>
      <c r="W958" s="81" t="str">
        <f>IF(Calculations[[#This Row],[Πηγή εκπομπών]]="Electricity consumed in office buildings and projects - market based",Calculations[[#This Row],[t CO2]],"")</f>
        <v/>
      </c>
      <c r="X95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0.54167577818824408</v>
      </c>
    </row>
    <row r="959" spans="1:24" hidden="1">
      <c r="A959" s="15" t="s">
        <v>350</v>
      </c>
      <c r="B959" s="15" t="s">
        <v>645</v>
      </c>
      <c r="C959" s="16" t="s">
        <v>624</v>
      </c>
      <c r="D959" s="16" t="s">
        <v>1255</v>
      </c>
      <c r="E959" s="16" t="s">
        <v>1151</v>
      </c>
      <c r="F959" s="16"/>
      <c r="G959" s="16" t="s">
        <v>646</v>
      </c>
      <c r="H959" s="15" t="s">
        <v>687</v>
      </c>
      <c r="I959" s="17" t="s">
        <v>343</v>
      </c>
      <c r="J959" s="79">
        <v>28.300240000000002</v>
      </c>
      <c r="K959" s="18" t="s">
        <v>280</v>
      </c>
      <c r="L959" s="94" t="s">
        <v>700</v>
      </c>
      <c r="M959" s="148" t="s">
        <v>726</v>
      </c>
      <c r="N959" s="81" t="str">
        <f>_xlfn.XLOOKUP(Calculations[[#This Row],[For XLOOKUP]],Factors[For XLOOKUP],Factors[Factor],"")</f>
        <v>Σ.Ε. CO₂ eq</v>
      </c>
      <c r="O959" s="81">
        <f>_xlfn.XLOOKUP(Calculations[[#This Row],[For XLOOKUP]],Factors[For XLOOKUP],Factors[Value],"")</f>
        <v>2.2046226218487758E-2</v>
      </c>
      <c r="P959" s="81" t="str">
        <f>_xlfn.XLOOKUP(Calculations[[#This Row],[For XLOOKUP]],Factors[For XLOOKUP],Factors[Units],"")</f>
        <v>tn CO2 eq/ tn</v>
      </c>
      <c r="Q959" s="19" t="str">
        <f>_xlfn.XLOOKUP(Calculations[[#This Row],[For XLOOKUP]],Factors[For XLOOKUP],Factors[Source],"")</f>
        <v>EPA 2024</v>
      </c>
      <c r="R95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9" s="81" t="str">
        <f>IF(LEFT(Calculations[[#This Row],[Emission Factor]],7)="Σ.Ε. CH",Calculations[[#This Row],[Value]]*Calculations[[#This Row],[Τιμή]],"-")</f>
        <v>-</v>
      </c>
      <c r="T95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9" s="81" t="str">
        <f>IF(LEFT(Calculations[[#This Row],[Emission Factor]],3)="GWP",Calculations[[#This Row],[Τιμή]],"-")</f>
        <v>-</v>
      </c>
      <c r="V959" s="247">
        <f>IF(OR(Calculations[[#This Row],[Emission Factor]]="Σ.Ε. CO₂ eq",Calculations[[#This Row],[Emission Factor]]="CO₂ eq"),Calculations[[#This Row],[Value]]*Calculations[[#This Row],[Τιμή]],"-")</f>
        <v>0.623913493077496</v>
      </c>
      <c r="W959" s="81" t="str">
        <f>IF(Calculations[[#This Row],[Πηγή εκπομπών]]="Electricity consumed in office buildings and projects - market based",Calculations[[#This Row],[t CO2]],"")</f>
        <v/>
      </c>
      <c r="X95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0.623913493077496</v>
      </c>
    </row>
    <row r="960" spans="1:24" hidden="1">
      <c r="A960" s="15" t="s">
        <v>350</v>
      </c>
      <c r="B960" s="15" t="s">
        <v>645</v>
      </c>
      <c r="C960" s="16" t="s">
        <v>624</v>
      </c>
      <c r="D960" s="16" t="s">
        <v>1273</v>
      </c>
      <c r="E960" s="16" t="s">
        <v>1140</v>
      </c>
      <c r="F960" s="16"/>
      <c r="G960" s="16" t="s">
        <v>646</v>
      </c>
      <c r="H960" s="15" t="s">
        <v>687</v>
      </c>
      <c r="I960" s="17" t="s">
        <v>343</v>
      </c>
      <c r="J960" s="79">
        <v>7.8230000000000004</v>
      </c>
      <c r="K960" s="18" t="s">
        <v>280</v>
      </c>
      <c r="L960" s="94" t="s">
        <v>694</v>
      </c>
      <c r="M960" s="148" t="s">
        <v>708</v>
      </c>
      <c r="N960" s="81" t="str">
        <f>_xlfn.XLOOKUP(Calculations[[#This Row],[For XLOOKUP]],Factors[For XLOOKUP],Factors[Factor],"")</f>
        <v>Σ.Ε. CO₂ eq</v>
      </c>
      <c r="O960" s="81">
        <f>_xlfn.XLOOKUP(Calculations[[#This Row],[For XLOOKUP]],Factors[For XLOOKUP],Factors[Value],"")</f>
        <v>9.920801798319491E-2</v>
      </c>
      <c r="P960" s="81" t="str">
        <f>_xlfn.XLOOKUP(Calculations[[#This Row],[For XLOOKUP]],Factors[For XLOOKUP],Factors[Units],"")</f>
        <v>tn CO2 eq/ tn</v>
      </c>
      <c r="Q960" s="19" t="str">
        <f>_xlfn.XLOOKUP(Calculations[[#This Row],[For XLOOKUP]],Factors[For XLOOKUP],Factors[Source],"")</f>
        <v>EPA 2024</v>
      </c>
      <c r="R96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0" s="81" t="str">
        <f>IF(LEFT(Calculations[[#This Row],[Emission Factor]],7)="Σ.Ε. CH",Calculations[[#This Row],[Value]]*Calculations[[#This Row],[Τιμή]],"-")</f>
        <v>-</v>
      </c>
      <c r="T96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0" s="81" t="str">
        <f>IF(LEFT(Calculations[[#This Row],[Emission Factor]],3)="GWP",Calculations[[#This Row],[Τιμή]],"-")</f>
        <v>-</v>
      </c>
      <c r="V960" s="247">
        <f>IF(OR(Calculations[[#This Row],[Emission Factor]]="Σ.Ε. CO₂ eq",Calculations[[#This Row],[Emission Factor]]="CO₂ eq"),Calculations[[#This Row],[Value]]*Calculations[[#This Row],[Τιμή]],"-")</f>
        <v>0.77610432468253387</v>
      </c>
      <c r="W960" s="81" t="str">
        <f>IF(Calculations[[#This Row],[Πηγή εκπομπών]]="Electricity consumed in office buildings and projects - market based",Calculations[[#This Row],[t CO2]],"")</f>
        <v/>
      </c>
      <c r="X96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0.77610432468253387</v>
      </c>
    </row>
    <row r="961" spans="1:24" hidden="1">
      <c r="A961" s="15" t="s">
        <v>350</v>
      </c>
      <c r="B961" s="15" t="s">
        <v>645</v>
      </c>
      <c r="C961" s="16" t="s">
        <v>624</v>
      </c>
      <c r="D961" s="16" t="s">
        <v>1273</v>
      </c>
      <c r="E961" s="16" t="s">
        <v>1141</v>
      </c>
      <c r="F961" s="16"/>
      <c r="G961" s="16" t="s">
        <v>646</v>
      </c>
      <c r="H961" s="15" t="s">
        <v>687</v>
      </c>
      <c r="I961" s="17" t="s">
        <v>343</v>
      </c>
      <c r="J961" s="79">
        <v>57.28</v>
      </c>
      <c r="K961" s="18" t="s">
        <v>280</v>
      </c>
      <c r="L961" s="94" t="s">
        <v>694</v>
      </c>
      <c r="M961" s="148" t="s">
        <v>708</v>
      </c>
      <c r="N961" s="81" t="str">
        <f>_xlfn.XLOOKUP(Calculations[[#This Row],[For XLOOKUP]],Factors[For XLOOKUP],Factors[Factor],"")</f>
        <v>Σ.Ε. CO₂ eq</v>
      </c>
      <c r="O961" s="81">
        <f>_xlfn.XLOOKUP(Calculations[[#This Row],[For XLOOKUP]],Factors[For XLOOKUP],Factors[Value],"")</f>
        <v>9.920801798319491E-2</v>
      </c>
      <c r="P961" s="81" t="str">
        <f>_xlfn.XLOOKUP(Calculations[[#This Row],[For XLOOKUP]],Factors[For XLOOKUP],Factors[Units],"")</f>
        <v>tn CO2 eq/ tn</v>
      </c>
      <c r="Q961" s="19" t="str">
        <f>_xlfn.XLOOKUP(Calculations[[#This Row],[For XLOOKUP]],Factors[For XLOOKUP],Factors[Source],"")</f>
        <v>EPA 2024</v>
      </c>
      <c r="R96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1" s="81" t="str">
        <f>IF(LEFT(Calculations[[#This Row],[Emission Factor]],7)="Σ.Ε. CH",Calculations[[#This Row],[Value]]*Calculations[[#This Row],[Τιμή]],"-")</f>
        <v>-</v>
      </c>
      <c r="T96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1" s="81" t="str">
        <f>IF(LEFT(Calculations[[#This Row],[Emission Factor]],3)="GWP",Calculations[[#This Row],[Τιμή]],"-")</f>
        <v>-</v>
      </c>
      <c r="V961" s="247">
        <f>IF(OR(Calculations[[#This Row],[Emission Factor]]="Σ.Ε. CO₂ eq",Calculations[[#This Row],[Emission Factor]]="CO₂ eq"),Calculations[[#This Row],[Value]]*Calculations[[#This Row],[Τιμή]],"-")</f>
        <v>5.6826352700774043</v>
      </c>
      <c r="W961" s="81" t="str">
        <f>IF(Calculations[[#This Row],[Πηγή εκπομπών]]="Electricity consumed in office buildings and projects - market based",Calculations[[#This Row],[t CO2]],"")</f>
        <v/>
      </c>
      <c r="X96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5.6826352700774043</v>
      </c>
    </row>
    <row r="962" spans="1:24" hidden="1">
      <c r="A962" s="15" t="s">
        <v>350</v>
      </c>
      <c r="B962" s="15" t="s">
        <v>645</v>
      </c>
      <c r="C962" s="16" t="s">
        <v>624</v>
      </c>
      <c r="D962" s="16" t="s">
        <v>1273</v>
      </c>
      <c r="E962" s="16" t="s">
        <v>1180</v>
      </c>
      <c r="F962" s="16"/>
      <c r="G962" s="16" t="s">
        <v>646</v>
      </c>
      <c r="H962" s="15" t="s">
        <v>687</v>
      </c>
      <c r="I962" s="17" t="s">
        <v>343</v>
      </c>
      <c r="J962" s="79">
        <v>182.12</v>
      </c>
      <c r="K962" s="18" t="s">
        <v>280</v>
      </c>
      <c r="L962" s="94" t="s">
        <v>694</v>
      </c>
      <c r="M962" s="148" t="s">
        <v>708</v>
      </c>
      <c r="N962" s="81" t="str">
        <f>_xlfn.XLOOKUP(Calculations[[#This Row],[For XLOOKUP]],Factors[For XLOOKUP],Factors[Factor],"")</f>
        <v>Σ.Ε. CO₂ eq</v>
      </c>
      <c r="O962" s="81">
        <f>_xlfn.XLOOKUP(Calculations[[#This Row],[For XLOOKUP]],Factors[For XLOOKUP],Factors[Value],"")</f>
        <v>9.920801798319491E-2</v>
      </c>
      <c r="P962" s="81" t="str">
        <f>_xlfn.XLOOKUP(Calculations[[#This Row],[For XLOOKUP]],Factors[For XLOOKUP],Factors[Units],"")</f>
        <v>tn CO2 eq/ tn</v>
      </c>
      <c r="Q962" s="19" t="str">
        <f>_xlfn.XLOOKUP(Calculations[[#This Row],[For XLOOKUP]],Factors[For XLOOKUP],Factors[Source],"")</f>
        <v>EPA 2024</v>
      </c>
      <c r="R96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2" s="81" t="str">
        <f>IF(LEFT(Calculations[[#This Row],[Emission Factor]],7)="Σ.Ε. CH",Calculations[[#This Row],[Value]]*Calculations[[#This Row],[Τιμή]],"-")</f>
        <v>-</v>
      </c>
      <c r="T96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2" s="81" t="str">
        <f>IF(LEFT(Calculations[[#This Row],[Emission Factor]],3)="GWP",Calculations[[#This Row],[Τιμή]],"-")</f>
        <v>-</v>
      </c>
      <c r="V962" s="247">
        <f>IF(OR(Calculations[[#This Row],[Emission Factor]]="Σ.Ε. CO₂ eq",Calculations[[#This Row],[Emission Factor]]="CO₂ eq"),Calculations[[#This Row],[Value]]*Calculations[[#This Row],[Τιμή]],"-")</f>
        <v>18.067764235099457</v>
      </c>
      <c r="W962" s="81" t="str">
        <f>IF(Calculations[[#This Row],[Πηγή εκπομπών]]="Electricity consumed in office buildings and projects - market based",Calculations[[#This Row],[t CO2]],"")</f>
        <v/>
      </c>
      <c r="X96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18.067764235099457</v>
      </c>
    </row>
    <row r="963" spans="1:24" hidden="1">
      <c r="A963" s="15" t="s">
        <v>350</v>
      </c>
      <c r="B963" s="15" t="s">
        <v>645</v>
      </c>
      <c r="C963" s="16" t="s">
        <v>624</v>
      </c>
      <c r="D963" s="77" t="s">
        <v>1273</v>
      </c>
      <c r="E963" s="77" t="s">
        <v>1137</v>
      </c>
      <c r="F963" s="16"/>
      <c r="G963" s="16" t="s">
        <v>646</v>
      </c>
      <c r="H963" s="15" t="s">
        <v>687</v>
      </c>
      <c r="I963" s="17" t="s">
        <v>343</v>
      </c>
      <c r="J963" s="79">
        <v>69.661760000000001</v>
      </c>
      <c r="K963" s="18" t="s">
        <v>280</v>
      </c>
      <c r="L963" s="94" t="s">
        <v>700</v>
      </c>
      <c r="M963" s="148" t="s">
        <v>726</v>
      </c>
      <c r="N963" s="81" t="str">
        <f>_xlfn.XLOOKUP(Calculations[[#This Row],[For XLOOKUP]],Factors[For XLOOKUP],Factors[Factor],"")</f>
        <v>Σ.Ε. CO₂ eq</v>
      </c>
      <c r="O963" s="81">
        <f>_xlfn.XLOOKUP(Calculations[[#This Row],[For XLOOKUP]],Factors[For XLOOKUP],Factors[Value],"")</f>
        <v>2.2046226218487758E-2</v>
      </c>
      <c r="P963" s="81" t="str">
        <f>_xlfn.XLOOKUP(Calculations[[#This Row],[For XLOOKUP]],Factors[For XLOOKUP],Factors[Units],"")</f>
        <v>tn CO2 eq/ tn</v>
      </c>
      <c r="Q963" s="19" t="str">
        <f>_xlfn.XLOOKUP(Calculations[[#This Row],[For XLOOKUP]],Factors[For XLOOKUP],Factors[Source],"")</f>
        <v>EPA 2024</v>
      </c>
      <c r="R96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3" s="81" t="str">
        <f>IF(LEFT(Calculations[[#This Row],[Emission Factor]],7)="Σ.Ε. CH",Calculations[[#This Row],[Value]]*Calculations[[#This Row],[Τιμή]],"-")</f>
        <v>-</v>
      </c>
      <c r="T96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3" s="81" t="str">
        <f>IF(LEFT(Calculations[[#This Row],[Emission Factor]],3)="GWP",Calculations[[#This Row],[Τιμή]],"-")</f>
        <v>-</v>
      </c>
      <c r="V963" s="247">
        <f>IF(OR(Calculations[[#This Row],[Emission Factor]]="Σ.Ε. CO₂ eq",Calculations[[#This Row],[Emission Factor]]="CO₂ eq"),Calculations[[#This Row],[Value]]*Calculations[[#This Row],[Τιμή]],"-")</f>
        <v>1.5357789197380018</v>
      </c>
      <c r="W963" s="81" t="str">
        <f>IF(Calculations[[#This Row],[Πηγή εκπομπών]]="Electricity consumed in office buildings and projects - market based",Calculations[[#This Row],[t CO2]],"")</f>
        <v/>
      </c>
      <c r="X96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1.5357789197380018</v>
      </c>
    </row>
    <row r="964" spans="1:24" hidden="1">
      <c r="A964" s="15" t="s">
        <v>350</v>
      </c>
      <c r="B964" s="15" t="s">
        <v>645</v>
      </c>
      <c r="C964" s="16" t="s">
        <v>624</v>
      </c>
      <c r="D964" s="16" t="s">
        <v>1276</v>
      </c>
      <c r="E964" s="16"/>
      <c r="F964" s="77"/>
      <c r="G964" s="16" t="s">
        <v>646</v>
      </c>
      <c r="H964" s="15" t="s">
        <v>687</v>
      </c>
      <c r="I964" s="17" t="s">
        <v>343</v>
      </c>
      <c r="J964" s="79">
        <v>21589.37412</v>
      </c>
      <c r="K964" s="18" t="s">
        <v>280</v>
      </c>
      <c r="L964" s="94" t="s">
        <v>696</v>
      </c>
      <c r="M964" s="148" t="s">
        <v>714</v>
      </c>
      <c r="N964" s="81" t="str">
        <f>_xlfn.XLOOKUP(Calculations[[#This Row],[For XLOOKUP]],Factors[For XLOOKUP],Factors[Factor],"")</f>
        <v>Σ.Ε. CO₂ eq</v>
      </c>
      <c r="O964" s="81">
        <f>_xlfn.XLOOKUP(Calculations[[#This Row],[For XLOOKUP]],Factors[For XLOOKUP],Factors[Value],"")</f>
        <v>0.52033419999999997</v>
      </c>
      <c r="P964" s="81" t="str">
        <f>_xlfn.XLOOKUP(Calculations[[#This Row],[For XLOOKUP]],Factors[For XLOOKUP],Factors[Units],"")</f>
        <v>tn CO2 eq/ tn</v>
      </c>
      <c r="Q964" s="19" t="str">
        <f>_xlfn.XLOOKUP(Calculations[[#This Row],[For XLOOKUP]],Factors[For XLOOKUP],Factors[Source],"")</f>
        <v>DEFRA 2024</v>
      </c>
      <c r="R96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4" s="81" t="str">
        <f>IF(LEFT(Calculations[[#This Row],[Emission Factor]],7)="Σ.Ε. CH",Calculations[[#This Row],[Value]]*Calculations[[#This Row],[Τιμή]],"-")</f>
        <v>-</v>
      </c>
      <c r="T96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4" s="81" t="str">
        <f>IF(LEFT(Calculations[[#This Row],[Emission Factor]],3)="GWP",Calculations[[#This Row],[Τιμή]],"-")</f>
        <v>-</v>
      </c>
      <c r="V964" s="247">
        <f>IF(OR(Calculations[[#This Row],[Emission Factor]]="Σ.Ε. CO₂ eq",Calculations[[#This Row],[Emission Factor]]="CO₂ eq"),Calculations[[#This Row],[Value]]*Calculations[[#This Row],[Τιμή]],"-")</f>
        <v>11233.689711230903</v>
      </c>
      <c r="W964" s="81" t="str">
        <f>IF(Calculations[[#This Row],[Πηγή εκπομπών]]="Electricity consumed in office buildings and projects - market based",Calculations[[#This Row],[t CO2]],"")</f>
        <v/>
      </c>
      <c r="X96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11233.689711230903</v>
      </c>
    </row>
    <row r="965" spans="1:24" hidden="1">
      <c r="A965" s="15" t="s">
        <v>350</v>
      </c>
      <c r="B965" s="15" t="s">
        <v>645</v>
      </c>
      <c r="C965" s="16" t="s">
        <v>624</v>
      </c>
      <c r="D965" s="77" t="s">
        <v>1276</v>
      </c>
      <c r="E965" s="77"/>
      <c r="F965" s="16"/>
      <c r="G965" s="16" t="s">
        <v>646</v>
      </c>
      <c r="H965" s="15" t="s">
        <v>687</v>
      </c>
      <c r="I965" s="17" t="s">
        <v>343</v>
      </c>
      <c r="J965" s="79">
        <v>8.66</v>
      </c>
      <c r="K965" s="18" t="s">
        <v>280</v>
      </c>
      <c r="L965" s="94" t="s">
        <v>700</v>
      </c>
      <c r="M965" s="148" t="s">
        <v>726</v>
      </c>
      <c r="N965" s="81" t="str">
        <f>_xlfn.XLOOKUP(Calculations[[#This Row],[For XLOOKUP]],Factors[For XLOOKUP],Factors[Factor],"")</f>
        <v>Σ.Ε. CO₂ eq</v>
      </c>
      <c r="O965" s="81">
        <f>_xlfn.XLOOKUP(Calculations[[#This Row],[For XLOOKUP]],Factors[For XLOOKUP],Factors[Value],"")</f>
        <v>2.2046226218487758E-2</v>
      </c>
      <c r="P965" s="81" t="str">
        <f>_xlfn.XLOOKUP(Calculations[[#This Row],[For XLOOKUP]],Factors[For XLOOKUP],Factors[Units],"")</f>
        <v>tn CO2 eq/ tn</v>
      </c>
      <c r="Q965" s="19" t="str">
        <f>_xlfn.XLOOKUP(Calculations[[#This Row],[For XLOOKUP]],Factors[For XLOOKUP],Factors[Source],"")</f>
        <v>EPA 2024</v>
      </c>
      <c r="R96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5" s="81" t="str">
        <f>IF(LEFT(Calculations[[#This Row],[Emission Factor]],7)="Σ.Ε. CH",Calculations[[#This Row],[Value]]*Calculations[[#This Row],[Τιμή]],"-")</f>
        <v>-</v>
      </c>
      <c r="T96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5" s="81" t="str">
        <f>IF(LEFT(Calculations[[#This Row],[Emission Factor]],3)="GWP",Calculations[[#This Row],[Τιμή]],"-")</f>
        <v>-</v>
      </c>
      <c r="V965" s="247">
        <f>IF(OR(Calculations[[#This Row],[Emission Factor]]="Σ.Ε. CO₂ eq",Calculations[[#This Row],[Emission Factor]]="CO₂ eq"),Calculations[[#This Row],[Value]]*Calculations[[#This Row],[Τιμή]],"-")</f>
        <v>0.19092031905210399</v>
      </c>
      <c r="W965" s="81" t="str">
        <f>IF(Calculations[[#This Row],[Πηγή εκπομπών]]="Electricity consumed in office buildings and projects - market based",Calculations[[#This Row],[t CO2]],"")</f>
        <v/>
      </c>
      <c r="X96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0.19092031905210399</v>
      </c>
    </row>
    <row r="966" spans="1:24" hidden="1">
      <c r="A966" s="15" t="s">
        <v>350</v>
      </c>
      <c r="B966" s="15" t="s">
        <v>645</v>
      </c>
      <c r="C966" s="16" t="s">
        <v>624</v>
      </c>
      <c r="D966" s="16" t="s">
        <v>1276</v>
      </c>
      <c r="E966" s="16"/>
      <c r="F966" s="16"/>
      <c r="G966" s="16" t="s">
        <v>646</v>
      </c>
      <c r="H966" s="15" t="s">
        <v>687</v>
      </c>
      <c r="I966" s="17" t="s">
        <v>343</v>
      </c>
      <c r="J966" s="79">
        <v>3.14</v>
      </c>
      <c r="K966" s="18" t="s">
        <v>280</v>
      </c>
      <c r="L966" s="94" t="s">
        <v>694</v>
      </c>
      <c r="M966" s="148" t="s">
        <v>708</v>
      </c>
      <c r="N966" s="81" t="str">
        <f>_xlfn.XLOOKUP(Calculations[[#This Row],[For XLOOKUP]],Factors[For XLOOKUP],Factors[Factor],"")</f>
        <v>Σ.Ε. CO₂ eq</v>
      </c>
      <c r="O966" s="81">
        <f>_xlfn.XLOOKUP(Calculations[[#This Row],[For XLOOKUP]],Factors[For XLOOKUP],Factors[Value],"")</f>
        <v>9.920801798319491E-2</v>
      </c>
      <c r="P966" s="81" t="str">
        <f>_xlfn.XLOOKUP(Calculations[[#This Row],[For XLOOKUP]],Factors[For XLOOKUP],Factors[Units],"")</f>
        <v>tn CO2 eq/ tn</v>
      </c>
      <c r="Q966" s="19" t="str">
        <f>_xlfn.XLOOKUP(Calculations[[#This Row],[For XLOOKUP]],Factors[For XLOOKUP],Factors[Source],"")</f>
        <v>EPA 2024</v>
      </c>
      <c r="R96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6" s="81" t="str">
        <f>IF(LEFT(Calculations[[#This Row],[Emission Factor]],7)="Σ.Ε. CH",Calculations[[#This Row],[Value]]*Calculations[[#This Row],[Τιμή]],"-")</f>
        <v>-</v>
      </c>
      <c r="T96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6" s="81" t="str">
        <f>IF(LEFT(Calculations[[#This Row],[Emission Factor]],3)="GWP",Calculations[[#This Row],[Τιμή]],"-")</f>
        <v>-</v>
      </c>
      <c r="V966" s="247">
        <f>IF(OR(Calculations[[#This Row],[Emission Factor]]="Σ.Ε. CO₂ eq",Calculations[[#This Row],[Emission Factor]]="CO₂ eq"),Calculations[[#This Row],[Value]]*Calculations[[#This Row],[Τιμή]],"-")</f>
        <v>0.31151317646723203</v>
      </c>
      <c r="W966" s="81" t="str">
        <f>IF(Calculations[[#This Row],[Πηγή εκπομπών]]="Electricity consumed in office buildings and projects - market based",Calculations[[#This Row],[t CO2]],"")</f>
        <v/>
      </c>
      <c r="X96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0.31151317646723203</v>
      </c>
    </row>
    <row r="967" spans="1:24" hidden="1">
      <c r="A967" s="15" t="s">
        <v>350</v>
      </c>
      <c r="B967" s="15" t="s">
        <v>645</v>
      </c>
      <c r="C967" s="16" t="s">
        <v>624</v>
      </c>
      <c r="D967" s="16" t="s">
        <v>1273</v>
      </c>
      <c r="E967" s="16" t="s">
        <v>1140</v>
      </c>
      <c r="F967" s="16"/>
      <c r="G967" s="16" t="s">
        <v>646</v>
      </c>
      <c r="H967" s="15" t="s">
        <v>688</v>
      </c>
      <c r="I967" s="17" t="s">
        <v>343</v>
      </c>
      <c r="J967" s="79">
        <v>63.18</v>
      </c>
      <c r="K967" s="18" t="s">
        <v>280</v>
      </c>
      <c r="L967" s="94" t="s">
        <v>694</v>
      </c>
      <c r="M967" s="148" t="s">
        <v>708</v>
      </c>
      <c r="N967" s="81" t="str">
        <f>_xlfn.XLOOKUP(Calculations[[#This Row],[For XLOOKUP]],Factors[For XLOOKUP],Factors[Factor],"")</f>
        <v>Σ.Ε. CO₂ eq</v>
      </c>
      <c r="O967" s="81">
        <f>_xlfn.XLOOKUP(Calculations[[#This Row],[For XLOOKUP]],Factors[For XLOOKUP],Factors[Value],"")</f>
        <v>9.920801798319491E-2</v>
      </c>
      <c r="P967" s="81" t="str">
        <f>_xlfn.XLOOKUP(Calculations[[#This Row],[For XLOOKUP]],Factors[For XLOOKUP],Factors[Units],"")</f>
        <v>tn CO2 eq/ tn</v>
      </c>
      <c r="Q967" s="19" t="str">
        <f>_xlfn.XLOOKUP(Calculations[[#This Row],[For XLOOKUP]],Factors[For XLOOKUP],Factors[Source],"")</f>
        <v>EPA 2024</v>
      </c>
      <c r="R96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7" s="81" t="str">
        <f>IF(LEFT(Calculations[[#This Row],[Emission Factor]],7)="Σ.Ε. CH",Calculations[[#This Row],[Value]]*Calculations[[#This Row],[Τιμή]],"-")</f>
        <v>-</v>
      </c>
      <c r="T96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7" s="81" t="str">
        <f>IF(LEFT(Calculations[[#This Row],[Emission Factor]],3)="GWP",Calculations[[#This Row],[Τιμή]],"-")</f>
        <v>-</v>
      </c>
      <c r="V967" s="247">
        <f>IF(OR(Calculations[[#This Row],[Emission Factor]]="Σ.Ε. CO₂ eq",Calculations[[#This Row],[Emission Factor]]="CO₂ eq"),Calculations[[#This Row],[Value]]*Calculations[[#This Row],[Τιμή]],"-")</f>
        <v>6.2679625761782543</v>
      </c>
      <c r="W967" s="81" t="str">
        <f>IF(Calculations[[#This Row],[Πηγή εκπομπών]]="Electricity consumed in office buildings and projects - market based",Calculations[[#This Row],[t CO2]],"")</f>
        <v/>
      </c>
      <c r="X96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6.2679625761782543</v>
      </c>
    </row>
    <row r="968" spans="1:24" hidden="1">
      <c r="A968" s="15" t="s">
        <v>350</v>
      </c>
      <c r="B968" s="15" t="s">
        <v>645</v>
      </c>
      <c r="C968" s="16" t="s">
        <v>624</v>
      </c>
      <c r="D968" s="77" t="s">
        <v>1273</v>
      </c>
      <c r="E968" s="77" t="s">
        <v>1141</v>
      </c>
      <c r="F968" s="16"/>
      <c r="G968" s="16" t="s">
        <v>646</v>
      </c>
      <c r="H968" s="15" t="s">
        <v>688</v>
      </c>
      <c r="I968" s="17" t="s">
        <v>343</v>
      </c>
      <c r="J968" s="79">
        <v>7.73</v>
      </c>
      <c r="K968" s="18" t="s">
        <v>280</v>
      </c>
      <c r="L968" s="94" t="s">
        <v>694</v>
      </c>
      <c r="M968" s="148" t="s">
        <v>708</v>
      </c>
      <c r="N968" s="81" t="str">
        <f>_xlfn.XLOOKUP(Calculations[[#This Row],[For XLOOKUP]],Factors[For XLOOKUP],Factors[Factor],"")</f>
        <v>Σ.Ε. CO₂ eq</v>
      </c>
      <c r="O968" s="81">
        <f>_xlfn.XLOOKUP(Calculations[[#This Row],[For XLOOKUP]],Factors[For XLOOKUP],Factors[Value],"")</f>
        <v>9.920801798319491E-2</v>
      </c>
      <c r="P968" s="81" t="str">
        <f>_xlfn.XLOOKUP(Calculations[[#This Row],[For XLOOKUP]],Factors[For XLOOKUP],Factors[Units],"")</f>
        <v>tn CO2 eq/ tn</v>
      </c>
      <c r="Q968" s="19" t="str">
        <f>_xlfn.XLOOKUP(Calculations[[#This Row],[For XLOOKUP]],Factors[For XLOOKUP],Factors[Source],"")</f>
        <v>EPA 2024</v>
      </c>
      <c r="R96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8" s="81" t="str">
        <f>IF(LEFT(Calculations[[#This Row],[Emission Factor]],7)="Σ.Ε. CH",Calculations[[#This Row],[Value]]*Calculations[[#This Row],[Τιμή]],"-")</f>
        <v>-</v>
      </c>
      <c r="T96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8" s="81" t="str">
        <f>IF(LEFT(Calculations[[#This Row],[Emission Factor]],3)="GWP",Calculations[[#This Row],[Τιμή]],"-")</f>
        <v>-</v>
      </c>
      <c r="V968" s="247">
        <f>IF(OR(Calculations[[#This Row],[Emission Factor]]="Σ.Ε. CO₂ eq",Calculations[[#This Row],[Emission Factor]]="CO₂ eq"),Calculations[[#This Row],[Value]]*Calculations[[#This Row],[Τιμή]],"-")</f>
        <v>0.76687797901009669</v>
      </c>
      <c r="W968" s="81" t="str">
        <f>IF(Calculations[[#This Row],[Πηγή εκπομπών]]="Electricity consumed in office buildings and projects - market based",Calculations[[#This Row],[t CO2]],"")</f>
        <v/>
      </c>
      <c r="X96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0.76687797901009669</v>
      </c>
    </row>
    <row r="969" spans="1:24" hidden="1">
      <c r="A969" s="15" t="s">
        <v>350</v>
      </c>
      <c r="B969" s="15" t="s">
        <v>645</v>
      </c>
      <c r="C969" s="16" t="s">
        <v>624</v>
      </c>
      <c r="D969" s="16" t="s">
        <v>1276</v>
      </c>
      <c r="E969" s="16"/>
      <c r="F969" s="16"/>
      <c r="G969" s="16" t="s">
        <v>646</v>
      </c>
      <c r="H969" s="15" t="s">
        <v>688</v>
      </c>
      <c r="I969" s="17" t="s">
        <v>343</v>
      </c>
      <c r="J969" s="79">
        <v>4.2450000000000001</v>
      </c>
      <c r="K969" s="18" t="s">
        <v>280</v>
      </c>
      <c r="L969" s="94" t="s">
        <v>694</v>
      </c>
      <c r="M969" s="148" t="s">
        <v>708</v>
      </c>
      <c r="N969" s="81" t="str">
        <f>_xlfn.XLOOKUP(Calculations[[#This Row],[For XLOOKUP]],Factors[For XLOOKUP],Factors[Factor],"")</f>
        <v>Σ.Ε. CO₂ eq</v>
      </c>
      <c r="O969" s="81">
        <f>_xlfn.XLOOKUP(Calculations[[#This Row],[For XLOOKUP]],Factors[For XLOOKUP],Factors[Value],"")</f>
        <v>9.920801798319491E-2</v>
      </c>
      <c r="P969" s="81" t="str">
        <f>_xlfn.XLOOKUP(Calculations[[#This Row],[For XLOOKUP]],Factors[For XLOOKUP],Factors[Units],"")</f>
        <v>tn CO2 eq/ tn</v>
      </c>
      <c r="Q969" s="19" t="str">
        <f>_xlfn.XLOOKUP(Calculations[[#This Row],[For XLOOKUP]],Factors[For XLOOKUP],Factors[Source],"")</f>
        <v>EPA 2024</v>
      </c>
      <c r="R96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9" s="81" t="str">
        <f>IF(LEFT(Calculations[[#This Row],[Emission Factor]],7)="Σ.Ε. CH",Calculations[[#This Row],[Value]]*Calculations[[#This Row],[Τιμή]],"-")</f>
        <v>-</v>
      </c>
      <c r="T96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9" s="81" t="str">
        <f>IF(LEFT(Calculations[[#This Row],[Emission Factor]],3)="GWP",Calculations[[#This Row],[Τιμή]],"-")</f>
        <v>-</v>
      </c>
      <c r="V969" s="247">
        <f>IF(OR(Calculations[[#This Row],[Emission Factor]]="Σ.Ε. CO₂ eq",Calculations[[#This Row],[Emission Factor]]="CO₂ eq"),Calculations[[#This Row],[Value]]*Calculations[[#This Row],[Τιμή]],"-")</f>
        <v>0.42113803633866242</v>
      </c>
      <c r="W969" s="81" t="str">
        <f>IF(Calculations[[#This Row],[Πηγή εκπομπών]]="Electricity consumed in office buildings and projects - market based",Calculations[[#This Row],[t CO2]],"")</f>
        <v/>
      </c>
      <c r="X96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0.42113803633866242</v>
      </c>
    </row>
    <row r="970" spans="1:24" hidden="1">
      <c r="A970" s="15" t="s">
        <v>350</v>
      </c>
      <c r="B970" s="15" t="s">
        <v>645</v>
      </c>
      <c r="C970" s="16" t="s">
        <v>624</v>
      </c>
      <c r="D970" s="16" t="s">
        <v>1273</v>
      </c>
      <c r="E970" s="16" t="s">
        <v>1140</v>
      </c>
      <c r="F970" s="16"/>
      <c r="G970" s="16" t="s">
        <v>646</v>
      </c>
      <c r="H970" s="15" t="s">
        <v>689</v>
      </c>
      <c r="I970" s="17" t="s">
        <v>343</v>
      </c>
      <c r="J970" s="79">
        <v>3.7909999999999999</v>
      </c>
      <c r="K970" s="18" t="s">
        <v>280</v>
      </c>
      <c r="L970" s="94" t="s">
        <v>694</v>
      </c>
      <c r="M970" s="148" t="s">
        <v>722</v>
      </c>
      <c r="N970" s="81" t="str">
        <f>_xlfn.XLOOKUP(Calculations[[#This Row],[For XLOOKUP]],Factors[For XLOOKUP],Factors[Factor],"")</f>
        <v>Σ.Ε. CO₂ eq</v>
      </c>
      <c r="O970" s="81">
        <f>_xlfn.XLOOKUP(Calculations[[#This Row],[For XLOOKUP]],Factors[For XLOOKUP],Factors[Value],"")</f>
        <v>6.4106099999999997E-3</v>
      </c>
      <c r="P970" s="81" t="str">
        <f>_xlfn.XLOOKUP(Calculations[[#This Row],[For XLOOKUP]],Factors[For XLOOKUP],Factors[Units],"")</f>
        <v>tn CO2 eq/ tn</v>
      </c>
      <c r="Q970" s="19" t="str">
        <f>_xlfn.XLOOKUP(Calculations[[#This Row],[For XLOOKUP]],Factors[For XLOOKUP],Factors[Source],"")</f>
        <v>DEFRA 2024</v>
      </c>
      <c r="R97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0" s="81" t="str">
        <f>IF(LEFT(Calculations[[#This Row],[Emission Factor]],7)="Σ.Ε. CH",Calculations[[#This Row],[Value]]*Calculations[[#This Row],[Τιμή]],"-")</f>
        <v>-</v>
      </c>
      <c r="T97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0" s="81" t="str">
        <f>IF(LEFT(Calculations[[#This Row],[Emission Factor]],3)="GWP",Calculations[[#This Row],[Τιμή]],"-")</f>
        <v>-</v>
      </c>
      <c r="V970" s="247">
        <f>IF(OR(Calculations[[#This Row],[Emission Factor]]="Σ.Ε. CO₂ eq",Calculations[[#This Row],[Emission Factor]]="CO₂ eq"),Calculations[[#This Row],[Value]]*Calculations[[#This Row],[Τιμή]],"-")</f>
        <v>2.430262251E-2</v>
      </c>
      <c r="W970" s="81" t="str">
        <f>IF(Calculations[[#This Row],[Πηγή εκπομπών]]="Electricity consumed in office buildings and projects - market based",Calculations[[#This Row],[t CO2]],"")</f>
        <v/>
      </c>
      <c r="X97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2.430262251E-2</v>
      </c>
    </row>
    <row r="971" spans="1:24" hidden="1">
      <c r="A971" s="15" t="s">
        <v>350</v>
      </c>
      <c r="B971" s="15" t="s">
        <v>645</v>
      </c>
      <c r="C971" s="16" t="s">
        <v>624</v>
      </c>
      <c r="D971" s="77" t="s">
        <v>1273</v>
      </c>
      <c r="E971" s="77" t="s">
        <v>1141</v>
      </c>
      <c r="F971" s="16"/>
      <c r="G971" s="16" t="s">
        <v>646</v>
      </c>
      <c r="H971" s="15" t="s">
        <v>689</v>
      </c>
      <c r="I971" s="17" t="s">
        <v>343</v>
      </c>
      <c r="J971" s="79">
        <v>1.522</v>
      </c>
      <c r="K971" s="18" t="s">
        <v>280</v>
      </c>
      <c r="L971" s="94" t="s">
        <v>694</v>
      </c>
      <c r="M971" s="148" t="s">
        <v>722</v>
      </c>
      <c r="N971" s="81" t="str">
        <f>_xlfn.XLOOKUP(Calculations[[#This Row],[For XLOOKUP]],Factors[For XLOOKUP],Factors[Factor],"")</f>
        <v>Σ.Ε. CO₂ eq</v>
      </c>
      <c r="O971" s="81">
        <f>_xlfn.XLOOKUP(Calculations[[#This Row],[For XLOOKUP]],Factors[For XLOOKUP],Factors[Value],"")</f>
        <v>6.4106099999999997E-3</v>
      </c>
      <c r="P971" s="81" t="str">
        <f>_xlfn.XLOOKUP(Calculations[[#This Row],[For XLOOKUP]],Factors[For XLOOKUP],Factors[Units],"")</f>
        <v>tn CO2 eq/ tn</v>
      </c>
      <c r="Q971" s="19" t="str">
        <f>_xlfn.XLOOKUP(Calculations[[#This Row],[For XLOOKUP]],Factors[For XLOOKUP],Factors[Source],"")</f>
        <v>DEFRA 2024</v>
      </c>
      <c r="R97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1" s="81" t="str">
        <f>IF(LEFT(Calculations[[#This Row],[Emission Factor]],7)="Σ.Ε. CH",Calculations[[#This Row],[Value]]*Calculations[[#This Row],[Τιμή]],"-")</f>
        <v>-</v>
      </c>
      <c r="T97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1" s="81" t="str">
        <f>IF(LEFT(Calculations[[#This Row],[Emission Factor]],3)="GWP",Calculations[[#This Row],[Τιμή]],"-")</f>
        <v>-</v>
      </c>
      <c r="V971" s="247">
        <f>IF(OR(Calculations[[#This Row],[Emission Factor]]="Σ.Ε. CO₂ eq",Calculations[[#This Row],[Emission Factor]]="CO₂ eq"),Calculations[[#This Row],[Value]]*Calculations[[#This Row],[Τιμή]],"-")</f>
        <v>9.7569484199999997E-3</v>
      </c>
      <c r="W971" s="81" t="str">
        <f>IF(Calculations[[#This Row],[Πηγή εκπομπών]]="Electricity consumed in office buildings and projects - market based",Calculations[[#This Row],[t CO2]],"")</f>
        <v/>
      </c>
      <c r="X97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9.7569484199999997E-3</v>
      </c>
    </row>
    <row r="972" spans="1:24" hidden="1">
      <c r="A972" s="15" t="s">
        <v>350</v>
      </c>
      <c r="B972" s="15" t="s">
        <v>645</v>
      </c>
      <c r="C972" s="16" t="s">
        <v>624</v>
      </c>
      <c r="D972" s="77" t="s">
        <v>1276</v>
      </c>
      <c r="E972" s="77"/>
      <c r="F972" s="16"/>
      <c r="G972" s="16" t="s">
        <v>646</v>
      </c>
      <c r="H972" s="15" t="s">
        <v>689</v>
      </c>
      <c r="I972" s="17" t="s">
        <v>343</v>
      </c>
      <c r="J972" s="79">
        <v>18.567</v>
      </c>
      <c r="K972" s="18" t="s">
        <v>280</v>
      </c>
      <c r="L972" s="94" t="s">
        <v>694</v>
      </c>
      <c r="M972" s="148" t="s">
        <v>722</v>
      </c>
      <c r="N972" s="81" t="str">
        <f>_xlfn.XLOOKUP(Calculations[[#This Row],[For XLOOKUP]],Factors[For XLOOKUP],Factors[Factor],"")</f>
        <v>Σ.Ε. CO₂ eq</v>
      </c>
      <c r="O972" s="81">
        <f>_xlfn.XLOOKUP(Calculations[[#This Row],[For XLOOKUP]],Factors[For XLOOKUP],Factors[Value],"")</f>
        <v>6.4106099999999997E-3</v>
      </c>
      <c r="P972" s="81" t="str">
        <f>_xlfn.XLOOKUP(Calculations[[#This Row],[For XLOOKUP]],Factors[For XLOOKUP],Factors[Units],"")</f>
        <v>tn CO2 eq/ tn</v>
      </c>
      <c r="Q972" s="19" t="str">
        <f>_xlfn.XLOOKUP(Calculations[[#This Row],[For XLOOKUP]],Factors[For XLOOKUP],Factors[Source],"")</f>
        <v>DEFRA 2024</v>
      </c>
      <c r="R97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2" s="81" t="str">
        <f>IF(LEFT(Calculations[[#This Row],[Emission Factor]],7)="Σ.Ε. CH",Calculations[[#This Row],[Value]]*Calculations[[#This Row],[Τιμή]],"-")</f>
        <v>-</v>
      </c>
      <c r="T97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2" s="81" t="str">
        <f>IF(LEFT(Calculations[[#This Row],[Emission Factor]],3)="GWP",Calculations[[#This Row],[Τιμή]],"-")</f>
        <v>-</v>
      </c>
      <c r="V972" s="247">
        <f>IF(OR(Calculations[[#This Row],[Emission Factor]]="Σ.Ε. CO₂ eq",Calculations[[#This Row],[Emission Factor]]="CO₂ eq"),Calculations[[#This Row],[Value]]*Calculations[[#This Row],[Τιμή]],"-")</f>
        <v>0.11902579586999999</v>
      </c>
      <c r="W972" s="81" t="str">
        <f>IF(Calculations[[#This Row],[Πηγή εκπομπών]]="Electricity consumed in office buildings and projects - market based",Calculations[[#This Row],[t CO2]],"")</f>
        <v/>
      </c>
      <c r="X97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0.11902579586999999</v>
      </c>
    </row>
    <row r="973" spans="1:24" hidden="1">
      <c r="A973" s="15" t="s">
        <v>350</v>
      </c>
      <c r="B973" s="15" t="s">
        <v>645</v>
      </c>
      <c r="C973" s="16" t="s">
        <v>624</v>
      </c>
      <c r="D973" s="16" t="s">
        <v>1255</v>
      </c>
      <c r="E973" s="16" t="s">
        <v>1151</v>
      </c>
      <c r="F973" s="16"/>
      <c r="G973" s="16" t="s">
        <v>646</v>
      </c>
      <c r="H973" s="15" t="s">
        <v>690</v>
      </c>
      <c r="I973" s="17" t="s">
        <v>343</v>
      </c>
      <c r="J973" s="79">
        <v>3.7940000000000002E-2</v>
      </c>
      <c r="K973" s="18" t="s">
        <v>280</v>
      </c>
      <c r="L973" s="94" t="s">
        <v>700</v>
      </c>
      <c r="M973" s="148" t="s">
        <v>710</v>
      </c>
      <c r="N973" s="81" t="str">
        <f>_xlfn.XLOOKUP(Calculations[[#This Row],[For XLOOKUP]],Factors[For XLOOKUP],Factors[Factor],"")</f>
        <v>Σ.Ε. CO₂ eq</v>
      </c>
      <c r="O973" s="81">
        <f>_xlfn.XLOOKUP(Calculations[[#This Row],[For XLOOKUP]],Factors[For XLOOKUP],Factors[Value],"")</f>
        <v>6.4106099999999997E-3</v>
      </c>
      <c r="P973" s="81" t="str">
        <f>_xlfn.XLOOKUP(Calculations[[#This Row],[For XLOOKUP]],Factors[For XLOOKUP],Factors[Units],"")</f>
        <v>tn CO2 eq/ tn</v>
      </c>
      <c r="Q973" s="19" t="str">
        <f>_xlfn.XLOOKUP(Calculations[[#This Row],[For XLOOKUP]],Factors[For XLOOKUP],Factors[Source],"")</f>
        <v>DEFRA 2024</v>
      </c>
      <c r="R97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3" s="81" t="str">
        <f>IF(LEFT(Calculations[[#This Row],[Emission Factor]],7)="Σ.Ε. CH",Calculations[[#This Row],[Value]]*Calculations[[#This Row],[Τιμή]],"-")</f>
        <v>-</v>
      </c>
      <c r="T97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3" s="81" t="str">
        <f>IF(LEFT(Calculations[[#This Row],[Emission Factor]],3)="GWP",Calculations[[#This Row],[Τιμή]],"-")</f>
        <v>-</v>
      </c>
      <c r="V973" s="247">
        <f>IF(OR(Calculations[[#This Row],[Emission Factor]]="Σ.Ε. CO₂ eq",Calculations[[#This Row],[Emission Factor]]="CO₂ eq"),Calculations[[#This Row],[Value]]*Calculations[[#This Row],[Τιμή]],"-")</f>
        <v>2.4321854340000001E-4</v>
      </c>
      <c r="W973" s="81" t="str">
        <f>IF(Calculations[[#This Row],[Πηγή εκπομπών]]="Electricity consumed in office buildings and projects - market based",Calculations[[#This Row],[t CO2]],"")</f>
        <v/>
      </c>
      <c r="X97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2.4321854340000001E-4</v>
      </c>
    </row>
    <row r="974" spans="1:24" hidden="1">
      <c r="A974" s="15" t="s">
        <v>350</v>
      </c>
      <c r="B974" s="15" t="s">
        <v>645</v>
      </c>
      <c r="C974" s="16" t="s">
        <v>624</v>
      </c>
      <c r="D974" s="16" t="s">
        <v>1273</v>
      </c>
      <c r="E974" s="16" t="s">
        <v>1141</v>
      </c>
      <c r="F974" s="16"/>
      <c r="G974" s="16" t="s">
        <v>646</v>
      </c>
      <c r="H974" s="15" t="s">
        <v>690</v>
      </c>
      <c r="I974" s="17" t="s">
        <v>343</v>
      </c>
      <c r="J974" s="79">
        <v>0.19400000000000001</v>
      </c>
      <c r="K974" s="18" t="s">
        <v>280</v>
      </c>
      <c r="L974" s="94" t="s">
        <v>694</v>
      </c>
      <c r="M974" s="148" t="s">
        <v>710</v>
      </c>
      <c r="N974" s="81" t="str">
        <f>_xlfn.XLOOKUP(Calculations[[#This Row],[For XLOOKUP]],Factors[For XLOOKUP],Factors[Factor],"")</f>
        <v>Σ.Ε. CO₂ eq</v>
      </c>
      <c r="O974" s="81">
        <f>_xlfn.XLOOKUP(Calculations[[#This Row],[For XLOOKUP]],Factors[For XLOOKUP],Factors[Value],"")</f>
        <v>6.4106099999999997E-3</v>
      </c>
      <c r="P974" s="81" t="str">
        <f>_xlfn.XLOOKUP(Calculations[[#This Row],[For XLOOKUP]],Factors[For XLOOKUP],Factors[Units],"")</f>
        <v>tn CO2 eq/ tn</v>
      </c>
      <c r="Q974" s="19" t="str">
        <f>_xlfn.XLOOKUP(Calculations[[#This Row],[For XLOOKUP]],Factors[For XLOOKUP],Factors[Source],"")</f>
        <v>DEFRA 2024</v>
      </c>
      <c r="R97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4" s="81" t="str">
        <f>IF(LEFT(Calculations[[#This Row],[Emission Factor]],7)="Σ.Ε. CH",Calculations[[#This Row],[Value]]*Calculations[[#This Row],[Τιμή]],"-")</f>
        <v>-</v>
      </c>
      <c r="T97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4" s="81" t="str">
        <f>IF(LEFT(Calculations[[#This Row],[Emission Factor]],3)="GWP",Calculations[[#This Row],[Τιμή]],"-")</f>
        <v>-</v>
      </c>
      <c r="V974" s="247">
        <f>IF(OR(Calculations[[#This Row],[Emission Factor]]="Σ.Ε. CO₂ eq",Calculations[[#This Row],[Emission Factor]]="CO₂ eq"),Calculations[[#This Row],[Value]]*Calculations[[#This Row],[Τιμή]],"-")</f>
        <v>1.2436583400000001E-3</v>
      </c>
      <c r="W974" s="81" t="str">
        <f>IF(Calculations[[#This Row],[Πηγή εκπομπών]]="Electricity consumed in office buildings and projects - market based",Calculations[[#This Row],[t CO2]],"")</f>
        <v/>
      </c>
      <c r="X97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1.2436583400000001E-3</v>
      </c>
    </row>
    <row r="975" spans="1:24" hidden="1">
      <c r="A975" s="15" t="s">
        <v>350</v>
      </c>
      <c r="B975" s="15" t="s">
        <v>645</v>
      </c>
      <c r="C975" s="16" t="s">
        <v>624</v>
      </c>
      <c r="D975" s="77" t="s">
        <v>1273</v>
      </c>
      <c r="E975" s="16" t="s">
        <v>1137</v>
      </c>
      <c r="F975" s="16"/>
      <c r="G975" s="16" t="s">
        <v>646</v>
      </c>
      <c r="H975" s="15" t="s">
        <v>690</v>
      </c>
      <c r="I975" s="17" t="s">
        <v>343</v>
      </c>
      <c r="J975" s="79">
        <v>9.3159999999999993E-2</v>
      </c>
      <c r="K975" s="18" t="s">
        <v>280</v>
      </c>
      <c r="L975" s="94" t="s">
        <v>700</v>
      </c>
      <c r="M975" s="148" t="s">
        <v>710</v>
      </c>
      <c r="N975" s="81" t="str">
        <f>_xlfn.XLOOKUP(Calculations[[#This Row],[For XLOOKUP]],Factors[For XLOOKUP],Factors[Factor],"")</f>
        <v>Σ.Ε. CO₂ eq</v>
      </c>
      <c r="O975" s="81">
        <f>_xlfn.XLOOKUP(Calculations[[#This Row],[For XLOOKUP]],Factors[For XLOOKUP],Factors[Value],"")</f>
        <v>6.4106099999999997E-3</v>
      </c>
      <c r="P975" s="81" t="str">
        <f>_xlfn.XLOOKUP(Calculations[[#This Row],[For XLOOKUP]],Factors[For XLOOKUP],Factors[Units],"")</f>
        <v>tn CO2 eq/ tn</v>
      </c>
      <c r="Q975" s="19" t="str">
        <f>_xlfn.XLOOKUP(Calculations[[#This Row],[For XLOOKUP]],Factors[For XLOOKUP],Factors[Source],"")</f>
        <v>DEFRA 2024</v>
      </c>
      <c r="R97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5" s="81" t="str">
        <f>IF(LEFT(Calculations[[#This Row],[Emission Factor]],7)="Σ.Ε. CH",Calculations[[#This Row],[Value]]*Calculations[[#This Row],[Τιμή]],"-")</f>
        <v>-</v>
      </c>
      <c r="T97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5" s="81" t="str">
        <f>IF(LEFT(Calculations[[#This Row],[Emission Factor]],3)="GWP",Calculations[[#This Row],[Τιμή]],"-")</f>
        <v>-</v>
      </c>
      <c r="V975" s="247">
        <f>IF(OR(Calculations[[#This Row],[Emission Factor]]="Σ.Ε. CO₂ eq",Calculations[[#This Row],[Emission Factor]]="CO₂ eq"),Calculations[[#This Row],[Value]]*Calculations[[#This Row],[Τιμή]],"-")</f>
        <v>5.9721242759999996E-4</v>
      </c>
      <c r="W975" s="81" t="str">
        <f>IF(Calculations[[#This Row],[Πηγή εκπομπών]]="Electricity consumed in office buildings and projects - market based",Calculations[[#This Row],[t CO2]],"")</f>
        <v/>
      </c>
      <c r="X97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5.9721242759999996E-4</v>
      </c>
    </row>
    <row r="976" spans="1:24" hidden="1">
      <c r="A976" s="15" t="s">
        <v>350</v>
      </c>
      <c r="B976" s="15" t="s">
        <v>645</v>
      </c>
      <c r="C976" s="16" t="s">
        <v>624</v>
      </c>
      <c r="D976" s="16" t="s">
        <v>1276</v>
      </c>
      <c r="E976" s="16"/>
      <c r="F976" s="16"/>
      <c r="G976" s="16" t="s">
        <v>646</v>
      </c>
      <c r="H976" s="15" t="s">
        <v>690</v>
      </c>
      <c r="I976" s="17" t="s">
        <v>343</v>
      </c>
      <c r="J976" s="79">
        <v>7.7299999999999994E-2</v>
      </c>
      <c r="K976" s="18" t="s">
        <v>280</v>
      </c>
      <c r="L976" s="94" t="s">
        <v>694</v>
      </c>
      <c r="M976" s="148" t="s">
        <v>710</v>
      </c>
      <c r="N976" s="81" t="str">
        <f>_xlfn.XLOOKUP(Calculations[[#This Row],[For XLOOKUP]],Factors[For XLOOKUP],Factors[Factor],"")</f>
        <v>Σ.Ε. CO₂ eq</v>
      </c>
      <c r="O976" s="81">
        <f>_xlfn.XLOOKUP(Calculations[[#This Row],[For XLOOKUP]],Factors[For XLOOKUP],Factors[Value],"")</f>
        <v>6.4106099999999997E-3</v>
      </c>
      <c r="P976" s="81" t="str">
        <f>_xlfn.XLOOKUP(Calculations[[#This Row],[For XLOOKUP]],Factors[For XLOOKUP],Factors[Units],"")</f>
        <v>tn CO2 eq/ tn</v>
      </c>
      <c r="Q976" s="19" t="str">
        <f>_xlfn.XLOOKUP(Calculations[[#This Row],[For XLOOKUP]],Factors[For XLOOKUP],Factors[Source],"")</f>
        <v>DEFRA 2024</v>
      </c>
      <c r="R97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6" s="81" t="str">
        <f>IF(LEFT(Calculations[[#This Row],[Emission Factor]],7)="Σ.Ε. CH",Calculations[[#This Row],[Value]]*Calculations[[#This Row],[Τιμή]],"-")</f>
        <v>-</v>
      </c>
      <c r="T97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6" s="81" t="str">
        <f>IF(LEFT(Calculations[[#This Row],[Emission Factor]],3)="GWP",Calculations[[#This Row],[Τιμή]],"-")</f>
        <v>-</v>
      </c>
      <c r="V976" s="247">
        <f>IF(OR(Calculations[[#This Row],[Emission Factor]]="Σ.Ε. CO₂ eq",Calculations[[#This Row],[Emission Factor]]="CO₂ eq"),Calculations[[#This Row],[Value]]*Calculations[[#This Row],[Τιμή]],"-")</f>
        <v>4.9554015299999997E-4</v>
      </c>
      <c r="W976" s="81" t="str">
        <f>IF(Calculations[[#This Row],[Πηγή εκπομπών]]="Electricity consumed in office buildings and projects - market based",Calculations[[#This Row],[t CO2]],"")</f>
        <v/>
      </c>
      <c r="X97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4.9554015299999997E-4</v>
      </c>
    </row>
    <row r="977" spans="1:24" hidden="1">
      <c r="A977" s="15" t="s">
        <v>350</v>
      </c>
      <c r="B977" s="15" t="s">
        <v>645</v>
      </c>
      <c r="C977" s="16" t="s">
        <v>624</v>
      </c>
      <c r="D977" s="16" t="s">
        <v>1276</v>
      </c>
      <c r="E977" s="16"/>
      <c r="F977" s="16"/>
      <c r="G977" s="16" t="s">
        <v>646</v>
      </c>
      <c r="H977" s="15" t="s">
        <v>691</v>
      </c>
      <c r="I977" s="17" t="s">
        <v>343</v>
      </c>
      <c r="J977" s="79">
        <v>0</v>
      </c>
      <c r="K977" s="18" t="s">
        <v>280</v>
      </c>
      <c r="L977" s="94" t="s">
        <v>700</v>
      </c>
      <c r="M977" s="148" t="s">
        <v>720</v>
      </c>
      <c r="N977" s="81" t="str">
        <f>_xlfn.XLOOKUP(Calculations[[#This Row],[For XLOOKUP]],Factors[For XLOOKUP],Factors[Factor],"")</f>
        <v>Σ.Ε. CO₂ eq</v>
      </c>
      <c r="O977" s="81">
        <f>_xlfn.XLOOKUP(Calculations[[#This Row],[For XLOOKUP]],Factors[For XLOOKUP],Factors[Value],"")</f>
        <v>1.1023113109243879E-2</v>
      </c>
      <c r="P977" s="81" t="str">
        <f>_xlfn.XLOOKUP(Calculations[[#This Row],[For XLOOKUP]],Factors[For XLOOKUP],Factors[Units],"")</f>
        <v>tn CO2 eq/ tn</v>
      </c>
      <c r="Q977" s="19" t="str">
        <f>_xlfn.XLOOKUP(Calculations[[#This Row],[For XLOOKUP]],Factors[For XLOOKUP],Factors[Source],"")</f>
        <v>EPA 2024</v>
      </c>
      <c r="R97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7" s="81" t="str">
        <f>IF(LEFT(Calculations[[#This Row],[Emission Factor]],7)="Σ.Ε. CH",Calculations[[#This Row],[Value]]*Calculations[[#This Row],[Τιμή]],"-")</f>
        <v>-</v>
      </c>
      <c r="T97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7" s="81" t="str">
        <f>IF(LEFT(Calculations[[#This Row],[Emission Factor]],3)="GWP",Calculations[[#This Row],[Τιμή]],"-")</f>
        <v>-</v>
      </c>
      <c r="V977" s="247">
        <f>IF(OR(Calculations[[#This Row],[Emission Factor]]="Σ.Ε. CO₂ eq",Calculations[[#This Row],[Emission Factor]]="CO₂ eq"),Calculations[[#This Row],[Value]]*Calculations[[#This Row],[Τιμή]],"-")</f>
        <v>0</v>
      </c>
      <c r="W977" s="81" t="str">
        <f>IF(Calculations[[#This Row],[Πηγή εκπομπών]]="Electricity consumed in office buildings and projects - market based",Calculations[[#This Row],[t CO2]],"")</f>
        <v/>
      </c>
      <c r="X97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</v>
      </c>
    </row>
    <row r="978" spans="1:24" hidden="1">
      <c r="A978" s="15" t="s">
        <v>350</v>
      </c>
      <c r="B978" s="15" t="s">
        <v>645</v>
      </c>
      <c r="C978" s="16" t="s">
        <v>624</v>
      </c>
      <c r="D978" s="77" t="s">
        <v>1276</v>
      </c>
      <c r="E978" s="16"/>
      <c r="F978" s="16"/>
      <c r="G978" s="16" t="s">
        <v>646</v>
      </c>
      <c r="H978" s="15" t="s">
        <v>691</v>
      </c>
      <c r="I978" s="17" t="s">
        <v>343</v>
      </c>
      <c r="J978" s="79">
        <v>739.13</v>
      </c>
      <c r="K978" s="18" t="s">
        <v>280</v>
      </c>
      <c r="L978" s="94" t="s">
        <v>694</v>
      </c>
      <c r="M978" s="148" t="s">
        <v>720</v>
      </c>
      <c r="N978" s="81" t="str">
        <f>_xlfn.XLOOKUP(Calculations[[#This Row],[For XLOOKUP]],Factors[For XLOOKUP],Factors[Factor],"")</f>
        <v>Σ.Ε. CO₂ eq</v>
      </c>
      <c r="O978" s="81">
        <f>_xlfn.XLOOKUP(Calculations[[#This Row],[For XLOOKUP]],Factors[For XLOOKUP],Factors[Value],"")</f>
        <v>1.1023113109243879E-2</v>
      </c>
      <c r="P978" s="81" t="str">
        <f>_xlfn.XLOOKUP(Calculations[[#This Row],[For XLOOKUP]],Factors[For XLOOKUP],Factors[Units],"")</f>
        <v>tn CO2 eq/ tn</v>
      </c>
      <c r="Q978" s="19" t="str">
        <f>_xlfn.XLOOKUP(Calculations[[#This Row],[For XLOOKUP]],Factors[For XLOOKUP],Factors[Source],"")</f>
        <v>EPA 2024</v>
      </c>
      <c r="R97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8" s="81" t="str">
        <f>IF(LEFT(Calculations[[#This Row],[Emission Factor]],7)="Σ.Ε. CH",Calculations[[#This Row],[Value]]*Calculations[[#This Row],[Τιμή]],"-")</f>
        <v>-</v>
      </c>
      <c r="T97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8" s="81" t="str">
        <f>IF(LEFT(Calculations[[#This Row],[Emission Factor]],3)="GWP",Calculations[[#This Row],[Τιμή]],"-")</f>
        <v>-</v>
      </c>
      <c r="V978" s="247">
        <f>IF(OR(Calculations[[#This Row],[Emission Factor]]="Σ.Ε. CO₂ eq",Calculations[[#This Row],[Emission Factor]]="CO₂ eq"),Calculations[[#This Row],[Value]]*Calculations[[#This Row],[Τιμή]],"-")</f>
        <v>8.1475135924354287</v>
      </c>
      <c r="W978" s="81" t="str">
        <f>IF(Calculations[[#This Row],[Πηγή εκπομπών]]="Electricity consumed in office buildings and projects - market based",Calculations[[#This Row],[t CO2]],"")</f>
        <v/>
      </c>
      <c r="X97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8.1475135924354287</v>
      </c>
    </row>
    <row r="979" spans="1:24" hidden="1">
      <c r="A979" s="15" t="s">
        <v>350</v>
      </c>
      <c r="B979" s="15" t="s">
        <v>645</v>
      </c>
      <c r="C979" s="16" t="s">
        <v>624</v>
      </c>
      <c r="D979" s="77" t="s">
        <v>1255</v>
      </c>
      <c r="E979" s="16" t="s">
        <v>1151</v>
      </c>
      <c r="F979" s="16"/>
      <c r="G979" s="16" t="s">
        <v>646</v>
      </c>
      <c r="H979" s="15" t="s">
        <v>1366</v>
      </c>
      <c r="I979" s="17" t="s">
        <v>343</v>
      </c>
      <c r="J979" s="79">
        <v>8.6669999999999997E-2</v>
      </c>
      <c r="K979" s="18" t="s">
        <v>280</v>
      </c>
      <c r="L979" s="94" t="s">
        <v>700</v>
      </c>
      <c r="M979" s="148" t="s">
        <v>728</v>
      </c>
      <c r="N979" s="81" t="str">
        <f>_xlfn.XLOOKUP(Calculations[[#This Row],[For XLOOKUP]],Factors[For XLOOKUP],Factors[Factor],"")</f>
        <v>Σ.Ε. CO₂ eq</v>
      </c>
      <c r="O979" s="81">
        <f>_xlfn.XLOOKUP(Calculations[[#This Row],[For XLOOKUP]],Factors[For XLOOKUP],Factors[Value],"")</f>
        <v>1.05157427048723</v>
      </c>
      <c r="P979" s="81" t="str">
        <f>_xlfn.XLOOKUP(Calculations[[#This Row],[For XLOOKUP]],Factors[For XLOOKUP],Factors[Units],"")</f>
        <v>tn CO2 eq/ tn</v>
      </c>
      <c r="Q979" s="19" t="str">
        <f>_xlfn.XLOOKUP(Calculations[[#This Row],[For XLOOKUP]],Factors[For XLOOKUP],Factors[Source],"")</f>
        <v>Ecoinvent 3.11</v>
      </c>
      <c r="R97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9" s="81" t="str">
        <f>IF(LEFT(Calculations[[#This Row],[Emission Factor]],7)="Σ.Ε. CH",Calculations[[#This Row],[Value]]*Calculations[[#This Row],[Τιμή]],"-")</f>
        <v>-</v>
      </c>
      <c r="T97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9" s="81" t="str">
        <f>IF(LEFT(Calculations[[#This Row],[Emission Factor]],3)="GWP",Calculations[[#This Row],[Τιμή]],"-")</f>
        <v>-</v>
      </c>
      <c r="V979" s="247">
        <f>IF(OR(Calculations[[#This Row],[Emission Factor]]="Σ.Ε. CO₂ eq",Calculations[[#This Row],[Emission Factor]]="CO₂ eq"),Calculations[[#This Row],[Value]]*Calculations[[#This Row],[Τιμή]],"-")</f>
        <v>9.1139942023128223E-2</v>
      </c>
      <c r="W979" s="81" t="str">
        <f>IF(Calculations[[#This Row],[Πηγή εκπομπών]]="Electricity consumed in office buildings and projects - market based",Calculations[[#This Row],[t CO2]],"")</f>
        <v/>
      </c>
      <c r="X97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9.1139942023128223E-2</v>
      </c>
    </row>
    <row r="980" spans="1:24" hidden="1">
      <c r="A980" s="15" t="s">
        <v>350</v>
      </c>
      <c r="B980" s="15" t="s">
        <v>645</v>
      </c>
      <c r="C980" s="16" t="s">
        <v>624</v>
      </c>
      <c r="D980" s="77" t="s">
        <v>1273</v>
      </c>
      <c r="E980" s="16" t="s">
        <v>1137</v>
      </c>
      <c r="F980" s="16"/>
      <c r="G980" s="16" t="s">
        <v>646</v>
      </c>
      <c r="H980" s="15" t="s">
        <v>1366</v>
      </c>
      <c r="I980" s="17" t="s">
        <v>343</v>
      </c>
      <c r="J980" s="79">
        <v>0.21333000000000002</v>
      </c>
      <c r="K980" s="18" t="s">
        <v>280</v>
      </c>
      <c r="L980" s="94" t="s">
        <v>700</v>
      </c>
      <c r="M980" s="148" t="s">
        <v>728</v>
      </c>
      <c r="N980" s="81" t="str">
        <f>_xlfn.XLOOKUP(Calculations[[#This Row],[For XLOOKUP]],Factors[For XLOOKUP],Factors[Factor],"")</f>
        <v>Σ.Ε. CO₂ eq</v>
      </c>
      <c r="O980" s="81">
        <f>_xlfn.XLOOKUP(Calculations[[#This Row],[For XLOOKUP]],Factors[For XLOOKUP],Factors[Value],"")</f>
        <v>1.05157427048723</v>
      </c>
      <c r="P980" s="81" t="str">
        <f>_xlfn.XLOOKUP(Calculations[[#This Row],[For XLOOKUP]],Factors[For XLOOKUP],Factors[Units],"")</f>
        <v>tn CO2 eq/ tn</v>
      </c>
      <c r="Q980" s="19" t="str">
        <f>_xlfn.XLOOKUP(Calculations[[#This Row],[For XLOOKUP]],Factors[For XLOOKUP],Factors[Source],"")</f>
        <v>Ecoinvent 3.11</v>
      </c>
      <c r="R98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0" s="81" t="str">
        <f>IF(LEFT(Calculations[[#This Row],[Emission Factor]],7)="Σ.Ε. CH",Calculations[[#This Row],[Value]]*Calculations[[#This Row],[Τιμή]],"-")</f>
        <v>-</v>
      </c>
      <c r="T98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0" s="81" t="str">
        <f>IF(LEFT(Calculations[[#This Row],[Emission Factor]],3)="GWP",Calculations[[#This Row],[Τιμή]],"-")</f>
        <v>-</v>
      </c>
      <c r="V980" s="247">
        <f>IF(OR(Calculations[[#This Row],[Emission Factor]]="Σ.Ε. CO₂ eq",Calculations[[#This Row],[Emission Factor]]="CO₂ eq"),Calculations[[#This Row],[Value]]*Calculations[[#This Row],[Τιμή]],"-")</f>
        <v>0.22433233912304079</v>
      </c>
      <c r="W980" s="81" t="str">
        <f>IF(Calculations[[#This Row],[Πηγή εκπομπών]]="Electricity consumed in office buildings and projects - market based",Calculations[[#This Row],[t CO2]],"")</f>
        <v/>
      </c>
      <c r="X98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0.22433233912304079</v>
      </c>
    </row>
    <row r="981" spans="1:24" hidden="1">
      <c r="A981" s="15" t="s">
        <v>350</v>
      </c>
      <c r="B981" s="15" t="s">
        <v>645</v>
      </c>
      <c r="C981" s="16" t="s">
        <v>624</v>
      </c>
      <c r="D981" s="77" t="s">
        <v>1276</v>
      </c>
      <c r="E981" s="16"/>
      <c r="F981" s="16"/>
      <c r="G981" s="16" t="s">
        <v>646</v>
      </c>
      <c r="H981" s="15" t="s">
        <v>1366</v>
      </c>
      <c r="I981" s="17" t="s">
        <v>343</v>
      </c>
      <c r="J981" s="79">
        <v>0.24</v>
      </c>
      <c r="K981" s="18" t="s">
        <v>280</v>
      </c>
      <c r="L981" s="94" t="s">
        <v>697</v>
      </c>
      <c r="M981" s="148" t="s">
        <v>728</v>
      </c>
      <c r="N981" s="81" t="str">
        <f>_xlfn.XLOOKUP(Calculations[[#This Row],[For XLOOKUP]],Factors[For XLOOKUP],Factors[Factor],"")</f>
        <v>Σ.Ε. CO₂ eq</v>
      </c>
      <c r="O981" s="81">
        <f>_xlfn.XLOOKUP(Calculations[[#This Row],[For XLOOKUP]],Factors[For XLOOKUP],Factors[Value],"")</f>
        <v>1.05157427048723</v>
      </c>
      <c r="P981" s="81" t="str">
        <f>_xlfn.XLOOKUP(Calculations[[#This Row],[For XLOOKUP]],Factors[For XLOOKUP],Factors[Units],"")</f>
        <v>tn CO2 eq/ tn</v>
      </c>
      <c r="Q981" s="19" t="str">
        <f>_xlfn.XLOOKUP(Calculations[[#This Row],[For XLOOKUP]],Factors[For XLOOKUP],Factors[Source],"")</f>
        <v>Ecoinvent 3.11</v>
      </c>
      <c r="R98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1" s="81" t="str">
        <f>IF(LEFT(Calculations[[#This Row],[Emission Factor]],7)="Σ.Ε. CH",Calculations[[#This Row],[Value]]*Calculations[[#This Row],[Τιμή]],"-")</f>
        <v>-</v>
      </c>
      <c r="T98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1" s="81" t="str">
        <f>IF(LEFT(Calculations[[#This Row],[Emission Factor]],3)="GWP",Calculations[[#This Row],[Τιμή]],"-")</f>
        <v>-</v>
      </c>
      <c r="V981" s="247">
        <f>IF(OR(Calculations[[#This Row],[Emission Factor]]="Σ.Ε. CO₂ eq",Calculations[[#This Row],[Emission Factor]]="CO₂ eq"),Calculations[[#This Row],[Value]]*Calculations[[#This Row],[Τιμή]],"-")</f>
        <v>0.25237782491693517</v>
      </c>
      <c r="W981" s="81" t="str">
        <f>IF(Calculations[[#This Row],[Πηγή εκπομπών]]="Electricity consumed in office buildings and projects - market based",Calculations[[#This Row],[t CO2]],"")</f>
        <v/>
      </c>
      <c r="X98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0.25237782491693517</v>
      </c>
    </row>
    <row r="982" spans="1:24" hidden="1">
      <c r="A982" s="15" t="s">
        <v>350</v>
      </c>
      <c r="B982" s="15" t="s">
        <v>645</v>
      </c>
      <c r="C982" s="16" t="s">
        <v>624</v>
      </c>
      <c r="D982" s="77" t="s">
        <v>1276</v>
      </c>
      <c r="E982" s="16"/>
      <c r="F982" s="16"/>
      <c r="G982" s="16" t="s">
        <v>646</v>
      </c>
      <c r="H982" s="15" t="s">
        <v>1366</v>
      </c>
      <c r="I982" s="17" t="s">
        <v>343</v>
      </c>
      <c r="J982" s="79">
        <v>3.16</v>
      </c>
      <c r="K982" s="18" t="s">
        <v>280</v>
      </c>
      <c r="L982" s="94" t="s">
        <v>694</v>
      </c>
      <c r="M982" s="148" t="s">
        <v>728</v>
      </c>
      <c r="N982" s="81" t="str">
        <f>_xlfn.XLOOKUP(Calculations[[#This Row],[For XLOOKUP]],Factors[For XLOOKUP],Factors[Factor],"")</f>
        <v>Σ.Ε. CO₂ eq</v>
      </c>
      <c r="O982" s="81">
        <f>_xlfn.XLOOKUP(Calculations[[#This Row],[For XLOOKUP]],Factors[For XLOOKUP],Factors[Value],"")</f>
        <v>1.05157427048723</v>
      </c>
      <c r="P982" s="81" t="str">
        <f>_xlfn.XLOOKUP(Calculations[[#This Row],[For XLOOKUP]],Factors[For XLOOKUP],Factors[Units],"")</f>
        <v>tn CO2 eq/ tn</v>
      </c>
      <c r="Q982" s="19" t="str">
        <f>_xlfn.XLOOKUP(Calculations[[#This Row],[For XLOOKUP]],Factors[For XLOOKUP],Factors[Source],"")</f>
        <v>Ecoinvent 3.11</v>
      </c>
      <c r="R98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2" s="81" t="str">
        <f>IF(LEFT(Calculations[[#This Row],[Emission Factor]],7)="Σ.Ε. CH",Calculations[[#This Row],[Value]]*Calculations[[#This Row],[Τιμή]],"-")</f>
        <v>-</v>
      </c>
      <c r="T98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2" s="81" t="str">
        <f>IF(LEFT(Calculations[[#This Row],[Emission Factor]],3)="GWP",Calculations[[#This Row],[Τιμή]],"-")</f>
        <v>-</v>
      </c>
      <c r="V982" s="247">
        <f>IF(OR(Calculations[[#This Row],[Emission Factor]]="Σ.Ε. CO₂ eq",Calculations[[#This Row],[Emission Factor]]="CO₂ eq"),Calculations[[#This Row],[Value]]*Calculations[[#This Row],[Τιμή]],"-")</f>
        <v>3.322974694739647</v>
      </c>
      <c r="W982" s="81" t="str">
        <f>IF(Calculations[[#This Row],[Πηγή εκπομπών]]="Electricity consumed in office buildings and projects - market based",Calculations[[#This Row],[t CO2]],"")</f>
        <v/>
      </c>
      <c r="X98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3.322974694739647</v>
      </c>
    </row>
    <row r="983" spans="1:24" hidden="1">
      <c r="A983" s="15" t="s">
        <v>350</v>
      </c>
      <c r="B983" s="15" t="s">
        <v>645</v>
      </c>
      <c r="C983" s="16" t="s">
        <v>624</v>
      </c>
      <c r="D983" s="77" t="s">
        <v>1255</v>
      </c>
      <c r="E983" s="16" t="s">
        <v>1150</v>
      </c>
      <c r="F983" s="16"/>
      <c r="G983" s="16" t="s">
        <v>646</v>
      </c>
      <c r="H983" s="15" t="s">
        <v>692</v>
      </c>
      <c r="I983" s="17" t="s">
        <v>343</v>
      </c>
      <c r="J983" s="79">
        <v>1.6338683409024901</v>
      </c>
      <c r="K983" s="18" t="s">
        <v>280</v>
      </c>
      <c r="L983" s="94" t="s">
        <v>694</v>
      </c>
      <c r="M983" s="148" t="s">
        <v>707</v>
      </c>
      <c r="N983" s="81" t="str">
        <f>_xlfn.XLOOKUP(Calculations[[#This Row],[For XLOOKUP]],Factors[For XLOOKUP],Factors[Factor],"")</f>
        <v>Σ.Ε. CO₂ eq</v>
      </c>
      <c r="O983" s="81">
        <f>_xlfn.XLOOKUP(Calculations[[#This Row],[For XLOOKUP]],Factors[For XLOOKUP],Factors[Value],"")</f>
        <v>7.7161791764707152E-2</v>
      </c>
      <c r="P983" s="81" t="str">
        <f>_xlfn.XLOOKUP(Calculations[[#This Row],[For XLOOKUP]],Factors[For XLOOKUP],Factors[Units],"")</f>
        <v>tn CO2 eq/ tn</v>
      </c>
      <c r="Q983" s="19" t="str">
        <f>_xlfn.XLOOKUP(Calculations[[#This Row],[For XLOOKUP]],Factors[For XLOOKUP],Factors[Source],"")</f>
        <v>EPA 2024</v>
      </c>
      <c r="R98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3" s="81" t="str">
        <f>IF(LEFT(Calculations[[#This Row],[Emission Factor]],7)="Σ.Ε. CH",Calculations[[#This Row],[Value]]*Calculations[[#This Row],[Τιμή]],"-")</f>
        <v>-</v>
      </c>
      <c r="T98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3" s="81" t="str">
        <f>IF(LEFT(Calculations[[#This Row],[Emission Factor]],3)="GWP",Calculations[[#This Row],[Τιμή]],"-")</f>
        <v>-</v>
      </c>
      <c r="V983" s="247">
        <f>IF(OR(Calculations[[#This Row],[Emission Factor]]="Σ.Ε. CO₂ eq",Calculations[[#This Row],[Emission Factor]]="CO₂ eq"),Calculations[[#This Row],[Value]]*Calculations[[#This Row],[Τιμή]],"-")</f>
        <v>0.12607220869166549</v>
      </c>
      <c r="W983" s="81" t="str">
        <f>IF(Calculations[[#This Row],[Πηγή εκπομπών]]="Electricity consumed in office buildings and projects - market based",Calculations[[#This Row],[t CO2]],"")</f>
        <v/>
      </c>
      <c r="X98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0.12607220869166549</v>
      </c>
    </row>
    <row r="984" spans="1:24" hidden="1">
      <c r="A984" s="15" t="s">
        <v>350</v>
      </c>
      <c r="B984" s="15" t="s">
        <v>645</v>
      </c>
      <c r="C984" s="16" t="s">
        <v>624</v>
      </c>
      <c r="D984" s="77" t="s">
        <v>1255</v>
      </c>
      <c r="E984" s="16" t="s">
        <v>1151</v>
      </c>
      <c r="F984" s="16"/>
      <c r="G984" s="16" t="s">
        <v>646</v>
      </c>
      <c r="H984" s="15" t="s">
        <v>692</v>
      </c>
      <c r="I984" s="17" t="s">
        <v>343</v>
      </c>
      <c r="J984" s="79">
        <v>0.02</v>
      </c>
      <c r="K984" s="18" t="s">
        <v>280</v>
      </c>
      <c r="L984" s="94" t="s">
        <v>694</v>
      </c>
      <c r="M984" s="148" t="s">
        <v>707</v>
      </c>
      <c r="N984" s="81" t="str">
        <f>_xlfn.XLOOKUP(Calculations[[#This Row],[For XLOOKUP]],Factors[For XLOOKUP],Factors[Factor],"")</f>
        <v>Σ.Ε. CO₂ eq</v>
      </c>
      <c r="O984" s="81">
        <f>_xlfn.XLOOKUP(Calculations[[#This Row],[For XLOOKUP]],Factors[For XLOOKUP],Factors[Value],"")</f>
        <v>7.7161791764707152E-2</v>
      </c>
      <c r="P984" s="81" t="str">
        <f>_xlfn.XLOOKUP(Calculations[[#This Row],[For XLOOKUP]],Factors[For XLOOKUP],Factors[Units],"")</f>
        <v>tn CO2 eq/ tn</v>
      </c>
      <c r="Q984" s="19" t="str">
        <f>_xlfn.XLOOKUP(Calculations[[#This Row],[For XLOOKUP]],Factors[For XLOOKUP],Factors[Source],"")</f>
        <v>EPA 2024</v>
      </c>
      <c r="R984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4" s="81" t="str">
        <f>IF(LEFT(Calculations[[#This Row],[Emission Factor]],7)="Σ.Ε. CH",Calculations[[#This Row],[Value]]*Calculations[[#This Row],[Τιμή]],"-")</f>
        <v>-</v>
      </c>
      <c r="T984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4" s="81" t="str">
        <f>IF(LEFT(Calculations[[#This Row],[Emission Factor]],3)="GWP",Calculations[[#This Row],[Τιμή]],"-")</f>
        <v>-</v>
      </c>
      <c r="V984" s="247">
        <f>IF(OR(Calculations[[#This Row],[Emission Factor]]="Σ.Ε. CO₂ eq",Calculations[[#This Row],[Emission Factor]]="CO₂ eq"),Calculations[[#This Row],[Value]]*Calculations[[#This Row],[Τιμή]],"-")</f>
        <v>1.5432358352941431E-3</v>
      </c>
      <c r="W984" s="81" t="str">
        <f>IF(Calculations[[#This Row],[Πηγή εκπομπών]]="Electricity consumed in office buildings and projects - market based",Calculations[[#This Row],[t CO2]],"")</f>
        <v/>
      </c>
      <c r="X984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1.5432358352941431E-3</v>
      </c>
    </row>
    <row r="985" spans="1:24" hidden="1">
      <c r="A985" s="15" t="s">
        <v>350</v>
      </c>
      <c r="B985" s="15" t="s">
        <v>645</v>
      </c>
      <c r="C985" s="16" t="s">
        <v>624</v>
      </c>
      <c r="D985" s="77" t="s">
        <v>1268</v>
      </c>
      <c r="E985" s="16" t="s">
        <v>1146</v>
      </c>
      <c r="F985" s="16"/>
      <c r="G985" s="16" t="s">
        <v>646</v>
      </c>
      <c r="H985" s="15" t="s">
        <v>692</v>
      </c>
      <c r="I985" s="17" t="s">
        <v>343</v>
      </c>
      <c r="J985" s="79">
        <v>14.470980923749101</v>
      </c>
      <c r="K985" s="18" t="s">
        <v>280</v>
      </c>
      <c r="L985" s="94" t="s">
        <v>694</v>
      </c>
      <c r="M985" s="148" t="s">
        <v>707</v>
      </c>
      <c r="N985" s="81" t="str">
        <f>_xlfn.XLOOKUP(Calculations[[#This Row],[For XLOOKUP]],Factors[For XLOOKUP],Factors[Factor],"")</f>
        <v>Σ.Ε. CO₂ eq</v>
      </c>
      <c r="O985" s="81">
        <f>_xlfn.XLOOKUP(Calculations[[#This Row],[For XLOOKUP]],Factors[For XLOOKUP],Factors[Value],"")</f>
        <v>7.7161791764707152E-2</v>
      </c>
      <c r="P985" s="81" t="str">
        <f>_xlfn.XLOOKUP(Calculations[[#This Row],[For XLOOKUP]],Factors[For XLOOKUP],Factors[Units],"")</f>
        <v>tn CO2 eq/ tn</v>
      </c>
      <c r="Q985" s="19" t="str">
        <f>_xlfn.XLOOKUP(Calculations[[#This Row],[For XLOOKUP]],Factors[For XLOOKUP],Factors[Source],"")</f>
        <v>EPA 2024</v>
      </c>
      <c r="R98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5" s="81" t="str">
        <f>IF(LEFT(Calculations[[#This Row],[Emission Factor]],7)="Σ.Ε. CH",Calculations[[#This Row],[Value]]*Calculations[[#This Row],[Τιμή]],"-")</f>
        <v>-</v>
      </c>
      <c r="T98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5" s="81" t="str">
        <f>IF(LEFT(Calculations[[#This Row],[Emission Factor]],3)="GWP",Calculations[[#This Row],[Τιμή]],"-")</f>
        <v>-</v>
      </c>
      <c r="V985" s="247">
        <f>IF(OR(Calculations[[#This Row],[Emission Factor]]="Σ.Ε. CO₂ eq",Calculations[[#This Row],[Emission Factor]]="CO₂ eq"),Calculations[[#This Row],[Value]]*Calculations[[#This Row],[Τιμή]],"-")</f>
        <v>1.1166068166693777</v>
      </c>
      <c r="W985" s="81" t="str">
        <f>IF(Calculations[[#This Row],[Πηγή εκπομπών]]="Electricity consumed in office buildings and projects - market based",Calculations[[#This Row],[t CO2]],"")</f>
        <v/>
      </c>
      <c r="X98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1.1166068166693777</v>
      </c>
    </row>
    <row r="986" spans="1:24" hidden="1">
      <c r="A986" s="15" t="s">
        <v>350</v>
      </c>
      <c r="B986" s="15" t="s">
        <v>645</v>
      </c>
      <c r="C986" s="16" t="s">
        <v>624</v>
      </c>
      <c r="D986" s="77" t="s">
        <v>1273</v>
      </c>
      <c r="E986" s="16" t="s">
        <v>1140</v>
      </c>
      <c r="F986" s="16"/>
      <c r="G986" s="16" t="s">
        <v>646</v>
      </c>
      <c r="H986" s="15" t="s">
        <v>692</v>
      </c>
      <c r="I986" s="17" t="s">
        <v>343</v>
      </c>
      <c r="J986" s="79">
        <v>8.6300000000000008</v>
      </c>
      <c r="K986" s="18" t="s">
        <v>280</v>
      </c>
      <c r="L986" s="94" t="s">
        <v>694</v>
      </c>
      <c r="M986" s="148" t="s">
        <v>707</v>
      </c>
      <c r="N986" s="81" t="str">
        <f>_xlfn.XLOOKUP(Calculations[[#This Row],[For XLOOKUP]],Factors[For XLOOKUP],Factors[Factor],"")</f>
        <v>Σ.Ε. CO₂ eq</v>
      </c>
      <c r="O986" s="81">
        <f>_xlfn.XLOOKUP(Calculations[[#This Row],[For XLOOKUP]],Factors[For XLOOKUP],Factors[Value],"")</f>
        <v>7.7161791764707152E-2</v>
      </c>
      <c r="P986" s="81" t="str">
        <f>_xlfn.XLOOKUP(Calculations[[#This Row],[For XLOOKUP]],Factors[For XLOOKUP],Factors[Units],"")</f>
        <v>tn CO2 eq/ tn</v>
      </c>
      <c r="Q986" s="19" t="str">
        <f>_xlfn.XLOOKUP(Calculations[[#This Row],[For XLOOKUP]],Factors[For XLOOKUP],Factors[Source],"")</f>
        <v>EPA 2024</v>
      </c>
      <c r="R98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6" s="81" t="str">
        <f>IF(LEFT(Calculations[[#This Row],[Emission Factor]],7)="Σ.Ε. CH",Calculations[[#This Row],[Value]]*Calculations[[#This Row],[Τιμή]],"-")</f>
        <v>-</v>
      </c>
      <c r="T98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6" s="81" t="str">
        <f>IF(LEFT(Calculations[[#This Row],[Emission Factor]],3)="GWP",Calculations[[#This Row],[Τιμή]],"-")</f>
        <v>-</v>
      </c>
      <c r="V986" s="247">
        <f>IF(OR(Calculations[[#This Row],[Emission Factor]]="Σ.Ε. CO₂ eq",Calculations[[#This Row],[Emission Factor]]="CO₂ eq"),Calculations[[#This Row],[Value]]*Calculations[[#This Row],[Τιμή]],"-")</f>
        <v>0.66590626292942279</v>
      </c>
      <c r="W986" s="81" t="str">
        <f>IF(Calculations[[#This Row],[Πηγή εκπομπών]]="Electricity consumed in office buildings and projects - market based",Calculations[[#This Row],[t CO2]],"")</f>
        <v/>
      </c>
      <c r="X98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0.66590626292942279</v>
      </c>
    </row>
    <row r="987" spans="1:24" hidden="1">
      <c r="A987" s="15" t="s">
        <v>350</v>
      </c>
      <c r="B987" s="15" t="s">
        <v>645</v>
      </c>
      <c r="C987" s="16" t="s">
        <v>624</v>
      </c>
      <c r="D987" s="77" t="s">
        <v>1273</v>
      </c>
      <c r="E987" s="16" t="s">
        <v>1136</v>
      </c>
      <c r="F987" s="16"/>
      <c r="G987" s="16" t="s">
        <v>646</v>
      </c>
      <c r="H987" s="15" t="s">
        <v>692</v>
      </c>
      <c r="I987" s="17" t="s">
        <v>343</v>
      </c>
      <c r="J987" s="79">
        <v>4.4277124736145499</v>
      </c>
      <c r="K987" s="18" t="s">
        <v>280</v>
      </c>
      <c r="L987" s="94" t="s">
        <v>694</v>
      </c>
      <c r="M987" s="148" t="s">
        <v>707</v>
      </c>
      <c r="N987" s="81" t="str">
        <f>_xlfn.XLOOKUP(Calculations[[#This Row],[For XLOOKUP]],Factors[For XLOOKUP],Factors[Factor],"")</f>
        <v>Σ.Ε. CO₂ eq</v>
      </c>
      <c r="O987" s="81">
        <f>_xlfn.XLOOKUP(Calculations[[#This Row],[For XLOOKUP]],Factors[For XLOOKUP],Factors[Value],"")</f>
        <v>7.7161791764707152E-2</v>
      </c>
      <c r="P987" s="81" t="str">
        <f>_xlfn.XLOOKUP(Calculations[[#This Row],[For XLOOKUP]],Factors[For XLOOKUP],Factors[Units],"")</f>
        <v>tn CO2 eq/ tn</v>
      </c>
      <c r="Q987" s="19" t="str">
        <f>_xlfn.XLOOKUP(Calculations[[#This Row],[For XLOOKUP]],Factors[For XLOOKUP],Factors[Source],"")</f>
        <v>EPA 2024</v>
      </c>
      <c r="R98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7" s="81" t="str">
        <f>IF(LEFT(Calculations[[#This Row],[Emission Factor]],7)="Σ.Ε. CH",Calculations[[#This Row],[Value]]*Calculations[[#This Row],[Τιμή]],"-")</f>
        <v>-</v>
      </c>
      <c r="T98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7" s="81" t="str">
        <f>IF(LEFT(Calculations[[#This Row],[Emission Factor]],3)="GWP",Calculations[[#This Row],[Τιμή]],"-")</f>
        <v>-</v>
      </c>
      <c r="V987" s="247">
        <f>IF(OR(Calculations[[#This Row],[Emission Factor]]="Σ.Ε. CO₂ eq",Calculations[[#This Row],[Emission Factor]]="CO₂ eq"),Calculations[[#This Row],[Value]]*Calculations[[#This Row],[Τιμή]],"-")</f>
        <v>0.34165022788304233</v>
      </c>
      <c r="W987" s="81" t="str">
        <f>IF(Calculations[[#This Row],[Πηγή εκπομπών]]="Electricity consumed in office buildings and projects - market based",Calculations[[#This Row],[t CO2]],"")</f>
        <v/>
      </c>
      <c r="X98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0.34165022788304233</v>
      </c>
    </row>
    <row r="988" spans="1:24" hidden="1">
      <c r="A988" s="15" t="s">
        <v>350</v>
      </c>
      <c r="B988" s="15" t="s">
        <v>645</v>
      </c>
      <c r="C988" s="16" t="s">
        <v>624</v>
      </c>
      <c r="D988" s="77" t="s">
        <v>1273</v>
      </c>
      <c r="E988" s="16" t="s">
        <v>1142</v>
      </c>
      <c r="F988" s="16"/>
      <c r="G988" s="16" t="s">
        <v>646</v>
      </c>
      <c r="H988" s="288" t="s">
        <v>692</v>
      </c>
      <c r="I988" s="17" t="s">
        <v>343</v>
      </c>
      <c r="J988" s="79">
        <v>0.42438138724740099</v>
      </c>
      <c r="K988" s="18" t="s">
        <v>280</v>
      </c>
      <c r="L988" s="94" t="s">
        <v>694</v>
      </c>
      <c r="M988" s="148" t="s">
        <v>707</v>
      </c>
      <c r="N988" s="81" t="str">
        <f>_xlfn.XLOOKUP(Calculations[[#This Row],[For XLOOKUP]],Factors[For XLOOKUP],Factors[Factor],"")</f>
        <v>Σ.Ε. CO₂ eq</v>
      </c>
      <c r="O988" s="81">
        <f>_xlfn.XLOOKUP(Calculations[[#This Row],[For XLOOKUP]],Factors[For XLOOKUP],Factors[Value],"")</f>
        <v>7.7161791764707152E-2</v>
      </c>
      <c r="P988" s="81" t="str">
        <f>_xlfn.XLOOKUP(Calculations[[#This Row],[For XLOOKUP]],Factors[For XLOOKUP],Factors[Units],"")</f>
        <v>tn CO2 eq/ tn</v>
      </c>
      <c r="Q988" s="19" t="str">
        <f>_xlfn.XLOOKUP(Calculations[[#This Row],[For XLOOKUP]],Factors[For XLOOKUP],Factors[Source],"")</f>
        <v>EPA 2024</v>
      </c>
      <c r="R98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8" s="81" t="str">
        <f>IF(LEFT(Calculations[[#This Row],[Emission Factor]],7)="Σ.Ε. CH",Calculations[[#This Row],[Value]]*Calculations[[#This Row],[Τιμή]],"-")</f>
        <v>-</v>
      </c>
      <c r="T98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8" s="81" t="str">
        <f>IF(LEFT(Calculations[[#This Row],[Emission Factor]],3)="GWP",Calculations[[#This Row],[Τιμή]],"-")</f>
        <v>-</v>
      </c>
      <c r="V988" s="81">
        <f>IF(OR(Calculations[[#This Row],[Emission Factor]]="Σ.Ε. CO₂ eq",Calculations[[#This Row],[Emission Factor]]="CO₂ eq"),Calculations[[#This Row],[Value]]*Calculations[[#This Row],[Τιμή]],"-")</f>
        <v>3.2746028231601505E-2</v>
      </c>
      <c r="W988" s="81" t="str">
        <f>IF(Calculations[[#This Row],[Πηγή εκπομπών]]="Electricity consumed in office buildings and projects - market based",Calculations[[#This Row],[t CO2]],"")</f>
        <v/>
      </c>
      <c r="X98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3.2746028231601505E-2</v>
      </c>
    </row>
    <row r="989" spans="1:24" hidden="1">
      <c r="A989" s="15" t="s">
        <v>350</v>
      </c>
      <c r="B989" s="15" t="s">
        <v>645</v>
      </c>
      <c r="C989" s="16" t="s">
        <v>624</v>
      </c>
      <c r="D989" s="77" t="s">
        <v>1273</v>
      </c>
      <c r="E989" s="16" t="s">
        <v>1137</v>
      </c>
      <c r="F989" s="16"/>
      <c r="G989" s="16" t="s">
        <v>646</v>
      </c>
      <c r="H989" s="15" t="s">
        <v>692</v>
      </c>
      <c r="I989" s="17" t="s">
        <v>343</v>
      </c>
      <c r="J989" s="79">
        <v>0.1</v>
      </c>
      <c r="K989" s="18" t="s">
        <v>280</v>
      </c>
      <c r="L989" s="94" t="s">
        <v>694</v>
      </c>
      <c r="M989" s="148" t="s">
        <v>707</v>
      </c>
      <c r="N989" s="81" t="str">
        <f>_xlfn.XLOOKUP(Calculations[[#This Row],[For XLOOKUP]],Factors[For XLOOKUP],Factors[Factor],"")</f>
        <v>Σ.Ε. CO₂ eq</v>
      </c>
      <c r="O989" s="81">
        <f>_xlfn.XLOOKUP(Calculations[[#This Row],[For XLOOKUP]],Factors[For XLOOKUP],Factors[Value],"")</f>
        <v>7.7161791764707152E-2</v>
      </c>
      <c r="P989" s="81" t="str">
        <f>_xlfn.XLOOKUP(Calculations[[#This Row],[For XLOOKUP]],Factors[For XLOOKUP],Factors[Units],"")</f>
        <v>tn CO2 eq/ tn</v>
      </c>
      <c r="Q989" s="19" t="str">
        <f>_xlfn.XLOOKUP(Calculations[[#This Row],[For XLOOKUP]],Factors[For XLOOKUP],Factors[Source],"")</f>
        <v>EPA 2024</v>
      </c>
      <c r="R98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9" s="81" t="str">
        <f>IF(LEFT(Calculations[[#This Row],[Emission Factor]],7)="Σ.Ε. CH",Calculations[[#This Row],[Value]]*Calculations[[#This Row],[Τιμή]],"-")</f>
        <v>-</v>
      </c>
      <c r="T98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9" s="81" t="str">
        <f>IF(LEFT(Calculations[[#This Row],[Emission Factor]],3)="GWP",Calculations[[#This Row],[Τιμή]],"-")</f>
        <v>-</v>
      </c>
      <c r="V989" s="247">
        <f>IF(OR(Calculations[[#This Row],[Emission Factor]]="Σ.Ε. CO₂ eq",Calculations[[#This Row],[Emission Factor]]="CO₂ eq"),Calculations[[#This Row],[Value]]*Calculations[[#This Row],[Τιμή]],"-")</f>
        <v>7.7161791764707157E-3</v>
      </c>
      <c r="W989" s="81" t="str">
        <f>IF(Calculations[[#This Row],[Πηγή εκπομπών]]="Electricity consumed in office buildings and projects - market based",Calculations[[#This Row],[t CO2]],"")</f>
        <v/>
      </c>
      <c r="X98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7.7161791764707157E-3</v>
      </c>
    </row>
    <row r="990" spans="1:24" hidden="1">
      <c r="A990" s="15" t="s">
        <v>350</v>
      </c>
      <c r="B990" s="15" t="s">
        <v>645</v>
      </c>
      <c r="C990" s="16" t="s">
        <v>624</v>
      </c>
      <c r="D990" s="77" t="s">
        <v>1276</v>
      </c>
      <c r="E990" s="16"/>
      <c r="F990" s="16"/>
      <c r="G990" s="16" t="s">
        <v>646</v>
      </c>
      <c r="H990" s="15" t="s">
        <v>692</v>
      </c>
      <c r="I990" s="17" t="s">
        <v>343</v>
      </c>
      <c r="J990" s="79">
        <v>2698.5650000000001</v>
      </c>
      <c r="K990" s="18" t="s">
        <v>280</v>
      </c>
      <c r="L990" s="94" t="s">
        <v>694</v>
      </c>
      <c r="M990" s="148" t="s">
        <v>707</v>
      </c>
      <c r="N990" s="81" t="str">
        <f>_xlfn.XLOOKUP(Calculations[[#This Row],[For XLOOKUP]],Factors[For XLOOKUP],Factors[Factor],"")</f>
        <v>Σ.Ε. CO₂ eq</v>
      </c>
      <c r="O990" s="81">
        <f>_xlfn.XLOOKUP(Calculations[[#This Row],[For XLOOKUP]],Factors[For XLOOKUP],Factors[Value],"")</f>
        <v>7.7161791764707152E-2</v>
      </c>
      <c r="P990" s="81" t="str">
        <f>_xlfn.XLOOKUP(Calculations[[#This Row],[For XLOOKUP]],Factors[For XLOOKUP],Factors[Units],"")</f>
        <v>tn CO2 eq/ tn</v>
      </c>
      <c r="Q990" s="19" t="str">
        <f>_xlfn.XLOOKUP(Calculations[[#This Row],[For XLOOKUP]],Factors[For XLOOKUP],Factors[Source],"")</f>
        <v>EPA 2024</v>
      </c>
      <c r="R99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0" s="81" t="str">
        <f>IF(LEFT(Calculations[[#This Row],[Emission Factor]],7)="Σ.Ε. CH",Calculations[[#This Row],[Value]]*Calculations[[#This Row],[Τιμή]],"-")</f>
        <v>-</v>
      </c>
      <c r="T99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0" s="81" t="str">
        <f>IF(LEFT(Calculations[[#This Row],[Emission Factor]],3)="GWP",Calculations[[#This Row],[Τιμή]],"-")</f>
        <v>-</v>
      </c>
      <c r="V990" s="247">
        <f>IF(OR(Calculations[[#This Row],[Emission Factor]]="Σ.Ε. CO₂ eq",Calculations[[#This Row],[Emission Factor]]="CO₂ eq"),Calculations[[#This Row],[Value]]*Calculations[[#This Row],[Τιμή]],"-")</f>
        <v>208.22611059352695</v>
      </c>
      <c r="W990" s="81" t="str">
        <f>IF(Calculations[[#This Row],[Πηγή εκπομπών]]="Electricity consumed in office buildings and projects - market based",Calculations[[#This Row],[t CO2]],"")</f>
        <v/>
      </c>
      <c r="X99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208.22611059352695</v>
      </c>
    </row>
    <row r="991" spans="1:24" hidden="1">
      <c r="A991" s="15" t="s">
        <v>350</v>
      </c>
      <c r="B991" s="15" t="s">
        <v>645</v>
      </c>
      <c r="C991" s="16" t="s">
        <v>327</v>
      </c>
      <c r="D991" s="16" t="s">
        <v>1276</v>
      </c>
      <c r="E991" s="16" t="s">
        <v>1187</v>
      </c>
      <c r="F991" s="16"/>
      <c r="G991" s="16" t="s">
        <v>646</v>
      </c>
      <c r="H991" s="15" t="s">
        <v>693</v>
      </c>
      <c r="I991" s="17" t="s">
        <v>343</v>
      </c>
      <c r="J991" s="79">
        <v>1311.52</v>
      </c>
      <c r="K991" s="18" t="s">
        <v>280</v>
      </c>
      <c r="L991" s="94" t="s">
        <v>694</v>
      </c>
      <c r="M991" s="148" t="s">
        <v>1055</v>
      </c>
      <c r="N991" s="81" t="str">
        <f>_xlfn.XLOOKUP(Calculations[[#This Row],[For XLOOKUP]],Factors[For XLOOKUP],Factors[Factor],"")</f>
        <v>Σ.Ε. CO₂ eq</v>
      </c>
      <c r="O991" s="81">
        <f>_xlfn.XLOOKUP(Calculations[[#This Row],[For XLOOKUP]],Factors[For XLOOKUP],Factors[Value],"")</f>
        <v>2.1280999999999998E-2</v>
      </c>
      <c r="P991" s="81" t="str">
        <f>_xlfn.XLOOKUP(Calculations[[#This Row],[For XLOOKUP]],Factors[For XLOOKUP],Factors[Units],"")</f>
        <v>tn CO2 eq/ tn</v>
      </c>
      <c r="Q991" s="19" t="str">
        <f>_xlfn.XLOOKUP(Calculations[[#This Row],[For XLOOKUP]],Factors[For XLOOKUP],Factors[Source],"")</f>
        <v>DEFRA 2024</v>
      </c>
      <c r="R99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1" s="81" t="str">
        <f>IF(LEFT(Calculations[[#This Row],[Emission Factor]],7)="Σ.Ε. CH",Calculations[[#This Row],[Value]]*Calculations[[#This Row],[Τιμή]],"-")</f>
        <v>-</v>
      </c>
      <c r="T99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1" s="81" t="str">
        <f>IF(LEFT(Calculations[[#This Row],[Emission Factor]],3)="GWP",Calculations[[#This Row],[Τιμή]],"-")</f>
        <v>-</v>
      </c>
      <c r="V991" s="247">
        <f>IF(OR(Calculations[[#This Row],[Emission Factor]]="Σ.Ε. CO₂ eq",Calculations[[#This Row],[Emission Factor]]="CO₂ eq"),Calculations[[#This Row],[Value]]*Calculations[[#This Row],[Τιμή]],"-")</f>
        <v>27.910457119999997</v>
      </c>
      <c r="W991" s="81" t="str">
        <f>IF(Calculations[[#This Row],[Πηγή εκπομπών]]="Electricity consumed in office buildings and projects - market based",Calculations[[#This Row],[t CO2]],"")</f>
        <v/>
      </c>
      <c r="X99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27.910457119999997</v>
      </c>
    </row>
    <row r="992" spans="1:24" hidden="1">
      <c r="A992" s="15" t="s">
        <v>350</v>
      </c>
      <c r="B992" s="15" t="s">
        <v>645</v>
      </c>
      <c r="C992" s="16" t="s">
        <v>624</v>
      </c>
      <c r="D992" s="16" t="s">
        <v>1273</v>
      </c>
      <c r="E992" s="16" t="s">
        <v>1141</v>
      </c>
      <c r="F992" s="16"/>
      <c r="G992" s="16" t="s">
        <v>646</v>
      </c>
      <c r="H992" s="15" t="s">
        <v>693</v>
      </c>
      <c r="I992" s="17" t="s">
        <v>343</v>
      </c>
      <c r="J992" s="79">
        <v>2.65</v>
      </c>
      <c r="K992" s="18" t="s">
        <v>280</v>
      </c>
      <c r="L992" s="94" t="s">
        <v>694</v>
      </c>
      <c r="M992" s="148" t="s">
        <v>1055</v>
      </c>
      <c r="N992" s="81" t="str">
        <f>_xlfn.XLOOKUP(Calculations[[#This Row],[For XLOOKUP]],Factors[For XLOOKUP],Factors[Factor],"")</f>
        <v>Σ.Ε. CO₂ eq</v>
      </c>
      <c r="O992" s="81">
        <f>_xlfn.XLOOKUP(Calculations[[#This Row],[For XLOOKUP]],Factors[For XLOOKUP],Factors[Value],"")</f>
        <v>2.1280999999999998E-2</v>
      </c>
      <c r="P992" s="81" t="str">
        <f>_xlfn.XLOOKUP(Calculations[[#This Row],[For XLOOKUP]],Factors[For XLOOKUP],Factors[Units],"")</f>
        <v>tn CO2 eq/ tn</v>
      </c>
      <c r="Q992" s="19" t="str">
        <f>_xlfn.XLOOKUP(Calculations[[#This Row],[For XLOOKUP]],Factors[For XLOOKUP],Factors[Source],"")</f>
        <v>DEFRA 2024</v>
      </c>
      <c r="R99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2" s="81" t="str">
        <f>IF(LEFT(Calculations[[#This Row],[Emission Factor]],7)="Σ.Ε. CH",Calculations[[#This Row],[Value]]*Calculations[[#This Row],[Τιμή]],"-")</f>
        <v>-</v>
      </c>
      <c r="T99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2" s="81" t="str">
        <f>IF(LEFT(Calculations[[#This Row],[Emission Factor]],3)="GWP",Calculations[[#This Row],[Τιμή]],"-")</f>
        <v>-</v>
      </c>
      <c r="V992" s="247">
        <f>IF(OR(Calculations[[#This Row],[Emission Factor]]="Σ.Ε. CO₂ eq",Calculations[[#This Row],[Emission Factor]]="CO₂ eq"),Calculations[[#This Row],[Value]]*Calculations[[#This Row],[Τιμή]],"-")</f>
        <v>5.6394649999999991E-2</v>
      </c>
      <c r="W992" s="81" t="str">
        <f>IF(Calculations[[#This Row],[Πηγή εκπομπών]]="Electricity consumed in office buildings and projects - market based",Calculations[[#This Row],[t CO2]],"")</f>
        <v/>
      </c>
      <c r="X99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5.6394649999999991E-2</v>
      </c>
    </row>
    <row r="993" spans="1:24" hidden="1">
      <c r="A993" s="15" t="s">
        <v>350</v>
      </c>
      <c r="B993" s="15" t="s">
        <v>645</v>
      </c>
      <c r="C993" s="16" t="s">
        <v>624</v>
      </c>
      <c r="D993" s="16" t="s">
        <v>1273</v>
      </c>
      <c r="E993" s="16" t="s">
        <v>1180</v>
      </c>
      <c r="F993" s="16"/>
      <c r="G993" s="16" t="s">
        <v>646</v>
      </c>
      <c r="H993" s="15" t="s">
        <v>693</v>
      </c>
      <c r="I993" s="17" t="s">
        <v>343</v>
      </c>
      <c r="J993" s="79">
        <v>35.08</v>
      </c>
      <c r="K993" s="18" t="s">
        <v>280</v>
      </c>
      <c r="L993" s="94" t="s">
        <v>694</v>
      </c>
      <c r="M993" s="148" t="s">
        <v>1055</v>
      </c>
      <c r="N993" s="81" t="str">
        <f>_xlfn.XLOOKUP(Calculations[[#This Row],[For XLOOKUP]],Factors[For XLOOKUP],Factors[Factor],"")</f>
        <v>Σ.Ε. CO₂ eq</v>
      </c>
      <c r="O993" s="81">
        <f>_xlfn.XLOOKUP(Calculations[[#This Row],[For XLOOKUP]],Factors[For XLOOKUP],Factors[Value],"")</f>
        <v>2.1280999999999998E-2</v>
      </c>
      <c r="P993" s="81" t="str">
        <f>_xlfn.XLOOKUP(Calculations[[#This Row],[For XLOOKUP]],Factors[For XLOOKUP],Factors[Units],"")</f>
        <v>tn CO2 eq/ tn</v>
      </c>
      <c r="Q993" s="19" t="str">
        <f>_xlfn.XLOOKUP(Calculations[[#This Row],[For XLOOKUP]],Factors[For XLOOKUP],Factors[Source],"")</f>
        <v>DEFRA 2024</v>
      </c>
      <c r="R99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3" s="81" t="str">
        <f>IF(LEFT(Calculations[[#This Row],[Emission Factor]],7)="Σ.Ε. CH",Calculations[[#This Row],[Value]]*Calculations[[#This Row],[Τιμή]],"-")</f>
        <v>-</v>
      </c>
      <c r="T99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3" s="81" t="str">
        <f>IF(LEFT(Calculations[[#This Row],[Emission Factor]],3)="GWP",Calculations[[#This Row],[Τιμή]],"-")</f>
        <v>-</v>
      </c>
      <c r="V993" s="247">
        <f>IF(OR(Calculations[[#This Row],[Emission Factor]]="Σ.Ε. CO₂ eq",Calculations[[#This Row],[Emission Factor]]="CO₂ eq"),Calculations[[#This Row],[Value]]*Calculations[[#This Row],[Τιμή]],"-")</f>
        <v>0.74653747999999986</v>
      </c>
      <c r="W993" s="81" t="str">
        <f>IF(Calculations[[#This Row],[Πηγή εκπομπών]]="Electricity consumed in office buildings and projects - market based",Calculations[[#This Row],[t CO2]],"")</f>
        <v/>
      </c>
      <c r="X99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0.74653747999999986</v>
      </c>
    </row>
    <row r="994" spans="1:24" hidden="1">
      <c r="A994" s="15" t="s">
        <v>350</v>
      </c>
      <c r="B994" s="15" t="s">
        <v>645</v>
      </c>
      <c r="C994" s="16" t="s">
        <v>624</v>
      </c>
      <c r="D994" s="16" t="s">
        <v>1276</v>
      </c>
      <c r="E994" s="16"/>
      <c r="F994" s="16"/>
      <c r="G994" s="16" t="s">
        <v>646</v>
      </c>
      <c r="H994" s="15" t="s">
        <v>693</v>
      </c>
      <c r="I994" s="17" t="s">
        <v>343</v>
      </c>
      <c r="J994" s="79">
        <v>15492.407000000001</v>
      </c>
      <c r="K994" s="18" t="s">
        <v>280</v>
      </c>
      <c r="L994" s="94" t="s">
        <v>694</v>
      </c>
      <c r="M994" s="17" t="s">
        <v>1055</v>
      </c>
      <c r="N994" s="19" t="str">
        <f>_xlfn.XLOOKUP(Calculations[[#This Row],[For XLOOKUP]],Factors[For XLOOKUP],Factors[Factor],"")</f>
        <v>Σ.Ε. CO₂ eq</v>
      </c>
      <c r="O994" s="19">
        <f>_xlfn.XLOOKUP(Calculations[[#This Row],[For XLOOKUP]],Factors[For XLOOKUP],Factors[Value],"")</f>
        <v>2.1280999999999998E-2</v>
      </c>
      <c r="P994" s="19" t="str">
        <f>_xlfn.XLOOKUP(Calculations[[#This Row],[For XLOOKUP]],Factors[For XLOOKUP],Factors[Units],"")</f>
        <v>tn CO2 eq/ tn</v>
      </c>
      <c r="Q994" s="19" t="str">
        <f>_xlfn.XLOOKUP(Calculations[[#This Row],[For XLOOKUP]],Factors[For XLOOKUP],Factors[Source],"")</f>
        <v>DEFRA 2024</v>
      </c>
      <c r="R99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4" s="19" t="str">
        <f>IF(LEFT(Calculations[[#This Row],[Emission Factor]],7)="Σ.Ε. CH",Calculations[[#This Row],[Value]]*Calculations[[#This Row],[Τιμή]],"-")</f>
        <v>-</v>
      </c>
      <c r="T99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4" s="19" t="str">
        <f>IF(LEFT(Calculations[[#This Row],[Emission Factor]],3)="GWP",Calculations[[#This Row],[Τιμή]],"-")</f>
        <v>-</v>
      </c>
      <c r="V994" s="248">
        <f>IF(OR(Calculations[[#This Row],[Emission Factor]]="Σ.Ε. CO₂ eq",Calculations[[#This Row],[Emission Factor]]="CO₂ eq"),Calculations[[#This Row],[Value]]*Calculations[[#This Row],[Τιμή]],"-")</f>
        <v>329.69391336699999</v>
      </c>
      <c r="W994" s="19" t="str">
        <f>IF(Calculations[[#This Row],[Πηγή εκπομπών]]="Electricity consumed in office buildings and projects - market based",Calculations[[#This Row],[t CO2]],"")</f>
        <v/>
      </c>
      <c r="X99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329.69391336699999</v>
      </c>
    </row>
    <row r="995" spans="1:24" hidden="1">
      <c r="A995" s="15" t="s">
        <v>350</v>
      </c>
      <c r="B995" s="15" t="s">
        <v>748</v>
      </c>
      <c r="C995" s="16" t="s">
        <v>624</v>
      </c>
      <c r="D995" s="16" t="s">
        <v>895</v>
      </c>
      <c r="E995" s="16"/>
      <c r="F995" s="16" t="s">
        <v>319</v>
      </c>
      <c r="G995" s="16" t="s">
        <v>750</v>
      </c>
      <c r="H995" s="16" t="s">
        <v>750</v>
      </c>
      <c r="I995" s="17" t="s">
        <v>344</v>
      </c>
      <c r="J995" s="78">
        <v>2.6516000000000006</v>
      </c>
      <c r="K995" s="18" t="s">
        <v>198</v>
      </c>
      <c r="L995" s="94" t="s">
        <v>757</v>
      </c>
      <c r="M995" s="89" t="s">
        <v>761</v>
      </c>
      <c r="N995" s="81" t="str">
        <f>_xlfn.XLOOKUP(Calculations[[#This Row],[For XLOOKUP]],Factors[For XLOOKUP],Factors[Factor],"")</f>
        <v>CO₂</v>
      </c>
      <c r="O995" s="81">
        <f>_xlfn.XLOOKUP(Calculations[[#This Row],[For XLOOKUP]],Factors[For XLOOKUP],Factors[Value],"")</f>
        <v>1</v>
      </c>
      <c r="P995" s="81">
        <f>_xlfn.XLOOKUP(Calculations[[#This Row],[For XLOOKUP]],Factors[For XLOOKUP],Factors[Units],"")</f>
        <v>0</v>
      </c>
      <c r="Q995" s="19">
        <f>_xlfn.XLOOKUP(Calculations[[#This Row],[For XLOOKUP]],Factors[For XLOOKUP],Factors[Source],"")</f>
        <v>0</v>
      </c>
      <c r="R995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2.6516000000000006</v>
      </c>
      <c r="S995" s="81" t="str">
        <f>IF(LEFT(Calculations[[#This Row],[Emission Factor]],7)="Σ.Ε. CH",Calculations[[#This Row],[Value]]*Calculations[[#This Row],[Τιμή]],"-")</f>
        <v>-</v>
      </c>
      <c r="T99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5" s="81" t="str">
        <f>IF(LEFT(Calculations[[#This Row],[Emission Factor]],3)="GWP",Calculations[[#This Row],[Τιμή]],"-")</f>
        <v>-</v>
      </c>
      <c r="V995" s="81" t="str">
        <f>IF(OR(Calculations[[#This Row],[Emission Factor]]="Σ.Ε. CO₂ eq",Calculations[[#This Row],[Emission Factor]]="CO₂ eq"),Calculations[[#This Row],[Value]]*Calculations[[#This Row],[Τιμή]],"-")</f>
        <v>-</v>
      </c>
      <c r="W995" s="19" t="str">
        <f>IF(Calculations[[#This Row],[Πηγή εκπομπών]]="Electricity consumed in office buildings and projects - market based",Calculations[[#This Row],[t CO2]],"")</f>
        <v/>
      </c>
      <c r="X995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2.6516000000000006</v>
      </c>
    </row>
    <row r="996" spans="1:24" hidden="1">
      <c r="A996" s="15" t="s">
        <v>350</v>
      </c>
      <c r="B996" s="15" t="s">
        <v>748</v>
      </c>
      <c r="C996" s="16" t="s">
        <v>624</v>
      </c>
      <c r="D996" s="16" t="s">
        <v>895</v>
      </c>
      <c r="E996" s="16" t="s">
        <v>1140</v>
      </c>
      <c r="F996" s="16" t="s">
        <v>322</v>
      </c>
      <c r="G996" s="16" t="s">
        <v>750</v>
      </c>
      <c r="H996" s="16" t="s">
        <v>750</v>
      </c>
      <c r="I996" s="17" t="s">
        <v>344</v>
      </c>
      <c r="J996" s="78">
        <v>0.47699999999999998</v>
      </c>
      <c r="K996" s="18" t="s">
        <v>198</v>
      </c>
      <c r="L996" s="94" t="s">
        <v>757</v>
      </c>
      <c r="M996" s="89" t="s">
        <v>761</v>
      </c>
      <c r="N996" s="81" t="str">
        <f>_xlfn.XLOOKUP(Calculations[[#This Row],[For XLOOKUP]],Factors[For XLOOKUP],Factors[Factor],"")</f>
        <v>CO₂</v>
      </c>
      <c r="O996" s="81">
        <f>_xlfn.XLOOKUP(Calculations[[#This Row],[For XLOOKUP]],Factors[For XLOOKUP],Factors[Value],"")</f>
        <v>1</v>
      </c>
      <c r="P996" s="81">
        <f>_xlfn.XLOOKUP(Calculations[[#This Row],[For XLOOKUP]],Factors[For XLOOKUP],Factors[Units],"")</f>
        <v>0</v>
      </c>
      <c r="Q996" s="19">
        <f>_xlfn.XLOOKUP(Calculations[[#This Row],[For XLOOKUP]],Factors[For XLOOKUP],Factors[Source],"")</f>
        <v>0</v>
      </c>
      <c r="R996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0.47699999999999998</v>
      </c>
      <c r="S996" s="81" t="str">
        <f>IF(LEFT(Calculations[[#This Row],[Emission Factor]],7)="Σ.Ε. CH",Calculations[[#This Row],[Value]]*Calculations[[#This Row],[Τιμή]],"-")</f>
        <v>-</v>
      </c>
      <c r="T99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6" s="81" t="str">
        <f>IF(LEFT(Calculations[[#This Row],[Emission Factor]],3)="GWP",Calculations[[#This Row],[Τιμή]],"-")</f>
        <v>-</v>
      </c>
      <c r="V996" s="81" t="str">
        <f>IF(OR(Calculations[[#This Row],[Emission Factor]]="Σ.Ε. CO₂ eq",Calculations[[#This Row],[Emission Factor]]="CO₂ eq"),Calculations[[#This Row],[Value]]*Calculations[[#This Row],[Τιμή]],"-")</f>
        <v>-</v>
      </c>
      <c r="W996" s="19" t="str">
        <f>IF(Calculations[[#This Row],[Πηγή εκπομπών]]="Electricity consumed in office buildings and projects - market based",Calculations[[#This Row],[t CO2]],"")</f>
        <v/>
      </c>
      <c r="X996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0.47699999999999998</v>
      </c>
    </row>
    <row r="997" spans="1:24" hidden="1">
      <c r="A997" s="15" t="s">
        <v>350</v>
      </c>
      <c r="B997" s="15" t="s">
        <v>748</v>
      </c>
      <c r="C997" s="16" t="s">
        <v>624</v>
      </c>
      <c r="D997" s="16" t="s">
        <v>1144</v>
      </c>
      <c r="E997" s="16"/>
      <c r="F997" s="209" t="s">
        <v>647</v>
      </c>
      <c r="G997" s="16" t="s">
        <v>750</v>
      </c>
      <c r="H997" s="16" t="s">
        <v>750</v>
      </c>
      <c r="I997" s="17" t="s">
        <v>344</v>
      </c>
      <c r="J997" s="78">
        <v>36753</v>
      </c>
      <c r="K997" s="18" t="s">
        <v>756</v>
      </c>
      <c r="L997" s="94"/>
      <c r="M997" s="295" t="s">
        <v>884</v>
      </c>
      <c r="N997" s="81" t="str">
        <f>_xlfn.XLOOKUP(Calculations[[#This Row],[For XLOOKUP]],Factors[For XLOOKUP],Factors[Factor],"")</f>
        <v>Σ.Ε. CO₂ eq</v>
      </c>
      <c r="O997" s="81">
        <f>_xlfn.XLOOKUP(Calculations[[#This Row],[For XLOOKUP]],Factors[For XLOOKUP],Factors[Value],"")</f>
        <v>6.7813200000000002E-4</v>
      </c>
      <c r="P997" s="81" t="str">
        <f>_xlfn.XLOOKUP(Calculations[[#This Row],[For XLOOKUP]],Factors[For XLOOKUP],Factors[Units],"")</f>
        <v>tn CO2 eq/ €</v>
      </c>
      <c r="Q997" s="19" t="str">
        <f>_xlfn.XLOOKUP(Calculations[[#This Row],[For XLOOKUP]],Factors[For XLOOKUP],Factors[Source],"")</f>
        <v>EPA 2022</v>
      </c>
      <c r="R99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7" s="81" t="str">
        <f>IF(LEFT(Calculations[[#This Row],[Emission Factor]],7)="Σ.Ε. CH",Calculations[[#This Row],[Value]]*Calculations[[#This Row],[Τιμή]],"-")</f>
        <v>-</v>
      </c>
      <c r="T99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7" s="81" t="str">
        <f>IF(LEFT(Calculations[[#This Row],[Emission Factor]],3)="GWP",Calculations[[#This Row],[Τιμή]],"-")</f>
        <v>-</v>
      </c>
      <c r="V997" s="81">
        <f>IF(OR(Calculations[[#This Row],[Emission Factor]]="Σ.Ε. CO₂ eq",Calculations[[#This Row],[Emission Factor]]="CO₂ eq"),Calculations[[#This Row],[Value]]*Calculations[[#This Row],[Τιμή]],"-")</f>
        <v>24.923385396</v>
      </c>
      <c r="W997" s="19" t="str">
        <f>IF(Calculations[[#This Row],[Πηγή εκπομπών]]="Electricity consumed in office buildings and projects - market based",Calculations[[#This Row],[t CO2]],"")</f>
        <v/>
      </c>
      <c r="X997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24.923385396</v>
      </c>
    </row>
    <row r="998" spans="1:24" hidden="1">
      <c r="A998" s="15" t="s">
        <v>350</v>
      </c>
      <c r="B998" s="15" t="s">
        <v>748</v>
      </c>
      <c r="C998" s="16" t="s">
        <v>624</v>
      </c>
      <c r="D998" s="16" t="s">
        <v>894</v>
      </c>
      <c r="E998" s="16"/>
      <c r="F998" s="16" t="s">
        <v>317</v>
      </c>
      <c r="G998" s="16" t="s">
        <v>750</v>
      </c>
      <c r="H998" s="16" t="s">
        <v>750</v>
      </c>
      <c r="I998" s="17" t="s">
        <v>344</v>
      </c>
      <c r="J998" s="78">
        <v>27.370599999999953</v>
      </c>
      <c r="K998" s="18" t="s">
        <v>198</v>
      </c>
      <c r="L998" s="94" t="s">
        <v>757</v>
      </c>
      <c r="M998" s="147" t="s">
        <v>761</v>
      </c>
      <c r="N998" s="81" t="str">
        <f>_xlfn.XLOOKUP(Calculations[[#This Row],[For XLOOKUP]],Factors[For XLOOKUP],Factors[Factor],"")</f>
        <v>CO₂</v>
      </c>
      <c r="O998" s="81">
        <f>_xlfn.XLOOKUP(Calculations[[#This Row],[For XLOOKUP]],Factors[For XLOOKUP],Factors[Value],"")</f>
        <v>1</v>
      </c>
      <c r="P998" s="81">
        <f>_xlfn.XLOOKUP(Calculations[[#This Row],[For XLOOKUP]],Factors[For XLOOKUP],Factors[Units],"")</f>
        <v>0</v>
      </c>
      <c r="Q998" s="19">
        <f>_xlfn.XLOOKUP(Calculations[[#This Row],[For XLOOKUP]],Factors[For XLOOKUP],Factors[Source],"")</f>
        <v>0</v>
      </c>
      <c r="R998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27.370599999999953</v>
      </c>
      <c r="S998" s="81" t="str">
        <f>IF(LEFT(Calculations[[#This Row],[Emission Factor]],7)="Σ.Ε. CH",Calculations[[#This Row],[Value]]*Calculations[[#This Row],[Τιμή]],"-")</f>
        <v>-</v>
      </c>
      <c r="T99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8" s="81" t="str">
        <f>IF(LEFT(Calculations[[#This Row],[Emission Factor]],3)="GWP",Calculations[[#This Row],[Τιμή]],"-")</f>
        <v>-</v>
      </c>
      <c r="V998" s="81" t="str">
        <f>IF(OR(Calculations[[#This Row],[Emission Factor]]="Σ.Ε. CO₂ eq",Calculations[[#This Row],[Emission Factor]]="CO₂ eq"),Calculations[[#This Row],[Value]]*Calculations[[#This Row],[Τιμή]],"-")</f>
        <v>-</v>
      </c>
      <c r="W998" s="81" t="str">
        <f>IF(Calculations[[#This Row],[Πηγή εκπομπών]]="Electricity consumed in office buildings and projects - market based",Calculations[[#This Row],[t CO2]],"")</f>
        <v/>
      </c>
      <c r="X99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27.370599999999953</v>
      </c>
    </row>
    <row r="999" spans="1:24" hidden="1">
      <c r="A999" s="15" t="s">
        <v>350</v>
      </c>
      <c r="B999" s="15" t="s">
        <v>748</v>
      </c>
      <c r="C999" s="16" t="s">
        <v>624</v>
      </c>
      <c r="D999" s="16" t="s">
        <v>897</v>
      </c>
      <c r="E999" s="16"/>
      <c r="F999" s="16" t="s">
        <v>320</v>
      </c>
      <c r="G999" s="16" t="s">
        <v>750</v>
      </c>
      <c r="H999" s="16" t="s">
        <v>750</v>
      </c>
      <c r="I999" s="17" t="s">
        <v>344</v>
      </c>
      <c r="J999" s="78">
        <v>3.5040000000000009</v>
      </c>
      <c r="K999" s="18" t="s">
        <v>198</v>
      </c>
      <c r="L999" s="94" t="s">
        <v>757</v>
      </c>
      <c r="M999" s="147" t="s">
        <v>761</v>
      </c>
      <c r="N999" s="81" t="str">
        <f>_xlfn.XLOOKUP(Calculations[[#This Row],[For XLOOKUP]],Factors[For XLOOKUP],Factors[Factor],"")</f>
        <v>CO₂</v>
      </c>
      <c r="O999" s="81">
        <f>_xlfn.XLOOKUP(Calculations[[#This Row],[For XLOOKUP]],Factors[For XLOOKUP],Factors[Value],"")</f>
        <v>1</v>
      </c>
      <c r="P999" s="81">
        <f>_xlfn.XLOOKUP(Calculations[[#This Row],[For XLOOKUP]],Factors[For XLOOKUP],Factors[Units],"")</f>
        <v>0</v>
      </c>
      <c r="Q999" s="19">
        <f>_xlfn.XLOOKUP(Calculations[[#This Row],[For XLOOKUP]],Factors[For XLOOKUP],Factors[Source],"")</f>
        <v>0</v>
      </c>
      <c r="R999" s="8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3.5040000000000009</v>
      </c>
      <c r="S999" s="81" t="str">
        <f>IF(LEFT(Calculations[[#This Row],[Emission Factor]],7)="Σ.Ε. CH",Calculations[[#This Row],[Value]]*Calculations[[#This Row],[Τιμή]],"-")</f>
        <v>-</v>
      </c>
      <c r="T99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9" s="81" t="str">
        <f>IF(LEFT(Calculations[[#This Row],[Emission Factor]],3)="GWP",Calculations[[#This Row],[Τιμή]],"-")</f>
        <v>-</v>
      </c>
      <c r="V999" s="81" t="str">
        <f>IF(OR(Calculations[[#This Row],[Emission Factor]]="Σ.Ε. CO₂ eq",Calculations[[#This Row],[Emission Factor]]="CO₂ eq"),Calculations[[#This Row],[Value]]*Calculations[[#This Row],[Τιμή]],"-")</f>
        <v>-</v>
      </c>
      <c r="W999" s="81" t="str">
        <f>IF(Calculations[[#This Row],[Πηγή εκπομπών]]="Electricity consumed in office buildings and projects - market based",Calculations[[#This Row],[t CO2]],"")</f>
        <v/>
      </c>
      <c r="X99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3.5040000000000009</v>
      </c>
    </row>
    <row r="1000" spans="1:24" hidden="1">
      <c r="A1000" s="15" t="s">
        <v>350</v>
      </c>
      <c r="B1000" s="15" t="s">
        <v>748</v>
      </c>
      <c r="C1000" s="16" t="s">
        <v>624</v>
      </c>
      <c r="D1000" s="16" t="s">
        <v>894</v>
      </c>
      <c r="E1000" s="16"/>
      <c r="F1000" s="16" t="s">
        <v>317</v>
      </c>
      <c r="G1000" s="16" t="s">
        <v>750</v>
      </c>
      <c r="H1000" s="16" t="s">
        <v>750</v>
      </c>
      <c r="I1000" s="17" t="s">
        <v>752</v>
      </c>
      <c r="J1000" s="78">
        <v>9765.0000000000036</v>
      </c>
      <c r="K1000" s="18" t="s">
        <v>755</v>
      </c>
      <c r="L1000" s="94"/>
      <c r="M1000" s="147" t="s">
        <v>763</v>
      </c>
      <c r="N1000" s="81" t="str">
        <f>_xlfn.XLOOKUP(Calculations[[#This Row],[For XLOOKUP]],Factors[For XLOOKUP],Factors[Factor],"")</f>
        <v>Σ.Ε. CO₂ eq</v>
      </c>
      <c r="O1000" s="81">
        <f>_xlfn.XLOOKUP(Calculations[[#This Row],[For XLOOKUP]],Factors[For XLOOKUP],Factors[Value],"")</f>
        <v>1.3686000000000001E-4</v>
      </c>
      <c r="P1000" s="81" t="str">
        <f>_xlfn.XLOOKUP(Calculations[[#This Row],[For XLOOKUP]],Factors[For XLOOKUP],Factors[Units],"")</f>
        <v>t CO2 eq/passenger.km</v>
      </c>
      <c r="Q1000" s="19" t="str">
        <f>_xlfn.XLOOKUP(Calculations[[#This Row],[For XLOOKUP]],Factors[For XLOOKUP],Factors[Source],"")</f>
        <v>DEFRA 2024</v>
      </c>
      <c r="R100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0" s="81" t="str">
        <f>IF(LEFT(Calculations[[#This Row],[Emission Factor]],7)="Σ.Ε. CH",Calculations[[#This Row],[Value]]*Calculations[[#This Row],[Τιμή]],"-")</f>
        <v>-</v>
      </c>
      <c r="T100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0" s="81" t="str">
        <f>IF(LEFT(Calculations[[#This Row],[Emission Factor]],3)="GWP",Calculations[[#This Row],[Τιμή]],"-")</f>
        <v>-</v>
      </c>
      <c r="V1000" s="81">
        <f>IF(OR(Calculations[[#This Row],[Emission Factor]]="Σ.Ε. CO₂ eq",Calculations[[#This Row],[Emission Factor]]="CO₂ eq"),Calculations[[#This Row],[Value]]*Calculations[[#This Row],[Τιμή]],"-")</f>
        <v>1.3364379000000006</v>
      </c>
      <c r="W1000" s="81" t="str">
        <f>IF(Calculations[[#This Row],[Πηγή εκπομπών]]="Electricity consumed in office buildings and projects - market based",Calculations[[#This Row],[t CO2]],"")</f>
        <v/>
      </c>
      <c r="X100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1.3364379000000006</v>
      </c>
    </row>
    <row r="1001" spans="1:24" hidden="1">
      <c r="A1001" s="15" t="s">
        <v>350</v>
      </c>
      <c r="B1001" s="15" t="s">
        <v>748</v>
      </c>
      <c r="C1001" s="16" t="s">
        <v>624</v>
      </c>
      <c r="D1001" s="16" t="s">
        <v>895</v>
      </c>
      <c r="E1001" s="16"/>
      <c r="F1001" s="16" t="s">
        <v>319</v>
      </c>
      <c r="G1001" s="16" t="s">
        <v>750</v>
      </c>
      <c r="H1001" s="16" t="s">
        <v>750</v>
      </c>
      <c r="I1001" s="17" t="s">
        <v>753</v>
      </c>
      <c r="J1001" s="78">
        <v>10295</v>
      </c>
      <c r="K1001" s="18" t="s">
        <v>626</v>
      </c>
      <c r="L1001" s="94"/>
      <c r="M1001" s="147" t="s">
        <v>762</v>
      </c>
      <c r="N1001" s="81" t="str">
        <f>_xlfn.XLOOKUP(Calculations[[#This Row],[For XLOOKUP]],Factors[For XLOOKUP],Factors[Factor],"")</f>
        <v>Σ.Ε. CO₂ eq</v>
      </c>
      <c r="O1001" s="81">
        <f>_xlfn.XLOOKUP(Calculations[[#This Row],[For XLOOKUP]],Factors[For XLOOKUP],Factors[Value],"")</f>
        <v>2.1049000000000003E-4</v>
      </c>
      <c r="P1001" s="81" t="str">
        <f>_xlfn.XLOOKUP(Calculations[[#This Row],[For XLOOKUP]],Factors[For XLOOKUP],Factors[Units],"")</f>
        <v>t CO2 eq/km</v>
      </c>
      <c r="Q1001" s="19" t="str">
        <f>_xlfn.XLOOKUP(Calculations[[#This Row],[For XLOOKUP]],Factors[For XLOOKUP],Factors[Source],"")</f>
        <v>DEFRA 2024</v>
      </c>
      <c r="R100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1" s="81" t="str">
        <f>IF(LEFT(Calculations[[#This Row],[Emission Factor]],7)="Σ.Ε. CH",Calculations[[#This Row],[Value]]*Calculations[[#This Row],[Τιμή]],"-")</f>
        <v>-</v>
      </c>
      <c r="T100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1" s="81" t="str">
        <f>IF(LEFT(Calculations[[#This Row],[Emission Factor]],3)="GWP",Calculations[[#This Row],[Τιμή]],"-")</f>
        <v>-</v>
      </c>
      <c r="V1001" s="81">
        <f>IF(OR(Calculations[[#This Row],[Emission Factor]]="Σ.Ε. CO₂ eq",Calculations[[#This Row],[Emission Factor]]="CO₂ eq"),Calculations[[#This Row],[Value]]*Calculations[[#This Row],[Τιμή]],"-")</f>
        <v>2.1669945500000001</v>
      </c>
      <c r="W1001" s="81" t="str">
        <f>IF(Calculations[[#This Row],[Πηγή εκπομπών]]="Electricity consumed in office buildings and projects - market based",Calculations[[#This Row],[t CO2]],"")</f>
        <v/>
      </c>
      <c r="X100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2.1669945500000001</v>
      </c>
    </row>
    <row r="1002" spans="1:24" hidden="1">
      <c r="A1002" s="15" t="s">
        <v>350</v>
      </c>
      <c r="B1002" s="15" t="s">
        <v>748</v>
      </c>
      <c r="C1002" s="16" t="s">
        <v>624</v>
      </c>
      <c r="D1002" s="16" t="s">
        <v>894</v>
      </c>
      <c r="E1002" s="16"/>
      <c r="F1002" s="16" t="s">
        <v>317</v>
      </c>
      <c r="G1002" s="16" t="s">
        <v>750</v>
      </c>
      <c r="H1002" s="16" t="s">
        <v>750</v>
      </c>
      <c r="I1002" s="17" t="s">
        <v>753</v>
      </c>
      <c r="J1002" s="78">
        <v>4198.18</v>
      </c>
      <c r="K1002" s="18" t="s">
        <v>756</v>
      </c>
      <c r="L1002" s="94"/>
      <c r="M1002" s="147" t="s">
        <v>764</v>
      </c>
      <c r="N1002" s="81" t="str">
        <f>_xlfn.XLOOKUP(Calculations[[#This Row],[For XLOOKUP]],Factors[For XLOOKUP],Factors[Factor],"")</f>
        <v>Σ.Ε. CO₂ eq</v>
      </c>
      <c r="O1002" s="81">
        <f>_xlfn.XLOOKUP(Calculations[[#This Row],[For XLOOKUP]],Factors[For XLOOKUP],Factors[Value],"")</f>
        <v>1.1582999999999999E-4</v>
      </c>
      <c r="P1002" s="81" t="str">
        <f>_xlfn.XLOOKUP(Calculations[[#This Row],[For XLOOKUP]],Factors[For XLOOKUP],Factors[Units],"")</f>
        <v>tn CO2 eq/ €</v>
      </c>
      <c r="Q1002" s="19" t="str">
        <f>_xlfn.XLOOKUP(Calculations[[#This Row],[For XLOOKUP]],Factors[For XLOOKUP],Factors[Source],"")</f>
        <v>EPA 2022</v>
      </c>
      <c r="R100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2" s="81" t="str">
        <f>IF(LEFT(Calculations[[#This Row],[Emission Factor]],7)="Σ.Ε. CH",Calculations[[#This Row],[Value]]*Calculations[[#This Row],[Τιμή]],"-")</f>
        <v>-</v>
      </c>
      <c r="T100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2" s="81" t="str">
        <f>IF(LEFT(Calculations[[#This Row],[Emission Factor]],3)="GWP",Calculations[[#This Row],[Τιμή]],"-")</f>
        <v>-</v>
      </c>
      <c r="V1002" s="81">
        <f>IF(OR(Calculations[[#This Row],[Emission Factor]]="Σ.Ε. CO₂ eq",Calculations[[#This Row],[Emission Factor]]="CO₂ eq"),Calculations[[#This Row],[Value]]*Calculations[[#This Row],[Τιμή]],"-")</f>
        <v>0.48627518940000003</v>
      </c>
      <c r="W1002" s="81" t="str">
        <f>IF(Calculations[[#This Row],[Πηγή εκπομπών]]="Electricity consumed in office buildings and projects - market based",Calculations[[#This Row],[t CO2]],"")</f>
        <v/>
      </c>
      <c r="X100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0.48627518940000003</v>
      </c>
    </row>
    <row r="1003" spans="1:24" hidden="1">
      <c r="A1003" s="15" t="s">
        <v>350</v>
      </c>
      <c r="B1003" s="15" t="s">
        <v>748</v>
      </c>
      <c r="C1003" s="16" t="s">
        <v>624</v>
      </c>
      <c r="D1003" s="16" t="s">
        <v>895</v>
      </c>
      <c r="E1003" s="16"/>
      <c r="F1003" s="16" t="s">
        <v>319</v>
      </c>
      <c r="G1003" s="16" t="s">
        <v>750</v>
      </c>
      <c r="H1003" s="16" t="s">
        <v>750</v>
      </c>
      <c r="I1003" s="17" t="s">
        <v>749</v>
      </c>
      <c r="J1003" s="78">
        <v>2.8411000000000004</v>
      </c>
      <c r="K1003" s="18" t="s">
        <v>754</v>
      </c>
      <c r="L1003" s="94" t="s">
        <v>758</v>
      </c>
      <c r="M1003" s="147" t="s">
        <v>760</v>
      </c>
      <c r="N1003" s="81" t="str">
        <f>_xlfn.XLOOKUP(Calculations[[#This Row],[For XLOOKUP]],Factors[For XLOOKUP],Factors[Factor],"")</f>
        <v>CO₂ eq</v>
      </c>
      <c r="O1003" s="81">
        <f>_xlfn.XLOOKUP(Calculations[[#This Row],[For XLOOKUP]],Factors[For XLOOKUP],Factors[Value],"")</f>
        <v>1</v>
      </c>
      <c r="P1003" s="81">
        <f>_xlfn.XLOOKUP(Calculations[[#This Row],[For XLOOKUP]],Factors[For XLOOKUP],Factors[Units],"")</f>
        <v>0</v>
      </c>
      <c r="Q1003" s="19">
        <f>_xlfn.XLOOKUP(Calculations[[#This Row],[For XLOOKUP]],Factors[For XLOOKUP],Factors[Source],"")</f>
        <v>0</v>
      </c>
      <c r="R100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3" s="81" t="str">
        <f>IF(LEFT(Calculations[[#This Row],[Emission Factor]],7)="Σ.Ε. CH",Calculations[[#This Row],[Value]]*Calculations[[#This Row],[Τιμή]],"-")</f>
        <v>-</v>
      </c>
      <c r="T100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3" s="81" t="str">
        <f>IF(LEFT(Calculations[[#This Row],[Emission Factor]],3)="GWP",Calculations[[#This Row],[Τιμή]],"-")</f>
        <v>-</v>
      </c>
      <c r="V1003" s="81">
        <f>IF(OR(Calculations[[#This Row],[Emission Factor]]="Σ.Ε. CO₂ eq",Calculations[[#This Row],[Emission Factor]]="CO₂ eq"),Calculations[[#This Row],[Value]]*Calculations[[#This Row],[Τιμή]],"-")</f>
        <v>2.8411000000000004</v>
      </c>
      <c r="W1003" s="81" t="str">
        <f>IF(Calculations[[#This Row],[Πηγή εκπομπών]]="Electricity consumed in office buildings and projects - market based",Calculations[[#This Row],[t CO2]],"")</f>
        <v/>
      </c>
      <c r="X100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2.8411000000000004</v>
      </c>
    </row>
    <row r="1004" spans="1:24" hidden="1">
      <c r="A1004" s="15" t="s">
        <v>350</v>
      </c>
      <c r="B1004" s="15" t="s">
        <v>748</v>
      </c>
      <c r="C1004" s="16" t="s">
        <v>624</v>
      </c>
      <c r="D1004" s="77" t="s">
        <v>895</v>
      </c>
      <c r="E1004" s="16" t="s">
        <v>1140</v>
      </c>
      <c r="F1004" s="16" t="s">
        <v>322</v>
      </c>
      <c r="G1004" s="16" t="s">
        <v>750</v>
      </c>
      <c r="H1004" s="16" t="s">
        <v>750</v>
      </c>
      <c r="I1004" s="17" t="s">
        <v>749</v>
      </c>
      <c r="J1004" s="78">
        <v>7.6782000000000017E-2</v>
      </c>
      <c r="K1004" s="18" t="s">
        <v>754</v>
      </c>
      <c r="L1004" s="94" t="s">
        <v>758</v>
      </c>
      <c r="M1004" s="147" t="s">
        <v>760</v>
      </c>
      <c r="N1004" s="19" t="str">
        <f>_xlfn.XLOOKUP(Calculations[[#This Row],[For XLOOKUP]],Factors[For XLOOKUP],Factors[Factor],"")</f>
        <v>CO₂ eq</v>
      </c>
      <c r="O1004" s="19">
        <f>_xlfn.XLOOKUP(Calculations[[#This Row],[For XLOOKUP]],Factors[For XLOOKUP],Factors[Value],"")</f>
        <v>1</v>
      </c>
      <c r="P1004" s="19">
        <f>_xlfn.XLOOKUP(Calculations[[#This Row],[For XLOOKUP]],Factors[For XLOOKUP],Factors[Units],"")</f>
        <v>0</v>
      </c>
      <c r="Q1004" s="19">
        <f>_xlfn.XLOOKUP(Calculations[[#This Row],[For XLOOKUP]],Factors[For XLOOKUP],Factors[Source],"")</f>
        <v>0</v>
      </c>
      <c r="R1004" s="19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4" s="19" t="str">
        <f>IF(LEFT(Calculations[[#This Row],[Emission Factor]],7)="Σ.Ε. CH",Calculations[[#This Row],[Value]]*Calculations[[#This Row],[Τιμή]],"-")</f>
        <v>-</v>
      </c>
      <c r="T1004" s="19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4" s="19" t="str">
        <f>IF(LEFT(Calculations[[#This Row],[Emission Factor]],3)="GWP",Calculations[[#This Row],[Τιμή]],"-")</f>
        <v>-</v>
      </c>
      <c r="V1004" s="19">
        <f>IF(OR(Calculations[[#This Row],[Emission Factor]]="Σ.Ε. CO₂ eq",Calculations[[#This Row],[Emission Factor]]="CO₂ eq"),Calculations[[#This Row],[Value]]*Calculations[[#This Row],[Τιμή]],"-")</f>
        <v>7.6782000000000017E-2</v>
      </c>
      <c r="W1004" s="19" t="str">
        <f>IF(Calculations[[#This Row],[Πηγή εκπομπών]]="Electricity consumed in office buildings and projects - market based",Calculations[[#This Row],[t CO2]],"")</f>
        <v/>
      </c>
      <c r="X1004" s="206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7.6782000000000017E-2</v>
      </c>
    </row>
    <row r="1005" spans="1:24" hidden="1">
      <c r="A1005" s="15" t="s">
        <v>350</v>
      </c>
      <c r="B1005" s="15" t="s">
        <v>748</v>
      </c>
      <c r="C1005" s="16" t="s">
        <v>624</v>
      </c>
      <c r="D1005" s="77" t="s">
        <v>894</v>
      </c>
      <c r="E1005" s="77"/>
      <c r="F1005" s="16" t="s">
        <v>317</v>
      </c>
      <c r="G1005" s="16" t="s">
        <v>750</v>
      </c>
      <c r="H1005" s="16" t="s">
        <v>750</v>
      </c>
      <c r="I1005" s="17" t="s">
        <v>749</v>
      </c>
      <c r="J1005" s="78">
        <v>9.2881290000000032</v>
      </c>
      <c r="K1005" s="18" t="s">
        <v>754</v>
      </c>
      <c r="L1005" s="94" t="s">
        <v>758</v>
      </c>
      <c r="M1005" s="147" t="s">
        <v>760</v>
      </c>
      <c r="N1005" s="81" t="str">
        <f>_xlfn.XLOOKUP(Calculations[[#This Row],[For XLOOKUP]],Factors[For XLOOKUP],Factors[Factor],"")</f>
        <v>CO₂ eq</v>
      </c>
      <c r="O1005" s="81">
        <f>_xlfn.XLOOKUP(Calculations[[#This Row],[For XLOOKUP]],Factors[For XLOOKUP],Factors[Value],"")</f>
        <v>1</v>
      </c>
      <c r="P1005" s="81">
        <f>_xlfn.XLOOKUP(Calculations[[#This Row],[For XLOOKUP]],Factors[For XLOOKUP],Factors[Units],"")</f>
        <v>0</v>
      </c>
      <c r="Q1005" s="19">
        <f>_xlfn.XLOOKUP(Calculations[[#This Row],[For XLOOKUP]],Factors[For XLOOKUP],Factors[Source],"")</f>
        <v>0</v>
      </c>
      <c r="R1005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5" s="81" t="str">
        <f>IF(LEFT(Calculations[[#This Row],[Emission Factor]],7)="Σ.Ε. CH",Calculations[[#This Row],[Value]]*Calculations[[#This Row],[Τιμή]],"-")</f>
        <v>-</v>
      </c>
      <c r="T1005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5" s="81" t="str">
        <f>IF(LEFT(Calculations[[#This Row],[Emission Factor]],3)="GWP",Calculations[[#This Row],[Τιμή]],"-")</f>
        <v>-</v>
      </c>
      <c r="V1005" s="81">
        <f>IF(OR(Calculations[[#This Row],[Emission Factor]]="Σ.Ε. CO₂ eq",Calculations[[#This Row],[Emission Factor]]="CO₂ eq"),Calculations[[#This Row],[Value]]*Calculations[[#This Row],[Τιμή]],"-")</f>
        <v>9.2881290000000032</v>
      </c>
      <c r="W1005" s="81" t="str">
        <f>IF(Calculations[[#This Row],[Πηγή εκπομπών]]="Electricity consumed in office buildings and projects - market based",Calculations[[#This Row],[t CO2]],"")</f>
        <v/>
      </c>
      <c r="X1005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9.2881290000000032</v>
      </c>
    </row>
    <row r="1006" spans="1:24" hidden="1">
      <c r="A1006" s="15" t="s">
        <v>350</v>
      </c>
      <c r="B1006" s="15" t="s">
        <v>748</v>
      </c>
      <c r="C1006" s="16" t="s">
        <v>624</v>
      </c>
      <c r="D1006" s="77" t="s">
        <v>897</v>
      </c>
      <c r="E1006" s="77"/>
      <c r="F1006" s="16" t="s">
        <v>320</v>
      </c>
      <c r="G1006" s="16" t="s">
        <v>750</v>
      </c>
      <c r="H1006" s="16" t="s">
        <v>750</v>
      </c>
      <c r="I1006" s="17" t="s">
        <v>749</v>
      </c>
      <c r="J1006" s="78">
        <v>0.86096799999999984</v>
      </c>
      <c r="K1006" s="18" t="s">
        <v>754</v>
      </c>
      <c r="L1006" s="94" t="s">
        <v>758</v>
      </c>
      <c r="M1006" s="147" t="s">
        <v>760</v>
      </c>
      <c r="N1006" s="81" t="str">
        <f>_xlfn.XLOOKUP(Calculations[[#This Row],[For XLOOKUP]],Factors[For XLOOKUP],Factors[Factor],"")</f>
        <v>CO₂ eq</v>
      </c>
      <c r="O1006" s="81">
        <f>_xlfn.XLOOKUP(Calculations[[#This Row],[For XLOOKUP]],Factors[For XLOOKUP],Factors[Value],"")</f>
        <v>1</v>
      </c>
      <c r="P1006" s="81">
        <f>_xlfn.XLOOKUP(Calculations[[#This Row],[For XLOOKUP]],Factors[For XLOOKUP],Factors[Units],"")</f>
        <v>0</v>
      </c>
      <c r="Q1006" s="19">
        <f>_xlfn.XLOOKUP(Calculations[[#This Row],[For XLOOKUP]],Factors[For XLOOKUP],Factors[Source],"")</f>
        <v>0</v>
      </c>
      <c r="R1006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6" s="81" t="str">
        <f>IF(LEFT(Calculations[[#This Row],[Emission Factor]],7)="Σ.Ε. CH",Calculations[[#This Row],[Value]]*Calculations[[#This Row],[Τιμή]],"-")</f>
        <v>-</v>
      </c>
      <c r="T1006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6" s="81" t="str">
        <f>IF(LEFT(Calculations[[#This Row],[Emission Factor]],3)="GWP",Calculations[[#This Row],[Τιμή]],"-")</f>
        <v>-</v>
      </c>
      <c r="V1006" s="81">
        <f>IF(OR(Calculations[[#This Row],[Emission Factor]]="Σ.Ε. CO₂ eq",Calculations[[#This Row],[Emission Factor]]="CO₂ eq"),Calculations[[#This Row],[Value]]*Calculations[[#This Row],[Τιμή]],"-")</f>
        <v>0.86096799999999984</v>
      </c>
      <c r="W1006" s="81" t="str">
        <f>IF(Calculations[[#This Row],[Πηγή εκπομπών]]="Electricity consumed in office buildings and projects - market based",Calculations[[#This Row],[t CO2]],"")</f>
        <v/>
      </c>
      <c r="X1006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0.86096799999999984</v>
      </c>
    </row>
    <row r="1007" spans="1:24" hidden="1">
      <c r="A1007" s="15" t="s">
        <v>350</v>
      </c>
      <c r="B1007" s="15" t="s">
        <v>772</v>
      </c>
      <c r="C1007" s="16" t="s">
        <v>624</v>
      </c>
      <c r="D1007" s="77" t="s">
        <v>895</v>
      </c>
      <c r="E1007" s="77" t="s">
        <v>1179</v>
      </c>
      <c r="F1007" s="16" t="s">
        <v>318</v>
      </c>
      <c r="G1007" s="16" t="s">
        <v>774</v>
      </c>
      <c r="H1007" s="16" t="s">
        <v>774</v>
      </c>
      <c r="I1007" s="17" t="s">
        <v>775</v>
      </c>
      <c r="J1007" s="78">
        <v>89.6387878580164</v>
      </c>
      <c r="K1007" s="18" t="s">
        <v>754</v>
      </c>
      <c r="L1007" s="94" t="s">
        <v>773</v>
      </c>
      <c r="M1007" s="147" t="s">
        <v>760</v>
      </c>
      <c r="N1007" s="81" t="str">
        <f>_xlfn.XLOOKUP(Calculations[[#This Row],[For XLOOKUP]],Factors[For XLOOKUP],Factors[Factor],"")</f>
        <v>CO₂ eq</v>
      </c>
      <c r="O1007" s="81">
        <f>_xlfn.XLOOKUP(Calculations[[#This Row],[For XLOOKUP]],Factors[For XLOOKUP],Factors[Value],"")</f>
        <v>1</v>
      </c>
      <c r="P1007" s="81">
        <f>_xlfn.XLOOKUP(Calculations[[#This Row],[For XLOOKUP]],Factors[For XLOOKUP],Factors[Units],"")</f>
        <v>0</v>
      </c>
      <c r="Q1007" s="19">
        <f>_xlfn.XLOOKUP(Calculations[[#This Row],[For XLOOKUP]],Factors[For XLOOKUP],Factors[Source],"")</f>
        <v>0</v>
      </c>
      <c r="R1007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7" s="81" t="str">
        <f>IF(LEFT(Calculations[[#This Row],[Emission Factor]],7)="Σ.Ε. CH",Calculations[[#This Row],[Value]]*Calculations[[#This Row],[Τιμή]],"-")</f>
        <v>-</v>
      </c>
      <c r="T1007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7" s="81" t="str">
        <f>IF(LEFT(Calculations[[#This Row],[Emission Factor]],3)="GWP",Calculations[[#This Row],[Τιμή]],"-")</f>
        <v>-</v>
      </c>
      <c r="V1007" s="81">
        <f>IF(OR(Calculations[[#This Row],[Emission Factor]]="Σ.Ε. CO₂ eq",Calculations[[#This Row],[Emission Factor]]="CO₂ eq"),Calculations[[#This Row],[Value]]*Calculations[[#This Row],[Τιμή]],"-")</f>
        <v>89.6387878580164</v>
      </c>
      <c r="W1007" s="81" t="str">
        <f>IF(Calculations[[#This Row],[Πηγή εκπομπών]]="Electricity consumed in office buildings and projects - market based",Calculations[[#This Row],[t CO2]],"")</f>
        <v/>
      </c>
      <c r="X1007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89.6387878580164</v>
      </c>
    </row>
    <row r="1008" spans="1:24" hidden="1">
      <c r="A1008" s="15" t="s">
        <v>350</v>
      </c>
      <c r="B1008" s="15" t="s">
        <v>772</v>
      </c>
      <c r="C1008" s="16" t="s">
        <v>624</v>
      </c>
      <c r="D1008" s="77" t="s">
        <v>895</v>
      </c>
      <c r="E1008" s="77"/>
      <c r="F1008" s="16" t="s">
        <v>319</v>
      </c>
      <c r="G1008" s="16" t="s">
        <v>774</v>
      </c>
      <c r="H1008" s="16" t="s">
        <v>774</v>
      </c>
      <c r="I1008" s="17" t="s">
        <v>775</v>
      </c>
      <c r="J1008" s="78">
        <v>65.383586437611967</v>
      </c>
      <c r="K1008" s="18" t="s">
        <v>754</v>
      </c>
      <c r="L1008" s="94" t="s">
        <v>773</v>
      </c>
      <c r="M1008" s="147" t="s">
        <v>760</v>
      </c>
      <c r="N1008" s="81" t="str">
        <f>_xlfn.XLOOKUP(Calculations[[#This Row],[For XLOOKUP]],Factors[For XLOOKUP],Factors[Factor],"")</f>
        <v>CO₂ eq</v>
      </c>
      <c r="O1008" s="81">
        <f>_xlfn.XLOOKUP(Calculations[[#This Row],[For XLOOKUP]],Factors[For XLOOKUP],Factors[Value],"")</f>
        <v>1</v>
      </c>
      <c r="P1008" s="81">
        <f>_xlfn.XLOOKUP(Calculations[[#This Row],[For XLOOKUP]],Factors[For XLOOKUP],Factors[Units],"")</f>
        <v>0</v>
      </c>
      <c r="Q1008" s="19">
        <f>_xlfn.XLOOKUP(Calculations[[#This Row],[For XLOOKUP]],Factors[For XLOOKUP],Factors[Source],"")</f>
        <v>0</v>
      </c>
      <c r="R1008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8" s="81" t="str">
        <f>IF(LEFT(Calculations[[#This Row],[Emission Factor]],7)="Σ.Ε. CH",Calculations[[#This Row],[Value]]*Calculations[[#This Row],[Τιμή]],"-")</f>
        <v>-</v>
      </c>
      <c r="T1008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8" s="81" t="str">
        <f>IF(LEFT(Calculations[[#This Row],[Emission Factor]],3)="GWP",Calculations[[#This Row],[Τιμή]],"-")</f>
        <v>-</v>
      </c>
      <c r="V1008" s="81">
        <f>IF(OR(Calculations[[#This Row],[Emission Factor]]="Σ.Ε. CO₂ eq",Calculations[[#This Row],[Emission Factor]]="CO₂ eq"),Calculations[[#This Row],[Value]]*Calculations[[#This Row],[Τιμή]],"-")</f>
        <v>65.383586437611967</v>
      </c>
      <c r="W1008" s="81" t="str">
        <f>IF(Calculations[[#This Row],[Πηγή εκπομπών]]="Electricity consumed in office buildings and projects - market based",Calculations[[#This Row],[t CO2]],"")</f>
        <v/>
      </c>
      <c r="X1008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65.383586437611967</v>
      </c>
    </row>
    <row r="1009" spans="1:24" hidden="1">
      <c r="A1009" s="15" t="s">
        <v>350</v>
      </c>
      <c r="B1009" s="15" t="s">
        <v>772</v>
      </c>
      <c r="C1009" s="16" t="s">
        <v>624</v>
      </c>
      <c r="D1009" s="77" t="s">
        <v>895</v>
      </c>
      <c r="E1009" s="77" t="s">
        <v>1140</v>
      </c>
      <c r="F1009" s="16" t="s">
        <v>322</v>
      </c>
      <c r="G1009" s="16" t="s">
        <v>774</v>
      </c>
      <c r="H1009" s="16" t="s">
        <v>774</v>
      </c>
      <c r="I1009" s="17" t="s">
        <v>775</v>
      </c>
      <c r="J1009" s="78">
        <v>25.309775395204632</v>
      </c>
      <c r="K1009" s="18" t="s">
        <v>754</v>
      </c>
      <c r="L1009" s="94" t="s">
        <v>773</v>
      </c>
      <c r="M1009" s="147" t="s">
        <v>760</v>
      </c>
      <c r="N1009" s="81" t="str">
        <f>_xlfn.XLOOKUP(Calculations[[#This Row],[For XLOOKUP]],Factors[For XLOOKUP],Factors[Factor],"")</f>
        <v>CO₂ eq</v>
      </c>
      <c r="O1009" s="81">
        <f>_xlfn.XLOOKUP(Calculations[[#This Row],[For XLOOKUP]],Factors[For XLOOKUP],Factors[Value],"")</f>
        <v>1</v>
      </c>
      <c r="P1009" s="81">
        <f>_xlfn.XLOOKUP(Calculations[[#This Row],[For XLOOKUP]],Factors[For XLOOKUP],Factors[Units],"")</f>
        <v>0</v>
      </c>
      <c r="Q1009" s="19">
        <f>_xlfn.XLOOKUP(Calculations[[#This Row],[For XLOOKUP]],Factors[For XLOOKUP],Factors[Source],"")</f>
        <v>0</v>
      </c>
      <c r="R1009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9" s="81" t="str">
        <f>IF(LEFT(Calculations[[#This Row],[Emission Factor]],7)="Σ.Ε. CH",Calculations[[#This Row],[Value]]*Calculations[[#This Row],[Τιμή]],"-")</f>
        <v>-</v>
      </c>
      <c r="T1009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9" s="81" t="str">
        <f>IF(LEFT(Calculations[[#This Row],[Emission Factor]],3)="GWP",Calculations[[#This Row],[Τιμή]],"-")</f>
        <v>-</v>
      </c>
      <c r="V1009" s="81">
        <f>IF(OR(Calculations[[#This Row],[Emission Factor]]="Σ.Ε. CO₂ eq",Calculations[[#This Row],[Emission Factor]]="CO₂ eq"),Calculations[[#This Row],[Value]]*Calculations[[#This Row],[Τιμή]],"-")</f>
        <v>25.309775395204632</v>
      </c>
      <c r="W1009" s="81" t="str">
        <f>IF(Calculations[[#This Row],[Πηγή εκπομπών]]="Electricity consumed in office buildings and projects - market based",Calculations[[#This Row],[t CO2]],"")</f>
        <v/>
      </c>
      <c r="X1009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25.309775395204632</v>
      </c>
    </row>
    <row r="1010" spans="1:24" hidden="1">
      <c r="A1010" s="15" t="s">
        <v>350</v>
      </c>
      <c r="B1010" s="15" t="s">
        <v>772</v>
      </c>
      <c r="C1010" s="16" t="s">
        <v>624</v>
      </c>
      <c r="D1010" s="77" t="s">
        <v>1144</v>
      </c>
      <c r="E1010" s="77"/>
      <c r="F1010" s="209" t="s">
        <v>647</v>
      </c>
      <c r="G1010" s="16" t="s">
        <v>774</v>
      </c>
      <c r="H1010" s="16" t="s">
        <v>774</v>
      </c>
      <c r="I1010" s="17" t="s">
        <v>775</v>
      </c>
      <c r="J1010" s="78">
        <v>72.765604261213312</v>
      </c>
      <c r="K1010" s="18" t="s">
        <v>754</v>
      </c>
      <c r="L1010" s="94" t="s">
        <v>773</v>
      </c>
      <c r="M1010" s="147" t="s">
        <v>760</v>
      </c>
      <c r="N1010" s="81" t="str">
        <f>_xlfn.XLOOKUP(Calculations[[#This Row],[For XLOOKUP]],Factors[For XLOOKUP],Factors[Factor],"")</f>
        <v>CO₂ eq</v>
      </c>
      <c r="O1010" s="81">
        <f>_xlfn.XLOOKUP(Calculations[[#This Row],[For XLOOKUP]],Factors[For XLOOKUP],Factors[Value],"")</f>
        <v>1</v>
      </c>
      <c r="P1010" s="81">
        <f>_xlfn.XLOOKUP(Calculations[[#This Row],[For XLOOKUP]],Factors[For XLOOKUP],Factors[Units],"")</f>
        <v>0</v>
      </c>
      <c r="Q1010" s="19">
        <f>_xlfn.XLOOKUP(Calculations[[#This Row],[For XLOOKUP]],Factors[For XLOOKUP],Factors[Source],"")</f>
        <v>0</v>
      </c>
      <c r="R1010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0" s="81" t="str">
        <f>IF(LEFT(Calculations[[#This Row],[Emission Factor]],7)="Σ.Ε. CH",Calculations[[#This Row],[Value]]*Calculations[[#This Row],[Τιμή]],"-")</f>
        <v>-</v>
      </c>
      <c r="T1010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0" s="81" t="str">
        <f>IF(LEFT(Calculations[[#This Row],[Emission Factor]],3)="GWP",Calculations[[#This Row],[Τιμή]],"-")</f>
        <v>-</v>
      </c>
      <c r="V1010" s="81">
        <f>IF(OR(Calculations[[#This Row],[Emission Factor]]="Σ.Ε. CO₂ eq",Calculations[[#This Row],[Emission Factor]]="CO₂ eq"),Calculations[[#This Row],[Value]]*Calculations[[#This Row],[Τιμή]],"-")</f>
        <v>72.765604261213312</v>
      </c>
      <c r="W1010" s="81" t="str">
        <f>IF(Calculations[[#This Row],[Πηγή εκπομπών]]="Electricity consumed in office buildings and projects - market based",Calculations[[#This Row],[t CO2]],"")</f>
        <v/>
      </c>
      <c r="X1010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72.765604261213312</v>
      </c>
    </row>
    <row r="1011" spans="1:24" hidden="1">
      <c r="A1011" s="15" t="s">
        <v>350</v>
      </c>
      <c r="B1011" s="15" t="s">
        <v>772</v>
      </c>
      <c r="C1011" s="16" t="s">
        <v>624</v>
      </c>
      <c r="D1011" s="77" t="s">
        <v>894</v>
      </c>
      <c r="E1011" s="77"/>
      <c r="F1011" s="16" t="s">
        <v>317</v>
      </c>
      <c r="G1011" s="16" t="s">
        <v>774</v>
      </c>
      <c r="H1011" s="16" t="s">
        <v>774</v>
      </c>
      <c r="I1011" s="17" t="s">
        <v>775</v>
      </c>
      <c r="J1011" s="78">
        <v>972.31720476577789</v>
      </c>
      <c r="K1011" s="18" t="s">
        <v>754</v>
      </c>
      <c r="L1011" s="94" t="s">
        <v>773</v>
      </c>
      <c r="M1011" s="147" t="s">
        <v>760</v>
      </c>
      <c r="N1011" s="81" t="str">
        <f>_xlfn.XLOOKUP(Calculations[[#This Row],[For XLOOKUP]],Factors[For XLOOKUP],Factors[Factor],"")</f>
        <v>CO₂ eq</v>
      </c>
      <c r="O1011" s="81">
        <f>_xlfn.XLOOKUP(Calculations[[#This Row],[For XLOOKUP]],Factors[For XLOOKUP],Factors[Value],"")</f>
        <v>1</v>
      </c>
      <c r="P1011" s="81">
        <f>_xlfn.XLOOKUP(Calculations[[#This Row],[For XLOOKUP]],Factors[For XLOOKUP],Factors[Units],"")</f>
        <v>0</v>
      </c>
      <c r="Q1011" s="19">
        <f>_xlfn.XLOOKUP(Calculations[[#This Row],[For XLOOKUP]],Factors[For XLOOKUP],Factors[Source],"")</f>
        <v>0</v>
      </c>
      <c r="R1011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1" s="81" t="str">
        <f>IF(LEFT(Calculations[[#This Row],[Emission Factor]],7)="Σ.Ε. CH",Calculations[[#This Row],[Value]]*Calculations[[#This Row],[Τιμή]],"-")</f>
        <v>-</v>
      </c>
      <c r="T1011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1" s="81" t="str">
        <f>IF(LEFT(Calculations[[#This Row],[Emission Factor]],3)="GWP",Calculations[[#This Row],[Τιμή]],"-")</f>
        <v>-</v>
      </c>
      <c r="V1011" s="81">
        <f>IF(OR(Calculations[[#This Row],[Emission Factor]]="Σ.Ε. CO₂ eq",Calculations[[#This Row],[Emission Factor]]="CO₂ eq"),Calculations[[#This Row],[Value]]*Calculations[[#This Row],[Τιμή]],"-")</f>
        <v>972.31720476577789</v>
      </c>
      <c r="W1011" s="81" t="str">
        <f>IF(Calculations[[#This Row],[Πηγή εκπομπών]]="Electricity consumed in office buildings and projects - market based",Calculations[[#This Row],[t CO2]],"")</f>
        <v/>
      </c>
      <c r="X1011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972.31720476577789</v>
      </c>
    </row>
    <row r="1012" spans="1:24" hidden="1">
      <c r="A1012" s="15" t="s">
        <v>350</v>
      </c>
      <c r="B1012" s="15" t="s">
        <v>772</v>
      </c>
      <c r="C1012" s="16" t="s">
        <v>624</v>
      </c>
      <c r="D1012" s="16" t="s">
        <v>895</v>
      </c>
      <c r="E1012" s="77" t="s">
        <v>1141</v>
      </c>
      <c r="F1012" s="16" t="s">
        <v>312</v>
      </c>
      <c r="G1012" s="16" t="s">
        <v>774</v>
      </c>
      <c r="H1012" s="16" t="s">
        <v>774</v>
      </c>
      <c r="I1012" s="17" t="s">
        <v>775</v>
      </c>
      <c r="J1012" s="78">
        <v>317.42676641485809</v>
      </c>
      <c r="K1012" s="18" t="s">
        <v>754</v>
      </c>
      <c r="L1012" s="94" t="s">
        <v>773</v>
      </c>
      <c r="M1012" s="147" t="s">
        <v>760</v>
      </c>
      <c r="N1012" s="81" t="str">
        <f>_xlfn.XLOOKUP(Calculations[[#This Row],[For XLOOKUP]],Factors[For XLOOKUP],Factors[Factor],"")</f>
        <v>CO₂ eq</v>
      </c>
      <c r="O1012" s="81">
        <f>_xlfn.XLOOKUP(Calculations[[#This Row],[For XLOOKUP]],Factors[For XLOOKUP],Factors[Value],"")</f>
        <v>1</v>
      </c>
      <c r="P1012" s="81">
        <f>_xlfn.XLOOKUP(Calculations[[#This Row],[For XLOOKUP]],Factors[For XLOOKUP],Factors[Units],"")</f>
        <v>0</v>
      </c>
      <c r="Q1012" s="19">
        <f>_xlfn.XLOOKUP(Calculations[[#This Row],[For XLOOKUP]],Factors[For XLOOKUP],Factors[Source],"")</f>
        <v>0</v>
      </c>
      <c r="R1012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2" s="81" t="str">
        <f>IF(LEFT(Calculations[[#This Row],[Emission Factor]],7)="Σ.Ε. CH",Calculations[[#This Row],[Value]]*Calculations[[#This Row],[Τιμή]],"-")</f>
        <v>-</v>
      </c>
      <c r="T1012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2" s="81" t="str">
        <f>IF(LEFT(Calculations[[#This Row],[Emission Factor]],3)="GWP",Calculations[[#This Row],[Τιμή]],"-")</f>
        <v>-</v>
      </c>
      <c r="V1012" s="81">
        <f>IF(OR(Calculations[[#This Row],[Emission Factor]]="Σ.Ε. CO₂ eq",Calculations[[#This Row],[Emission Factor]]="CO₂ eq"),Calculations[[#This Row],[Value]]*Calculations[[#This Row],[Τιμή]],"-")</f>
        <v>317.42676641485809</v>
      </c>
      <c r="W1012" s="81" t="str">
        <f>IF(Calculations[[#This Row],[Πηγή εκπομπών]]="Electricity consumed in office buildings and projects - market based",Calculations[[#This Row],[t CO2]],"")</f>
        <v/>
      </c>
      <c r="X1012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317.42676641485809</v>
      </c>
    </row>
    <row r="1013" spans="1:24" hidden="1">
      <c r="A1013" s="15" t="s">
        <v>350</v>
      </c>
      <c r="B1013" s="15" t="s">
        <v>772</v>
      </c>
      <c r="C1013" s="16" t="s">
        <v>624</v>
      </c>
      <c r="D1013" s="16" t="s">
        <v>897</v>
      </c>
      <c r="E1013" s="77"/>
      <c r="F1013" s="16" t="s">
        <v>320</v>
      </c>
      <c r="G1013" s="16" t="s">
        <v>774</v>
      </c>
      <c r="H1013" s="16" t="s">
        <v>774</v>
      </c>
      <c r="I1013" s="17" t="s">
        <v>775</v>
      </c>
      <c r="J1013" s="78">
        <v>78.038474135214287</v>
      </c>
      <c r="K1013" s="18" t="s">
        <v>754</v>
      </c>
      <c r="L1013" s="94" t="s">
        <v>773</v>
      </c>
      <c r="M1013" s="147" t="s">
        <v>760</v>
      </c>
      <c r="N1013" s="81" t="str">
        <f>_xlfn.XLOOKUP(Calculations[[#This Row],[For XLOOKUP]],Factors[For XLOOKUP],Factors[Factor],"")</f>
        <v>CO₂ eq</v>
      </c>
      <c r="O1013" s="81">
        <f>_xlfn.XLOOKUP(Calculations[[#This Row],[For XLOOKUP]],Factors[For XLOOKUP],Factors[Value],"")</f>
        <v>1</v>
      </c>
      <c r="P1013" s="81">
        <f>_xlfn.XLOOKUP(Calculations[[#This Row],[For XLOOKUP]],Factors[For XLOOKUP],Factors[Units],"")</f>
        <v>0</v>
      </c>
      <c r="Q1013" s="19">
        <f>_xlfn.XLOOKUP(Calculations[[#This Row],[For XLOOKUP]],Factors[For XLOOKUP],Factors[Source],"")</f>
        <v>0</v>
      </c>
      <c r="R1013" s="8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3" s="81" t="str">
        <f>IF(LEFT(Calculations[[#This Row],[Emission Factor]],7)="Σ.Ε. CH",Calculations[[#This Row],[Value]]*Calculations[[#This Row],[Τιμή]],"-")</f>
        <v>-</v>
      </c>
      <c r="T1013" s="8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3" s="81" t="str">
        <f>IF(LEFT(Calculations[[#This Row],[Emission Factor]],3)="GWP",Calculations[[#This Row],[Τιμή]],"-")</f>
        <v>-</v>
      </c>
      <c r="V1013" s="81">
        <f>IF(OR(Calculations[[#This Row],[Emission Factor]]="Σ.Ε. CO₂ eq",Calculations[[#This Row],[Emission Factor]]="CO₂ eq"),Calculations[[#This Row],[Value]]*Calculations[[#This Row],[Τιμή]],"-")</f>
        <v>78.038474135214287</v>
      </c>
      <c r="W1013" s="81" t="str">
        <f>IF(Calculations[[#This Row],[Πηγή εκπομπών]]="Electricity consumed in office buildings and projects - market based",Calculations[[#This Row],[t CO2]],"")</f>
        <v/>
      </c>
      <c r="X1013" s="207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HFCs]]*'Result GHG'!$L$2,0)+IF(ISNUMBER(Calculations[[#This Row],[t CO2 eq]]),Calculations[[#This Row],[t CO2 eq]],0))*IF(ISNUMBER(Calculations[[#This Row],[Sum t eCO2-market]]),0,1)</f>
        <v>78.038474135214287</v>
      </c>
    </row>
    <row r="1014" spans="1:24">
      <c r="A1014" s="15" t="s">
        <v>780</v>
      </c>
      <c r="B1014" s="15"/>
      <c r="C1014" s="16"/>
      <c r="D1014" s="16"/>
      <c r="E1014" s="16"/>
      <c r="F1014" s="16"/>
      <c r="G1014" s="15"/>
      <c r="H1014" s="15"/>
      <c r="I1014" s="17"/>
      <c r="J1014" s="240"/>
      <c r="K1014" s="18"/>
      <c r="L1014" s="96"/>
      <c r="M1014" s="174"/>
      <c r="N1014" s="19"/>
      <c r="O1014" s="19"/>
      <c r="P1014" s="19"/>
      <c r="Q1014" s="19"/>
      <c r="R1014" s="97"/>
      <c r="S1014" s="97"/>
      <c r="T1014" s="97"/>
      <c r="U1014" s="97"/>
      <c r="V1014" s="97"/>
      <c r="W1014" s="97"/>
      <c r="X1014" s="206">
        <f>SUBTOTAL(109,Calculations[Sum t eCO2])</f>
        <v>6475.5007212143801</v>
      </c>
    </row>
    <row r="1016" spans="1:24">
      <c r="J1016" s="246"/>
    </row>
    <row r="1017" spans="1:24">
      <c r="J1017" s="246"/>
    </row>
    <row r="1018" spans="1:24">
      <c r="J1018" s="244"/>
      <c r="K1018" s="9"/>
    </row>
    <row r="1019" spans="1:24">
      <c r="C1019"/>
      <c r="D1019"/>
      <c r="E1019"/>
      <c r="F1019"/>
      <c r="G1019"/>
      <c r="K1019" s="9"/>
      <c r="L1019" s="189"/>
      <c r="M1019"/>
      <c r="O1019"/>
      <c r="P1019"/>
      <c r="Q1019"/>
      <c r="R1019"/>
      <c r="S1019"/>
      <c r="T1019"/>
      <c r="U1019"/>
      <c r="V1019"/>
      <c r="W1019"/>
      <c r="X1019" s="230"/>
    </row>
    <row r="1020" spans="1:24">
      <c r="C1020"/>
      <c r="D1020"/>
      <c r="E1020"/>
      <c r="F1020"/>
      <c r="G1020"/>
      <c r="K1020" s="9"/>
      <c r="M1020"/>
      <c r="O1020"/>
      <c r="P1020"/>
      <c r="Q1020"/>
      <c r="R1020"/>
      <c r="S1020"/>
      <c r="T1020"/>
      <c r="U1020"/>
      <c r="V1020"/>
      <c r="W1020"/>
    </row>
    <row r="1021" spans="1:24">
      <c r="C1021"/>
      <c r="D1021"/>
      <c r="E1021"/>
      <c r="F1021"/>
      <c r="G1021"/>
      <c r="J1021" s="244"/>
      <c r="K1021" s="80"/>
      <c r="M1021"/>
      <c r="O1021"/>
      <c r="P1021"/>
      <c r="Q1021"/>
      <c r="R1021"/>
      <c r="S1021"/>
      <c r="T1021"/>
      <c r="U1021"/>
      <c r="V1021"/>
      <c r="W1021"/>
      <c r="X1021" s="24"/>
    </row>
    <row r="1022" spans="1:24">
      <c r="J1022" s="244"/>
    </row>
    <row r="1023" spans="1:24">
      <c r="J1023" s="244"/>
    </row>
    <row r="1024" spans="1:24">
      <c r="J1024" s="244"/>
    </row>
  </sheetData>
  <phoneticPr fontId="11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8E14-7F01-45C7-987A-0B6EF9C06767}">
  <sheetPr codeName="Sheet6"/>
  <dimension ref="A1:Z431"/>
  <sheetViews>
    <sheetView showOutlineSymbols="0" showWhiteSpace="0" topLeftCell="A275" zoomScale="85" zoomScaleNormal="85" workbookViewId="0">
      <selection activeCell="A2" sqref="A2:A431"/>
    </sheetView>
  </sheetViews>
  <sheetFormatPr defaultRowHeight="14.4"/>
  <cols>
    <col min="1" max="1" width="29.6640625" style="9" customWidth="1"/>
    <col min="2" max="2" width="28.33203125" style="9" bestFit="1" customWidth="1"/>
    <col min="3" max="3" width="16.6640625" style="9" customWidth="1"/>
    <col min="4" max="4" width="21.109375" style="9" customWidth="1"/>
    <col min="5" max="5" width="33" style="9" customWidth="1"/>
    <col min="6" max="6" width="68.6640625" style="9" customWidth="1"/>
    <col min="7" max="7" width="52.88671875" style="9" customWidth="1"/>
    <col min="8" max="8" width="52.44140625" style="9" customWidth="1"/>
    <col min="9" max="9" width="27.5546875" style="9" customWidth="1"/>
    <col min="13" max="13" width="18.44140625" bestFit="1" customWidth="1"/>
    <col min="14" max="14" width="13.5546875" bestFit="1" customWidth="1"/>
  </cols>
  <sheetData>
    <row r="1" spans="1:14">
      <c r="A1" s="33" t="s">
        <v>16</v>
      </c>
      <c r="B1" s="33" t="s">
        <v>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8" t="s">
        <v>22</v>
      </c>
      <c r="K1" s="197">
        <v>2022</v>
      </c>
      <c r="M1" t="s">
        <v>20</v>
      </c>
      <c r="N1" t="s">
        <v>1168</v>
      </c>
    </row>
    <row r="2" spans="1:14" ht="28.8">
      <c r="A2" s="33" t="s">
        <v>75</v>
      </c>
      <c r="B2" s="33" t="s">
        <v>188</v>
      </c>
      <c r="C2" s="33" t="s">
        <v>43</v>
      </c>
      <c r="D2" s="256">
        <v>54.6</v>
      </c>
      <c r="E2" s="255" t="s">
        <v>195</v>
      </c>
      <c r="F2" s="33" t="s">
        <v>1109</v>
      </c>
      <c r="G2" s="33" t="s">
        <v>1122</v>
      </c>
      <c r="H2" s="22" t="s">
        <v>294</v>
      </c>
      <c r="K2" s="198" t="s">
        <v>1169</v>
      </c>
      <c r="M2" t="s">
        <v>574</v>
      </c>
      <c r="N2">
        <v>0.88970000000000005</v>
      </c>
    </row>
    <row r="3" spans="1:14" ht="28.8">
      <c r="A3" s="33" t="s">
        <v>75</v>
      </c>
      <c r="B3" s="33" t="s">
        <v>303</v>
      </c>
      <c r="C3" s="33" t="s">
        <v>31</v>
      </c>
      <c r="D3" s="256">
        <f>1/1000</f>
        <v>1E-3</v>
      </c>
      <c r="E3" s="255" t="s">
        <v>197</v>
      </c>
      <c r="F3" s="33" t="s">
        <v>1109</v>
      </c>
      <c r="G3" s="33" t="s">
        <v>1122</v>
      </c>
      <c r="H3" s="22" t="s">
        <v>295</v>
      </c>
      <c r="K3" s="199">
        <v>1.0529999999999999</v>
      </c>
      <c r="M3" t="s">
        <v>575</v>
      </c>
      <c r="N3">
        <v>1.1194999999999999</v>
      </c>
    </row>
    <row r="4" spans="1:14" ht="28.8">
      <c r="A4" s="33" t="s">
        <v>75</v>
      </c>
      <c r="B4" s="33" t="s">
        <v>303</v>
      </c>
      <c r="C4" s="33" t="s">
        <v>281</v>
      </c>
      <c r="D4" s="256">
        <f>0.1/1000</f>
        <v>1E-4</v>
      </c>
      <c r="E4" s="270" t="s">
        <v>203</v>
      </c>
      <c r="F4" s="33" t="s">
        <v>1109</v>
      </c>
      <c r="G4" s="33" t="s">
        <v>1122</v>
      </c>
      <c r="H4" s="22" t="s">
        <v>299</v>
      </c>
      <c r="M4" t="s">
        <v>578</v>
      </c>
      <c r="N4">
        <v>1.181</v>
      </c>
    </row>
    <row r="5" spans="1:14">
      <c r="A5" s="33" t="s">
        <v>75</v>
      </c>
      <c r="B5" s="33" t="s">
        <v>75</v>
      </c>
      <c r="C5" s="33" t="s">
        <v>43</v>
      </c>
      <c r="D5" s="256">
        <f>_xlfn.XLOOKUP("Biogas_CO2",Factors[For XLOOKUP],Factors[Value])/947.8171</f>
        <v>5.760605078764669E-2</v>
      </c>
      <c r="E5" s="255" t="s">
        <v>1036</v>
      </c>
      <c r="F5" s="33" t="s">
        <v>1109</v>
      </c>
      <c r="G5" s="33"/>
      <c r="H5" s="22" t="s">
        <v>296</v>
      </c>
      <c r="K5" s="197">
        <v>2021</v>
      </c>
      <c r="M5" t="s">
        <v>576</v>
      </c>
      <c r="N5">
        <v>1</v>
      </c>
    </row>
    <row r="6" spans="1:14">
      <c r="A6" s="33" t="s">
        <v>75</v>
      </c>
      <c r="B6" s="33" t="s">
        <v>303</v>
      </c>
      <c r="C6" s="33" t="s">
        <v>31</v>
      </c>
      <c r="D6" s="256">
        <f>_xlfn.XLOOKUP("Biogas_CH4",Factors[For XLOOKUP],Factors[Value])/947.8171</f>
        <v>1.0550558752316243E-6</v>
      </c>
      <c r="E6" s="255" t="s">
        <v>1037</v>
      </c>
      <c r="F6" s="33" t="s">
        <v>1109</v>
      </c>
      <c r="G6" s="33"/>
      <c r="H6" s="25" t="s">
        <v>297</v>
      </c>
      <c r="K6" s="198" t="s">
        <v>1170</v>
      </c>
      <c r="M6" t="s">
        <v>577</v>
      </c>
      <c r="N6">
        <v>1</v>
      </c>
    </row>
    <row r="7" spans="1:14">
      <c r="A7" s="33" t="s">
        <v>75</v>
      </c>
      <c r="B7" s="33" t="s">
        <v>303</v>
      </c>
      <c r="C7" s="33" t="s">
        <v>281</v>
      </c>
      <c r="D7" s="256">
        <f>_xlfn.XLOOKUP("Biogas_N2O",Factors[For XLOOKUP],Factors[Value])/947.8171</f>
        <v>1.0550558752316244E-7</v>
      </c>
      <c r="E7" s="270" t="s">
        <v>1038</v>
      </c>
      <c r="F7" s="33" t="s">
        <v>1109</v>
      </c>
      <c r="G7" s="33"/>
      <c r="H7" s="25" t="s">
        <v>298</v>
      </c>
      <c r="K7" s="199">
        <v>0.85960000000000003</v>
      </c>
      <c r="M7" t="s">
        <v>1167</v>
      </c>
      <c r="N7">
        <v>0.85960000000000003</v>
      </c>
    </row>
    <row r="8" spans="1:14">
      <c r="A8" s="33" t="s">
        <v>75</v>
      </c>
      <c r="B8" s="33" t="s">
        <v>188</v>
      </c>
      <c r="C8" s="33" t="s">
        <v>43</v>
      </c>
      <c r="D8" s="256">
        <v>55.82</v>
      </c>
      <c r="E8" s="255" t="s">
        <v>195</v>
      </c>
      <c r="F8" s="33" t="s">
        <v>1109</v>
      </c>
      <c r="G8" s="33"/>
      <c r="H8" s="22" t="s">
        <v>304</v>
      </c>
      <c r="M8" t="s">
        <v>1133</v>
      </c>
      <c r="N8">
        <v>1.0529999999999999</v>
      </c>
    </row>
    <row r="9" spans="1:14">
      <c r="A9" s="33" t="s">
        <v>75</v>
      </c>
      <c r="B9" s="33" t="s">
        <v>91</v>
      </c>
      <c r="C9" s="33" t="s">
        <v>31</v>
      </c>
      <c r="D9" s="256">
        <f>1/1000</f>
        <v>1E-3</v>
      </c>
      <c r="E9" s="255" t="s">
        <v>197</v>
      </c>
      <c r="F9" s="33" t="s">
        <v>1109</v>
      </c>
      <c r="G9" s="33"/>
      <c r="H9" s="22" t="s">
        <v>305</v>
      </c>
      <c r="I9"/>
      <c r="K9" s="197">
        <v>2020</v>
      </c>
    </row>
    <row r="10" spans="1:14" ht="38.25" customHeight="1">
      <c r="A10" s="33" t="s">
        <v>75</v>
      </c>
      <c r="B10" s="33" t="s">
        <v>91</v>
      </c>
      <c r="C10" s="33" t="s">
        <v>281</v>
      </c>
      <c r="D10" s="256">
        <f>0.1/1000</f>
        <v>1E-4</v>
      </c>
      <c r="E10" s="270" t="s">
        <v>203</v>
      </c>
      <c r="F10" s="82" t="s">
        <v>1109</v>
      </c>
      <c r="G10" s="33"/>
      <c r="H10" s="22" t="s">
        <v>306</v>
      </c>
      <c r="I10"/>
      <c r="K10" s="198" t="s">
        <v>1170</v>
      </c>
      <c r="M10" s="200"/>
    </row>
    <row r="11" spans="1:14" ht="38.25" customHeight="1">
      <c r="A11" s="33" t="s">
        <v>75</v>
      </c>
      <c r="B11" s="33" t="s">
        <v>75</v>
      </c>
      <c r="C11" s="33" t="s">
        <v>43</v>
      </c>
      <c r="D11" s="256">
        <f>_xlfn.XLOOKUP("Biogas_CO2_flared",Factors[For XLOOKUP],Factors[Value])/947.8171</f>
        <v>5.8893218955429275E-2</v>
      </c>
      <c r="E11" s="255" t="s">
        <v>1036</v>
      </c>
      <c r="F11" s="82" t="s">
        <v>1109</v>
      </c>
      <c r="G11" s="33"/>
      <c r="H11" s="22" t="s">
        <v>307</v>
      </c>
      <c r="I11"/>
      <c r="K11" s="199">
        <v>0.88970000000000005</v>
      </c>
    </row>
    <row r="12" spans="1:14">
      <c r="A12" s="82" t="s">
        <v>75</v>
      </c>
      <c r="B12" s="33" t="s">
        <v>91</v>
      </c>
      <c r="C12" s="33" t="s">
        <v>31</v>
      </c>
      <c r="D12" s="84">
        <f>_xlfn.XLOOKUP("Biogas_CH4_flared",Factors[For XLOOKUP],Factors[Value])/947.8171</f>
        <v>1.0550558752316243E-6</v>
      </c>
      <c r="E12" s="255" t="s">
        <v>1037</v>
      </c>
      <c r="F12" s="82" t="s">
        <v>1109</v>
      </c>
      <c r="G12" s="82"/>
      <c r="H12" s="25" t="s">
        <v>308</v>
      </c>
      <c r="K12" s="9"/>
    </row>
    <row r="13" spans="1:14">
      <c r="A13" s="82" t="s">
        <v>75</v>
      </c>
      <c r="B13" s="33" t="s">
        <v>91</v>
      </c>
      <c r="C13" s="33" t="s">
        <v>281</v>
      </c>
      <c r="D13" s="84">
        <f>_xlfn.XLOOKUP("Biogas_N2O_flared",Factors[For XLOOKUP],Factors[Value])/947.8171</f>
        <v>1.0550558752316244E-7</v>
      </c>
      <c r="E13" s="270" t="s">
        <v>1038</v>
      </c>
      <c r="F13" s="257" t="s">
        <v>1109</v>
      </c>
      <c r="G13" s="82"/>
      <c r="H13" s="22" t="s">
        <v>309</v>
      </c>
      <c r="K13" s="197">
        <v>2019</v>
      </c>
    </row>
    <row r="14" spans="1:14">
      <c r="A14" s="82" t="s">
        <v>107</v>
      </c>
      <c r="B14" s="33" t="s">
        <v>173</v>
      </c>
      <c r="C14" s="33" t="s">
        <v>23</v>
      </c>
      <c r="D14" s="82">
        <v>45.627000000000002</v>
      </c>
      <c r="E14" s="82" t="s">
        <v>232</v>
      </c>
      <c r="F14" s="257" t="s">
        <v>1092</v>
      </c>
      <c r="G14" s="82" t="s">
        <v>1091</v>
      </c>
      <c r="H14" s="12" t="s">
        <v>236</v>
      </c>
      <c r="K14" s="198" t="s">
        <v>1170</v>
      </c>
    </row>
    <row r="15" spans="1:14" ht="43.2">
      <c r="A15" s="261" t="s">
        <v>107</v>
      </c>
      <c r="B15" s="33" t="s">
        <v>108</v>
      </c>
      <c r="C15" s="33" t="s">
        <v>38</v>
      </c>
      <c r="D15" s="263">
        <v>55.82</v>
      </c>
      <c r="E15" s="83" t="s">
        <v>195</v>
      </c>
      <c r="F15" s="82" t="s">
        <v>1109</v>
      </c>
      <c r="G15" s="83" t="s">
        <v>1093</v>
      </c>
      <c r="H15" s="12" t="s">
        <v>141</v>
      </c>
      <c r="K15" s="199">
        <v>0.87777000000000005</v>
      </c>
    </row>
    <row r="16" spans="1:14" ht="43.2">
      <c r="A16" s="261" t="s">
        <v>107</v>
      </c>
      <c r="B16" s="33" t="s">
        <v>108</v>
      </c>
      <c r="C16" s="33" t="s">
        <v>32</v>
      </c>
      <c r="D16" s="263">
        <v>0.10222000000000001</v>
      </c>
      <c r="E16" s="83" t="s">
        <v>197</v>
      </c>
      <c r="F16" s="82" t="s">
        <v>1109</v>
      </c>
      <c r="G16" s="83" t="s">
        <v>1093</v>
      </c>
      <c r="H16" s="12" t="s">
        <v>154</v>
      </c>
      <c r="K16" s="9"/>
    </row>
    <row r="17" spans="1:26" ht="43.2">
      <c r="A17" s="261" t="s">
        <v>107</v>
      </c>
      <c r="B17" s="33" t="s">
        <v>108</v>
      </c>
      <c r="C17" s="33" t="s">
        <v>282</v>
      </c>
      <c r="D17" s="84">
        <v>3.3300000000000001E-3</v>
      </c>
      <c r="E17" s="85" t="s">
        <v>203</v>
      </c>
      <c r="F17" s="258" t="s">
        <v>1109</v>
      </c>
      <c r="G17" s="85" t="s">
        <v>1093</v>
      </c>
      <c r="H17" s="12" t="s">
        <v>168</v>
      </c>
      <c r="K17" s="197">
        <v>2019</v>
      </c>
    </row>
    <row r="18" spans="1:26">
      <c r="A18" s="82" t="s">
        <v>107</v>
      </c>
      <c r="B18" s="33" t="s">
        <v>108</v>
      </c>
      <c r="C18" s="33" t="s">
        <v>38</v>
      </c>
      <c r="D18" s="263">
        <f>_xlfn.XLOOKUP("CNG_NCV",Factors[For XLOOKUP],Factors[Value])*_xlfn.XLOOKUP("CNG_CO2_TJ",Factors[For XLOOKUP],Factors[Value])*10^-6</f>
        <v>2.5468991399999999E-3</v>
      </c>
      <c r="E18" s="85" t="s">
        <v>240</v>
      </c>
      <c r="F18" s="258" t="s">
        <v>1109</v>
      </c>
      <c r="G18" s="85"/>
      <c r="H18" s="12" t="s">
        <v>237</v>
      </c>
      <c r="K18" s="198" t="s">
        <v>1169</v>
      </c>
    </row>
    <row r="19" spans="1:26">
      <c r="A19" s="261" t="s">
        <v>107</v>
      </c>
      <c r="B19" s="33" t="s">
        <v>108</v>
      </c>
      <c r="C19" s="33" t="s">
        <v>32</v>
      </c>
      <c r="D19" s="263">
        <f>_xlfn.XLOOKUP("CNG_NCV",Factors[For XLOOKUP],Factors[Value])*_xlfn.XLOOKUP("CNG_CH4_TJ",Factors[For XLOOKUP],Factors[Value])*10^-6</f>
        <v>4.6639919400000006E-6</v>
      </c>
      <c r="E19" s="83" t="s">
        <v>241</v>
      </c>
      <c r="F19" s="258" t="s">
        <v>1109</v>
      </c>
      <c r="G19" s="83"/>
      <c r="H19" s="12" t="s">
        <v>238</v>
      </c>
      <c r="K19" s="199">
        <v>1.1194999999999999</v>
      </c>
    </row>
    <row r="20" spans="1:26">
      <c r="A20" s="261" t="s">
        <v>107</v>
      </c>
      <c r="B20" s="33" t="s">
        <v>108</v>
      </c>
      <c r="C20" s="33" t="s">
        <v>282</v>
      </c>
      <c r="D20" s="263">
        <f>_xlfn.XLOOKUP("CNG_NCV",Factors[For XLOOKUP],Factors[Value])*_xlfn.XLOOKUP("CNG_N2O_TJ",Factors[For XLOOKUP],Factors[Value])*10^-6</f>
        <v>1.5193791000000001E-7</v>
      </c>
      <c r="E20" s="85" t="s">
        <v>242</v>
      </c>
      <c r="F20" s="258" t="s">
        <v>1109</v>
      </c>
      <c r="G20" s="85"/>
      <c r="H20" s="12" t="s">
        <v>239</v>
      </c>
    </row>
    <row r="21" spans="1:26" ht="43.2">
      <c r="A21" s="82" t="s">
        <v>15</v>
      </c>
      <c r="B21" s="33" t="s">
        <v>108</v>
      </c>
      <c r="C21" s="33" t="s">
        <v>282</v>
      </c>
      <c r="D21" s="84">
        <f>4.72258362187299*10^-3</f>
        <v>4.7225836218729896E-3</v>
      </c>
      <c r="E21" s="85" t="s">
        <v>203</v>
      </c>
      <c r="F21" s="258" t="s">
        <v>1216</v>
      </c>
      <c r="G21" s="85" t="s">
        <v>1243</v>
      </c>
      <c r="H21" s="12" t="s">
        <v>1242</v>
      </c>
      <c r="K21" s="197">
        <v>2018</v>
      </c>
    </row>
    <row r="22" spans="1:26" ht="43.2">
      <c r="A22" s="82" t="s">
        <v>15</v>
      </c>
      <c r="B22" s="33" t="s">
        <v>108</v>
      </c>
      <c r="C22" s="33" t="s">
        <v>32</v>
      </c>
      <c r="D22" s="84">
        <f>3.84435702455678*10^-3</f>
        <v>3.8443570245567803E-3</v>
      </c>
      <c r="E22" s="85" t="s">
        <v>197</v>
      </c>
      <c r="F22" s="258" t="s">
        <v>1235</v>
      </c>
      <c r="G22" s="85" t="s">
        <v>1243</v>
      </c>
      <c r="H22" s="12" t="s">
        <v>1240</v>
      </c>
      <c r="K22" s="198" t="s">
        <v>1169</v>
      </c>
    </row>
    <row r="23" spans="1:26" ht="43.2">
      <c r="A23" s="82" t="s">
        <v>15</v>
      </c>
      <c r="B23" s="33" t="s">
        <v>108</v>
      </c>
      <c r="C23" s="33" t="s">
        <v>38</v>
      </c>
      <c r="D23" s="84">
        <v>74.59463602575579</v>
      </c>
      <c r="E23" s="85" t="s">
        <v>195</v>
      </c>
      <c r="F23" s="305" t="s">
        <v>1216</v>
      </c>
      <c r="G23" s="309" t="s">
        <v>1243</v>
      </c>
      <c r="H23" s="12" t="s">
        <v>1241</v>
      </c>
      <c r="K23" s="198"/>
      <c r="X23">
        <v>77562</v>
      </c>
      <c r="Y23">
        <v>2.5363808673225722E-3</v>
      </c>
      <c r="Z23">
        <f>Y23*X23</f>
        <v>196.72677283127334</v>
      </c>
    </row>
    <row r="24" spans="1:26" ht="43.2">
      <c r="A24" s="82" t="s">
        <v>15</v>
      </c>
      <c r="B24" s="33" t="s">
        <v>108</v>
      </c>
      <c r="C24" s="33" t="s">
        <v>32</v>
      </c>
      <c r="D24" s="84">
        <f>0.529247922116846*10^-3</f>
        <v>5.2924792211684604E-4</v>
      </c>
      <c r="E24" s="83" t="s">
        <v>197</v>
      </c>
      <c r="F24" s="305" t="s">
        <v>1216</v>
      </c>
      <c r="G24" s="309" t="s">
        <v>1327</v>
      </c>
      <c r="H24" s="12" t="s">
        <v>1328</v>
      </c>
      <c r="K24" s="198"/>
      <c r="X24">
        <v>77562</v>
      </c>
      <c r="Y24">
        <v>2.6924234999999999E-3</v>
      </c>
      <c r="Z24">
        <f>Y24*X24</f>
        <v>208.829751507</v>
      </c>
    </row>
    <row r="25" spans="1:26" ht="43.2">
      <c r="A25" s="82" t="s">
        <v>15</v>
      </c>
      <c r="B25" s="33" t="s">
        <v>108</v>
      </c>
      <c r="C25" s="33" t="s">
        <v>38</v>
      </c>
      <c r="D25" s="84">
        <v>74.50397592693318</v>
      </c>
      <c r="E25" s="83" t="s">
        <v>195</v>
      </c>
      <c r="F25" s="82" t="s">
        <v>1235</v>
      </c>
      <c r="G25" s="85" t="s">
        <v>1327</v>
      </c>
      <c r="H25" s="12" t="s">
        <v>1329</v>
      </c>
      <c r="K25" s="198"/>
    </row>
    <row r="26" spans="1:26" ht="43.2">
      <c r="A26" s="82" t="s">
        <v>15</v>
      </c>
      <c r="B26" s="33" t="s">
        <v>108</v>
      </c>
      <c r="C26" s="33" t="s">
        <v>282</v>
      </c>
      <c r="D26" s="84">
        <f>1.76677071457206*10^-3</f>
        <v>1.7667707145720599E-3</v>
      </c>
      <c r="E26" s="85" t="s">
        <v>203</v>
      </c>
      <c r="F26" s="82" t="s">
        <v>1216</v>
      </c>
      <c r="G26" s="85" t="s">
        <v>1327</v>
      </c>
      <c r="H26" s="12" t="s">
        <v>1330</v>
      </c>
      <c r="K26" s="198"/>
    </row>
    <row r="27" spans="1:26" ht="43.2">
      <c r="A27" s="82" t="s">
        <v>15</v>
      </c>
      <c r="B27" s="47" t="s">
        <v>91</v>
      </c>
      <c r="C27" s="33" t="s">
        <v>32</v>
      </c>
      <c r="D27" s="84">
        <f>3*10^-3</f>
        <v>3.0000000000000001E-3</v>
      </c>
      <c r="E27" s="83" t="s">
        <v>197</v>
      </c>
      <c r="F27" s="82" t="s">
        <v>1223</v>
      </c>
      <c r="G27" s="83" t="s">
        <v>1224</v>
      </c>
      <c r="H27" s="203" t="s">
        <v>1189</v>
      </c>
      <c r="K27" s="199">
        <v>1.181</v>
      </c>
    </row>
    <row r="28" spans="1:26" ht="43.2">
      <c r="A28" s="47" t="s">
        <v>15</v>
      </c>
      <c r="B28" s="47" t="s">
        <v>91</v>
      </c>
      <c r="C28" s="33" t="s">
        <v>38</v>
      </c>
      <c r="D28" s="84">
        <v>76.126713083782903</v>
      </c>
      <c r="E28" s="83" t="s">
        <v>195</v>
      </c>
      <c r="F28" s="82" t="s">
        <v>1223</v>
      </c>
      <c r="G28" s="83" t="s">
        <v>1224</v>
      </c>
      <c r="H28" s="203" t="s">
        <v>1228</v>
      </c>
      <c r="K28" s="11"/>
    </row>
    <row r="29" spans="1:26" ht="43.2">
      <c r="A29" s="47" t="s">
        <v>15</v>
      </c>
      <c r="B29" s="47" t="s">
        <v>91</v>
      </c>
      <c r="C29" s="82" t="s">
        <v>282</v>
      </c>
      <c r="D29" s="84">
        <f>0.6*10^-3</f>
        <v>5.9999999999999995E-4</v>
      </c>
      <c r="E29" s="83" t="s">
        <v>203</v>
      </c>
      <c r="F29" s="82" t="s">
        <v>1223</v>
      </c>
      <c r="G29" s="83" t="s">
        <v>1224</v>
      </c>
      <c r="H29" s="204" t="s">
        <v>1190</v>
      </c>
      <c r="K29" s="11"/>
    </row>
    <row r="30" spans="1:26" ht="28.8">
      <c r="A30" s="47" t="s">
        <v>15</v>
      </c>
      <c r="B30" s="47" t="s">
        <v>108</v>
      </c>
      <c r="C30" s="33" t="s">
        <v>32</v>
      </c>
      <c r="D30" s="301">
        <f>0.108710782205525*10^-3</f>
        <v>1.0871078220552501E-4</v>
      </c>
      <c r="E30" s="85" t="s">
        <v>197</v>
      </c>
      <c r="F30" s="82" t="s">
        <v>1216</v>
      </c>
      <c r="G30" s="83" t="s">
        <v>1250</v>
      </c>
      <c r="H30" s="205" t="s">
        <v>1253</v>
      </c>
    </row>
    <row r="31" spans="1:26" ht="28.8">
      <c r="A31" s="47" t="s">
        <v>15</v>
      </c>
      <c r="B31" s="47" t="s">
        <v>108</v>
      </c>
      <c r="C31" s="33" t="s">
        <v>38</v>
      </c>
      <c r="D31" s="84">
        <v>74.57435550904043</v>
      </c>
      <c r="E31" s="85" t="s">
        <v>195</v>
      </c>
      <c r="F31" s="82" t="s">
        <v>1216</v>
      </c>
      <c r="G31" s="83" t="s">
        <v>1250</v>
      </c>
      <c r="H31" s="204" t="s">
        <v>1251</v>
      </c>
    </row>
    <row r="32" spans="1:26" ht="34.200000000000003" customHeight="1">
      <c r="A32" s="47" t="s">
        <v>15</v>
      </c>
      <c r="B32" s="47" t="s">
        <v>108</v>
      </c>
      <c r="C32" s="33" t="s">
        <v>282</v>
      </c>
      <c r="D32" s="84">
        <f>2.91072956226641*10^-3</f>
        <v>2.9107295622664104E-3</v>
      </c>
      <c r="E32" s="85" t="s">
        <v>203</v>
      </c>
      <c r="F32" s="82" t="s">
        <v>1216</v>
      </c>
      <c r="G32" s="83" t="s">
        <v>1250</v>
      </c>
      <c r="H32" s="204" t="s">
        <v>1252</v>
      </c>
    </row>
    <row r="33" spans="1:8" ht="28.8">
      <c r="A33" s="47" t="s">
        <v>15</v>
      </c>
      <c r="B33" s="47" t="s">
        <v>173</v>
      </c>
      <c r="C33" s="33" t="s">
        <v>23</v>
      </c>
      <c r="D33" s="298">
        <v>43</v>
      </c>
      <c r="E33" s="82" t="s">
        <v>24</v>
      </c>
      <c r="F33" s="82" t="s">
        <v>1216</v>
      </c>
      <c r="G33" s="82" t="s">
        <v>1222</v>
      </c>
      <c r="H33" s="204" t="s">
        <v>1220</v>
      </c>
    </row>
    <row r="34" spans="1:8" ht="31.95" customHeight="1">
      <c r="A34" s="47" t="s">
        <v>15</v>
      </c>
      <c r="B34" s="47" t="s">
        <v>91</v>
      </c>
      <c r="C34" s="33" t="s">
        <v>43</v>
      </c>
      <c r="D34" s="84">
        <v>74.099999999999994</v>
      </c>
      <c r="E34" s="83" t="s">
        <v>195</v>
      </c>
      <c r="F34" s="82" t="s">
        <v>1216</v>
      </c>
      <c r="G34" s="82" t="s">
        <v>1222</v>
      </c>
      <c r="H34" s="204" t="s">
        <v>1229</v>
      </c>
    </row>
    <row r="35" spans="1:8" ht="28.8">
      <c r="A35" s="47" t="s">
        <v>15</v>
      </c>
      <c r="B35" s="47" t="s">
        <v>91</v>
      </c>
      <c r="C35" s="33" t="s">
        <v>43</v>
      </c>
      <c r="D35" s="84">
        <v>74.099999999999994</v>
      </c>
      <c r="E35" s="85" t="s">
        <v>195</v>
      </c>
      <c r="F35" s="82" t="s">
        <v>1216</v>
      </c>
      <c r="G35" s="82" t="s">
        <v>1222</v>
      </c>
      <c r="H35" s="204" t="s">
        <v>1233</v>
      </c>
    </row>
    <row r="36" spans="1:8" ht="28.95" customHeight="1">
      <c r="A36" s="47" t="s">
        <v>15</v>
      </c>
      <c r="B36" s="47" t="s">
        <v>91</v>
      </c>
      <c r="C36" s="33" t="s">
        <v>31</v>
      </c>
      <c r="D36" s="84">
        <f>10*10^-3</f>
        <v>0.01</v>
      </c>
      <c r="E36" s="83" t="s">
        <v>197</v>
      </c>
      <c r="F36" s="82" t="s">
        <v>1216</v>
      </c>
      <c r="G36" s="82" t="s">
        <v>1222</v>
      </c>
      <c r="H36" s="202" t="s">
        <v>1191</v>
      </c>
    </row>
    <row r="37" spans="1:8" ht="28.8">
      <c r="A37" s="47" t="s">
        <v>15</v>
      </c>
      <c r="B37" s="47" t="s">
        <v>91</v>
      </c>
      <c r="C37" s="33" t="s">
        <v>31</v>
      </c>
      <c r="D37" s="84">
        <f>10*10^-3</f>
        <v>0.01</v>
      </c>
      <c r="E37" s="83" t="s">
        <v>197</v>
      </c>
      <c r="F37" s="82" t="s">
        <v>1216</v>
      </c>
      <c r="G37" s="82" t="s">
        <v>1222</v>
      </c>
      <c r="H37" s="13" t="s">
        <v>1234</v>
      </c>
    </row>
    <row r="38" spans="1:8" ht="28.8">
      <c r="A38" s="47" t="s">
        <v>15</v>
      </c>
      <c r="B38" s="47" t="s">
        <v>91</v>
      </c>
      <c r="C38" s="82" t="s">
        <v>281</v>
      </c>
      <c r="D38" s="84">
        <f>0.6*10^-3</f>
        <v>5.9999999999999995E-4</v>
      </c>
      <c r="E38" s="83" t="s">
        <v>203</v>
      </c>
      <c r="F38" s="82" t="s">
        <v>1216</v>
      </c>
      <c r="G38" s="82" t="s">
        <v>1222</v>
      </c>
      <c r="H38" s="202" t="s">
        <v>1192</v>
      </c>
    </row>
    <row r="39" spans="1:8" ht="28.8">
      <c r="A39" s="47" t="s">
        <v>15</v>
      </c>
      <c r="B39" s="47" t="s">
        <v>91</v>
      </c>
      <c r="C39" s="82" t="s">
        <v>281</v>
      </c>
      <c r="D39" s="84">
        <f>0.6*10^-3</f>
        <v>5.9999999999999995E-4</v>
      </c>
      <c r="E39" s="83" t="s">
        <v>203</v>
      </c>
      <c r="F39" s="82" t="s">
        <v>1235</v>
      </c>
      <c r="G39" s="82" t="s">
        <v>1222</v>
      </c>
      <c r="H39" s="202" t="s">
        <v>1236</v>
      </c>
    </row>
    <row r="40" spans="1:8" ht="28.8">
      <c r="A40" s="47" t="s">
        <v>15</v>
      </c>
      <c r="B40" s="47" t="s">
        <v>108</v>
      </c>
      <c r="C40" s="33" t="s">
        <v>32</v>
      </c>
      <c r="D40" s="84">
        <f>3.56114837091581*10^-3</f>
        <v>3.5611483709158099E-3</v>
      </c>
      <c r="E40" s="85" t="s">
        <v>197</v>
      </c>
      <c r="F40" s="82" t="s">
        <v>1193</v>
      </c>
      <c r="G40" s="85" t="s">
        <v>1194</v>
      </c>
      <c r="H40" s="203" t="s">
        <v>1195</v>
      </c>
    </row>
    <row r="41" spans="1:8" ht="28.8">
      <c r="A41" s="47" t="s">
        <v>15</v>
      </c>
      <c r="B41" s="47" t="s">
        <v>108</v>
      </c>
      <c r="C41" s="33" t="s">
        <v>38</v>
      </c>
      <c r="D41" s="84">
        <v>74.026527404792773</v>
      </c>
      <c r="E41" s="85" t="s">
        <v>195</v>
      </c>
      <c r="F41" s="82" t="s">
        <v>1193</v>
      </c>
      <c r="G41" s="85" t="s">
        <v>1194</v>
      </c>
      <c r="H41" s="202" t="s">
        <v>1197</v>
      </c>
    </row>
    <row r="42" spans="1:8" ht="28.8">
      <c r="A42" s="47" t="s">
        <v>15</v>
      </c>
      <c r="B42" s="47" t="s">
        <v>108</v>
      </c>
      <c r="C42" s="82" t="s">
        <v>282</v>
      </c>
      <c r="D42" s="84">
        <f>3.45423008798427*10^-3</f>
        <v>3.45423008798427E-3</v>
      </c>
      <c r="E42" s="85" t="s">
        <v>203</v>
      </c>
      <c r="F42" s="82" t="s">
        <v>1193</v>
      </c>
      <c r="G42" s="85" t="s">
        <v>1194</v>
      </c>
      <c r="H42" s="204" t="s">
        <v>1196</v>
      </c>
    </row>
    <row r="43" spans="1:8" ht="43.2">
      <c r="A43" s="82" t="s">
        <v>15</v>
      </c>
      <c r="B43" s="47" t="s">
        <v>91</v>
      </c>
      <c r="C43" s="33" t="s">
        <v>32</v>
      </c>
      <c r="D43" s="263">
        <f>10^-3*3</f>
        <v>3.0000000000000001E-3</v>
      </c>
      <c r="E43" s="83" t="s">
        <v>197</v>
      </c>
      <c r="F43" s="82" t="s">
        <v>1109</v>
      </c>
      <c r="G43" s="83" t="s">
        <v>1112</v>
      </c>
      <c r="H43" s="25" t="s">
        <v>146</v>
      </c>
    </row>
    <row r="44" spans="1:8" ht="43.2">
      <c r="A44" s="47" t="s">
        <v>15</v>
      </c>
      <c r="B44" s="47" t="s">
        <v>91</v>
      </c>
      <c r="C44" s="82" t="s">
        <v>38</v>
      </c>
      <c r="D44" s="263">
        <v>76.816511377534695</v>
      </c>
      <c r="E44" s="83" t="s">
        <v>195</v>
      </c>
      <c r="F44" s="82" t="s">
        <v>1109</v>
      </c>
      <c r="G44" s="83" t="s">
        <v>1112</v>
      </c>
      <c r="H44" s="22" t="s">
        <v>132</v>
      </c>
    </row>
    <row r="45" spans="1:8" ht="43.2">
      <c r="A45" s="47" t="s">
        <v>15</v>
      </c>
      <c r="B45" s="47" t="s">
        <v>91</v>
      </c>
      <c r="C45" s="82" t="s">
        <v>282</v>
      </c>
      <c r="D45" s="84">
        <f>10^-3*0.6</f>
        <v>5.9999999999999995E-4</v>
      </c>
      <c r="E45" s="85" t="s">
        <v>203</v>
      </c>
      <c r="F45" s="82" t="s">
        <v>1109</v>
      </c>
      <c r="G45" s="85" t="s">
        <v>1112</v>
      </c>
      <c r="H45" s="22" t="s">
        <v>160</v>
      </c>
    </row>
    <row r="46" spans="1:8" ht="43.2">
      <c r="A46" s="47" t="s">
        <v>15</v>
      </c>
      <c r="B46" s="47" t="s">
        <v>108</v>
      </c>
      <c r="C46" s="82" t="s">
        <v>32</v>
      </c>
      <c r="D46" s="263">
        <f>(0.02797034779055*10^-3)</f>
        <v>2.7970347790549999E-5</v>
      </c>
      <c r="E46" s="83" t="s">
        <v>197</v>
      </c>
      <c r="F46" s="82" t="s">
        <v>1109</v>
      </c>
      <c r="G46" s="83" t="s">
        <v>1110</v>
      </c>
      <c r="H46" s="22" t="s">
        <v>145</v>
      </c>
    </row>
    <row r="47" spans="1:8" ht="43.2">
      <c r="A47" s="47" t="s">
        <v>15</v>
      </c>
      <c r="B47" s="47" t="s">
        <v>108</v>
      </c>
      <c r="C47" s="82" t="s">
        <v>38</v>
      </c>
      <c r="D47" s="269">
        <f>73.23</f>
        <v>73.23</v>
      </c>
      <c r="E47" s="83" t="s">
        <v>195</v>
      </c>
      <c r="F47" s="82" t="s">
        <v>1109</v>
      </c>
      <c r="G47" s="83" t="s">
        <v>1110</v>
      </c>
      <c r="H47" s="22" t="s">
        <v>131</v>
      </c>
    </row>
    <row r="48" spans="1:8" ht="43.2">
      <c r="A48" s="82" t="s">
        <v>15</v>
      </c>
      <c r="B48" s="47" t="s">
        <v>108</v>
      </c>
      <c r="C48" s="33" t="s">
        <v>282</v>
      </c>
      <c r="D48" s="84">
        <f>(2.93782825514134*10^-3)</f>
        <v>2.9378282551413403E-3</v>
      </c>
      <c r="E48" s="85" t="s">
        <v>203</v>
      </c>
      <c r="F48" s="82" t="s">
        <v>1109</v>
      </c>
      <c r="G48" s="85" t="s">
        <v>1110</v>
      </c>
      <c r="H48" s="25" t="s">
        <v>159</v>
      </c>
    </row>
    <row r="49" spans="1:8" ht="43.2">
      <c r="A49" s="82" t="s">
        <v>15</v>
      </c>
      <c r="B49" s="47" t="s">
        <v>108</v>
      </c>
      <c r="C49" s="33" t="s">
        <v>32</v>
      </c>
      <c r="D49" s="263">
        <v>5.7152626469898198E-3</v>
      </c>
      <c r="E49" s="83" t="s">
        <v>197</v>
      </c>
      <c r="F49" s="82" t="s">
        <v>1109</v>
      </c>
      <c r="G49" s="83" t="s">
        <v>1111</v>
      </c>
      <c r="H49" s="12" t="s">
        <v>144</v>
      </c>
    </row>
    <row r="50" spans="1:8" ht="43.2">
      <c r="A50" s="82" t="s">
        <v>15</v>
      </c>
      <c r="B50" s="47" t="s">
        <v>108</v>
      </c>
      <c r="C50" s="33" t="s">
        <v>38</v>
      </c>
      <c r="D50" s="263">
        <f>73.23</f>
        <v>73.23</v>
      </c>
      <c r="E50" s="83" t="s">
        <v>195</v>
      </c>
      <c r="F50" s="82" t="s">
        <v>104</v>
      </c>
      <c r="G50" s="83" t="s">
        <v>1111</v>
      </c>
      <c r="H50" s="13" t="s">
        <v>130</v>
      </c>
    </row>
    <row r="51" spans="1:8" ht="43.2">
      <c r="A51" s="82" t="s">
        <v>15</v>
      </c>
      <c r="B51" s="47" t="s">
        <v>108</v>
      </c>
      <c r="C51" s="33" t="s">
        <v>282</v>
      </c>
      <c r="D51" s="84">
        <v>1.6615351381455402E-3</v>
      </c>
      <c r="E51" s="85" t="s">
        <v>203</v>
      </c>
      <c r="F51" s="82" t="s">
        <v>1109</v>
      </c>
      <c r="G51" s="85" t="s">
        <v>1111</v>
      </c>
      <c r="H51" s="12" t="s">
        <v>158</v>
      </c>
    </row>
    <row r="52" spans="1:8" ht="43.2">
      <c r="A52" s="82" t="s">
        <v>15</v>
      </c>
      <c r="B52" s="47" t="s">
        <v>108</v>
      </c>
      <c r="C52" s="33" t="s">
        <v>32</v>
      </c>
      <c r="D52" s="263">
        <f>(0.48758054369216*10^-3)</f>
        <v>4.8758054369215997E-4</v>
      </c>
      <c r="E52" s="83" t="s">
        <v>197</v>
      </c>
      <c r="F52" s="82" t="s">
        <v>1109</v>
      </c>
      <c r="G52" s="83" t="s">
        <v>1111</v>
      </c>
      <c r="H52" s="13" t="s">
        <v>147</v>
      </c>
    </row>
    <row r="53" spans="1:8" ht="43.2">
      <c r="A53" s="82" t="s">
        <v>15</v>
      </c>
      <c r="B53" s="47" t="s">
        <v>108</v>
      </c>
      <c r="C53" s="33" t="s">
        <v>38</v>
      </c>
      <c r="D53" s="263">
        <v>73.23</v>
      </c>
      <c r="E53" s="83" t="s">
        <v>195</v>
      </c>
      <c r="F53" s="82" t="s">
        <v>1109</v>
      </c>
      <c r="G53" s="83" t="s">
        <v>1111</v>
      </c>
      <c r="H53" s="13" t="s">
        <v>133</v>
      </c>
    </row>
    <row r="54" spans="1:8" ht="43.2">
      <c r="A54" s="82" t="s">
        <v>15</v>
      </c>
      <c r="B54" s="47" t="s">
        <v>108</v>
      </c>
      <c r="C54" s="33" t="s">
        <v>282</v>
      </c>
      <c r="D54" s="84">
        <v>2.09627302421067E-3</v>
      </c>
      <c r="E54" s="85" t="s">
        <v>203</v>
      </c>
      <c r="F54" s="82" t="s">
        <v>1109</v>
      </c>
      <c r="G54" s="85" t="s">
        <v>1111</v>
      </c>
      <c r="H54" s="12" t="s">
        <v>161</v>
      </c>
    </row>
    <row r="55" spans="1:8" ht="43.2">
      <c r="A55" s="82" t="s">
        <v>15</v>
      </c>
      <c r="B55" s="47" t="s">
        <v>91</v>
      </c>
      <c r="C55" s="33" t="s">
        <v>31</v>
      </c>
      <c r="D55" s="263">
        <v>7.3165708043334003E-4</v>
      </c>
      <c r="E55" s="83" t="s">
        <v>197</v>
      </c>
      <c r="F55" s="82" t="s">
        <v>1109</v>
      </c>
      <c r="G55" s="83" t="s">
        <v>1108</v>
      </c>
      <c r="H55" s="12" t="s">
        <v>214</v>
      </c>
    </row>
    <row r="56" spans="1:8" ht="43.2">
      <c r="A56" s="47" t="s">
        <v>15</v>
      </c>
      <c r="B56" s="47" t="s">
        <v>91</v>
      </c>
      <c r="C56" s="33" t="s">
        <v>31</v>
      </c>
      <c r="D56" s="263">
        <f>(2.07352354844556*10^-3)</f>
        <v>2.0735235484455601E-3</v>
      </c>
      <c r="E56" s="83" t="s">
        <v>197</v>
      </c>
      <c r="F56" s="82" t="s">
        <v>1109</v>
      </c>
      <c r="G56" s="83" t="s">
        <v>1108</v>
      </c>
      <c r="H56" s="12" t="s">
        <v>143</v>
      </c>
    </row>
    <row r="57" spans="1:8" ht="43.2">
      <c r="A57" s="47" t="s">
        <v>15</v>
      </c>
      <c r="B57" s="47" t="s">
        <v>91</v>
      </c>
      <c r="C57" s="33" t="s">
        <v>281</v>
      </c>
      <c r="D57" s="84">
        <f>10^-3*0.19</f>
        <v>1.9000000000000001E-4</v>
      </c>
      <c r="E57" s="85" t="s">
        <v>203</v>
      </c>
      <c r="F57" s="82" t="s">
        <v>1109</v>
      </c>
      <c r="G57" s="85" t="s">
        <v>1108</v>
      </c>
      <c r="H57" s="12" t="s">
        <v>156</v>
      </c>
    </row>
    <row r="58" spans="1:8" ht="43.2">
      <c r="A58" s="82" t="s">
        <v>15</v>
      </c>
      <c r="B58" s="47" t="s">
        <v>91</v>
      </c>
      <c r="C58" s="33" t="s">
        <v>281</v>
      </c>
      <c r="D58" s="84">
        <f>(2.60722971847836*10^-3)</f>
        <v>2.6072297184783601E-3</v>
      </c>
      <c r="E58" s="85" t="s">
        <v>203</v>
      </c>
      <c r="F58" s="82" t="s">
        <v>1109</v>
      </c>
      <c r="G58" s="85" t="s">
        <v>1108</v>
      </c>
      <c r="H58" s="12" t="s">
        <v>157</v>
      </c>
    </row>
    <row r="59" spans="1:8" ht="28.8">
      <c r="A59" s="82" t="s">
        <v>15</v>
      </c>
      <c r="B59" s="47" t="s">
        <v>173</v>
      </c>
      <c r="C59" s="33" t="s">
        <v>23</v>
      </c>
      <c r="D59" s="82">
        <v>42.8</v>
      </c>
      <c r="E59" s="82" t="s">
        <v>24</v>
      </c>
      <c r="F59" s="82" t="s">
        <v>1109</v>
      </c>
      <c r="G59" s="82" t="s">
        <v>1123</v>
      </c>
      <c r="H59" s="12" t="s">
        <v>25</v>
      </c>
    </row>
    <row r="60" spans="1:8">
      <c r="A60" s="82" t="s">
        <v>15</v>
      </c>
      <c r="B60" s="33" t="s">
        <v>91</v>
      </c>
      <c r="C60" s="33" t="s">
        <v>43</v>
      </c>
      <c r="D60" s="263">
        <f>73.78</f>
        <v>73.78</v>
      </c>
      <c r="E60" s="83" t="s">
        <v>195</v>
      </c>
      <c r="F60" s="82" t="s">
        <v>1109</v>
      </c>
      <c r="G60" s="83" t="s">
        <v>1107</v>
      </c>
      <c r="H60" s="13" t="s">
        <v>128</v>
      </c>
    </row>
    <row r="61" spans="1:8">
      <c r="A61" s="82" t="s">
        <v>15</v>
      </c>
      <c r="B61" s="33" t="s">
        <v>91</v>
      </c>
      <c r="C61" s="33" t="s">
        <v>43</v>
      </c>
      <c r="D61" s="269">
        <v>73.78</v>
      </c>
      <c r="E61" s="83" t="s">
        <v>195</v>
      </c>
      <c r="F61" s="82" t="s">
        <v>1109</v>
      </c>
      <c r="G61" s="83" t="s">
        <v>1107</v>
      </c>
      <c r="H61" s="13" t="s">
        <v>129</v>
      </c>
    </row>
    <row r="62" spans="1:8" ht="28.8">
      <c r="A62" s="82" t="s">
        <v>15</v>
      </c>
      <c r="B62" s="33" t="s">
        <v>121</v>
      </c>
      <c r="C62" s="33" t="s">
        <v>26</v>
      </c>
      <c r="D62" s="82">
        <v>0.83250000000000002</v>
      </c>
      <c r="E62" s="82" t="s">
        <v>27</v>
      </c>
      <c r="F62" s="82" t="s">
        <v>28</v>
      </c>
      <c r="G62" s="82" t="s">
        <v>29</v>
      </c>
      <c r="H62" s="13" t="s">
        <v>30</v>
      </c>
    </row>
    <row r="63" spans="1:8">
      <c r="A63" s="82" t="s">
        <v>15</v>
      </c>
      <c r="B63" s="33" t="s">
        <v>121</v>
      </c>
      <c r="C63" s="33" t="s">
        <v>26</v>
      </c>
      <c r="D63" s="84">
        <v>0.84389999999999998</v>
      </c>
      <c r="E63" s="82" t="s">
        <v>27</v>
      </c>
      <c r="F63" s="283" t="s">
        <v>1203</v>
      </c>
      <c r="G63" s="283"/>
      <c r="H63" s="204" t="s">
        <v>1202</v>
      </c>
    </row>
    <row r="64" spans="1:8">
      <c r="A64" s="82" t="s">
        <v>15</v>
      </c>
      <c r="B64" s="47" t="s">
        <v>173</v>
      </c>
      <c r="C64" s="33" t="s">
        <v>23</v>
      </c>
      <c r="D64" s="84">
        <v>43.38</v>
      </c>
      <c r="E64" s="82" t="s">
        <v>24</v>
      </c>
      <c r="F64" s="283" t="s">
        <v>1203</v>
      </c>
      <c r="G64" s="283"/>
      <c r="H64" s="204" t="s">
        <v>1201</v>
      </c>
    </row>
    <row r="65" spans="1:8">
      <c r="A65" s="47" t="s">
        <v>15</v>
      </c>
      <c r="B65" s="47" t="s">
        <v>121</v>
      </c>
      <c r="C65" s="33" t="s">
        <v>26</v>
      </c>
      <c r="D65" s="84">
        <v>0.84499999999999997</v>
      </c>
      <c r="E65" s="82" t="s">
        <v>27</v>
      </c>
      <c r="F65" s="284" t="s">
        <v>1215</v>
      </c>
      <c r="G65" s="280"/>
      <c r="H65" s="204" t="s">
        <v>1221</v>
      </c>
    </row>
    <row r="66" spans="1:8">
      <c r="A66" s="47" t="s">
        <v>15</v>
      </c>
      <c r="B66" s="47" t="s">
        <v>108</v>
      </c>
      <c r="C66" s="33" t="s">
        <v>38</v>
      </c>
      <c r="D66" s="84">
        <f>_xlfn.XLOOKUP("DIESEL_base",Factors[For XLOOKUP],Factors[Value])*_xlfn.XLOOKUP("company vehicles_CO2_Diesel_TJ",Factors[For XLOOKUP],Factors[Value])*10^-3</f>
        <v>2.6092581300000001E-3</v>
      </c>
      <c r="E66" s="82" t="s">
        <v>199</v>
      </c>
      <c r="F66" s="82" t="s">
        <v>1109</v>
      </c>
      <c r="G66" s="85"/>
      <c r="H66" s="25" t="s">
        <v>189</v>
      </c>
    </row>
    <row r="67" spans="1:8">
      <c r="A67" s="47" t="s">
        <v>15</v>
      </c>
      <c r="B67" s="47" t="s">
        <v>108</v>
      </c>
      <c r="C67" s="33" t="s">
        <v>32</v>
      </c>
      <c r="D67" s="84">
        <f>_xlfn.XLOOKUP("DIESEL_base",Factors[For XLOOKUP],Factors[Value])*_xlfn.XLOOKUP("company vehicles_CH4_Diesel_TJ",Factors[For XLOOKUP],Factors[Value])*10^-3</f>
        <v>9.9661146212508699E-10</v>
      </c>
      <c r="E67" s="82" t="s">
        <v>200</v>
      </c>
      <c r="F67" s="82" t="s">
        <v>1109</v>
      </c>
      <c r="G67" s="85"/>
      <c r="H67" s="25" t="s">
        <v>191</v>
      </c>
    </row>
    <row r="68" spans="1:8">
      <c r="A68" s="47" t="s">
        <v>15</v>
      </c>
      <c r="B68" s="47" t="s">
        <v>108</v>
      </c>
      <c r="C68" s="33" t="s">
        <v>282</v>
      </c>
      <c r="D68" s="84">
        <f>_xlfn.XLOOKUP("DIESEL_base",Factors[For XLOOKUP],Factors[Value])*_xlfn.XLOOKUP("company vehicles_N2O_Diesel_TJ",Factors[For XLOOKUP],Factors[Value])*10^-3</f>
        <v>1.0467775855894111E-7</v>
      </c>
      <c r="E68" s="82" t="s">
        <v>213</v>
      </c>
      <c r="F68" s="82" t="s">
        <v>1109</v>
      </c>
      <c r="G68" s="85"/>
      <c r="H68" s="25" t="s">
        <v>193</v>
      </c>
    </row>
    <row r="69" spans="1:8">
      <c r="A69" s="47" t="s">
        <v>15</v>
      </c>
      <c r="B69" s="47" t="s">
        <v>108</v>
      </c>
      <c r="C69" s="33" t="s">
        <v>38</v>
      </c>
      <c r="D69" s="84">
        <f>_xlfn.XLOOKUP("DIESEL_base_CU",Factors[For XLOOKUP],Factors[Value])*_xlfn.XLOOKUP("company vehicles_CO2_Diesel_TJ_CU",Factors[For XLOOKUP],Factors[Value])*10^-3</f>
        <v>2.7096592074209837E-3</v>
      </c>
      <c r="E69" s="82" t="s">
        <v>199</v>
      </c>
      <c r="F69" s="82" t="s">
        <v>1223</v>
      </c>
      <c r="G69" s="85"/>
      <c r="H69" s="25" t="s">
        <v>1247</v>
      </c>
    </row>
    <row r="70" spans="1:8">
      <c r="A70" s="47" t="s">
        <v>15</v>
      </c>
      <c r="B70" s="47" t="s">
        <v>108</v>
      </c>
      <c r="C70" s="33" t="s">
        <v>32</v>
      </c>
      <c r="D70" s="84">
        <f>_xlfn.XLOOKUP("DIESEL_base_CU",Factors[For XLOOKUP],Factors[Value])*_xlfn.XLOOKUP("company vehicles_CH4_Diesel_TJ_CU",Factors[For XLOOKUP],Factors[Value])*10^-3</f>
        <v>3.9500062714377506E-9</v>
      </c>
      <c r="E70" s="82" t="s">
        <v>200</v>
      </c>
      <c r="F70" s="82" t="s">
        <v>1223</v>
      </c>
      <c r="G70" s="85"/>
      <c r="H70" s="25" t="s">
        <v>1248</v>
      </c>
    </row>
    <row r="71" spans="1:8">
      <c r="A71" s="47" t="s">
        <v>15</v>
      </c>
      <c r="B71" s="47" t="s">
        <v>108</v>
      </c>
      <c r="C71" s="33" t="s">
        <v>282</v>
      </c>
      <c r="D71" s="84">
        <f>_xlfn.XLOOKUP("DIESEL_base_CU",Factors[For XLOOKUP],Factors[Value])*_xlfn.XLOOKUP("company vehicles_N2O_Diesel_TJ_CU",Factors[For XLOOKUP],Factors[Value])*10^-3</f>
        <v>1.0576135864495003E-7</v>
      </c>
      <c r="E71" s="82" t="s">
        <v>213</v>
      </c>
      <c r="F71" s="82" t="s">
        <v>1223</v>
      </c>
      <c r="G71" s="85"/>
      <c r="H71" s="25" t="s">
        <v>1249</v>
      </c>
    </row>
    <row r="72" spans="1:8">
      <c r="A72" s="47" t="s">
        <v>15</v>
      </c>
      <c r="B72" s="47" t="s">
        <v>108</v>
      </c>
      <c r="C72" s="33" t="s">
        <v>38</v>
      </c>
      <c r="D72" s="84">
        <f>_xlfn.XLOOKUP("DIESEL_base_DE",Factors[For XLOOKUP],Factors[Value])*_xlfn.XLOOKUP("company vehicles_CO2_Diesel_TJ_DE",Factors[For XLOOKUP],Factors[Value])*10^-3</f>
        <v>2.7099913933681225E-3</v>
      </c>
      <c r="E72" s="82" t="s">
        <v>199</v>
      </c>
      <c r="F72" s="82" t="s">
        <v>1193</v>
      </c>
      <c r="G72" s="85"/>
      <c r="H72" s="22" t="s">
        <v>1198</v>
      </c>
    </row>
    <row r="73" spans="1:8">
      <c r="A73" s="47" t="s">
        <v>15</v>
      </c>
      <c r="B73" s="47" t="s">
        <v>108</v>
      </c>
      <c r="C73" s="33" t="s">
        <v>32</v>
      </c>
      <c r="D73" s="84">
        <f>_xlfn.XLOOKUP("DIESEL_base_DE",Factors[For XLOOKUP],Factors[Value])*_xlfn.XLOOKUP("company vehicles_CH4_Diesel_TJ_DE",Factors[For XLOOKUP],Factors[Value])*10^-3</f>
        <v>1.3036787992116369E-7</v>
      </c>
      <c r="E73" s="82" t="s">
        <v>200</v>
      </c>
      <c r="F73" s="82" t="s">
        <v>1193</v>
      </c>
      <c r="G73" s="85"/>
      <c r="H73" s="22" t="s">
        <v>1199</v>
      </c>
    </row>
    <row r="74" spans="1:8">
      <c r="A74" s="47" t="s">
        <v>15</v>
      </c>
      <c r="B74" s="47" t="s">
        <v>108</v>
      </c>
      <c r="C74" s="33" t="s">
        <v>282</v>
      </c>
      <c r="D74" s="84">
        <f>_xlfn.XLOOKUP("DIESEL_base_DE",Factors[For XLOOKUP],Factors[Value])*_xlfn.XLOOKUP("company vehicles_N2O_Diesel_TJ_DE",Factors[For XLOOKUP],Factors[Value])*10^-3</f>
        <v>1.2645377457682176E-7</v>
      </c>
      <c r="E74" s="82" t="s">
        <v>213</v>
      </c>
      <c r="F74" s="82" t="s">
        <v>1193</v>
      </c>
      <c r="G74" s="85"/>
      <c r="H74" s="22" t="s">
        <v>1200</v>
      </c>
    </row>
    <row r="75" spans="1:8">
      <c r="A75" s="47" t="s">
        <v>15</v>
      </c>
      <c r="B75" s="47" t="s">
        <v>108</v>
      </c>
      <c r="C75" s="33" t="s">
        <v>38</v>
      </c>
      <c r="D75" s="84">
        <f>_xlfn.XLOOKUP("DIESEL_base",Factors[For XLOOKUP],Factors[Value])*_xlfn.XLOOKUP(" generators_CO2_Diesel_TJ",Factors[For XLOOKUP],Factors[Value])*10^-3</f>
        <v>2.7370491168929394E-3</v>
      </c>
      <c r="E75" s="82" t="s">
        <v>199</v>
      </c>
      <c r="F75" s="82" t="s">
        <v>1109</v>
      </c>
      <c r="G75" s="85"/>
      <c r="H75" s="25" t="s">
        <v>204</v>
      </c>
    </row>
    <row r="76" spans="1:8">
      <c r="A76" s="47" t="s">
        <v>15</v>
      </c>
      <c r="B76" s="47" t="s">
        <v>108</v>
      </c>
      <c r="C76" s="33" t="s">
        <v>32</v>
      </c>
      <c r="D76" s="84">
        <f>_xlfn.XLOOKUP("DIESEL_base",Factors[For XLOOKUP],Factors[Value])*_xlfn.XLOOKUP(" generators_CH4_Diesel_TJ",Factors[For XLOOKUP],Factors[Value])*10^-3</f>
        <v>1.0689300000000002E-7</v>
      </c>
      <c r="E76" s="82" t="s">
        <v>200</v>
      </c>
      <c r="F76" s="82" t="s">
        <v>1109</v>
      </c>
      <c r="G76" s="85"/>
      <c r="H76" s="22" t="s">
        <v>206</v>
      </c>
    </row>
    <row r="77" spans="1:8">
      <c r="A77" s="82" t="s">
        <v>15</v>
      </c>
      <c r="B77" s="47" t="s">
        <v>108</v>
      </c>
      <c r="C77" s="33" t="s">
        <v>282</v>
      </c>
      <c r="D77" s="84">
        <f>_xlfn.XLOOKUP("DIESEL_base",Factors[For XLOOKUP],Factors[Value])*_xlfn.XLOOKUP(" generators_N2O_Diesel_TJ",Factors[For XLOOKUP],Factors[Value])*10^-3</f>
        <v>2.1378600000000001E-8</v>
      </c>
      <c r="E77" s="82" t="s">
        <v>213</v>
      </c>
      <c r="F77" s="82" t="s">
        <v>1109</v>
      </c>
      <c r="G77" s="85"/>
      <c r="H77" s="25" t="s">
        <v>208</v>
      </c>
    </row>
    <row r="78" spans="1:8">
      <c r="A78" s="47" t="s">
        <v>15</v>
      </c>
      <c r="B78" s="47" t="s">
        <v>108</v>
      </c>
      <c r="C78" s="33" t="s">
        <v>38</v>
      </c>
      <c r="D78" s="84">
        <f>_xlfn.XLOOKUP("DIESEL_base_CU",Factors[For XLOOKUP],Factors[Value])*_xlfn.XLOOKUP("generators_CO2_Diesel_TJ_CU",Factors[For XLOOKUP],Factors[Value])*10^-3</f>
        <v>2.7660641198992519E-3</v>
      </c>
      <c r="E78" s="82" t="s">
        <v>199</v>
      </c>
      <c r="F78" s="82" t="s">
        <v>1223</v>
      </c>
      <c r="G78" s="85"/>
      <c r="H78" s="25" t="s">
        <v>1225</v>
      </c>
    </row>
    <row r="79" spans="1:8">
      <c r="A79" s="47" t="s">
        <v>15</v>
      </c>
      <c r="B79" s="47" t="s">
        <v>108</v>
      </c>
      <c r="C79" s="33" t="s">
        <v>32</v>
      </c>
      <c r="D79" s="84">
        <f>_xlfn.XLOOKUP("DIESEL_base_CU",Factors[For XLOOKUP],Factors[Value])*_xlfn.XLOOKUP(" generators_CH4_diesel_TJ_CU",Factors[For XLOOKUP],Factors[Value])*10^-3</f>
        <v>1.09005E-7</v>
      </c>
      <c r="E79" s="82" t="s">
        <v>200</v>
      </c>
      <c r="F79" s="82" t="s">
        <v>1223</v>
      </c>
      <c r="G79" s="85"/>
      <c r="H79" s="22" t="s">
        <v>1226</v>
      </c>
    </row>
    <row r="80" spans="1:8">
      <c r="A80" s="82" t="s">
        <v>15</v>
      </c>
      <c r="B80" s="47" t="s">
        <v>108</v>
      </c>
      <c r="C80" s="33" t="s">
        <v>282</v>
      </c>
      <c r="D80" s="84">
        <f>_xlfn.XLOOKUP("DIESEL_base_CU",Factors[For XLOOKUP],Factors[Value])*_xlfn.XLOOKUP(" generators_N2O_diesel_TJ_CU",Factors[For XLOOKUP],Factors[Value])*10^-3</f>
        <v>2.1800999999999998E-8</v>
      </c>
      <c r="E80" s="82" t="s">
        <v>213</v>
      </c>
      <c r="F80" s="82" t="s">
        <v>1223</v>
      </c>
      <c r="G80" s="85"/>
      <c r="H80" s="25" t="s">
        <v>1227</v>
      </c>
    </row>
    <row r="81" spans="1:8">
      <c r="A81" s="82" t="s">
        <v>15</v>
      </c>
      <c r="B81" s="47" t="s">
        <v>91</v>
      </c>
      <c r="C81" s="33" t="s">
        <v>43</v>
      </c>
      <c r="D81" s="84">
        <f>_xlfn.XLOOKUP("DIESEL_base",Factors[For XLOOKUP],Factors[Value])*_xlfn.XLOOKUP("Heating Oil_CO2_TJ",Factors[For XLOOKUP],Factors[Value])*10^-3</f>
        <v>2.6288551800000004E-3</v>
      </c>
      <c r="E81" s="85" t="s">
        <v>199</v>
      </c>
      <c r="F81" s="82" t="s">
        <v>1109</v>
      </c>
      <c r="G81" s="85"/>
      <c r="H81" s="13" t="s">
        <v>210</v>
      </c>
    </row>
    <row r="82" spans="1:8">
      <c r="A82" s="82" t="s">
        <v>15</v>
      </c>
      <c r="B82" s="47" t="s">
        <v>91</v>
      </c>
      <c r="C82" s="33" t="s">
        <v>31</v>
      </c>
      <c r="D82" s="84">
        <f>_xlfn.XLOOKUP("DIESEL_base",Factors[For XLOOKUP],Factors[Value])*_xlfn.XLOOKUP("Heating Oil_CH4_TJ",Factors[For XLOOKUP],Factors[Value])*10^-3</f>
        <v>2.6069673432920342E-8</v>
      </c>
      <c r="E82" s="83" t="s">
        <v>212</v>
      </c>
      <c r="F82" s="82" t="s">
        <v>1109</v>
      </c>
      <c r="G82" s="83"/>
      <c r="H82" s="13" t="s">
        <v>329</v>
      </c>
    </row>
    <row r="83" spans="1:8">
      <c r="A83" s="82" t="s">
        <v>15</v>
      </c>
      <c r="B83" s="47" t="s">
        <v>91</v>
      </c>
      <c r="C83" s="33" t="s">
        <v>281</v>
      </c>
      <c r="D83" s="84">
        <f>_xlfn.XLOOKUP("DIESEL_base",Factors[For XLOOKUP],Factors[Value])*_xlfn.XLOOKUP("Heating Oil_N2O_TJ",Factors[For XLOOKUP],Factors[Value])*10^-3</f>
        <v>6.7698900000000009E-9</v>
      </c>
      <c r="E83" s="82" t="s">
        <v>213</v>
      </c>
      <c r="F83" s="82" t="s">
        <v>1109</v>
      </c>
      <c r="G83" s="85"/>
      <c r="H83" s="13" t="s">
        <v>211</v>
      </c>
    </row>
    <row r="84" spans="1:8">
      <c r="A84" s="82" t="s">
        <v>15</v>
      </c>
      <c r="B84" s="47" t="s">
        <v>91</v>
      </c>
      <c r="C84" s="33" t="s">
        <v>43</v>
      </c>
      <c r="D84" s="84">
        <f>_xlfn.XLOOKUP("DIESEL_base_CU",Factors[For XLOOKUP],Factors[Value])*_xlfn.XLOOKUP("Heating Oil_CO2_TJ_CU",Factors[For XLOOKUP],Factors[Value])*10^-3</f>
        <v>2.6924234999999999E-3</v>
      </c>
      <c r="E84" s="85" t="s">
        <v>199</v>
      </c>
      <c r="F84" s="82" t="s">
        <v>1216</v>
      </c>
      <c r="G84" s="85"/>
      <c r="H84" s="13" t="s">
        <v>1230</v>
      </c>
    </row>
    <row r="85" spans="1:8">
      <c r="A85" s="82" t="s">
        <v>15</v>
      </c>
      <c r="B85" s="47" t="s">
        <v>91</v>
      </c>
      <c r="C85" s="33" t="s">
        <v>31</v>
      </c>
      <c r="D85" s="84">
        <f>_xlfn.XLOOKUP("DIESEL_base_CU",Factors[For XLOOKUP],Factors[Value])*_xlfn.XLOOKUP("Heating Oil_CH4_TJ_CU",Factors[For XLOOKUP],Factors[Value])*10^-3</f>
        <v>3.6335000000000003E-7</v>
      </c>
      <c r="E85" s="83" t="s">
        <v>212</v>
      </c>
      <c r="F85" s="82" t="s">
        <v>1216</v>
      </c>
      <c r="G85" s="85"/>
      <c r="H85" s="13" t="s">
        <v>1231</v>
      </c>
    </row>
    <row r="86" spans="1:8">
      <c r="A86" s="82" t="s">
        <v>15</v>
      </c>
      <c r="B86" s="47" t="s">
        <v>91</v>
      </c>
      <c r="C86" s="33" t="s">
        <v>281</v>
      </c>
      <c r="D86" s="84">
        <f>_xlfn.XLOOKUP("DIESEL_base_CU",Factors[For XLOOKUP],Factors[Value])*_xlfn.XLOOKUP("Heating Oil_N2O_TJ_CU",Factors[For XLOOKUP],Factors[Value])*10^-3</f>
        <v>2.1800999999999998E-8</v>
      </c>
      <c r="E86" s="82" t="s">
        <v>213</v>
      </c>
      <c r="F86" s="82" t="s">
        <v>1216</v>
      </c>
      <c r="G86" s="85"/>
      <c r="H86" s="13" t="s">
        <v>1232</v>
      </c>
    </row>
    <row r="87" spans="1:8">
      <c r="A87" s="82" t="s">
        <v>15</v>
      </c>
      <c r="B87" s="47" t="s">
        <v>108</v>
      </c>
      <c r="C87" s="33" t="s">
        <v>38</v>
      </c>
      <c r="D87" s="84">
        <f>_xlfn.XLOOKUP("DIESEL_base_CU",Factors[For XLOOKUP],Factors[Value])*_xlfn.XLOOKUP("heavy duty vehicles_CO2_Diesel_TJ_CU",Factors[For XLOOKUP],Factors[Value])*10^-3</f>
        <v>2.7103960999958366E-3</v>
      </c>
      <c r="E87" s="85" t="s">
        <v>199</v>
      </c>
      <c r="F87" s="82" t="s">
        <v>1216</v>
      </c>
      <c r="G87" s="85"/>
      <c r="H87" s="12" t="s">
        <v>1244</v>
      </c>
    </row>
    <row r="88" spans="1:8">
      <c r="A88" s="82" t="s">
        <v>15</v>
      </c>
      <c r="B88" s="47" t="s">
        <v>108</v>
      </c>
      <c r="C88" s="33" t="s">
        <v>32</v>
      </c>
      <c r="D88" s="84">
        <f>_xlfn.XLOOKUP("DIESEL_base_CU",Factors[For XLOOKUP],Factors[Value])*_xlfn.XLOOKUP("heavy duty vehicles_CH4_Diesel_TJ_CU",Factors[For XLOOKUP],Factors[Value])*10^-3</f>
        <v>1.3968471248727059E-7</v>
      </c>
      <c r="E88" s="83" t="s">
        <v>212</v>
      </c>
      <c r="F88" s="82" t="s">
        <v>1216</v>
      </c>
      <c r="G88" s="85"/>
      <c r="H88" s="12" t="s">
        <v>1245</v>
      </c>
    </row>
    <row r="89" spans="1:8">
      <c r="A89" s="82" t="s">
        <v>15</v>
      </c>
      <c r="B89" s="47" t="s">
        <v>108</v>
      </c>
      <c r="C89" s="33" t="s">
        <v>282</v>
      </c>
      <c r="D89" s="84">
        <f>_xlfn.XLOOKUP("DIESEL_base_CU",Factors[For XLOOKUP],Factors[Value])*_xlfn.XLOOKUP("heavy duty vehicles_N2O_Diesel_TJ_CU",Factors[For XLOOKUP],Factors[Value])*10^-3</f>
        <v>1.7159507590075509E-7</v>
      </c>
      <c r="E89" s="82" t="s">
        <v>213</v>
      </c>
      <c r="F89" s="82" t="s">
        <v>1216</v>
      </c>
      <c r="G89" s="85"/>
      <c r="H89" s="12" t="s">
        <v>1246</v>
      </c>
    </row>
    <row r="90" spans="1:8">
      <c r="A90" s="82" t="s">
        <v>15</v>
      </c>
      <c r="B90" s="47" t="s">
        <v>108</v>
      </c>
      <c r="C90" s="33" t="s">
        <v>38</v>
      </c>
      <c r="D90" s="84">
        <f>_xlfn.XLOOKUP("DIESEL_base",Factors[For XLOOKUP],Factors[Value])*_xlfn.XLOOKUP("heavy duty vehicles_CO2_Diesel_TJ",Factors[For XLOOKUP],Factors[Value])*10^-3</f>
        <v>2.6092581300000001E-3</v>
      </c>
      <c r="E90" s="82" t="s">
        <v>199</v>
      </c>
      <c r="F90" s="82" t="s">
        <v>1109</v>
      </c>
      <c r="G90" s="85"/>
      <c r="H90" s="12" t="s">
        <v>215</v>
      </c>
    </row>
    <row r="91" spans="1:8">
      <c r="A91" s="82" t="s">
        <v>15</v>
      </c>
      <c r="B91" s="47" t="s">
        <v>108</v>
      </c>
      <c r="C91" s="33" t="s">
        <v>32</v>
      </c>
      <c r="D91" s="84">
        <f>_xlfn.XLOOKUP("DIESEL_base",Factors[For XLOOKUP],Factors[Value])*_xlfn.XLOOKUP("heavy duty vehicles_CH4_Diesel_TJ",Factors[For XLOOKUP],Factors[Value])*10^-3</f>
        <v>2.0364052337489427E-7</v>
      </c>
      <c r="E91" s="82" t="s">
        <v>200</v>
      </c>
      <c r="F91" s="82" t="s">
        <v>1109</v>
      </c>
      <c r="G91" s="83"/>
      <c r="H91" s="12" t="s">
        <v>217</v>
      </c>
    </row>
    <row r="92" spans="1:8">
      <c r="A92" s="82" t="s">
        <v>15</v>
      </c>
      <c r="B92" s="47" t="s">
        <v>108</v>
      </c>
      <c r="C92" s="33" t="s">
        <v>282</v>
      </c>
      <c r="D92" s="84">
        <f>_xlfn.XLOOKUP("DIESEL_base",Factors[For XLOOKUP],Factors[Value])*_xlfn.XLOOKUP("heavy duty vehicles_N2O_Diesel_TJ",Factors[For XLOOKUP],Factors[Value])*10^-3</f>
        <v>5.9202158507263746E-8</v>
      </c>
      <c r="E92" s="82" t="s">
        <v>213</v>
      </c>
      <c r="F92" s="82" t="s">
        <v>1109</v>
      </c>
      <c r="G92" s="85"/>
      <c r="H92" s="12" t="s">
        <v>219</v>
      </c>
    </row>
    <row r="93" spans="1:8">
      <c r="A93" s="82" t="s">
        <v>15</v>
      </c>
      <c r="B93" s="47" t="s">
        <v>91</v>
      </c>
      <c r="C93" s="33" t="s">
        <v>43</v>
      </c>
      <c r="D93" s="84">
        <f>_xlfn.XLOOKUP("DIESEL_base_CU",Factors[For XLOOKUP],Factors[Value])*_xlfn.XLOOKUP(" plant machinery_CO2_diesel_TJ_CU",Factors[For XLOOKUP],Factors[Value])*10^-3</f>
        <v>2.6924234999999999E-3</v>
      </c>
      <c r="E93" s="82" t="s">
        <v>199</v>
      </c>
      <c r="F93" s="82" t="s">
        <v>1216</v>
      </c>
      <c r="G93" s="85"/>
      <c r="H93" s="12" t="s">
        <v>1237</v>
      </c>
    </row>
    <row r="94" spans="1:8">
      <c r="A94" s="82" t="s">
        <v>15</v>
      </c>
      <c r="B94" s="33" t="s">
        <v>91</v>
      </c>
      <c r="C94" s="33" t="s">
        <v>31</v>
      </c>
      <c r="D94" s="84">
        <f>_xlfn.XLOOKUP("DIESEL_base_CU",Factors[For XLOOKUP],Factors[Value])*_xlfn.XLOOKUP(" plant machinery_CH4_diesel_TJ_CU",Factors[For XLOOKUP],Factors[Value])*10^-3</f>
        <v>3.6335000000000003E-7</v>
      </c>
      <c r="E94" s="82" t="s">
        <v>200</v>
      </c>
      <c r="F94" s="82" t="s">
        <v>1216</v>
      </c>
      <c r="G94" s="85"/>
      <c r="H94" s="13" t="s">
        <v>1238</v>
      </c>
    </row>
    <row r="95" spans="1:8">
      <c r="A95" s="82" t="s">
        <v>15</v>
      </c>
      <c r="B95" s="47" t="s">
        <v>91</v>
      </c>
      <c r="C95" s="33" t="s">
        <v>281</v>
      </c>
      <c r="D95" s="84">
        <f>_xlfn.XLOOKUP("DIESEL_base_CU",Factors[For XLOOKUP],Factors[Value])*_xlfn.XLOOKUP(" plant machinery_N2O_diesel_TJ_CU",Factors[For XLOOKUP],Factors[Value])*10^-3</f>
        <v>2.1800999999999998E-8</v>
      </c>
      <c r="E95" s="82" t="s">
        <v>213</v>
      </c>
      <c r="F95" s="82" t="s">
        <v>1216</v>
      </c>
      <c r="G95" s="85"/>
      <c r="H95" s="13" t="s">
        <v>1239</v>
      </c>
    </row>
    <row r="96" spans="1:8">
      <c r="A96" s="82" t="s">
        <v>15</v>
      </c>
      <c r="B96" s="47" t="s">
        <v>91</v>
      </c>
      <c r="C96" s="33" t="s">
        <v>43</v>
      </c>
      <c r="D96" s="84">
        <f>_xlfn.XLOOKUP("DIESEL_base",Factors[For XLOOKUP],Factors[Value])*_xlfn.XLOOKUP(" plant machinery_CO2_diesel_TJ",Factors[For XLOOKUP],Factors[Value])*10^-3</f>
        <v>2.6288551800000004E-3</v>
      </c>
      <c r="E96" s="82" t="s">
        <v>199</v>
      </c>
      <c r="F96" s="82" t="s">
        <v>1109</v>
      </c>
      <c r="G96" s="85"/>
      <c r="H96" s="12" t="s">
        <v>267</v>
      </c>
    </row>
    <row r="97" spans="1:8">
      <c r="A97" s="82" t="s">
        <v>15</v>
      </c>
      <c r="B97" s="33" t="s">
        <v>91</v>
      </c>
      <c r="C97" s="33" t="s">
        <v>31</v>
      </c>
      <c r="D97" s="84">
        <f>_xlfn.XLOOKUP("DIESEL_base",Factors[For XLOOKUP],Factors[Value])*_xlfn.XLOOKUP(" plant machinery_CH4_diesel_TJ",Factors[For XLOOKUP],Factors[Value])*10^-3</f>
        <v>7.3881717554663755E-8</v>
      </c>
      <c r="E97" s="82" t="s">
        <v>200</v>
      </c>
      <c r="F97" s="82" t="s">
        <v>1109</v>
      </c>
      <c r="G97" s="83"/>
      <c r="H97" s="13" t="s">
        <v>269</v>
      </c>
    </row>
    <row r="98" spans="1:8">
      <c r="A98" s="82" t="s">
        <v>15</v>
      </c>
      <c r="B98" s="47" t="s">
        <v>91</v>
      </c>
      <c r="C98" s="33" t="s">
        <v>281</v>
      </c>
      <c r="D98" s="84">
        <f>_xlfn.XLOOKUP("DIESEL_base",Factors[For XLOOKUP],Factors[Value])*_xlfn.XLOOKUP(" plant machinery_N2O_diesel_TJ",Factors[For XLOOKUP],Factors[Value])*10^-3</f>
        <v>9.2898202099102465E-8</v>
      </c>
      <c r="E98" s="82" t="s">
        <v>213</v>
      </c>
      <c r="F98" s="82" t="s">
        <v>1109</v>
      </c>
      <c r="G98" s="85"/>
      <c r="H98" s="13" t="s">
        <v>271</v>
      </c>
    </row>
    <row r="99" spans="1:8">
      <c r="A99" s="47" t="s">
        <v>15</v>
      </c>
      <c r="B99" s="47" t="s">
        <v>108</v>
      </c>
      <c r="C99" s="33" t="s">
        <v>38</v>
      </c>
      <c r="D99" s="84">
        <f>_xlfn.XLOOKUP("DIESEL_base_CU",Factors[For XLOOKUP],Factors[Value])*_xlfn.XLOOKUP("light duty trucks _CO2_Diesel_TJ_CU",Factors[For XLOOKUP],Factors[Value])*10^-3</f>
        <v>2.707101965305117E-3</v>
      </c>
      <c r="E99" s="82" t="s">
        <v>199</v>
      </c>
      <c r="F99" s="82" t="s">
        <v>1216</v>
      </c>
      <c r="G99" s="85"/>
      <c r="H99" s="13" t="s">
        <v>1331</v>
      </c>
    </row>
    <row r="100" spans="1:8">
      <c r="A100" s="47" t="s">
        <v>15</v>
      </c>
      <c r="B100" s="47" t="s">
        <v>108</v>
      </c>
      <c r="C100" s="33" t="s">
        <v>32</v>
      </c>
      <c r="D100" s="84">
        <f>_xlfn.XLOOKUP("DIESEL_base_CU",Factors[For XLOOKUP],Factors[Value])*_xlfn.XLOOKUP("light duty trucks _CH4_Diesel_TJ_CU",Factors[For XLOOKUP],Factors[Value])*10^-3</f>
        <v>1.92302232501156E-8</v>
      </c>
      <c r="E100" s="82" t="s">
        <v>200</v>
      </c>
      <c r="F100" s="82" t="s">
        <v>1216</v>
      </c>
      <c r="G100" s="85"/>
      <c r="H100" s="13" t="s">
        <v>1332</v>
      </c>
    </row>
    <row r="101" spans="1:8">
      <c r="A101" s="47" t="s">
        <v>15</v>
      </c>
      <c r="B101" s="47" t="s">
        <v>108</v>
      </c>
      <c r="C101" s="33" t="s">
        <v>282</v>
      </c>
      <c r="D101" s="84">
        <f>_xlfn.XLOOKUP("DIESEL_base_CU",Factors[For XLOOKUP],Factors[Value])*_xlfn.XLOOKUP("light duty trucks _N2O_Diesel_TJ_CU",Factors[For XLOOKUP],Factors[Value])*10^-3</f>
        <v>6.4195613913975801E-8</v>
      </c>
      <c r="E101" s="82" t="s">
        <v>213</v>
      </c>
      <c r="F101" s="82" t="s">
        <v>1216</v>
      </c>
      <c r="G101" s="85"/>
      <c r="H101" s="13" t="s">
        <v>1333</v>
      </c>
    </row>
    <row r="102" spans="1:8">
      <c r="A102" s="47" t="s">
        <v>15</v>
      </c>
      <c r="B102" s="47" t="s">
        <v>108</v>
      </c>
      <c r="C102" s="33" t="s">
        <v>38</v>
      </c>
      <c r="D102" s="84">
        <f>_xlfn.XLOOKUP("DIESEL_base",Factors[For XLOOKUP],Factors[Value])*_xlfn.XLOOKUP("light duty trucks _CO2_Diesel_TJ",Factors[For XLOOKUP],Factors[Value])*10^-3</f>
        <v>2.6092581300000001E-3</v>
      </c>
      <c r="E102" s="82" t="s">
        <v>199</v>
      </c>
      <c r="F102" s="82" t="s">
        <v>1109</v>
      </c>
      <c r="G102" s="85"/>
      <c r="H102" s="13" t="s">
        <v>221</v>
      </c>
    </row>
    <row r="103" spans="1:8">
      <c r="A103" s="47" t="s">
        <v>15</v>
      </c>
      <c r="B103" s="47" t="s">
        <v>108</v>
      </c>
      <c r="C103" s="33" t="s">
        <v>32</v>
      </c>
      <c r="D103" s="84">
        <f>_xlfn.XLOOKUP("DIESEL_base",Factors[For XLOOKUP],Factors[Value])*_xlfn.XLOOKUP("light duty trucks _CH4_Diesel_TJ",Factors[For XLOOKUP],Factors[Value])*10^-3</f>
        <v>1.7372982352295353E-8</v>
      </c>
      <c r="E103" s="82" t="s">
        <v>200</v>
      </c>
      <c r="F103" s="82" t="s">
        <v>1109</v>
      </c>
      <c r="G103" s="83"/>
      <c r="H103" s="13" t="s">
        <v>223</v>
      </c>
    </row>
    <row r="104" spans="1:8">
      <c r="A104" s="47" t="s">
        <v>15</v>
      </c>
      <c r="B104" s="47" t="s">
        <v>108</v>
      </c>
      <c r="C104" s="33" t="s">
        <v>282</v>
      </c>
      <c r="D104" s="84">
        <f>_xlfn.XLOOKUP("DIESEL_base",Factors[For XLOOKUP],Factors[Value])*_xlfn.XLOOKUP("light duty trucks _N2O_Diesel_TJ",Factors[For XLOOKUP],Factors[Value])*10^-3</f>
        <v>7.4692304125650385E-8</v>
      </c>
      <c r="E104" s="82" t="s">
        <v>213</v>
      </c>
      <c r="F104" s="82" t="s">
        <v>1109</v>
      </c>
      <c r="G104" s="85"/>
      <c r="H104" s="13" t="s">
        <v>225</v>
      </c>
    </row>
    <row r="105" spans="1:8">
      <c r="A105" s="47" t="s">
        <v>33</v>
      </c>
      <c r="B105" s="47" t="s">
        <v>174</v>
      </c>
      <c r="C105" s="33" t="s">
        <v>34</v>
      </c>
      <c r="D105" s="84">
        <f>_xlfn.XLOOKUP("Diesel_NCV",Factors[For XLOOKUP],Factors[Value])*_xlfn.XLOOKUP("Diesel_density",Factors[For XLOOKUP],Factors[Value])*10^-3</f>
        <v>3.5631000000000003E-2</v>
      </c>
      <c r="E105" s="82" t="s">
        <v>35</v>
      </c>
      <c r="F105" s="82"/>
      <c r="G105" s="82"/>
      <c r="H105" s="204" t="s">
        <v>36</v>
      </c>
    </row>
    <row r="106" spans="1:8">
      <c r="A106" s="47" t="s">
        <v>33</v>
      </c>
      <c r="B106" s="47" t="s">
        <v>174</v>
      </c>
      <c r="C106" s="33" t="s">
        <v>34</v>
      </c>
      <c r="D106" s="84">
        <f>_xlfn.XLOOKUP("Diesel_NCV_DE",Factors[For XLOOKUP],Factors[Value])*_xlfn.XLOOKUP("Diesel_density_DE",Factors[For XLOOKUP],Factors[Value])*10^-3</f>
        <v>3.6608382000000002E-2</v>
      </c>
      <c r="E106" s="82" t="s">
        <v>35</v>
      </c>
      <c r="F106" s="82"/>
      <c r="G106" s="82"/>
      <c r="H106" s="204" t="s">
        <v>1204</v>
      </c>
    </row>
    <row r="107" spans="1:8">
      <c r="A107" s="47" t="s">
        <v>33</v>
      </c>
      <c r="B107" s="47" t="s">
        <v>174</v>
      </c>
      <c r="C107" s="33" t="s">
        <v>34</v>
      </c>
      <c r="D107" s="84">
        <f>_xlfn.XLOOKUP("Diesel_NCV_CU",Factors[For XLOOKUP],Factors[Value])*_xlfn.XLOOKUP("Diesel_density_CU",Factors[For XLOOKUP],Factors[Value])*10^-3</f>
        <v>3.6334999999999999E-2</v>
      </c>
      <c r="E107" s="82" t="s">
        <v>35</v>
      </c>
      <c r="F107" s="82"/>
      <c r="G107" s="82"/>
      <c r="H107" s="202" t="s">
        <v>1205</v>
      </c>
    </row>
    <row r="108" spans="1:8">
      <c r="A108" s="262" t="s">
        <v>103</v>
      </c>
      <c r="B108" s="47" t="s">
        <v>76</v>
      </c>
      <c r="C108" s="33" t="s">
        <v>50</v>
      </c>
      <c r="D108" s="263">
        <v>2.5244139999999998E-4</v>
      </c>
      <c r="E108" s="83" t="s">
        <v>176</v>
      </c>
      <c r="F108" s="82" t="s">
        <v>1094</v>
      </c>
      <c r="G108" s="308" t="s">
        <v>1095</v>
      </c>
      <c r="H108" s="13" t="s">
        <v>123</v>
      </c>
    </row>
    <row r="109" spans="1:8">
      <c r="A109" s="262" t="s">
        <v>103</v>
      </c>
      <c r="B109" s="47" t="s">
        <v>175</v>
      </c>
      <c r="C109" s="33" t="s">
        <v>50</v>
      </c>
      <c r="D109" s="263">
        <f>363.82*10^-6</f>
        <v>3.6382E-4</v>
      </c>
      <c r="E109" s="83" t="s">
        <v>176</v>
      </c>
      <c r="F109" s="82" t="s">
        <v>1094</v>
      </c>
      <c r="G109" s="83" t="s">
        <v>118</v>
      </c>
      <c r="H109" s="12" t="s">
        <v>179</v>
      </c>
    </row>
    <row r="110" spans="1:8">
      <c r="A110" s="261" t="s">
        <v>103</v>
      </c>
      <c r="B110" s="47" t="s">
        <v>76</v>
      </c>
      <c r="C110" s="33" t="s">
        <v>72</v>
      </c>
      <c r="D110" s="263">
        <v>6.3220000000000003E-9</v>
      </c>
      <c r="E110" s="83" t="s">
        <v>196</v>
      </c>
      <c r="F110" s="83" t="s">
        <v>1042</v>
      </c>
      <c r="G110" s="82" t="s">
        <v>1096</v>
      </c>
      <c r="H110" s="12" t="s">
        <v>122</v>
      </c>
    </row>
    <row r="111" spans="1:8">
      <c r="A111" s="261" t="s">
        <v>103</v>
      </c>
      <c r="B111" s="47" t="s">
        <v>76</v>
      </c>
      <c r="C111" s="33" t="s">
        <v>201</v>
      </c>
      <c r="D111" s="263">
        <v>2.6031000000000002E-9</v>
      </c>
      <c r="E111" s="85" t="s">
        <v>202</v>
      </c>
      <c r="F111" s="83" t="s">
        <v>1042</v>
      </c>
      <c r="G111" s="82" t="s">
        <v>1096</v>
      </c>
      <c r="H111" s="12" t="s">
        <v>126</v>
      </c>
    </row>
    <row r="112" spans="1:8" ht="28.8">
      <c r="A112" s="261" t="s">
        <v>103</v>
      </c>
      <c r="B112" s="47" t="s">
        <v>175</v>
      </c>
      <c r="C112" s="33" t="s">
        <v>50</v>
      </c>
      <c r="D112" s="263">
        <v>7.199030875218636E-4</v>
      </c>
      <c r="E112" s="83" t="s">
        <v>176</v>
      </c>
      <c r="F112" s="82" t="s">
        <v>1041</v>
      </c>
      <c r="G112" s="83" t="s">
        <v>1100</v>
      </c>
      <c r="H112" s="13" t="s">
        <v>313</v>
      </c>
    </row>
    <row r="113" spans="1:8" ht="28.8">
      <c r="A113" s="261" t="s">
        <v>103</v>
      </c>
      <c r="B113" s="47" t="s">
        <v>175</v>
      </c>
      <c r="C113" s="33" t="s">
        <v>50</v>
      </c>
      <c r="D113" s="263">
        <v>5.9503403308806086E-4</v>
      </c>
      <c r="E113" s="83" t="s">
        <v>176</v>
      </c>
      <c r="F113" s="82" t="s">
        <v>1041</v>
      </c>
      <c r="G113" s="83" t="s">
        <v>1101</v>
      </c>
      <c r="H113" s="13" t="s">
        <v>314</v>
      </c>
    </row>
    <row r="114" spans="1:8" ht="28.8">
      <c r="A114" s="261" t="s">
        <v>103</v>
      </c>
      <c r="B114" s="47" t="s">
        <v>175</v>
      </c>
      <c r="C114" s="33" t="s">
        <v>50</v>
      </c>
      <c r="D114" s="84">
        <v>2.1253999999999999E-4</v>
      </c>
      <c r="E114" s="83" t="s">
        <v>176</v>
      </c>
      <c r="F114" s="82" t="s">
        <v>1041</v>
      </c>
      <c r="G114" s="85" t="s">
        <v>1102</v>
      </c>
      <c r="H114" s="13" t="s">
        <v>1103</v>
      </c>
    </row>
    <row r="115" spans="1:8">
      <c r="A115" s="261" t="s">
        <v>103</v>
      </c>
      <c r="B115" s="47" t="s">
        <v>175</v>
      </c>
      <c r="C115" s="33" t="s">
        <v>50</v>
      </c>
      <c r="D115" s="263">
        <f>363.58*10^-6</f>
        <v>3.6357999999999996E-4</v>
      </c>
      <c r="E115" s="83" t="s">
        <v>176</v>
      </c>
      <c r="F115" s="82" t="s">
        <v>1094</v>
      </c>
      <c r="G115" s="83" t="s">
        <v>115</v>
      </c>
      <c r="H115" s="12" t="s">
        <v>177</v>
      </c>
    </row>
    <row r="116" spans="1:8">
      <c r="A116" s="261" t="s">
        <v>103</v>
      </c>
      <c r="B116" s="47" t="s">
        <v>175</v>
      </c>
      <c r="C116" s="33" t="s">
        <v>50</v>
      </c>
      <c r="D116" s="263">
        <f>363.64*10^-6</f>
        <v>3.6363999999999998E-4</v>
      </c>
      <c r="E116" s="83" t="s">
        <v>176</v>
      </c>
      <c r="F116" s="82" t="s">
        <v>1094</v>
      </c>
      <c r="G116" s="83" t="s">
        <v>117</v>
      </c>
      <c r="H116" s="12" t="s">
        <v>178</v>
      </c>
    </row>
    <row r="117" spans="1:8">
      <c r="A117" s="261" t="s">
        <v>103</v>
      </c>
      <c r="B117" s="47" t="s">
        <v>175</v>
      </c>
      <c r="C117" s="33" t="s">
        <v>50</v>
      </c>
      <c r="D117" s="263">
        <f>363.19*10^-6</f>
        <v>3.6319E-4</v>
      </c>
      <c r="E117" s="83" t="s">
        <v>176</v>
      </c>
      <c r="F117" s="82" t="s">
        <v>1094</v>
      </c>
      <c r="G117" s="83" t="s">
        <v>116</v>
      </c>
      <c r="H117" s="12" t="s">
        <v>182</v>
      </c>
    </row>
    <row r="118" spans="1:8">
      <c r="A118" s="261" t="s">
        <v>103</v>
      </c>
      <c r="B118" s="47" t="s">
        <v>175</v>
      </c>
      <c r="C118" s="33" t="s">
        <v>50</v>
      </c>
      <c r="D118" s="263">
        <f>398.83*10^-6</f>
        <v>3.9882999999999997E-4</v>
      </c>
      <c r="E118" s="83" t="s">
        <v>176</v>
      </c>
      <c r="F118" s="82" t="s">
        <v>1094</v>
      </c>
      <c r="G118" s="83" t="s">
        <v>120</v>
      </c>
      <c r="H118" s="12" t="s">
        <v>181</v>
      </c>
    </row>
    <row r="119" spans="1:8">
      <c r="A119" s="261" t="s">
        <v>103</v>
      </c>
      <c r="B119" s="47" t="s">
        <v>175</v>
      </c>
      <c r="C119" s="33" t="s">
        <v>50</v>
      </c>
      <c r="D119" s="84">
        <f>364.43*10^-6</f>
        <v>3.6443000000000001E-4</v>
      </c>
      <c r="E119" s="83" t="s">
        <v>176</v>
      </c>
      <c r="F119" s="82" t="s">
        <v>1153</v>
      </c>
      <c r="G119" s="273" t="s">
        <v>1154</v>
      </c>
      <c r="H119" s="12" t="s">
        <v>1135</v>
      </c>
    </row>
    <row r="120" spans="1:8">
      <c r="A120" s="262" t="s">
        <v>103</v>
      </c>
      <c r="B120" s="47" t="s">
        <v>76</v>
      </c>
      <c r="C120" s="82" t="s">
        <v>50</v>
      </c>
      <c r="D120" s="263">
        <f>10^-3*0.322730127417004</f>
        <v>3.2273012741700405E-4</v>
      </c>
      <c r="E120" s="83" t="s">
        <v>176</v>
      </c>
      <c r="F120" s="82" t="s">
        <v>1097</v>
      </c>
      <c r="G120" s="83" t="s">
        <v>1098</v>
      </c>
      <c r="H120" s="12" t="s">
        <v>124</v>
      </c>
    </row>
    <row r="121" spans="1:8">
      <c r="A121" s="262" t="s">
        <v>103</v>
      </c>
      <c r="B121" s="47" t="s">
        <v>76</v>
      </c>
      <c r="C121" s="82" t="s">
        <v>50</v>
      </c>
      <c r="D121" s="263">
        <f>10^-3*0.586416763089579</f>
        <v>5.8641676308957902E-4</v>
      </c>
      <c r="E121" s="83" t="s">
        <v>176</v>
      </c>
      <c r="F121" s="82" t="s">
        <v>1097</v>
      </c>
      <c r="G121" s="83" t="s">
        <v>1098</v>
      </c>
      <c r="H121" s="12" t="s">
        <v>125</v>
      </c>
    </row>
    <row r="122" spans="1:8">
      <c r="A122" s="262" t="s">
        <v>103</v>
      </c>
      <c r="B122" s="47" t="s">
        <v>76</v>
      </c>
      <c r="C122" s="82" t="s">
        <v>50</v>
      </c>
      <c r="D122" s="84">
        <f>10^-3*0.273160460116342</f>
        <v>2.7316046011634199E-4</v>
      </c>
      <c r="E122" s="255" t="s">
        <v>176</v>
      </c>
      <c r="F122" s="82" t="s">
        <v>1097</v>
      </c>
      <c r="G122" s="83" t="s">
        <v>1098</v>
      </c>
      <c r="H122" s="12" t="s">
        <v>1099</v>
      </c>
    </row>
    <row r="123" spans="1:8">
      <c r="A123" s="262" t="s">
        <v>103</v>
      </c>
      <c r="B123" s="47" t="s">
        <v>175</v>
      </c>
      <c r="C123" s="82" t="s">
        <v>50</v>
      </c>
      <c r="D123" s="263">
        <f>363.82*10^-6</f>
        <v>3.6382E-4</v>
      </c>
      <c r="E123" s="255" t="s">
        <v>176</v>
      </c>
      <c r="F123" s="82" t="s">
        <v>1094</v>
      </c>
      <c r="G123" s="83" t="s">
        <v>119</v>
      </c>
      <c r="H123" s="12" t="s">
        <v>180</v>
      </c>
    </row>
    <row r="124" spans="1:8">
      <c r="A124" s="47" t="s">
        <v>311</v>
      </c>
      <c r="B124" s="47" t="s">
        <v>311</v>
      </c>
      <c r="C124" s="82" t="s">
        <v>283</v>
      </c>
      <c r="D124" s="84">
        <v>1</v>
      </c>
      <c r="E124" s="33"/>
      <c r="F124" s="82"/>
      <c r="G124" s="82"/>
      <c r="H124" s="12" t="s">
        <v>95</v>
      </c>
    </row>
    <row r="125" spans="1:8">
      <c r="A125" s="47" t="s">
        <v>599</v>
      </c>
      <c r="B125" s="47" t="s">
        <v>601</v>
      </c>
      <c r="C125" s="33" t="s">
        <v>283</v>
      </c>
      <c r="D125" s="84">
        <f>530.77887*10^-6</f>
        <v>5.3077886999999997E-4</v>
      </c>
      <c r="E125" s="260" t="s">
        <v>284</v>
      </c>
      <c r="F125" s="82" t="s">
        <v>1092</v>
      </c>
      <c r="G125" s="82" t="s">
        <v>613</v>
      </c>
      <c r="H125" s="12" t="s">
        <v>610</v>
      </c>
    </row>
    <row r="126" spans="1:8">
      <c r="A126" s="33" t="s">
        <v>599</v>
      </c>
      <c r="B126" s="33" t="s">
        <v>44</v>
      </c>
      <c r="C126" s="33" t="s">
        <v>283</v>
      </c>
      <c r="D126" s="84">
        <f>0.18551*10^-3</f>
        <v>1.8551E-4</v>
      </c>
      <c r="E126" s="260" t="s">
        <v>602</v>
      </c>
      <c r="F126" s="82" t="s">
        <v>1092</v>
      </c>
      <c r="G126" s="82" t="s">
        <v>612</v>
      </c>
      <c r="H126" s="13" t="s">
        <v>609</v>
      </c>
    </row>
    <row r="127" spans="1:8">
      <c r="A127" s="47" t="s">
        <v>599</v>
      </c>
      <c r="B127" s="47" t="s">
        <v>600</v>
      </c>
      <c r="C127" s="82" t="s">
        <v>283</v>
      </c>
      <c r="D127" s="84">
        <v>3.021E-5</v>
      </c>
      <c r="E127" s="260" t="s">
        <v>602</v>
      </c>
      <c r="F127" s="82" t="s">
        <v>1092</v>
      </c>
      <c r="G127" s="82" t="s">
        <v>605</v>
      </c>
      <c r="H127" s="13" t="s">
        <v>608</v>
      </c>
    </row>
    <row r="128" spans="1:8" ht="28.8">
      <c r="A128" s="47" t="s">
        <v>599</v>
      </c>
      <c r="B128" s="47" t="s">
        <v>15</v>
      </c>
      <c r="C128" s="82" t="s">
        <v>283</v>
      </c>
      <c r="D128" s="300">
        <f>0.62665*10^-3</f>
        <v>6.2665000000000008E-4</v>
      </c>
      <c r="E128" s="279" t="s">
        <v>1131</v>
      </c>
      <c r="F128" s="279" t="s">
        <v>1092</v>
      </c>
      <c r="G128" s="279" t="s">
        <v>604</v>
      </c>
      <c r="H128" s="13" t="s">
        <v>607</v>
      </c>
    </row>
    <row r="129" spans="1:8">
      <c r="A129" s="47" t="s">
        <v>599</v>
      </c>
      <c r="B129" s="47" t="s">
        <v>105</v>
      </c>
      <c r="C129" s="82" t="s">
        <v>283</v>
      </c>
      <c r="D129" s="300">
        <f>0.60664*10^-3</f>
        <v>6.0663999999999998E-4</v>
      </c>
      <c r="E129" s="279" t="s">
        <v>1130</v>
      </c>
      <c r="F129" s="279" t="s">
        <v>1092</v>
      </c>
      <c r="G129" s="82" t="s">
        <v>603</v>
      </c>
      <c r="H129" s="13" t="s">
        <v>606</v>
      </c>
    </row>
    <row r="130" spans="1:8" ht="28.8">
      <c r="A130" s="47" t="s">
        <v>599</v>
      </c>
      <c r="B130" s="47" t="s">
        <v>836</v>
      </c>
      <c r="C130" s="82" t="s">
        <v>283</v>
      </c>
      <c r="D130" s="84">
        <f>'Scope 3_Scope 2 Upstream CO2eq'!$B$22*10^-3</f>
        <v>4.3621849940847108E-5</v>
      </c>
      <c r="E130" s="82"/>
      <c r="F130" s="82" t="s">
        <v>820</v>
      </c>
      <c r="G130" s="82" t="s">
        <v>835</v>
      </c>
      <c r="H130" s="13" t="s">
        <v>819</v>
      </c>
    </row>
    <row r="131" spans="1:8" ht="28.8">
      <c r="A131" s="47" t="s">
        <v>599</v>
      </c>
      <c r="B131" s="47" t="s">
        <v>837</v>
      </c>
      <c r="C131" s="33" t="s">
        <v>283</v>
      </c>
      <c r="D131" s="84">
        <f>'Scope 3_Scope 2 Upstream CO2eq'!$B$27*10^-3</f>
        <v>6.6360325440359348E-5</v>
      </c>
      <c r="E131" s="33"/>
      <c r="F131" s="82" t="s">
        <v>820</v>
      </c>
      <c r="G131" s="82" t="s">
        <v>835</v>
      </c>
      <c r="H131" s="13" t="s">
        <v>869</v>
      </c>
    </row>
    <row r="132" spans="1:8" ht="28.8">
      <c r="A132" s="33" t="s">
        <v>599</v>
      </c>
      <c r="B132" s="33" t="s">
        <v>838</v>
      </c>
      <c r="C132" s="33" t="s">
        <v>283</v>
      </c>
      <c r="D132" s="272">
        <f>'Scope 3_Scope 2 Upstream CO2eq'!$B$32*10^-3</f>
        <v>1.193732938388668E-4</v>
      </c>
      <c r="E132" s="33"/>
      <c r="F132" s="258" t="s">
        <v>820</v>
      </c>
      <c r="G132" s="258" t="s">
        <v>835</v>
      </c>
      <c r="H132" s="13" t="s">
        <v>870</v>
      </c>
    </row>
    <row r="133" spans="1:8" ht="28.8">
      <c r="A133" s="33" t="s">
        <v>599</v>
      </c>
      <c r="B133" s="33" t="s">
        <v>1132</v>
      </c>
      <c r="C133" s="258" t="s">
        <v>283</v>
      </c>
      <c r="D133" s="272">
        <f>'Scope 3_Scope 2 Upstream CO2eq'!$B$38*10^-3</f>
        <v>4.8767142571536766E-5</v>
      </c>
      <c r="E133" s="258"/>
      <c r="F133" s="258" t="s">
        <v>820</v>
      </c>
      <c r="G133" s="258" t="s">
        <v>835</v>
      </c>
      <c r="H133" s="13" t="s">
        <v>1129</v>
      </c>
    </row>
    <row r="134" spans="1:8">
      <c r="A134" s="47" t="s">
        <v>599</v>
      </c>
      <c r="B134" s="47" t="s">
        <v>75</v>
      </c>
      <c r="C134" s="33" t="s">
        <v>283</v>
      </c>
      <c r="D134" s="272">
        <v>0</v>
      </c>
      <c r="E134" s="260" t="s">
        <v>620</v>
      </c>
      <c r="F134" s="82" t="s">
        <v>1092</v>
      </c>
      <c r="G134" s="82" t="s">
        <v>622</v>
      </c>
      <c r="H134" s="12" t="s">
        <v>618</v>
      </c>
    </row>
    <row r="135" spans="1:8">
      <c r="A135" s="47" t="s">
        <v>599</v>
      </c>
      <c r="B135" s="47" t="s">
        <v>286</v>
      </c>
      <c r="C135" s="33" t="s">
        <v>283</v>
      </c>
      <c r="D135" s="272">
        <f>0.03744*10^-3</f>
        <v>3.7440000000000001E-5</v>
      </c>
      <c r="E135" s="260" t="s">
        <v>620</v>
      </c>
      <c r="F135" s="82" t="s">
        <v>1092</v>
      </c>
      <c r="G135" s="82" t="s">
        <v>621</v>
      </c>
      <c r="H135" s="12" t="s">
        <v>619</v>
      </c>
    </row>
    <row r="136" spans="1:8" ht="28.8">
      <c r="A136" s="47" t="s">
        <v>573</v>
      </c>
      <c r="B136" s="47"/>
      <c r="C136" s="33" t="s">
        <v>283</v>
      </c>
      <c r="D136" s="272">
        <v>1.1819500000000002E-4</v>
      </c>
      <c r="E136" s="33" t="s">
        <v>579</v>
      </c>
      <c r="F136" s="82" t="s">
        <v>1167</v>
      </c>
      <c r="G136" s="82" t="s">
        <v>363</v>
      </c>
      <c r="H136" s="13" t="s">
        <v>474</v>
      </c>
    </row>
    <row r="137" spans="1:8">
      <c r="A137" s="33" t="s">
        <v>573</v>
      </c>
      <c r="B137" s="33"/>
      <c r="C137" s="258" t="s">
        <v>283</v>
      </c>
      <c r="D137" s="272">
        <v>5.5914300000000001E-4</v>
      </c>
      <c r="E137" s="82" t="s">
        <v>579</v>
      </c>
      <c r="F137" s="82" t="s">
        <v>1133</v>
      </c>
      <c r="G137" s="258" t="s">
        <v>442</v>
      </c>
      <c r="H137" s="13" t="s">
        <v>553</v>
      </c>
    </row>
    <row r="138" spans="1:8" ht="40.200000000000003" customHeight="1">
      <c r="A138" s="82" t="s">
        <v>573</v>
      </c>
      <c r="B138" s="47"/>
      <c r="C138" s="33" t="s">
        <v>283</v>
      </c>
      <c r="D138" s="272">
        <v>8.9505000000000004E-5</v>
      </c>
      <c r="E138" s="82" t="s">
        <v>579</v>
      </c>
      <c r="F138" s="82" t="s">
        <v>1133</v>
      </c>
      <c r="G138" s="82" t="s">
        <v>360</v>
      </c>
      <c r="H138" s="13" t="s">
        <v>471</v>
      </c>
    </row>
    <row r="139" spans="1:8">
      <c r="A139" s="47" t="s">
        <v>573</v>
      </c>
      <c r="B139" s="47"/>
      <c r="C139" s="33" t="s">
        <v>283</v>
      </c>
      <c r="D139" s="272">
        <v>1.0667636E-4</v>
      </c>
      <c r="E139" s="33" t="s">
        <v>579</v>
      </c>
      <c r="F139" s="82" t="s">
        <v>1167</v>
      </c>
      <c r="G139" s="82" t="s">
        <v>460</v>
      </c>
      <c r="H139" s="13" t="s">
        <v>571</v>
      </c>
    </row>
    <row r="140" spans="1:8">
      <c r="A140" s="82" t="s">
        <v>573</v>
      </c>
      <c r="B140" s="47"/>
      <c r="C140" s="33" t="s">
        <v>283</v>
      </c>
      <c r="D140" s="272">
        <v>1.4172000000000002E-4</v>
      </c>
      <c r="E140" s="33" t="s">
        <v>882</v>
      </c>
      <c r="F140" s="82" t="s">
        <v>578</v>
      </c>
      <c r="G140" s="84" t="s">
        <v>873</v>
      </c>
      <c r="H140" s="13" t="s">
        <v>878</v>
      </c>
    </row>
    <row r="141" spans="1:8">
      <c r="A141" s="82" t="s">
        <v>573</v>
      </c>
      <c r="B141" s="47"/>
      <c r="C141" s="33" t="s">
        <v>283</v>
      </c>
      <c r="D141" s="84">
        <v>1.8638099999999998E-4</v>
      </c>
      <c r="E141" s="33" t="s">
        <v>579</v>
      </c>
      <c r="F141" s="82" t="s">
        <v>1133</v>
      </c>
      <c r="G141" s="82" t="s">
        <v>400</v>
      </c>
      <c r="H141" s="12" t="s">
        <v>511</v>
      </c>
    </row>
    <row r="142" spans="1:8" ht="43.2">
      <c r="A142" s="82" t="s">
        <v>573</v>
      </c>
      <c r="B142" s="47"/>
      <c r="C142" s="33" t="s">
        <v>283</v>
      </c>
      <c r="D142" s="84">
        <v>1.93752E-4</v>
      </c>
      <c r="E142" s="33" t="s">
        <v>579</v>
      </c>
      <c r="F142" s="82" t="s">
        <v>1133</v>
      </c>
      <c r="G142" s="82" t="s">
        <v>365</v>
      </c>
      <c r="H142" s="12" t="s">
        <v>476</v>
      </c>
    </row>
    <row r="143" spans="1:8">
      <c r="A143" s="82" t="s">
        <v>573</v>
      </c>
      <c r="B143" s="47"/>
      <c r="C143" s="33" t="s">
        <v>283</v>
      </c>
      <c r="D143" s="84">
        <v>1.16883E-4</v>
      </c>
      <c r="E143" s="33" t="s">
        <v>882</v>
      </c>
      <c r="F143" s="82" t="s">
        <v>1133</v>
      </c>
      <c r="G143" s="84" t="s">
        <v>876</v>
      </c>
      <c r="H143" s="12" t="s">
        <v>881</v>
      </c>
    </row>
    <row r="144" spans="1:8">
      <c r="A144" s="47" t="s">
        <v>573</v>
      </c>
      <c r="B144" s="47"/>
      <c r="C144" s="33" t="s">
        <v>283</v>
      </c>
      <c r="D144" s="272">
        <v>1.2350000000000002E-3</v>
      </c>
      <c r="E144" s="33" t="s">
        <v>579</v>
      </c>
      <c r="F144" s="82" t="s">
        <v>576</v>
      </c>
      <c r="G144" s="82" t="s">
        <v>402</v>
      </c>
      <c r="H144" s="13" t="s">
        <v>513</v>
      </c>
    </row>
    <row r="145" spans="1:8" ht="28.8">
      <c r="A145" s="82" t="s">
        <v>573</v>
      </c>
      <c r="B145" s="47"/>
      <c r="C145" s="33" t="s">
        <v>283</v>
      </c>
      <c r="D145" s="272">
        <v>1.6994291999999998E-4</v>
      </c>
      <c r="E145" s="33" t="s">
        <v>579</v>
      </c>
      <c r="F145" s="82" t="s">
        <v>1167</v>
      </c>
      <c r="G145" s="82" t="s">
        <v>356</v>
      </c>
      <c r="H145" s="13" t="s">
        <v>467</v>
      </c>
    </row>
    <row r="146" spans="1:8" ht="28.8">
      <c r="A146" s="33" t="s">
        <v>573</v>
      </c>
      <c r="B146" s="33"/>
      <c r="C146" s="258" t="s">
        <v>283</v>
      </c>
      <c r="D146" s="272">
        <v>9.4980599999999998E-4</v>
      </c>
      <c r="E146" s="82" t="s">
        <v>579</v>
      </c>
      <c r="F146" s="82" t="s">
        <v>1133</v>
      </c>
      <c r="G146" s="258" t="s">
        <v>423</v>
      </c>
      <c r="H146" s="13" t="s">
        <v>534</v>
      </c>
    </row>
    <row r="147" spans="1:8" ht="28.8">
      <c r="A147" s="82" t="s">
        <v>573</v>
      </c>
      <c r="B147" s="47"/>
      <c r="C147" s="33" t="s">
        <v>283</v>
      </c>
      <c r="D147" s="272">
        <v>8.1689999999999996E-4</v>
      </c>
      <c r="E147" s="82" t="s">
        <v>579</v>
      </c>
      <c r="F147" s="82" t="s">
        <v>576</v>
      </c>
      <c r="G147" s="82" t="s">
        <v>439</v>
      </c>
      <c r="H147" s="13" t="s">
        <v>550</v>
      </c>
    </row>
    <row r="148" spans="1:8">
      <c r="A148" s="47" t="s">
        <v>573</v>
      </c>
      <c r="B148" s="47"/>
      <c r="C148" s="33" t="s">
        <v>283</v>
      </c>
      <c r="D148" s="272">
        <v>1.655E-3</v>
      </c>
      <c r="E148" s="33" t="s">
        <v>579</v>
      </c>
      <c r="F148" s="82" t="s">
        <v>576</v>
      </c>
      <c r="G148" s="82" t="s">
        <v>418</v>
      </c>
      <c r="H148" s="13" t="s">
        <v>529</v>
      </c>
    </row>
    <row r="149" spans="1:8">
      <c r="A149" s="82" t="s">
        <v>573</v>
      </c>
      <c r="B149" s="47"/>
      <c r="C149" s="33" t="s">
        <v>283</v>
      </c>
      <c r="D149" s="272">
        <v>2.6114399999999999E-4</v>
      </c>
      <c r="E149" s="33" t="s">
        <v>579</v>
      </c>
      <c r="F149" s="82" t="s">
        <v>1133</v>
      </c>
      <c r="G149" s="82" t="s">
        <v>419</v>
      </c>
      <c r="H149" s="13" t="s">
        <v>530</v>
      </c>
    </row>
    <row r="150" spans="1:8">
      <c r="A150" s="47" t="s">
        <v>573</v>
      </c>
      <c r="B150" s="47"/>
      <c r="C150" s="33" t="s">
        <v>283</v>
      </c>
      <c r="D150" s="272">
        <v>2.2534199999999998E-4</v>
      </c>
      <c r="E150" s="33" t="s">
        <v>579</v>
      </c>
      <c r="F150" s="82" t="s">
        <v>1133</v>
      </c>
      <c r="G150" s="82" t="s">
        <v>1163</v>
      </c>
      <c r="H150" s="13" t="s">
        <v>1160</v>
      </c>
    </row>
    <row r="151" spans="1:8" ht="28.8">
      <c r="A151" s="82" t="s">
        <v>573</v>
      </c>
      <c r="B151" s="47"/>
      <c r="C151" s="33" t="s">
        <v>283</v>
      </c>
      <c r="D151" s="272">
        <v>1.1372399999999998E-4</v>
      </c>
      <c r="E151" s="33" t="s">
        <v>579</v>
      </c>
      <c r="F151" s="82" t="s">
        <v>1133</v>
      </c>
      <c r="G151" s="82" t="s">
        <v>369</v>
      </c>
      <c r="H151" s="12" t="s">
        <v>480</v>
      </c>
    </row>
    <row r="152" spans="1:8" ht="28.8">
      <c r="A152" s="33" t="s">
        <v>573</v>
      </c>
      <c r="B152" s="33"/>
      <c r="C152" s="258" t="s">
        <v>283</v>
      </c>
      <c r="D152" s="272">
        <v>1.03194E-4</v>
      </c>
      <c r="E152" s="82" t="s">
        <v>579</v>
      </c>
      <c r="F152" s="82" t="s">
        <v>1133</v>
      </c>
      <c r="G152" s="258" t="s">
        <v>413</v>
      </c>
      <c r="H152" s="13" t="s">
        <v>524</v>
      </c>
    </row>
    <row r="153" spans="1:8" ht="28.8">
      <c r="A153" s="82" t="s">
        <v>573</v>
      </c>
      <c r="B153" s="47"/>
      <c r="C153" s="33" t="s">
        <v>283</v>
      </c>
      <c r="D153" s="272">
        <v>8.4404124000000004E-4</v>
      </c>
      <c r="E153" s="82" t="s">
        <v>579</v>
      </c>
      <c r="F153" s="82" t="s">
        <v>1167</v>
      </c>
      <c r="G153" s="82" t="s">
        <v>384</v>
      </c>
      <c r="H153" s="12" t="s">
        <v>495</v>
      </c>
    </row>
    <row r="154" spans="1:8" ht="28.8">
      <c r="A154" s="47" t="s">
        <v>573</v>
      </c>
      <c r="B154" s="47"/>
      <c r="C154" s="33" t="s">
        <v>283</v>
      </c>
      <c r="D154" s="272">
        <v>2.1090000000000002E-3</v>
      </c>
      <c r="E154" s="33" t="s">
        <v>579</v>
      </c>
      <c r="F154" s="82" t="s">
        <v>576</v>
      </c>
      <c r="G154" s="82" t="s">
        <v>404</v>
      </c>
      <c r="H154" s="12" t="s">
        <v>515</v>
      </c>
    </row>
    <row r="155" spans="1:8">
      <c r="A155" s="82" t="s">
        <v>573</v>
      </c>
      <c r="B155" s="47"/>
      <c r="C155" s="33" t="s">
        <v>283</v>
      </c>
      <c r="D155" s="272">
        <v>6.8300000000000001E-4</v>
      </c>
      <c r="E155" s="33" t="s">
        <v>579</v>
      </c>
      <c r="F155" s="82" t="s">
        <v>576</v>
      </c>
      <c r="G155" s="82" t="s">
        <v>379</v>
      </c>
      <c r="H155" s="12" t="s">
        <v>490</v>
      </c>
    </row>
    <row r="156" spans="1:8">
      <c r="A156" s="47" t="s">
        <v>573</v>
      </c>
      <c r="B156" s="47"/>
      <c r="C156" s="33" t="s">
        <v>283</v>
      </c>
      <c r="D156" s="272">
        <v>3.7170899999999996E-4</v>
      </c>
      <c r="E156" s="33" t="s">
        <v>579</v>
      </c>
      <c r="F156" s="82" t="s">
        <v>1133</v>
      </c>
      <c r="G156" s="82" t="s">
        <v>440</v>
      </c>
      <c r="H156" s="12" t="s">
        <v>551</v>
      </c>
    </row>
    <row r="157" spans="1:8" ht="43.2">
      <c r="A157" s="82" t="s">
        <v>573</v>
      </c>
      <c r="B157" s="47"/>
      <c r="C157" s="33" t="s">
        <v>283</v>
      </c>
      <c r="D157" s="272">
        <v>1.4320800000000003E-4</v>
      </c>
      <c r="E157" s="33" t="s">
        <v>579</v>
      </c>
      <c r="F157" s="82" t="s">
        <v>1133</v>
      </c>
      <c r="G157" s="82" t="s">
        <v>373</v>
      </c>
      <c r="H157" s="12" t="s">
        <v>484</v>
      </c>
    </row>
    <row r="158" spans="1:8">
      <c r="A158" s="33" t="s">
        <v>573</v>
      </c>
      <c r="B158" s="33"/>
      <c r="C158" s="258" t="s">
        <v>283</v>
      </c>
      <c r="D158" s="272">
        <v>6.2126999999999997E-5</v>
      </c>
      <c r="E158" s="82" t="s">
        <v>579</v>
      </c>
      <c r="F158" s="82" t="s">
        <v>1133</v>
      </c>
      <c r="G158" s="258" t="s">
        <v>461</v>
      </c>
      <c r="H158" s="13" t="s">
        <v>572</v>
      </c>
    </row>
    <row r="159" spans="1:8" ht="28.8">
      <c r="A159" s="82" t="s">
        <v>573</v>
      </c>
      <c r="B159" s="47"/>
      <c r="C159" s="33" t="s">
        <v>283</v>
      </c>
      <c r="D159" s="272">
        <v>1.9480499999999999E-4</v>
      </c>
      <c r="E159" s="33" t="s">
        <v>579</v>
      </c>
      <c r="F159" s="82" t="s">
        <v>1133</v>
      </c>
      <c r="G159" s="82" t="s">
        <v>390</v>
      </c>
      <c r="H159" s="12" t="s">
        <v>501</v>
      </c>
    </row>
    <row r="160" spans="1:8">
      <c r="A160" s="82" t="s">
        <v>573</v>
      </c>
      <c r="B160" s="47"/>
      <c r="C160" s="33" t="s">
        <v>283</v>
      </c>
      <c r="D160" s="272">
        <v>2.2370000000000002E-4</v>
      </c>
      <c r="E160" s="33" t="s">
        <v>579</v>
      </c>
      <c r="F160" s="82" t="s">
        <v>576</v>
      </c>
      <c r="G160" s="82" t="s">
        <v>377</v>
      </c>
      <c r="H160" s="12" t="s">
        <v>488</v>
      </c>
    </row>
    <row r="161" spans="1:8">
      <c r="A161" s="33" t="s">
        <v>573</v>
      </c>
      <c r="B161" s="33"/>
      <c r="C161" s="258" t="s">
        <v>283</v>
      </c>
      <c r="D161" s="272">
        <v>3.4710648E-4</v>
      </c>
      <c r="E161" s="82" t="s">
        <v>579</v>
      </c>
      <c r="F161" s="82" t="s">
        <v>1167</v>
      </c>
      <c r="G161" s="258" t="s">
        <v>378</v>
      </c>
      <c r="H161" s="13" t="s">
        <v>489</v>
      </c>
    </row>
    <row r="162" spans="1:8">
      <c r="A162" s="82" t="s">
        <v>573</v>
      </c>
      <c r="B162" s="47"/>
      <c r="C162" s="33" t="s">
        <v>283</v>
      </c>
      <c r="D162" s="272">
        <v>7.6829999999999997E-4</v>
      </c>
      <c r="E162" s="33" t="s">
        <v>579</v>
      </c>
      <c r="F162" s="82" t="s">
        <v>576</v>
      </c>
      <c r="G162" s="82" t="s">
        <v>370</v>
      </c>
      <c r="H162" s="12" t="s">
        <v>481</v>
      </c>
    </row>
    <row r="163" spans="1:8">
      <c r="A163" s="82" t="s">
        <v>573</v>
      </c>
      <c r="B163" s="47"/>
      <c r="C163" s="33" t="s">
        <v>283</v>
      </c>
      <c r="D163" s="272">
        <v>1.33731E-4</v>
      </c>
      <c r="E163" s="33" t="s">
        <v>882</v>
      </c>
      <c r="F163" s="82" t="s">
        <v>1133</v>
      </c>
      <c r="G163" s="84" t="s">
        <v>875</v>
      </c>
      <c r="H163" s="12" t="s">
        <v>880</v>
      </c>
    </row>
    <row r="164" spans="1:8">
      <c r="A164" s="33" t="s">
        <v>573</v>
      </c>
      <c r="B164" s="33"/>
      <c r="C164" s="258" t="s">
        <v>283</v>
      </c>
      <c r="D164" s="272">
        <v>1.5329999999999999E-3</v>
      </c>
      <c r="E164" s="258" t="s">
        <v>579</v>
      </c>
      <c r="F164" s="82" t="s">
        <v>576</v>
      </c>
      <c r="G164" s="258" t="s">
        <v>403</v>
      </c>
      <c r="H164" s="13" t="s">
        <v>514</v>
      </c>
    </row>
    <row r="165" spans="1:8">
      <c r="A165" s="82" t="s">
        <v>573</v>
      </c>
      <c r="B165" s="47"/>
      <c r="C165" s="33" t="s">
        <v>283</v>
      </c>
      <c r="D165" s="272">
        <v>2.8115100000000005E-4</v>
      </c>
      <c r="E165" s="82" t="s">
        <v>579</v>
      </c>
      <c r="F165" s="82" t="s">
        <v>1133</v>
      </c>
      <c r="G165" s="82" t="s">
        <v>443</v>
      </c>
      <c r="H165" s="12" t="s">
        <v>554</v>
      </c>
    </row>
    <row r="166" spans="1:8">
      <c r="A166" s="82" t="s">
        <v>573</v>
      </c>
      <c r="B166" s="47"/>
      <c r="C166" s="33" t="s">
        <v>283</v>
      </c>
      <c r="D166" s="272">
        <v>5.3702999999999997E-5</v>
      </c>
      <c r="E166" s="82" t="s">
        <v>882</v>
      </c>
      <c r="F166" s="82" t="s">
        <v>1133</v>
      </c>
      <c r="G166" s="272" t="s">
        <v>872</v>
      </c>
      <c r="H166" s="12" t="s">
        <v>877</v>
      </c>
    </row>
    <row r="167" spans="1:8">
      <c r="A167" s="274" t="s">
        <v>573</v>
      </c>
      <c r="B167" s="47"/>
      <c r="C167" s="275" t="s">
        <v>283</v>
      </c>
      <c r="D167" s="272">
        <v>3.4749000000000002E-5</v>
      </c>
      <c r="E167" s="82" t="s">
        <v>579</v>
      </c>
      <c r="F167" s="82" t="s">
        <v>1133</v>
      </c>
      <c r="G167" s="82" t="s">
        <v>358</v>
      </c>
      <c r="H167" s="49" t="s">
        <v>469</v>
      </c>
    </row>
    <row r="168" spans="1:8">
      <c r="A168" s="274" t="s">
        <v>573</v>
      </c>
      <c r="B168" s="47"/>
      <c r="C168" s="275" t="s">
        <v>283</v>
      </c>
      <c r="D168" s="272">
        <v>5.2500000000000002E-5</v>
      </c>
      <c r="E168" s="82" t="s">
        <v>579</v>
      </c>
      <c r="F168" s="82" t="s">
        <v>576</v>
      </c>
      <c r="G168" s="82" t="s">
        <v>450</v>
      </c>
      <c r="H168" s="52" t="s">
        <v>561</v>
      </c>
    </row>
    <row r="169" spans="1:8" ht="28.8">
      <c r="A169" s="276" t="s">
        <v>573</v>
      </c>
      <c r="B169" s="277"/>
      <c r="C169" s="33" t="s">
        <v>283</v>
      </c>
      <c r="D169" s="272">
        <v>8.7399000000000008E-5</v>
      </c>
      <c r="E169" s="82" t="s">
        <v>579</v>
      </c>
      <c r="F169" s="82" t="s">
        <v>1133</v>
      </c>
      <c r="G169" s="278" t="s">
        <v>372</v>
      </c>
      <c r="H169" s="50" t="s">
        <v>483</v>
      </c>
    </row>
    <row r="170" spans="1:8" ht="40.950000000000003" customHeight="1">
      <c r="A170" s="47" t="s">
        <v>573</v>
      </c>
      <c r="B170" s="47"/>
      <c r="C170" s="275" t="s">
        <v>283</v>
      </c>
      <c r="D170" s="272">
        <v>2.3271299999999998E-4</v>
      </c>
      <c r="E170" s="82" t="s">
        <v>579</v>
      </c>
      <c r="F170" s="82" t="s">
        <v>1133</v>
      </c>
      <c r="G170" s="82" t="s">
        <v>437</v>
      </c>
      <c r="H170" s="12" t="s">
        <v>548</v>
      </c>
    </row>
    <row r="171" spans="1:8">
      <c r="A171" s="47" t="s">
        <v>573</v>
      </c>
      <c r="B171" s="47"/>
      <c r="C171" s="275" t="s">
        <v>283</v>
      </c>
      <c r="D171" s="272">
        <v>1.3630000000000001E-3</v>
      </c>
      <c r="E171" s="82" t="s">
        <v>579</v>
      </c>
      <c r="F171" s="82" t="s">
        <v>576</v>
      </c>
      <c r="G171" s="82" t="s">
        <v>383</v>
      </c>
      <c r="H171" s="12" t="s">
        <v>494</v>
      </c>
    </row>
    <row r="172" spans="1:8">
      <c r="A172" s="47" t="s">
        <v>573</v>
      </c>
      <c r="B172" s="47"/>
      <c r="C172" s="33" t="s">
        <v>283</v>
      </c>
      <c r="D172" s="272">
        <v>1.03194E-4</v>
      </c>
      <c r="E172" s="82" t="s">
        <v>579</v>
      </c>
      <c r="F172" s="82" t="s">
        <v>1133</v>
      </c>
      <c r="G172" s="82" t="s">
        <v>392</v>
      </c>
      <c r="H172" s="12" t="s">
        <v>503</v>
      </c>
    </row>
    <row r="173" spans="1:8">
      <c r="A173" s="47" t="s">
        <v>573</v>
      </c>
      <c r="B173" s="47"/>
      <c r="C173" s="275" t="s">
        <v>283</v>
      </c>
      <c r="D173" s="272">
        <v>9.4769999999999989E-5</v>
      </c>
      <c r="E173" s="82" t="s">
        <v>579</v>
      </c>
      <c r="F173" s="82" t="s">
        <v>1133</v>
      </c>
      <c r="G173" s="82" t="s">
        <v>375</v>
      </c>
      <c r="H173" s="12" t="s">
        <v>486</v>
      </c>
    </row>
    <row r="174" spans="1:8">
      <c r="A174" s="47" t="s">
        <v>573</v>
      </c>
      <c r="B174" s="47"/>
      <c r="C174" s="275" t="s">
        <v>283</v>
      </c>
      <c r="D174" s="272">
        <v>7.6880000000000004E-4</v>
      </c>
      <c r="E174" s="82" t="s">
        <v>579</v>
      </c>
      <c r="F174" s="82" t="s">
        <v>576</v>
      </c>
      <c r="G174" s="82" t="s">
        <v>396</v>
      </c>
      <c r="H174" s="12" t="s">
        <v>507</v>
      </c>
    </row>
    <row r="175" spans="1:8">
      <c r="A175" s="47" t="s">
        <v>573</v>
      </c>
      <c r="B175" s="47"/>
      <c r="C175" s="33" t="s">
        <v>283</v>
      </c>
      <c r="D175" s="272">
        <v>2.5061399999999997E-4</v>
      </c>
      <c r="E175" s="82" t="s">
        <v>579</v>
      </c>
      <c r="F175" s="82" t="s">
        <v>1133</v>
      </c>
      <c r="G175" s="82" t="s">
        <v>425</v>
      </c>
      <c r="H175" s="12" t="s">
        <v>536</v>
      </c>
    </row>
    <row r="176" spans="1:8">
      <c r="A176" s="47" t="s">
        <v>573</v>
      </c>
      <c r="B176" s="47"/>
      <c r="C176" s="275" t="s">
        <v>283</v>
      </c>
      <c r="D176" s="272">
        <v>1.16883E-4</v>
      </c>
      <c r="E176" s="82" t="s">
        <v>579</v>
      </c>
      <c r="F176" s="82" t="s">
        <v>1133</v>
      </c>
      <c r="G176" s="82" t="s">
        <v>449</v>
      </c>
      <c r="H176" s="12" t="s">
        <v>560</v>
      </c>
    </row>
    <row r="177" spans="1:8" ht="28.8">
      <c r="A177" s="47" t="s">
        <v>573</v>
      </c>
      <c r="B177" s="277"/>
      <c r="C177" s="275" t="s">
        <v>283</v>
      </c>
      <c r="D177" s="272">
        <v>1.5163199999999999E-4</v>
      </c>
      <c r="E177" s="82" t="s">
        <v>579</v>
      </c>
      <c r="F177" s="82" t="s">
        <v>1133</v>
      </c>
      <c r="G177" s="82" t="s">
        <v>426</v>
      </c>
      <c r="H177" s="12" t="s">
        <v>537</v>
      </c>
    </row>
    <row r="178" spans="1:8">
      <c r="A178" s="47" t="s">
        <v>573</v>
      </c>
      <c r="B178" s="277"/>
      <c r="C178" s="33" t="s">
        <v>283</v>
      </c>
      <c r="D178" s="272">
        <v>1.758E-3</v>
      </c>
      <c r="E178" s="82" t="s">
        <v>579</v>
      </c>
      <c r="F178" s="82" t="s">
        <v>576</v>
      </c>
      <c r="G178" s="82" t="s">
        <v>424</v>
      </c>
      <c r="H178" s="12" t="s">
        <v>535</v>
      </c>
    </row>
    <row r="179" spans="1:8" ht="28.8">
      <c r="A179" s="47" t="s">
        <v>573</v>
      </c>
      <c r="B179" s="47"/>
      <c r="C179" s="275" t="s">
        <v>283</v>
      </c>
      <c r="D179" s="272">
        <v>1.3813771999999999E-3</v>
      </c>
      <c r="E179" s="82" t="s">
        <v>579</v>
      </c>
      <c r="F179" s="82" t="s">
        <v>1167</v>
      </c>
      <c r="G179" s="82" t="s">
        <v>380</v>
      </c>
      <c r="H179" s="12" t="s">
        <v>491</v>
      </c>
    </row>
    <row r="180" spans="1:8">
      <c r="A180" s="47" t="s">
        <v>573</v>
      </c>
      <c r="B180" s="277"/>
      <c r="C180" s="275" t="s">
        <v>283</v>
      </c>
      <c r="D180" s="272">
        <v>2.5693199999999997E-4</v>
      </c>
      <c r="E180" s="82" t="s">
        <v>579</v>
      </c>
      <c r="F180" s="82" t="s">
        <v>1133</v>
      </c>
      <c r="G180" s="82" t="s">
        <v>433</v>
      </c>
      <c r="H180" s="12" t="s">
        <v>544</v>
      </c>
    </row>
    <row r="181" spans="1:8">
      <c r="A181" s="47" t="s">
        <v>573</v>
      </c>
      <c r="B181" s="277"/>
      <c r="C181" s="33" t="s">
        <v>283</v>
      </c>
      <c r="D181" s="272">
        <v>8.1669999999999996E-4</v>
      </c>
      <c r="E181" s="82" t="s">
        <v>579</v>
      </c>
      <c r="F181" s="82" t="s">
        <v>576</v>
      </c>
      <c r="G181" s="82" t="s">
        <v>393</v>
      </c>
      <c r="H181" s="12" t="s">
        <v>504</v>
      </c>
    </row>
    <row r="182" spans="1:8">
      <c r="A182" s="33" t="s">
        <v>573</v>
      </c>
      <c r="B182" s="47"/>
      <c r="C182" s="275" t="s">
        <v>283</v>
      </c>
      <c r="D182" s="272">
        <v>2.6851499999999999E-4</v>
      </c>
      <c r="E182" s="82" t="s">
        <v>579</v>
      </c>
      <c r="F182" s="82" t="s">
        <v>1133</v>
      </c>
      <c r="G182" s="82" t="s">
        <v>352</v>
      </c>
      <c r="H182" s="13" t="s">
        <v>463</v>
      </c>
    </row>
    <row r="183" spans="1:8">
      <c r="A183" s="33" t="s">
        <v>573</v>
      </c>
      <c r="B183" s="33"/>
      <c r="C183" s="275" t="s">
        <v>283</v>
      </c>
      <c r="D183" s="272">
        <v>1.16883E-4</v>
      </c>
      <c r="E183" s="82" t="s">
        <v>579</v>
      </c>
      <c r="F183" s="82" t="s">
        <v>1133</v>
      </c>
      <c r="G183" s="82" t="s">
        <v>459</v>
      </c>
      <c r="H183" s="13" t="s">
        <v>570</v>
      </c>
    </row>
    <row r="184" spans="1:8">
      <c r="A184" s="33" t="s">
        <v>573</v>
      </c>
      <c r="B184" s="33"/>
      <c r="C184" s="33" t="s">
        <v>283</v>
      </c>
      <c r="D184" s="272">
        <v>2.2110000000000001E-4</v>
      </c>
      <c r="E184" s="258" t="s">
        <v>579</v>
      </c>
      <c r="F184" s="82" t="s">
        <v>576</v>
      </c>
      <c r="G184" s="258" t="s">
        <v>448</v>
      </c>
      <c r="H184" s="13" t="s">
        <v>559</v>
      </c>
    </row>
    <row r="185" spans="1:8">
      <c r="A185" s="82" t="s">
        <v>573</v>
      </c>
      <c r="B185" s="82"/>
      <c r="C185" s="82" t="s">
        <v>283</v>
      </c>
      <c r="D185" s="272">
        <v>2.7532988E-4</v>
      </c>
      <c r="E185" s="82" t="s">
        <v>579</v>
      </c>
      <c r="F185" s="82" t="s">
        <v>1167</v>
      </c>
      <c r="G185" s="82" t="s">
        <v>430</v>
      </c>
      <c r="H185" s="12" t="s">
        <v>541</v>
      </c>
    </row>
    <row r="186" spans="1:8">
      <c r="A186" s="47" t="s">
        <v>573</v>
      </c>
      <c r="B186" s="47"/>
      <c r="C186" s="82" t="s">
        <v>283</v>
      </c>
      <c r="D186" s="272">
        <v>3.2831800000000008E-4</v>
      </c>
      <c r="E186" s="82" t="s">
        <v>579</v>
      </c>
      <c r="F186" s="82" t="s">
        <v>578</v>
      </c>
      <c r="G186" s="82" t="s">
        <v>408</v>
      </c>
      <c r="H186" s="12" t="s">
        <v>519</v>
      </c>
    </row>
    <row r="187" spans="1:8" ht="28.8">
      <c r="A187" s="47" t="s">
        <v>573</v>
      </c>
      <c r="B187" s="47"/>
      <c r="C187" s="82" t="s">
        <v>283</v>
      </c>
      <c r="D187" s="272">
        <v>2.2112999999999999E-4</v>
      </c>
      <c r="E187" s="82" t="s">
        <v>579</v>
      </c>
      <c r="F187" s="82" t="s">
        <v>1133</v>
      </c>
      <c r="G187" s="82" t="s">
        <v>399</v>
      </c>
      <c r="H187" s="12" t="s">
        <v>510</v>
      </c>
    </row>
    <row r="188" spans="1:8">
      <c r="A188" s="47" t="s">
        <v>573</v>
      </c>
      <c r="B188" s="47"/>
      <c r="C188" s="82" t="s">
        <v>283</v>
      </c>
      <c r="D188" s="272">
        <v>1.275183E-3</v>
      </c>
      <c r="E188" s="82" t="s">
        <v>579</v>
      </c>
      <c r="F188" s="82" t="s">
        <v>1133</v>
      </c>
      <c r="G188" s="82" t="s">
        <v>398</v>
      </c>
      <c r="H188" s="12" t="s">
        <v>509</v>
      </c>
    </row>
    <row r="189" spans="1:8">
      <c r="A189" s="47" t="s">
        <v>573</v>
      </c>
      <c r="B189" s="47"/>
      <c r="C189" s="82" t="s">
        <v>283</v>
      </c>
      <c r="D189" s="272">
        <v>1.8216899999999998E-4</v>
      </c>
      <c r="E189" s="82" t="s">
        <v>579</v>
      </c>
      <c r="F189" s="82" t="s">
        <v>1133</v>
      </c>
      <c r="G189" s="82" t="s">
        <v>395</v>
      </c>
      <c r="H189" s="12" t="s">
        <v>506</v>
      </c>
    </row>
    <row r="190" spans="1:8">
      <c r="A190" s="47" t="s">
        <v>573</v>
      </c>
      <c r="B190" s="47"/>
      <c r="C190" s="82" t="s">
        <v>283</v>
      </c>
      <c r="D190" s="272">
        <v>2.2534199999999998E-4</v>
      </c>
      <c r="E190" s="82" t="s">
        <v>579</v>
      </c>
      <c r="F190" s="82" t="s">
        <v>1133</v>
      </c>
      <c r="G190" s="82" t="s">
        <v>355</v>
      </c>
      <c r="H190" s="12" t="s">
        <v>466</v>
      </c>
    </row>
    <row r="191" spans="1:8" ht="28.8">
      <c r="A191" s="47" t="s">
        <v>573</v>
      </c>
      <c r="B191" s="47"/>
      <c r="C191" s="82" t="s">
        <v>283</v>
      </c>
      <c r="D191" s="272">
        <v>1.2636E-4</v>
      </c>
      <c r="E191" s="82" t="s">
        <v>579</v>
      </c>
      <c r="F191" s="82" t="s">
        <v>1133</v>
      </c>
      <c r="G191" s="82" t="s">
        <v>451</v>
      </c>
      <c r="H191" s="12" t="s">
        <v>562</v>
      </c>
    </row>
    <row r="192" spans="1:8">
      <c r="A192" s="33" t="s">
        <v>573</v>
      </c>
      <c r="B192" s="33"/>
      <c r="C192" s="258" t="s">
        <v>283</v>
      </c>
      <c r="D192" s="272">
        <v>5.8538760000000007E-5</v>
      </c>
      <c r="E192" s="258" t="s">
        <v>579</v>
      </c>
      <c r="F192" s="82" t="s">
        <v>1167</v>
      </c>
      <c r="G192" s="258" t="s">
        <v>353</v>
      </c>
      <c r="H192" s="13" t="s">
        <v>464</v>
      </c>
    </row>
    <row r="193" spans="1:8">
      <c r="A193" s="47" t="s">
        <v>573</v>
      </c>
      <c r="B193" s="47"/>
      <c r="C193" s="82" t="s">
        <v>283</v>
      </c>
      <c r="D193" s="272">
        <v>1.6539999999999999E-3</v>
      </c>
      <c r="E193" s="82" t="s">
        <v>579</v>
      </c>
      <c r="F193" s="82" t="s">
        <v>576</v>
      </c>
      <c r="G193" s="82" t="s">
        <v>387</v>
      </c>
      <c r="H193" s="12" t="s">
        <v>498</v>
      </c>
    </row>
    <row r="194" spans="1:8">
      <c r="A194" s="47" t="s">
        <v>573</v>
      </c>
      <c r="B194" s="47"/>
      <c r="C194" s="82" t="s">
        <v>283</v>
      </c>
      <c r="D194" s="272">
        <v>8.1360000000000004E-4</v>
      </c>
      <c r="E194" s="82" t="s">
        <v>579</v>
      </c>
      <c r="F194" s="82" t="s">
        <v>576</v>
      </c>
      <c r="G194" s="82" t="s">
        <v>394</v>
      </c>
      <c r="H194" s="12" t="s">
        <v>505</v>
      </c>
    </row>
    <row r="195" spans="1:8">
      <c r="A195" s="33" t="s">
        <v>573</v>
      </c>
      <c r="B195" s="33"/>
      <c r="C195" s="258" t="s">
        <v>283</v>
      </c>
      <c r="D195" s="272">
        <v>1.8111599999999996E-4</v>
      </c>
      <c r="E195" s="82" t="s">
        <v>579</v>
      </c>
      <c r="F195" s="82" t="s">
        <v>1133</v>
      </c>
      <c r="G195" s="258" t="s">
        <v>434</v>
      </c>
      <c r="H195" s="13" t="s">
        <v>545</v>
      </c>
    </row>
    <row r="196" spans="1:8" ht="15" customHeight="1">
      <c r="A196" s="33" t="s">
        <v>573</v>
      </c>
      <c r="B196" s="33"/>
      <c r="C196" s="258" t="s">
        <v>283</v>
      </c>
      <c r="D196" s="272">
        <v>2.3271299999999998E-4</v>
      </c>
      <c r="E196" s="258" t="s">
        <v>579</v>
      </c>
      <c r="F196" s="82" t="s">
        <v>1133</v>
      </c>
      <c r="G196" s="258" t="s">
        <v>410</v>
      </c>
      <c r="H196" s="13" t="s">
        <v>521</v>
      </c>
    </row>
    <row r="197" spans="1:8">
      <c r="A197" s="33" t="s">
        <v>573</v>
      </c>
      <c r="B197" s="33"/>
      <c r="C197" s="258" t="s">
        <v>283</v>
      </c>
      <c r="D197" s="272">
        <v>1.637538E-3</v>
      </c>
      <c r="E197" s="258" t="s">
        <v>579</v>
      </c>
      <c r="F197" s="82" t="s">
        <v>1167</v>
      </c>
      <c r="G197" s="258" t="s">
        <v>458</v>
      </c>
      <c r="H197" s="13" t="s">
        <v>569</v>
      </c>
    </row>
    <row r="198" spans="1:8">
      <c r="A198" s="33" t="s">
        <v>573</v>
      </c>
      <c r="B198" s="33"/>
      <c r="C198" s="258" t="s">
        <v>283</v>
      </c>
      <c r="D198" s="272">
        <v>4.749E-4</v>
      </c>
      <c r="E198" s="258" t="s">
        <v>579</v>
      </c>
      <c r="F198" s="82" t="s">
        <v>576</v>
      </c>
      <c r="G198" s="258" t="s">
        <v>416</v>
      </c>
      <c r="H198" s="13" t="s">
        <v>527</v>
      </c>
    </row>
    <row r="199" spans="1:8">
      <c r="A199" s="33" t="s">
        <v>573</v>
      </c>
      <c r="B199" s="47"/>
      <c r="C199" s="258" t="s">
        <v>283</v>
      </c>
      <c r="D199" s="272">
        <v>1.6539999999999999E-3</v>
      </c>
      <c r="E199" s="258" t="s">
        <v>579</v>
      </c>
      <c r="F199" s="82" t="s">
        <v>576</v>
      </c>
      <c r="G199" s="82" t="s">
        <v>441</v>
      </c>
      <c r="H199" s="12" t="s">
        <v>552</v>
      </c>
    </row>
    <row r="200" spans="1:8">
      <c r="A200" s="33" t="s">
        <v>573</v>
      </c>
      <c r="B200" s="47"/>
      <c r="C200" s="258" t="s">
        <v>283</v>
      </c>
      <c r="D200" s="272">
        <v>4.5980000000000001E-4</v>
      </c>
      <c r="E200" s="258" t="s">
        <v>579</v>
      </c>
      <c r="F200" s="82" t="s">
        <v>576</v>
      </c>
      <c r="G200" s="82" t="s">
        <v>391</v>
      </c>
      <c r="H200" s="12" t="s">
        <v>502</v>
      </c>
    </row>
    <row r="201" spans="1:8">
      <c r="A201" s="33" t="s">
        <v>573</v>
      </c>
      <c r="B201" s="47"/>
      <c r="C201" s="258" t="s">
        <v>283</v>
      </c>
      <c r="D201" s="272">
        <v>1.16883E-4</v>
      </c>
      <c r="E201" s="258" t="s">
        <v>579</v>
      </c>
      <c r="F201" s="82" t="s">
        <v>1133</v>
      </c>
      <c r="G201" s="82" t="s">
        <v>359</v>
      </c>
      <c r="H201" s="12" t="s">
        <v>470</v>
      </c>
    </row>
    <row r="202" spans="1:8">
      <c r="A202" s="33" t="s">
        <v>573</v>
      </c>
      <c r="B202" s="47"/>
      <c r="C202" s="258" t="s">
        <v>283</v>
      </c>
      <c r="D202" s="272">
        <v>1.8427499999999999E-4</v>
      </c>
      <c r="E202" s="258" t="s">
        <v>579</v>
      </c>
      <c r="F202" s="82" t="s">
        <v>1133</v>
      </c>
      <c r="G202" s="82" t="s">
        <v>436</v>
      </c>
      <c r="H202" s="12" t="s">
        <v>547</v>
      </c>
    </row>
    <row r="203" spans="1:8">
      <c r="A203" s="33" t="s">
        <v>573</v>
      </c>
      <c r="B203" s="47"/>
      <c r="C203" s="258" t="s">
        <v>283</v>
      </c>
      <c r="D203" s="272">
        <v>4.2049999999999998E-4</v>
      </c>
      <c r="E203" s="258" t="s">
        <v>579</v>
      </c>
      <c r="F203" s="82" t="s">
        <v>576</v>
      </c>
      <c r="G203" s="82" t="s">
        <v>361</v>
      </c>
      <c r="H203" s="12" t="s">
        <v>472</v>
      </c>
    </row>
    <row r="204" spans="1:8" ht="28.8">
      <c r="A204" s="33" t="s">
        <v>573</v>
      </c>
      <c r="B204" s="47"/>
      <c r="C204" s="258" t="s">
        <v>283</v>
      </c>
      <c r="D204" s="272">
        <v>2.93787E-4</v>
      </c>
      <c r="E204" s="258" t="s">
        <v>579</v>
      </c>
      <c r="F204" s="82" t="s">
        <v>1133</v>
      </c>
      <c r="G204" s="82" t="s">
        <v>388</v>
      </c>
      <c r="H204" s="12" t="s">
        <v>499</v>
      </c>
    </row>
    <row r="205" spans="1:8">
      <c r="A205" s="33" t="s">
        <v>573</v>
      </c>
      <c r="B205" s="47"/>
      <c r="C205" s="258" t="s">
        <v>283</v>
      </c>
      <c r="D205" s="272">
        <v>6.2126999999999997E-5</v>
      </c>
      <c r="E205" s="258" t="s">
        <v>579</v>
      </c>
      <c r="F205" s="82" t="s">
        <v>1133</v>
      </c>
      <c r="G205" s="82" t="s">
        <v>376</v>
      </c>
      <c r="H205" s="12" t="s">
        <v>487</v>
      </c>
    </row>
    <row r="206" spans="1:8">
      <c r="A206" s="33" t="s">
        <v>573</v>
      </c>
      <c r="B206" s="47"/>
      <c r="C206" s="258" t="s">
        <v>283</v>
      </c>
      <c r="D206" s="272">
        <v>8.6430000000000003E-4</v>
      </c>
      <c r="E206" s="258" t="s">
        <v>579</v>
      </c>
      <c r="F206" s="82" t="s">
        <v>576</v>
      </c>
      <c r="G206" s="82" t="s">
        <v>374</v>
      </c>
      <c r="H206" s="12" t="s">
        <v>485</v>
      </c>
    </row>
    <row r="207" spans="1:8">
      <c r="A207" s="33" t="s">
        <v>573</v>
      </c>
      <c r="B207" s="47"/>
      <c r="C207" s="258" t="s">
        <v>283</v>
      </c>
      <c r="D207" s="272">
        <v>3.3485399999999999E-4</v>
      </c>
      <c r="E207" s="258" t="s">
        <v>579</v>
      </c>
      <c r="F207" s="82" t="s">
        <v>1133</v>
      </c>
      <c r="G207" s="82" t="s">
        <v>397</v>
      </c>
      <c r="H207" s="12" t="s">
        <v>508</v>
      </c>
    </row>
    <row r="208" spans="1:8" ht="28.8">
      <c r="A208" s="33" t="s">
        <v>573</v>
      </c>
      <c r="B208" s="47"/>
      <c r="C208" s="258" t="s">
        <v>283</v>
      </c>
      <c r="D208" s="272">
        <v>1.401148E-4</v>
      </c>
      <c r="E208" s="258" t="s">
        <v>579</v>
      </c>
      <c r="F208" s="82" t="s">
        <v>1167</v>
      </c>
      <c r="G208" s="82" t="s">
        <v>364</v>
      </c>
      <c r="H208" s="12" t="s">
        <v>475</v>
      </c>
    </row>
    <row r="209" spans="1:8" ht="28.8">
      <c r="A209" s="33" t="s">
        <v>573</v>
      </c>
      <c r="B209" s="47"/>
      <c r="C209" s="258" t="s">
        <v>283</v>
      </c>
      <c r="D209" s="272">
        <v>2.6956799999999998E-4</v>
      </c>
      <c r="E209" s="258" t="s">
        <v>579</v>
      </c>
      <c r="F209" s="82" t="s">
        <v>1133</v>
      </c>
      <c r="G209" s="82" t="s">
        <v>422</v>
      </c>
      <c r="H209" s="12" t="s">
        <v>533</v>
      </c>
    </row>
    <row r="210" spans="1:8">
      <c r="A210" s="33" t="s">
        <v>573</v>
      </c>
      <c r="B210" s="47"/>
      <c r="C210" s="258" t="s">
        <v>283</v>
      </c>
      <c r="D210" s="272">
        <v>1.5163199999999999E-4</v>
      </c>
      <c r="E210" s="258" t="s">
        <v>579</v>
      </c>
      <c r="F210" s="82" t="s">
        <v>1133</v>
      </c>
      <c r="G210" s="82" t="s">
        <v>417</v>
      </c>
      <c r="H210" s="12" t="s">
        <v>528</v>
      </c>
    </row>
    <row r="211" spans="1:8">
      <c r="A211" s="33" t="s">
        <v>573</v>
      </c>
      <c r="B211" s="47"/>
      <c r="C211" s="258" t="s">
        <v>283</v>
      </c>
      <c r="D211" s="272">
        <v>4.3550000000000001E-4</v>
      </c>
      <c r="E211" s="258" t="s">
        <v>579</v>
      </c>
      <c r="F211" s="82" t="s">
        <v>576</v>
      </c>
      <c r="G211" s="82" t="s">
        <v>389</v>
      </c>
      <c r="H211" s="12" t="s">
        <v>500</v>
      </c>
    </row>
    <row r="212" spans="1:8">
      <c r="A212" s="33" t="s">
        <v>573</v>
      </c>
      <c r="B212" s="47"/>
      <c r="C212" s="258" t="s">
        <v>283</v>
      </c>
      <c r="D212" s="272">
        <v>1.3689E-4</v>
      </c>
      <c r="E212" s="258" t="s">
        <v>579</v>
      </c>
      <c r="F212" s="82" t="s">
        <v>1133</v>
      </c>
      <c r="G212" s="82" t="s">
        <v>412</v>
      </c>
      <c r="H212" s="12" t="s">
        <v>523</v>
      </c>
    </row>
    <row r="213" spans="1:8" ht="28.8">
      <c r="A213" s="33" t="s">
        <v>573</v>
      </c>
      <c r="B213" s="47"/>
      <c r="C213" s="258" t="s">
        <v>283</v>
      </c>
      <c r="D213" s="272">
        <v>5.7283200000000012E-4</v>
      </c>
      <c r="E213" s="258" t="s">
        <v>579</v>
      </c>
      <c r="F213" s="82" t="s">
        <v>1133</v>
      </c>
      <c r="G213" s="82" t="s">
        <v>435</v>
      </c>
      <c r="H213" s="12" t="s">
        <v>546</v>
      </c>
    </row>
    <row r="214" spans="1:8">
      <c r="A214" s="33" t="s">
        <v>573</v>
      </c>
      <c r="B214" s="47"/>
      <c r="C214" s="258" t="s">
        <v>283</v>
      </c>
      <c r="D214" s="272">
        <v>2.8536300000000001E-4</v>
      </c>
      <c r="E214" s="258" t="s">
        <v>579</v>
      </c>
      <c r="F214" s="82" t="s">
        <v>1133</v>
      </c>
      <c r="G214" s="82" t="s">
        <v>420</v>
      </c>
      <c r="H214" s="12" t="s">
        <v>531</v>
      </c>
    </row>
    <row r="215" spans="1:8">
      <c r="A215" s="33" t="s">
        <v>573</v>
      </c>
      <c r="B215" s="47"/>
      <c r="C215" s="258" t="s">
        <v>283</v>
      </c>
      <c r="D215" s="272">
        <v>3.7960000000000001E-4</v>
      </c>
      <c r="E215" s="258" t="s">
        <v>579</v>
      </c>
      <c r="F215" s="82" t="s">
        <v>576</v>
      </c>
      <c r="G215" s="82" t="s">
        <v>357</v>
      </c>
      <c r="H215" s="12" t="s">
        <v>468</v>
      </c>
    </row>
    <row r="216" spans="1:8">
      <c r="A216" s="33" t="s">
        <v>573</v>
      </c>
      <c r="B216" s="47"/>
      <c r="C216" s="258" t="s">
        <v>283</v>
      </c>
      <c r="D216" s="272">
        <v>2.2007699999999997E-4</v>
      </c>
      <c r="E216" s="258" t="s">
        <v>579</v>
      </c>
      <c r="F216" s="82" t="s">
        <v>1133</v>
      </c>
      <c r="G216" s="82" t="s">
        <v>431</v>
      </c>
      <c r="H216" s="12" t="s">
        <v>542</v>
      </c>
    </row>
    <row r="217" spans="1:8">
      <c r="A217" s="33" t="s">
        <v>573</v>
      </c>
      <c r="B217" s="47"/>
      <c r="C217" s="258" t="s">
        <v>283</v>
      </c>
      <c r="D217" s="272">
        <v>1.4320800000000003E-4</v>
      </c>
      <c r="E217" s="258" t="s">
        <v>579</v>
      </c>
      <c r="F217" s="82" t="s">
        <v>1133</v>
      </c>
      <c r="G217" s="82" t="s">
        <v>411</v>
      </c>
      <c r="H217" s="12" t="s">
        <v>522</v>
      </c>
    </row>
    <row r="218" spans="1:8">
      <c r="A218" s="33" t="s">
        <v>573</v>
      </c>
      <c r="B218" s="47"/>
      <c r="C218" s="258" t="s">
        <v>283</v>
      </c>
      <c r="D218" s="272">
        <v>2.832E-4</v>
      </c>
      <c r="E218" s="258" t="s">
        <v>579</v>
      </c>
      <c r="F218" s="82" t="s">
        <v>576</v>
      </c>
      <c r="G218" s="82" t="s">
        <v>457</v>
      </c>
      <c r="H218" s="12" t="s">
        <v>568</v>
      </c>
    </row>
    <row r="219" spans="1:8">
      <c r="A219" s="33" t="s">
        <v>573</v>
      </c>
      <c r="B219" s="47"/>
      <c r="C219" s="258" t="s">
        <v>283</v>
      </c>
      <c r="D219" s="272">
        <v>4.06458E-4</v>
      </c>
      <c r="E219" s="258" t="s">
        <v>579</v>
      </c>
      <c r="F219" s="82" t="s">
        <v>1133</v>
      </c>
      <c r="G219" s="82" t="s">
        <v>446</v>
      </c>
      <c r="H219" s="12" t="s">
        <v>557</v>
      </c>
    </row>
    <row r="220" spans="1:8">
      <c r="A220" s="33" t="s">
        <v>573</v>
      </c>
      <c r="B220" s="47"/>
      <c r="C220" s="258" t="s">
        <v>283</v>
      </c>
      <c r="D220" s="272">
        <v>1.3478399999999999E-4</v>
      </c>
      <c r="E220" s="258" t="s">
        <v>579</v>
      </c>
      <c r="F220" s="82" t="s">
        <v>1133</v>
      </c>
      <c r="G220" s="82" t="s">
        <v>454</v>
      </c>
      <c r="H220" s="12" t="s">
        <v>565</v>
      </c>
    </row>
    <row r="221" spans="1:8">
      <c r="A221" s="33" t="s">
        <v>573</v>
      </c>
      <c r="B221" s="47"/>
      <c r="C221" s="258" t="s">
        <v>283</v>
      </c>
      <c r="D221" s="272">
        <v>8.7851120000000005E-5</v>
      </c>
      <c r="E221" s="258" t="s">
        <v>882</v>
      </c>
      <c r="F221" s="82" t="s">
        <v>1167</v>
      </c>
      <c r="G221" s="84" t="s">
        <v>874</v>
      </c>
      <c r="H221" s="12" t="s">
        <v>879</v>
      </c>
    </row>
    <row r="222" spans="1:8" ht="28.8">
      <c r="A222" s="33" t="s">
        <v>573</v>
      </c>
      <c r="B222" s="47"/>
      <c r="C222" s="258" t="s">
        <v>283</v>
      </c>
      <c r="D222" s="272">
        <v>3.368E-4</v>
      </c>
      <c r="E222" s="258" t="s">
        <v>579</v>
      </c>
      <c r="F222" s="82" t="s">
        <v>576</v>
      </c>
      <c r="G222" s="82" t="s">
        <v>445</v>
      </c>
      <c r="H222" s="12" t="s">
        <v>556</v>
      </c>
    </row>
    <row r="223" spans="1:8">
      <c r="A223" s="33" t="s">
        <v>573</v>
      </c>
      <c r="B223" s="47"/>
      <c r="C223" s="258" t="s">
        <v>283</v>
      </c>
      <c r="D223" s="272">
        <v>2.43E-4</v>
      </c>
      <c r="E223" s="258" t="s">
        <v>579</v>
      </c>
      <c r="F223" s="82" t="s">
        <v>576</v>
      </c>
      <c r="G223" s="82" t="s">
        <v>898</v>
      </c>
      <c r="H223" s="12" t="s">
        <v>899</v>
      </c>
    </row>
    <row r="224" spans="1:8">
      <c r="A224" s="33" t="s">
        <v>573</v>
      </c>
      <c r="B224" s="47"/>
      <c r="C224" s="258" t="s">
        <v>283</v>
      </c>
      <c r="D224" s="272">
        <v>1.5249303999999999E-4</v>
      </c>
      <c r="E224" s="258" t="s">
        <v>579</v>
      </c>
      <c r="F224" s="82" t="s">
        <v>1167</v>
      </c>
      <c r="G224" s="82" t="s">
        <v>432</v>
      </c>
      <c r="H224" s="12" t="s">
        <v>543</v>
      </c>
    </row>
    <row r="225" spans="1:8" ht="28.8">
      <c r="A225" s="33" t="s">
        <v>573</v>
      </c>
      <c r="B225" s="47"/>
      <c r="C225" s="258" t="s">
        <v>283</v>
      </c>
      <c r="D225" s="272">
        <v>2.7470000000000001E-4</v>
      </c>
      <c r="E225" s="258" t="s">
        <v>579</v>
      </c>
      <c r="F225" s="82" t="s">
        <v>577</v>
      </c>
      <c r="G225" s="82" t="s">
        <v>414</v>
      </c>
      <c r="H225" s="12" t="s">
        <v>525</v>
      </c>
    </row>
    <row r="226" spans="1:8">
      <c r="A226" s="33" t="s">
        <v>573</v>
      </c>
      <c r="B226" s="47"/>
      <c r="C226" s="258" t="s">
        <v>283</v>
      </c>
      <c r="D226" s="272">
        <v>1.1003849999999999E-3</v>
      </c>
      <c r="E226" s="258" t="s">
        <v>579</v>
      </c>
      <c r="F226" s="82" t="s">
        <v>1133</v>
      </c>
      <c r="G226" s="82" t="s">
        <v>453</v>
      </c>
      <c r="H226" s="12" t="s">
        <v>564</v>
      </c>
    </row>
    <row r="227" spans="1:8" ht="28.8">
      <c r="A227" s="33" t="s">
        <v>573</v>
      </c>
      <c r="B227" s="47"/>
      <c r="C227" s="258" t="s">
        <v>283</v>
      </c>
      <c r="D227" s="272">
        <v>1.1372399999999998E-4</v>
      </c>
      <c r="E227" s="258" t="s">
        <v>579</v>
      </c>
      <c r="F227" s="82" t="s">
        <v>1133</v>
      </c>
      <c r="G227" s="82" t="s">
        <v>428</v>
      </c>
      <c r="H227" s="12" t="s">
        <v>539</v>
      </c>
    </row>
    <row r="228" spans="1:8">
      <c r="A228" s="33" t="s">
        <v>573</v>
      </c>
      <c r="B228" s="47"/>
      <c r="C228" s="258" t="s">
        <v>283</v>
      </c>
      <c r="D228" s="272">
        <v>2.5587899999999998E-4</v>
      </c>
      <c r="E228" s="258" t="s">
        <v>579</v>
      </c>
      <c r="F228" s="82" t="s">
        <v>1133</v>
      </c>
      <c r="G228" s="82" t="s">
        <v>455</v>
      </c>
      <c r="H228" s="12" t="s">
        <v>566</v>
      </c>
    </row>
    <row r="229" spans="1:8">
      <c r="A229" s="33" t="s">
        <v>573</v>
      </c>
      <c r="B229" s="47"/>
      <c r="C229" s="258" t="s">
        <v>283</v>
      </c>
      <c r="D229" s="272">
        <v>8.7299999999999997E-4</v>
      </c>
      <c r="E229" s="258" t="s">
        <v>579</v>
      </c>
      <c r="F229" s="82" t="s">
        <v>576</v>
      </c>
      <c r="G229" s="82" t="s">
        <v>382</v>
      </c>
      <c r="H229" s="12" t="s">
        <v>493</v>
      </c>
    </row>
    <row r="230" spans="1:8" ht="28.8">
      <c r="A230" s="33" t="s">
        <v>573</v>
      </c>
      <c r="B230" s="47"/>
      <c r="C230" s="258" t="s">
        <v>283</v>
      </c>
      <c r="D230" s="272">
        <v>3.2537700000000001E-4</v>
      </c>
      <c r="E230" s="258" t="s">
        <v>579</v>
      </c>
      <c r="F230" s="82" t="s">
        <v>1133</v>
      </c>
      <c r="G230" s="82" t="s">
        <v>409</v>
      </c>
      <c r="H230" s="12" t="s">
        <v>520</v>
      </c>
    </row>
    <row r="231" spans="1:8" ht="28.8">
      <c r="A231" s="33" t="s">
        <v>573</v>
      </c>
      <c r="B231" s="47"/>
      <c r="C231" s="258" t="s">
        <v>283</v>
      </c>
      <c r="D231" s="272">
        <v>2.288E-4</v>
      </c>
      <c r="E231" s="258" t="s">
        <v>579</v>
      </c>
      <c r="F231" s="82" t="s">
        <v>576</v>
      </c>
      <c r="G231" s="82" t="s">
        <v>401</v>
      </c>
      <c r="H231" s="12" t="s">
        <v>512</v>
      </c>
    </row>
    <row r="232" spans="1:8">
      <c r="A232" s="33" t="s">
        <v>573</v>
      </c>
      <c r="B232" s="47"/>
      <c r="C232" s="258" t="s">
        <v>283</v>
      </c>
      <c r="D232" s="272">
        <v>1.887E-3</v>
      </c>
      <c r="E232" s="258" t="s">
        <v>579</v>
      </c>
      <c r="F232" s="82" t="s">
        <v>576</v>
      </c>
      <c r="G232" s="82" t="s">
        <v>406</v>
      </c>
      <c r="H232" s="12" t="s">
        <v>517</v>
      </c>
    </row>
    <row r="233" spans="1:8">
      <c r="A233" s="33" t="s">
        <v>573</v>
      </c>
      <c r="B233" s="47"/>
      <c r="C233" s="258" t="s">
        <v>283</v>
      </c>
      <c r="D233" s="272">
        <v>9.6361160000000019E-5</v>
      </c>
      <c r="E233" s="258" t="s">
        <v>579</v>
      </c>
      <c r="F233" s="82" t="s">
        <v>1167</v>
      </c>
      <c r="G233" s="82" t="s">
        <v>354</v>
      </c>
      <c r="H233" s="12" t="s">
        <v>465</v>
      </c>
    </row>
    <row r="234" spans="1:8">
      <c r="A234" s="33" t="s">
        <v>573</v>
      </c>
      <c r="B234" s="47"/>
      <c r="C234" s="258" t="s">
        <v>283</v>
      </c>
      <c r="D234" s="272">
        <v>7.792199999999999E-5</v>
      </c>
      <c r="E234" s="258" t="s">
        <v>579</v>
      </c>
      <c r="F234" s="82" t="s">
        <v>1133</v>
      </c>
      <c r="G234" s="82" t="s">
        <v>427</v>
      </c>
      <c r="H234" s="12" t="s">
        <v>538</v>
      </c>
    </row>
    <row r="235" spans="1:8">
      <c r="A235" s="33" t="s">
        <v>573</v>
      </c>
      <c r="B235" s="47"/>
      <c r="C235" s="258" t="s">
        <v>283</v>
      </c>
      <c r="D235" s="272">
        <v>1.0403639999999998E-3</v>
      </c>
      <c r="E235" s="258" t="s">
        <v>579</v>
      </c>
      <c r="F235" s="82" t="s">
        <v>1133</v>
      </c>
      <c r="G235" s="82" t="s">
        <v>1164</v>
      </c>
      <c r="H235" s="12" t="s">
        <v>1161</v>
      </c>
    </row>
    <row r="236" spans="1:8">
      <c r="A236" s="33" t="s">
        <v>573</v>
      </c>
      <c r="B236" s="47"/>
      <c r="C236" s="258" t="s">
        <v>283</v>
      </c>
      <c r="D236" s="272">
        <v>1.6581684E-4</v>
      </c>
      <c r="E236" s="258" t="s">
        <v>579</v>
      </c>
      <c r="F236" s="82" t="s">
        <v>1167</v>
      </c>
      <c r="G236" s="82" t="s">
        <v>582</v>
      </c>
      <c r="H236" s="91" t="s">
        <v>581</v>
      </c>
    </row>
    <row r="237" spans="1:8">
      <c r="A237" s="33" t="s">
        <v>573</v>
      </c>
      <c r="B237" s="47"/>
      <c r="C237" s="258" t="s">
        <v>283</v>
      </c>
      <c r="D237" s="272">
        <v>2.06388E-4</v>
      </c>
      <c r="E237" s="258" t="s">
        <v>579</v>
      </c>
      <c r="F237" s="82" t="s">
        <v>1133</v>
      </c>
      <c r="G237" s="82" t="s">
        <v>367</v>
      </c>
      <c r="H237" s="12" t="s">
        <v>478</v>
      </c>
    </row>
    <row r="238" spans="1:8">
      <c r="A238" s="33" t="s">
        <v>573</v>
      </c>
      <c r="B238" s="47"/>
      <c r="C238" s="258" t="s">
        <v>283</v>
      </c>
      <c r="D238" s="272">
        <v>2.6324999999999997E-4</v>
      </c>
      <c r="E238" s="258" t="s">
        <v>579</v>
      </c>
      <c r="F238" s="82" t="s">
        <v>1133</v>
      </c>
      <c r="G238" s="82" t="s">
        <v>362</v>
      </c>
      <c r="H238" s="12" t="s">
        <v>473</v>
      </c>
    </row>
    <row r="239" spans="1:8" ht="28.8">
      <c r="A239" s="33" t="s">
        <v>573</v>
      </c>
      <c r="B239" s="47"/>
      <c r="C239" s="258" t="s">
        <v>283</v>
      </c>
      <c r="D239" s="272">
        <v>7.1914136000000004E-4</v>
      </c>
      <c r="E239" s="258" t="s">
        <v>579</v>
      </c>
      <c r="F239" s="82" t="s">
        <v>1167</v>
      </c>
      <c r="G239" s="82" t="s">
        <v>385</v>
      </c>
      <c r="H239" s="12" t="s">
        <v>496</v>
      </c>
    </row>
    <row r="240" spans="1:8">
      <c r="A240" s="33" t="s">
        <v>573</v>
      </c>
      <c r="B240" s="47"/>
      <c r="C240" s="258" t="s">
        <v>283</v>
      </c>
      <c r="D240" s="272">
        <v>8.4240000000000007E-5</v>
      </c>
      <c r="E240" s="258" t="s">
        <v>579</v>
      </c>
      <c r="F240" s="82" t="s">
        <v>1133</v>
      </c>
      <c r="G240" s="82" t="s">
        <v>381</v>
      </c>
      <c r="H240" s="12" t="s">
        <v>492</v>
      </c>
    </row>
    <row r="241" spans="1:8">
      <c r="A241" s="33" t="s">
        <v>573</v>
      </c>
      <c r="B241" s="47"/>
      <c r="C241" s="258" t="s">
        <v>283</v>
      </c>
      <c r="D241" s="272">
        <v>3.7907999999999996E-4</v>
      </c>
      <c r="E241" s="258" t="s">
        <v>579</v>
      </c>
      <c r="F241" s="82" t="s">
        <v>1133</v>
      </c>
      <c r="G241" s="82" t="s">
        <v>452</v>
      </c>
      <c r="H241" s="12" t="s">
        <v>563</v>
      </c>
    </row>
    <row r="242" spans="1:8">
      <c r="A242" s="33" t="s">
        <v>573</v>
      </c>
      <c r="B242" s="47"/>
      <c r="C242" s="258" t="s">
        <v>283</v>
      </c>
      <c r="D242" s="272">
        <v>3.5486099999999999E-4</v>
      </c>
      <c r="E242" s="258" t="s">
        <v>579</v>
      </c>
      <c r="F242" s="82" t="s">
        <v>1133</v>
      </c>
      <c r="G242" s="82" t="s">
        <v>415</v>
      </c>
      <c r="H242" s="12" t="s">
        <v>526</v>
      </c>
    </row>
    <row r="243" spans="1:8">
      <c r="A243" s="33" t="s">
        <v>573</v>
      </c>
      <c r="B243" s="47"/>
      <c r="C243" s="258" t="s">
        <v>283</v>
      </c>
      <c r="D243" s="272">
        <v>6.508000000000001E-4</v>
      </c>
      <c r="E243" s="258" t="s">
        <v>579</v>
      </c>
      <c r="F243" s="82" t="s">
        <v>576</v>
      </c>
      <c r="G243" s="82" t="s">
        <v>1401</v>
      </c>
      <c r="H243" s="12" t="s">
        <v>1162</v>
      </c>
    </row>
    <row r="244" spans="1:8">
      <c r="A244" s="33" t="s">
        <v>573</v>
      </c>
      <c r="B244" s="47"/>
      <c r="C244" s="258" t="s">
        <v>283</v>
      </c>
      <c r="D244" s="272">
        <v>1.9585799999999998E-4</v>
      </c>
      <c r="E244" s="258" t="s">
        <v>579</v>
      </c>
      <c r="F244" s="82" t="s">
        <v>1133</v>
      </c>
      <c r="G244" s="82" t="s">
        <v>456</v>
      </c>
      <c r="H244" s="12" t="s">
        <v>567</v>
      </c>
    </row>
    <row r="245" spans="1:8" ht="28.8">
      <c r="A245" s="33" t="s">
        <v>573</v>
      </c>
      <c r="B245" s="47"/>
      <c r="C245" s="258" t="s">
        <v>283</v>
      </c>
      <c r="D245" s="272">
        <v>2.8909999999999999E-3</v>
      </c>
      <c r="E245" s="258" t="s">
        <v>579</v>
      </c>
      <c r="F245" s="82" t="s">
        <v>576</v>
      </c>
      <c r="G245" s="82" t="s">
        <v>887</v>
      </c>
      <c r="H245" s="12" t="s">
        <v>886</v>
      </c>
    </row>
    <row r="246" spans="1:8">
      <c r="A246" s="33" t="s">
        <v>573</v>
      </c>
      <c r="B246" s="47"/>
      <c r="C246" s="258" t="s">
        <v>283</v>
      </c>
      <c r="D246" s="272">
        <v>1.0845899999999999E-4</v>
      </c>
      <c r="E246" s="258" t="s">
        <v>579</v>
      </c>
      <c r="F246" s="82" t="s">
        <v>1133</v>
      </c>
      <c r="G246" s="82" t="s">
        <v>407</v>
      </c>
      <c r="H246" s="12" t="s">
        <v>518</v>
      </c>
    </row>
    <row r="247" spans="1:8">
      <c r="A247" s="33" t="s">
        <v>573</v>
      </c>
      <c r="B247" s="47"/>
      <c r="C247" s="258" t="s">
        <v>283</v>
      </c>
      <c r="D247" s="272">
        <v>5.3740000000000005E-4</v>
      </c>
      <c r="E247" s="258" t="s">
        <v>579</v>
      </c>
      <c r="F247" s="82" t="s">
        <v>576</v>
      </c>
      <c r="G247" s="82" t="s">
        <v>444</v>
      </c>
      <c r="H247" s="12" t="s">
        <v>555</v>
      </c>
    </row>
    <row r="248" spans="1:8">
      <c r="A248" s="33" t="s">
        <v>573</v>
      </c>
      <c r="B248" s="47"/>
      <c r="C248" s="258" t="s">
        <v>283</v>
      </c>
      <c r="D248" s="272">
        <v>7.6868999999999999E-5</v>
      </c>
      <c r="E248" s="258" t="s">
        <v>579</v>
      </c>
      <c r="F248" s="82" t="s">
        <v>1133</v>
      </c>
      <c r="G248" s="82" t="s">
        <v>405</v>
      </c>
      <c r="H248" s="12" t="s">
        <v>516</v>
      </c>
    </row>
    <row r="249" spans="1:8" ht="28.8">
      <c r="A249" s="33" t="s">
        <v>573</v>
      </c>
      <c r="B249" s="47"/>
      <c r="C249" s="258" t="s">
        <v>283</v>
      </c>
      <c r="D249" s="272">
        <v>8.8451999999999999E-5</v>
      </c>
      <c r="E249" s="258" t="s">
        <v>579</v>
      </c>
      <c r="F249" s="82" t="s">
        <v>1133</v>
      </c>
      <c r="G249" s="82" t="s">
        <v>429</v>
      </c>
      <c r="H249" s="12" t="s">
        <v>540</v>
      </c>
    </row>
    <row r="250" spans="1:8">
      <c r="A250" s="33" t="s">
        <v>573</v>
      </c>
      <c r="B250" s="47"/>
      <c r="C250" s="258" t="s">
        <v>283</v>
      </c>
      <c r="D250" s="272">
        <v>8.4240000000000007E-5</v>
      </c>
      <c r="E250" s="258" t="s">
        <v>579</v>
      </c>
      <c r="F250" s="82" t="s">
        <v>1133</v>
      </c>
      <c r="G250" s="82" t="s">
        <v>447</v>
      </c>
      <c r="H250" s="12" t="s">
        <v>558</v>
      </c>
    </row>
    <row r="251" spans="1:8">
      <c r="A251" s="33" t="s">
        <v>573</v>
      </c>
      <c r="B251" s="47"/>
      <c r="C251" s="258" t="s">
        <v>283</v>
      </c>
      <c r="D251" s="272">
        <v>1.9958900000000002E-4</v>
      </c>
      <c r="E251" s="258" t="s">
        <v>579</v>
      </c>
      <c r="F251" s="82" t="s">
        <v>578</v>
      </c>
      <c r="G251" s="82" t="s">
        <v>366</v>
      </c>
      <c r="H251" s="12" t="s">
        <v>477</v>
      </c>
    </row>
    <row r="252" spans="1:8" ht="28.8">
      <c r="A252" s="33" t="s">
        <v>573</v>
      </c>
      <c r="B252" s="47"/>
      <c r="C252" s="258" t="s">
        <v>283</v>
      </c>
      <c r="D252" s="272">
        <v>1.1965631999999999E-3</v>
      </c>
      <c r="E252" s="258" t="s">
        <v>579</v>
      </c>
      <c r="F252" s="82" t="s">
        <v>1167</v>
      </c>
      <c r="G252" s="82" t="s">
        <v>421</v>
      </c>
      <c r="H252" s="12" t="s">
        <v>532</v>
      </c>
    </row>
    <row r="253" spans="1:8">
      <c r="A253" s="33" t="s">
        <v>573</v>
      </c>
      <c r="B253" s="47"/>
      <c r="C253" s="258" t="s">
        <v>283</v>
      </c>
      <c r="D253" s="272">
        <v>6.0863399999999993E-4</v>
      </c>
      <c r="E253" s="258" t="s">
        <v>579</v>
      </c>
      <c r="F253" s="82" t="s">
        <v>1133</v>
      </c>
      <c r="G253" s="82" t="s">
        <v>368</v>
      </c>
      <c r="H253" s="12" t="s">
        <v>479</v>
      </c>
    </row>
    <row r="254" spans="1:8">
      <c r="A254" s="33" t="s">
        <v>573</v>
      </c>
      <c r="B254" s="47"/>
      <c r="C254" s="258" t="s">
        <v>283</v>
      </c>
      <c r="D254" s="272">
        <v>6.3481460000000003E-4</v>
      </c>
      <c r="E254" s="258" t="s">
        <v>579</v>
      </c>
      <c r="F254" s="82" t="s">
        <v>1167</v>
      </c>
      <c r="G254" s="82" t="s">
        <v>371</v>
      </c>
      <c r="H254" s="12" t="s">
        <v>482</v>
      </c>
    </row>
    <row r="255" spans="1:8" ht="28.8">
      <c r="A255" s="33" t="s">
        <v>573</v>
      </c>
      <c r="B255" s="47"/>
      <c r="C255" s="258" t="s">
        <v>283</v>
      </c>
      <c r="D255" s="272">
        <v>5.5210000000000003E-4</v>
      </c>
      <c r="E255" s="258" t="s">
        <v>579</v>
      </c>
      <c r="F255" s="82" t="s">
        <v>576</v>
      </c>
      <c r="G255" s="82" t="s">
        <v>386</v>
      </c>
      <c r="H255" s="12" t="s">
        <v>497</v>
      </c>
    </row>
    <row r="256" spans="1:8" ht="28.8">
      <c r="A256" s="33" t="s">
        <v>573</v>
      </c>
      <c r="B256" s="47"/>
      <c r="C256" s="258" t="s">
        <v>283</v>
      </c>
      <c r="D256" s="272">
        <v>6.715E-4</v>
      </c>
      <c r="E256" s="258" t="s">
        <v>579</v>
      </c>
      <c r="F256" s="82" t="s">
        <v>576</v>
      </c>
      <c r="G256" s="82" t="s">
        <v>438</v>
      </c>
      <c r="H256" s="12" t="s">
        <v>549</v>
      </c>
    </row>
    <row r="257" spans="1:8">
      <c r="A257" s="33" t="s">
        <v>1057</v>
      </c>
      <c r="B257" s="47"/>
      <c r="C257" s="258" t="s">
        <v>283</v>
      </c>
      <c r="D257" s="84">
        <v>4.4990000000000004E-4</v>
      </c>
      <c r="E257" s="258" t="s">
        <v>882</v>
      </c>
      <c r="F257" s="82" t="s">
        <v>576</v>
      </c>
      <c r="G257" s="82" t="s">
        <v>1066</v>
      </c>
      <c r="H257" s="12" t="s">
        <v>1067</v>
      </c>
    </row>
    <row r="258" spans="1:8">
      <c r="A258" s="33" t="s">
        <v>1057</v>
      </c>
      <c r="B258" s="47"/>
      <c r="C258" s="258" t="s">
        <v>283</v>
      </c>
      <c r="D258" s="310">
        <f>0.0345*10^-3</f>
        <v>3.4500000000000005E-5</v>
      </c>
      <c r="E258" s="258" t="s">
        <v>882</v>
      </c>
      <c r="F258" s="82" t="s">
        <v>576</v>
      </c>
      <c r="G258" s="82" t="s">
        <v>1407</v>
      </c>
      <c r="H258" s="12" t="s">
        <v>1408</v>
      </c>
    </row>
    <row r="259" spans="1:8">
      <c r="A259" s="33" t="s">
        <v>1057</v>
      </c>
      <c r="B259" s="47"/>
      <c r="C259" s="258" t="s">
        <v>283</v>
      </c>
      <c r="D259" s="84">
        <v>2.8210000000000003E-4</v>
      </c>
      <c r="E259" s="258" t="s">
        <v>882</v>
      </c>
      <c r="F259" s="82" t="s">
        <v>576</v>
      </c>
      <c r="G259" s="82" t="s">
        <v>1064</v>
      </c>
      <c r="H259" s="12" t="s">
        <v>1065</v>
      </c>
    </row>
    <row r="260" spans="1:8">
      <c r="A260" s="33" t="s">
        <v>1057</v>
      </c>
      <c r="B260" s="47"/>
      <c r="C260" s="258" t="s">
        <v>283</v>
      </c>
      <c r="D260" s="84">
        <f>0.255*10^-3/0.9497</f>
        <v>2.6850584395072131E-4</v>
      </c>
      <c r="E260" s="258" t="s">
        <v>882</v>
      </c>
      <c r="F260" s="82" t="s">
        <v>1133</v>
      </c>
      <c r="G260" s="82" t="s">
        <v>1058</v>
      </c>
      <c r="H260" s="12" t="s">
        <v>1059</v>
      </c>
    </row>
    <row r="261" spans="1:8">
      <c r="A261" s="33" t="s">
        <v>1057</v>
      </c>
      <c r="B261" s="47"/>
      <c r="C261" s="258" t="s">
        <v>283</v>
      </c>
      <c r="D261" s="84">
        <f>0.111*10^-3/0.9497</f>
        <v>1.1687901442560809E-4</v>
      </c>
      <c r="E261" s="258" t="s">
        <v>882</v>
      </c>
      <c r="F261" s="82" t="s">
        <v>1133</v>
      </c>
      <c r="G261" s="82" t="s">
        <v>1060</v>
      </c>
      <c r="H261" s="12" t="s">
        <v>1061</v>
      </c>
    </row>
    <row r="262" spans="1:8" ht="28.8">
      <c r="A262" s="33" t="s">
        <v>1057</v>
      </c>
      <c r="B262" s="47"/>
      <c r="C262" s="258" t="s">
        <v>283</v>
      </c>
      <c r="D262" s="84">
        <v>1.6477244000000003E-3</v>
      </c>
      <c r="E262" s="258" t="s">
        <v>882</v>
      </c>
      <c r="F262" s="82" t="s">
        <v>574</v>
      </c>
      <c r="G262" s="82" t="s">
        <v>1062</v>
      </c>
      <c r="H262" s="12" t="s">
        <v>1063</v>
      </c>
    </row>
    <row r="263" spans="1:8" ht="28.8">
      <c r="A263" s="33" t="s">
        <v>798</v>
      </c>
      <c r="B263" s="47" t="s">
        <v>787</v>
      </c>
      <c r="C263" s="258" t="s">
        <v>781</v>
      </c>
      <c r="D263" s="84">
        <f>_xlfn.XLOOKUP(" Electricity GR_CO2",Factors[For XLOOKUP],Factors[Value])*((_xlfn.XLOOKUP("Factor L.V.",Factors[For XLOOKUP],Factors[Value]))*(_xlfn.XLOOKUP("Factor H.V.",Factors[For XLOOKUP],Factors[Value]))-1)</f>
        <v>4.0597972930144582E-5</v>
      </c>
      <c r="E263" s="258" t="s">
        <v>788</v>
      </c>
      <c r="F263" s="82"/>
      <c r="G263" s="82" t="s">
        <v>782</v>
      </c>
      <c r="H263" s="12" t="s">
        <v>789</v>
      </c>
    </row>
    <row r="264" spans="1:8" ht="28.8">
      <c r="A264" s="33" t="s">
        <v>798</v>
      </c>
      <c r="B264" s="47" t="s">
        <v>845</v>
      </c>
      <c r="C264" s="258" t="s">
        <v>846</v>
      </c>
      <c r="D264" s="84">
        <f>_xlfn.XLOOKUP(" Electricity GR_CH4",Factors[For XLOOKUP],Factors[Value])*((_xlfn.XLOOKUP("Factor L.V.",Factors[For XLOOKUP],Factors[Value]))*(_xlfn.XLOOKUP("Factor H.V.",Factors[For XLOOKUP],Factors[Value]))-1)</f>
        <v>1.0167127296250699E-9</v>
      </c>
      <c r="E264" s="258" t="s">
        <v>841</v>
      </c>
      <c r="F264" s="82"/>
      <c r="G264" s="82" t="s">
        <v>782</v>
      </c>
      <c r="H264" s="12" t="s">
        <v>849</v>
      </c>
    </row>
    <row r="265" spans="1:8" ht="28.8">
      <c r="A265" s="33" t="s">
        <v>798</v>
      </c>
      <c r="B265" s="47" t="s">
        <v>848</v>
      </c>
      <c r="C265" s="258" t="s">
        <v>847</v>
      </c>
      <c r="D265" s="84">
        <f>_xlfn.XLOOKUP(" Electricity GR_N2O",Factors[For XLOOKUP],Factors[Value])*((_xlfn.XLOOKUP("Factor L.V.",Factors[For XLOOKUP],Factors[Value]))*(_xlfn.XLOOKUP("Factor H.V.",Factors[For XLOOKUP],Factors[Value]))-1)</f>
        <v>4.1863411997580185E-10</v>
      </c>
      <c r="E265" s="258" t="s">
        <v>843</v>
      </c>
      <c r="F265" s="82"/>
      <c r="G265" s="82" t="s">
        <v>782</v>
      </c>
      <c r="H265" s="12" t="s">
        <v>850</v>
      </c>
    </row>
    <row r="266" spans="1:8">
      <c r="A266" s="33" t="s">
        <v>798</v>
      </c>
      <c r="B266" s="47" t="s">
        <v>860</v>
      </c>
      <c r="C266" s="258" t="s">
        <v>283</v>
      </c>
      <c r="D266" s="84">
        <f>_xlfn.XLOOKUP("Electricity consumption_losses_upstream_source allocation_CO2",Factors[For XLOOKUP],Factors[Value])*((_xlfn.XLOOKUP("Factor L.V.",Factors[For XLOOKUP],Factors[Value]))*(_xlfn.XLOOKUP("Factor H.V.",Factors[For XLOOKUP],Factors[Value]))-1)</f>
        <v>7.0153258659686572E-6</v>
      </c>
      <c r="E266" s="258" t="s">
        <v>783</v>
      </c>
      <c r="F266" s="82"/>
      <c r="G266" s="82" t="s">
        <v>782</v>
      </c>
      <c r="H266" s="12" t="s">
        <v>790</v>
      </c>
    </row>
    <row r="267" spans="1:8" ht="28.8">
      <c r="A267" s="33" t="s">
        <v>798</v>
      </c>
      <c r="B267" s="47" t="s">
        <v>795</v>
      </c>
      <c r="C267" s="258" t="s">
        <v>781</v>
      </c>
      <c r="D267" s="84">
        <f>_xlfn.XLOOKUP(" Electricity GR_CO2",Factors[For XLOOKUP],Factors[Value])*((_xlfn.XLOOKUP("Factor M.V.",Factors[For XLOOKUP],Factors[Value]))*(_xlfn.XLOOKUP("Factor H.V.",Factors[For XLOOKUP],Factors[Value]))-1)</f>
        <v>1.505346476770355E-5</v>
      </c>
      <c r="E267" s="258" t="s">
        <v>788</v>
      </c>
      <c r="F267" s="82"/>
      <c r="G267" s="82" t="s">
        <v>782</v>
      </c>
      <c r="H267" s="12" t="s">
        <v>791</v>
      </c>
    </row>
    <row r="268" spans="1:8" ht="28.8">
      <c r="A268" s="33" t="s">
        <v>798</v>
      </c>
      <c r="B268" s="47" t="s">
        <v>840</v>
      </c>
      <c r="C268" s="258" t="s">
        <v>846</v>
      </c>
      <c r="D268" s="84">
        <f>_xlfn.XLOOKUP(" Electricity GR_ch4",Factors[For XLOOKUP],Factors[Value])*((_xlfn.XLOOKUP("Factor M.V.",Factors[For XLOOKUP],Factors[Value]))*(_xlfn.XLOOKUP("Factor H.V.",Factors[For XLOOKUP],Factors[Value]))-1)</f>
        <v>3.7699047882566748E-10</v>
      </c>
      <c r="E268" s="258" t="s">
        <v>841</v>
      </c>
      <c r="F268" s="82"/>
      <c r="G268" s="82" t="s">
        <v>782</v>
      </c>
      <c r="H268" s="12" t="s">
        <v>839</v>
      </c>
    </row>
    <row r="269" spans="1:8" ht="28.8">
      <c r="A269" s="33" t="s">
        <v>798</v>
      </c>
      <c r="B269" s="47" t="s">
        <v>842</v>
      </c>
      <c r="C269" s="258" t="s">
        <v>847</v>
      </c>
      <c r="D269" s="84">
        <f>_xlfn.XLOOKUP(" Electricity GR_N2O",Factors[For XLOOKUP],Factors[Value])*((_xlfn.XLOOKUP("Factor M.V.",Factors[For XLOOKUP],Factors[Value]))*(_xlfn.XLOOKUP("Factor H.V.",Factors[For XLOOKUP],Factors[Value]))-1)</f>
        <v>1.5522681357657309E-10</v>
      </c>
      <c r="E269" s="258" t="s">
        <v>843</v>
      </c>
      <c r="F269" s="82"/>
      <c r="G269" s="82" t="s">
        <v>782</v>
      </c>
      <c r="H269" s="12" t="s">
        <v>844</v>
      </c>
    </row>
    <row r="270" spans="1:8" ht="28.8">
      <c r="A270" s="33" t="s">
        <v>798</v>
      </c>
      <c r="B270" s="47" t="s">
        <v>796</v>
      </c>
      <c r="C270" s="82" t="s">
        <v>283</v>
      </c>
      <c r="D270" s="84">
        <f>_xlfn.XLOOKUP("Electricity consumption_losses_upstream_source allocation_CO2",Factors[For XLOOKUP],Factors[Value])*((_xlfn.XLOOKUP("Factor M.V.",Factors[For XLOOKUP],Factors[Value]))*(_xlfn.XLOOKUP("Factor H.V.",Factors[For XLOOKUP],Factors[Value]))-1)</f>
        <v>2.6012372819458027E-6</v>
      </c>
      <c r="E270" s="82" t="s">
        <v>783</v>
      </c>
      <c r="F270" s="82"/>
      <c r="G270" s="82" t="s">
        <v>782</v>
      </c>
      <c r="H270" s="12" t="s">
        <v>792</v>
      </c>
    </row>
    <row r="271" spans="1:8" ht="28.8">
      <c r="A271" s="33" t="s">
        <v>798</v>
      </c>
      <c r="B271" s="47" t="s">
        <v>795</v>
      </c>
      <c r="C271" s="258" t="s">
        <v>781</v>
      </c>
      <c r="D271" s="84">
        <f>_xlfn.XLOOKUP(" Electricity GR_CO2",Factors[For XLOOKUP],Factors[Value])*((_xlfn.XLOOKUP("Factor H.V.",Factors[For XLOOKUP],Factors[Value]))-1)</f>
        <v>5.5839349741521721E-6</v>
      </c>
      <c r="E271" s="258" t="s">
        <v>788</v>
      </c>
      <c r="F271" s="305"/>
      <c r="G271" s="82" t="s">
        <v>782</v>
      </c>
      <c r="H271" s="12" t="s">
        <v>1323</v>
      </c>
    </row>
    <row r="272" spans="1:8" ht="28.8">
      <c r="A272" s="33" t="s">
        <v>798</v>
      </c>
      <c r="B272" s="47" t="s">
        <v>840</v>
      </c>
      <c r="C272" s="258" t="s">
        <v>846</v>
      </c>
      <c r="D272" s="84">
        <f>_xlfn.XLOOKUP(" Electricity GR_ch4",Factors[For XLOOKUP],Factors[Value])*((_xlfn.XLOOKUP("Factor H.V.",Factors[For XLOOKUP],Factors[Value]))-1)</f>
        <v>1.3984091716568692E-10</v>
      </c>
      <c r="E272" s="258" t="s">
        <v>841</v>
      </c>
      <c r="F272" s="82"/>
      <c r="G272" s="82" t="s">
        <v>782</v>
      </c>
      <c r="H272" s="12" t="s">
        <v>1324</v>
      </c>
    </row>
    <row r="273" spans="1:8" ht="28.8">
      <c r="A273" s="33" t="s">
        <v>798</v>
      </c>
      <c r="B273" s="47" t="s">
        <v>842</v>
      </c>
      <c r="C273" s="258" t="s">
        <v>847</v>
      </c>
      <c r="D273" s="84">
        <f>_xlfn.XLOOKUP(" Electricity GR_N2O",Factors[For XLOOKUP],Factors[Value])*((_xlfn.XLOOKUP("Factor H.V.",Factors[For XLOOKUP],Factors[Value]))-1)</f>
        <v>5.7579862618475113E-11</v>
      </c>
      <c r="E273" s="258" t="s">
        <v>843</v>
      </c>
      <c r="F273" s="82"/>
      <c r="G273" s="82" t="s">
        <v>782</v>
      </c>
      <c r="H273" s="12" t="s">
        <v>1325</v>
      </c>
    </row>
    <row r="274" spans="1:8" ht="28.8">
      <c r="A274" s="33" t="s">
        <v>798</v>
      </c>
      <c r="B274" s="47" t="s">
        <v>796</v>
      </c>
      <c r="C274" s="258" t="s">
        <v>283</v>
      </c>
      <c r="D274" s="84">
        <f>_xlfn.XLOOKUP("Electricity consumption_losses_upstream_source allocation_CO2",Factors[For XLOOKUP],Factors[Value])*((_xlfn.XLOOKUP("Factor H.V.",Factors[For XLOOKUP],Factors[Value]))-1)</f>
        <v>9.649034331211682E-7</v>
      </c>
      <c r="E274" s="258" t="s">
        <v>783</v>
      </c>
      <c r="F274" s="82"/>
      <c r="G274" s="82" t="s">
        <v>782</v>
      </c>
      <c r="H274" s="12" t="s">
        <v>1326</v>
      </c>
    </row>
    <row r="275" spans="1:8" ht="28.8">
      <c r="A275" s="33" t="s">
        <v>798</v>
      </c>
      <c r="B275" s="47" t="s">
        <v>864</v>
      </c>
      <c r="C275" s="258" t="s">
        <v>781</v>
      </c>
      <c r="D275" s="84">
        <f>_xlfn.XLOOKUP("Electricity DE_CO2",Factors[For XLOOKUP],Factors[Value])*_xlfn.XLOOKUP("Factor L.V._DE",Factors[For XLOOKUP],Factors[Value])</f>
        <v>1.8211292961862379E-5</v>
      </c>
      <c r="E275" s="258" t="s">
        <v>783</v>
      </c>
      <c r="F275" s="82"/>
      <c r="G275" s="82" t="s">
        <v>782</v>
      </c>
      <c r="H275" s="12" t="s">
        <v>866</v>
      </c>
    </row>
    <row r="276" spans="1:8" ht="28.8">
      <c r="A276" s="33" t="s">
        <v>798</v>
      </c>
      <c r="B276" s="47" t="s">
        <v>865</v>
      </c>
      <c r="C276" s="258" t="s">
        <v>283</v>
      </c>
      <c r="D276" s="84">
        <f>_xlfn.XLOOKUP("Electricity consumption_losses_upstream_source allocation_CO2_DE",Factors[For XLOOKUP],Factors[Value])*_xlfn.XLOOKUP("Factor L.V._DE",Factors[For XLOOKUP],Factors[Value])</f>
        <v>3.7446374694277741E-6</v>
      </c>
      <c r="E276" s="258" t="s">
        <v>783</v>
      </c>
      <c r="F276" s="82"/>
      <c r="G276" s="82" t="s">
        <v>782</v>
      </c>
      <c r="H276" s="12" t="s">
        <v>867</v>
      </c>
    </row>
    <row r="277" spans="1:8" ht="28.8">
      <c r="A277" s="33" t="s">
        <v>798</v>
      </c>
      <c r="B277" s="47" t="s">
        <v>859</v>
      </c>
      <c r="C277" s="258" t="s">
        <v>781</v>
      </c>
      <c r="D277" s="84">
        <f>_xlfn.XLOOKUP("Electricity CY_CO2",Factors[For XLOOKUP],Factors[Value])*((_xlfn.XLOOKUP("Factor L.V._CY",Factors[For XLOOKUP],Factors[Value]))*(_xlfn.XLOOKUP("Factor H.V._CY",Factors[For XLOOKUP],Factors[Value]))-1)</f>
        <v>3.2819195317204351E-5</v>
      </c>
      <c r="E277" s="258" t="s">
        <v>783</v>
      </c>
      <c r="F277" s="82"/>
      <c r="G277" s="82" t="s">
        <v>782</v>
      </c>
      <c r="H277" s="12" t="s">
        <v>862</v>
      </c>
    </row>
    <row r="278" spans="1:8" ht="28.8">
      <c r="A278" s="33" t="s">
        <v>798</v>
      </c>
      <c r="B278" s="47" t="s">
        <v>861</v>
      </c>
      <c r="C278" s="258" t="s">
        <v>283</v>
      </c>
      <c r="D278" s="84">
        <f>_xlfn.XLOOKUP("Electricity consumption_losses_upstream_source allocation_CO2_CY",Factors[For XLOOKUP],Factors[Value])*((_xlfn.XLOOKUP("Factor L.V._CY",Factors[For XLOOKUP],Factors[Value]))*(_xlfn.XLOOKUP("Factor H.V._CY",Factors[For XLOOKUP],Factors[Value]))-1)</f>
        <v>6.6808039823331862E-6</v>
      </c>
      <c r="E278" s="258" t="s">
        <v>783</v>
      </c>
      <c r="F278" s="82" t="s">
        <v>888</v>
      </c>
      <c r="G278" s="82" t="s">
        <v>782</v>
      </c>
      <c r="H278" s="12" t="s">
        <v>863</v>
      </c>
    </row>
    <row r="279" spans="1:8" ht="28.8">
      <c r="A279" s="33" t="s">
        <v>798</v>
      </c>
      <c r="B279" s="47" t="s">
        <v>1335</v>
      </c>
      <c r="C279" s="258" t="s">
        <v>781</v>
      </c>
      <c r="D279" s="297">
        <f>_xlfn.XLOOKUP("Electricity RO_CO2",Factors[For XLOOKUP],Factors[Value])*(_xlfn.XLOOKUP("Factor L.V._RO",Factors[For XLOOKUP],Factors[Value])-1)</f>
        <v>2.9732520251613239E-5</v>
      </c>
      <c r="E279" s="258" t="s">
        <v>783</v>
      </c>
      <c r="F279" s="280"/>
      <c r="G279" s="82" t="s">
        <v>782</v>
      </c>
      <c r="H279" s="12" t="s">
        <v>1337</v>
      </c>
    </row>
    <row r="280" spans="1:8" ht="28.8">
      <c r="A280" s="33" t="s">
        <v>798</v>
      </c>
      <c r="B280" s="47" t="s">
        <v>1336</v>
      </c>
      <c r="C280" s="82" t="s">
        <v>283</v>
      </c>
      <c r="D280" s="297">
        <f>_xlfn.XLOOKUP("Electricity consumption_losses_upstream_source allocation_CO2_RO",Factors[For XLOOKUP],Factors[Value])*(_xlfn.XLOOKUP("Factor L.V._RO",Factors[For XLOOKUP],Factors[Value])-1)</f>
        <v>5.3081256837243912E-6</v>
      </c>
      <c r="E280" s="82" t="s">
        <v>783</v>
      </c>
      <c r="F280" s="304"/>
      <c r="G280" s="82" t="s">
        <v>782</v>
      </c>
      <c r="H280" s="12" t="s">
        <v>1338</v>
      </c>
    </row>
    <row r="281" spans="1:8">
      <c r="A281" s="33" t="s">
        <v>798</v>
      </c>
      <c r="B281" s="47" t="s">
        <v>794</v>
      </c>
      <c r="C281" s="258"/>
      <c r="D281" s="281">
        <f>1+(2.07)/100</f>
        <v>1.0206999999999999</v>
      </c>
      <c r="E281" s="258"/>
      <c r="F281" s="282" t="s">
        <v>851</v>
      </c>
      <c r="G281" s="82" t="s">
        <v>852</v>
      </c>
      <c r="H281" s="12" t="s">
        <v>857</v>
      </c>
    </row>
    <row r="282" spans="1:8">
      <c r="A282" s="33" t="s">
        <v>798</v>
      </c>
      <c r="B282" s="47" t="s">
        <v>797</v>
      </c>
      <c r="C282" s="258"/>
      <c r="D282" s="281">
        <f>1+(1.35)/100</f>
        <v>1.0135000000000001</v>
      </c>
      <c r="E282" s="258"/>
      <c r="F282" s="282" t="s">
        <v>854</v>
      </c>
      <c r="G282" s="82" t="s">
        <v>855</v>
      </c>
      <c r="H282" s="12" t="s">
        <v>858</v>
      </c>
    </row>
    <row r="283" spans="1:8">
      <c r="A283" s="33" t="s">
        <v>798</v>
      </c>
      <c r="B283" s="47" t="s">
        <v>793</v>
      </c>
      <c r="C283" s="258"/>
      <c r="D283" s="281">
        <f>1+(4.19)/100</f>
        <v>1.0419</v>
      </c>
      <c r="E283" s="258"/>
      <c r="F283" s="282" t="s">
        <v>851</v>
      </c>
      <c r="G283" s="82" t="s">
        <v>853</v>
      </c>
      <c r="H283" s="12" t="s">
        <v>856</v>
      </c>
    </row>
    <row r="284" spans="1:8" ht="28.8">
      <c r="A284" s="33" t="s">
        <v>798</v>
      </c>
      <c r="B284" s="47" t="s">
        <v>797</v>
      </c>
      <c r="C284" s="258"/>
      <c r="D284" s="84">
        <v>1.0221197274858727</v>
      </c>
      <c r="E284" s="258"/>
      <c r="F284" s="253" t="s">
        <v>1342</v>
      </c>
      <c r="G284" s="82" t="s">
        <v>786</v>
      </c>
      <c r="H284" s="12" t="s">
        <v>797</v>
      </c>
    </row>
    <row r="285" spans="1:8" ht="28.8">
      <c r="A285" s="33" t="s">
        <v>798</v>
      </c>
      <c r="B285" s="47" t="s">
        <v>793</v>
      </c>
      <c r="C285" s="258"/>
      <c r="D285" s="84">
        <v>1.1356999999999999</v>
      </c>
      <c r="E285" s="258"/>
      <c r="F285" s="82" t="s">
        <v>784</v>
      </c>
      <c r="G285" s="82" t="s">
        <v>785</v>
      </c>
      <c r="H285" s="12" t="s">
        <v>793</v>
      </c>
    </row>
    <row r="286" spans="1:8" ht="28.8">
      <c r="A286" s="33" t="s">
        <v>798</v>
      </c>
      <c r="B286" s="47" t="s">
        <v>794</v>
      </c>
      <c r="C286" s="258"/>
      <c r="D286" s="84">
        <v>1.0367</v>
      </c>
      <c r="E286" s="302"/>
      <c r="F286" s="82" t="s">
        <v>784</v>
      </c>
      <c r="G286" s="82" t="s">
        <v>785</v>
      </c>
      <c r="H286" s="12" t="s">
        <v>794</v>
      </c>
    </row>
    <row r="287" spans="1:8" ht="28.8">
      <c r="A287" s="33" t="s">
        <v>798</v>
      </c>
      <c r="B287" s="47" t="s">
        <v>871</v>
      </c>
      <c r="C287" s="258"/>
      <c r="D287" s="281">
        <f>28/(531.7-35.5)</f>
        <v>5.6428859330914946E-2</v>
      </c>
      <c r="E287" s="258"/>
      <c r="F287" s="282" t="s">
        <v>889</v>
      </c>
      <c r="G287" s="82"/>
      <c r="H287" s="12" t="s">
        <v>868</v>
      </c>
    </row>
    <row r="288" spans="1:8">
      <c r="A288" s="33" t="s">
        <v>798</v>
      </c>
      <c r="B288" s="47" t="s">
        <v>793</v>
      </c>
      <c r="C288" s="258"/>
      <c r="D288" s="84">
        <f>1+(10.8846354406307/100)</f>
        <v>1.108846354406307</v>
      </c>
      <c r="E288" s="82"/>
      <c r="F288" s="307" t="s">
        <v>1334</v>
      </c>
      <c r="G288" s="82"/>
      <c r="H288" s="12" t="s">
        <v>1339</v>
      </c>
    </row>
    <row r="289" spans="1:8">
      <c r="A289" s="33" t="s">
        <v>44</v>
      </c>
      <c r="B289" s="47" t="s">
        <v>173</v>
      </c>
      <c r="C289" s="258" t="s">
        <v>23</v>
      </c>
      <c r="D289" s="82">
        <v>47.3</v>
      </c>
      <c r="E289" s="82" t="s">
        <v>24</v>
      </c>
      <c r="F289" s="82" t="s">
        <v>1109</v>
      </c>
      <c r="G289" s="82" t="s">
        <v>1105</v>
      </c>
      <c r="H289" s="12" t="s">
        <v>47</v>
      </c>
    </row>
    <row r="290" spans="1:8">
      <c r="A290" s="33" t="s">
        <v>44</v>
      </c>
      <c r="B290" s="47" t="s">
        <v>121</v>
      </c>
      <c r="C290" s="258" t="s">
        <v>26</v>
      </c>
      <c r="D290" s="82">
        <v>0.54449999999999998</v>
      </c>
      <c r="E290" s="82" t="s">
        <v>27</v>
      </c>
      <c r="F290" s="82" t="s">
        <v>45</v>
      </c>
      <c r="G290" s="82"/>
      <c r="H290" s="12" t="s">
        <v>48</v>
      </c>
    </row>
    <row r="291" spans="1:8" ht="43.2">
      <c r="A291" s="254" t="s">
        <v>106</v>
      </c>
      <c r="B291" s="47" t="s">
        <v>108</v>
      </c>
      <c r="C291" s="258" t="s">
        <v>38</v>
      </c>
      <c r="D291" s="263">
        <v>63.920006553591598</v>
      </c>
      <c r="E291" s="268" t="s">
        <v>195</v>
      </c>
      <c r="F291" s="82" t="s">
        <v>1109</v>
      </c>
      <c r="G291" s="83" t="s">
        <v>1104</v>
      </c>
      <c r="H291" s="12" t="s">
        <v>140</v>
      </c>
    </row>
    <row r="292" spans="1:8" ht="43.2">
      <c r="A292" s="254" t="s">
        <v>106</v>
      </c>
      <c r="B292" s="47" t="s">
        <v>108</v>
      </c>
      <c r="C292" s="258" t="s">
        <v>32</v>
      </c>
      <c r="D292" s="263">
        <v>8.5304044096746589E-3</v>
      </c>
      <c r="E292" s="268" t="s">
        <v>197</v>
      </c>
      <c r="F292" s="82" t="s">
        <v>1109</v>
      </c>
      <c r="G292" s="83" t="s">
        <v>1104</v>
      </c>
      <c r="H292" s="12" t="s">
        <v>153</v>
      </c>
    </row>
    <row r="293" spans="1:8" ht="43.2">
      <c r="A293" s="254" t="s">
        <v>106</v>
      </c>
      <c r="B293" s="47" t="s">
        <v>108</v>
      </c>
      <c r="C293" s="258" t="s">
        <v>282</v>
      </c>
      <c r="D293" s="84">
        <v>1.6656210654899201E-3</v>
      </c>
      <c r="E293" s="273" t="s">
        <v>203</v>
      </c>
      <c r="F293" s="82" t="s">
        <v>1109</v>
      </c>
      <c r="G293" s="85" t="s">
        <v>1104</v>
      </c>
      <c r="H293" s="12" t="s">
        <v>167</v>
      </c>
    </row>
    <row r="294" spans="1:8">
      <c r="A294" s="33" t="s">
        <v>106</v>
      </c>
      <c r="B294" s="47" t="s">
        <v>108</v>
      </c>
      <c r="C294" s="258" t="s">
        <v>38</v>
      </c>
      <c r="D294" s="84">
        <f>_xlfn.XLOOKUP("LPG_NCV",Factors[For XLOOKUP],Factors[Value])*_xlfn.XLOOKUP("LPG_CO2_TJ",Factors[For XLOOKUP],Factors[Value])*10^-6</f>
        <v>3.0234163099848825E-3</v>
      </c>
      <c r="E294" s="273" t="s">
        <v>240</v>
      </c>
      <c r="F294" s="82" t="s">
        <v>1109</v>
      </c>
      <c r="G294" s="85"/>
      <c r="H294" s="12" t="s">
        <v>1171</v>
      </c>
    </row>
    <row r="295" spans="1:8">
      <c r="A295" s="254" t="s">
        <v>106</v>
      </c>
      <c r="B295" s="47" t="s">
        <v>108</v>
      </c>
      <c r="C295" s="258" t="s">
        <v>32</v>
      </c>
      <c r="D295" s="84">
        <f>_xlfn.XLOOKUP("LPG_NCV",Factors[For XLOOKUP],Factors[Value])*_xlfn.XLOOKUP("LPG_CH4_TJ",Factors[For XLOOKUP],Factors[Value])*10^-6</f>
        <v>4.0348812857761131E-7</v>
      </c>
      <c r="E295" s="273" t="s">
        <v>241</v>
      </c>
      <c r="F295" s="82" t="s">
        <v>1109</v>
      </c>
      <c r="G295" s="85"/>
      <c r="H295" s="12" t="s">
        <v>1172</v>
      </c>
    </row>
    <row r="296" spans="1:8">
      <c r="A296" s="254" t="s">
        <v>106</v>
      </c>
      <c r="B296" s="47" t="s">
        <v>108</v>
      </c>
      <c r="C296" s="258" t="s">
        <v>282</v>
      </c>
      <c r="D296" s="84">
        <f>_xlfn.XLOOKUP("LPG_NCV",Factors[For XLOOKUP],Factors[Value])*_xlfn.XLOOKUP("LPG_N2O_TJ",Factors[For XLOOKUP],Factors[Value])*10^-6</f>
        <v>7.8783876397673207E-8</v>
      </c>
      <c r="E296" s="273" t="s">
        <v>242</v>
      </c>
      <c r="F296" s="82" t="s">
        <v>1109</v>
      </c>
      <c r="G296" s="85"/>
      <c r="H296" s="12" t="s">
        <v>1173</v>
      </c>
    </row>
    <row r="297" spans="1:8">
      <c r="A297" s="33" t="s">
        <v>106</v>
      </c>
      <c r="B297" s="47" t="s">
        <v>108</v>
      </c>
      <c r="C297" s="258" t="s">
        <v>38</v>
      </c>
      <c r="D297" s="263">
        <f>_xlfn.XLOOKUP("LPG_base",Factors[For XLOOKUP],Factors[Value])*_xlfn.XLOOKUP("LPG_CO2_TJ",Factors[For XLOOKUP],Factors[Value])*10^-3</f>
        <v>1.6462501807867685E-3</v>
      </c>
      <c r="E297" s="258" t="s">
        <v>199</v>
      </c>
      <c r="F297" s="82" t="s">
        <v>1109</v>
      </c>
      <c r="G297" s="85"/>
      <c r="H297" s="12" t="s">
        <v>233</v>
      </c>
    </row>
    <row r="298" spans="1:8">
      <c r="A298" s="254" t="s">
        <v>106</v>
      </c>
      <c r="B298" s="47" t="s">
        <v>108</v>
      </c>
      <c r="C298" s="258" t="s">
        <v>32</v>
      </c>
      <c r="D298" s="263">
        <f>_xlfn.XLOOKUP("LPG_base",Factors[For XLOOKUP],Factors[Value])*_xlfn.XLOOKUP("LPG_CH4_TJ",Factors[For XLOOKUP],Factors[Value])*10^-3</f>
        <v>2.1969928601050937E-7</v>
      </c>
      <c r="E298" s="258" t="s">
        <v>200</v>
      </c>
      <c r="F298" s="82" t="s">
        <v>1109</v>
      </c>
      <c r="G298" s="83"/>
      <c r="H298" s="12" t="s">
        <v>234</v>
      </c>
    </row>
    <row r="299" spans="1:8">
      <c r="A299" s="254" t="s">
        <v>106</v>
      </c>
      <c r="B299" s="47" t="s">
        <v>108</v>
      </c>
      <c r="C299" s="258" t="s">
        <v>282</v>
      </c>
      <c r="D299" s="263">
        <f>_xlfn.XLOOKUP("LPG_base",Factors[For XLOOKUP],Factors[Value])*_xlfn.XLOOKUP("LPG_N2O_TJ",Factors[For XLOOKUP],Factors[Value])*10^-3</f>
        <v>4.2897820698533063E-8</v>
      </c>
      <c r="E299" s="258" t="s">
        <v>213</v>
      </c>
      <c r="F299" s="82" t="s">
        <v>1109</v>
      </c>
      <c r="G299" s="85"/>
      <c r="H299" s="12" t="s">
        <v>235</v>
      </c>
    </row>
    <row r="300" spans="1:8">
      <c r="A300" s="33" t="s">
        <v>46</v>
      </c>
      <c r="B300" s="47" t="s">
        <v>174</v>
      </c>
      <c r="C300" s="258" t="s">
        <v>34</v>
      </c>
      <c r="D300" s="84">
        <f>_xlfn.XLOOKUP("LPG_NCV",Factors[For XLOOKUP],Factors[Value])*_xlfn.XLOOKUP("LPG_density",Factors[For XLOOKUP],Factors[Value])*10^-3</f>
        <v>2.5754849999999999E-2</v>
      </c>
      <c r="E300" s="258" t="s">
        <v>35</v>
      </c>
      <c r="F300" s="82"/>
      <c r="G300" s="82"/>
      <c r="H300" s="12" t="s">
        <v>46</v>
      </c>
    </row>
    <row r="301" spans="1:8" ht="43.2">
      <c r="A301" s="254" t="s">
        <v>71</v>
      </c>
      <c r="B301" s="47" t="s">
        <v>91</v>
      </c>
      <c r="C301" s="258" t="s">
        <v>31</v>
      </c>
      <c r="D301" s="263">
        <f>10^-3*1</f>
        <v>1E-3</v>
      </c>
      <c r="E301" s="268" t="s">
        <v>197</v>
      </c>
      <c r="F301" s="82" t="s">
        <v>1109</v>
      </c>
      <c r="G301" s="83" t="s">
        <v>1106</v>
      </c>
      <c r="H301" s="12" t="s">
        <v>142</v>
      </c>
    </row>
    <row r="302" spans="1:8" ht="43.2">
      <c r="A302" s="262" t="s">
        <v>71</v>
      </c>
      <c r="B302" s="47" t="s">
        <v>91</v>
      </c>
      <c r="C302" s="82" t="s">
        <v>281</v>
      </c>
      <c r="D302" s="84">
        <f>10^-3*0.1</f>
        <v>1E-4</v>
      </c>
      <c r="E302" s="85" t="s">
        <v>203</v>
      </c>
      <c r="F302" s="82" t="s">
        <v>1109</v>
      </c>
      <c r="G302" s="85" t="s">
        <v>1106</v>
      </c>
      <c r="H302" s="12" t="s">
        <v>155</v>
      </c>
    </row>
    <row r="303" spans="1:8" ht="43.2">
      <c r="A303" s="262" t="s">
        <v>71</v>
      </c>
      <c r="B303" s="47" t="s">
        <v>91</v>
      </c>
      <c r="C303" s="82" t="s">
        <v>31</v>
      </c>
      <c r="D303" s="263">
        <f>_xlfn.XLOOKUP("Natural Gas_CH4_TJ",Factors[For XLOOKUP],Factors[Value])/277777.777777777</f>
        <v>3.6000000000000103E-9</v>
      </c>
      <c r="E303" s="83" t="s">
        <v>274</v>
      </c>
      <c r="F303" s="82" t="s">
        <v>1109</v>
      </c>
      <c r="G303" s="83" t="s">
        <v>1106</v>
      </c>
      <c r="H303" s="12" t="s">
        <v>276</v>
      </c>
    </row>
    <row r="304" spans="1:8" ht="43.2">
      <c r="A304" s="254" t="s">
        <v>71</v>
      </c>
      <c r="B304" s="47" t="s">
        <v>91</v>
      </c>
      <c r="C304" s="258" t="s">
        <v>281</v>
      </c>
      <c r="D304" s="263">
        <f>_xlfn.XLOOKUP("Natural Gas_N2O_TJ",Factors[For XLOOKUP],Factors[Value])/277777.777777777</f>
        <v>3.6000000000000103E-10</v>
      </c>
      <c r="E304" s="273" t="s">
        <v>202</v>
      </c>
      <c r="F304" s="82" t="s">
        <v>1109</v>
      </c>
      <c r="G304" s="85" t="s">
        <v>1106</v>
      </c>
      <c r="H304" s="12" t="s">
        <v>277</v>
      </c>
    </row>
    <row r="305" spans="1:8" ht="28.8">
      <c r="A305" s="254" t="s">
        <v>71</v>
      </c>
      <c r="B305" s="47" t="s">
        <v>91</v>
      </c>
      <c r="C305" s="258" t="s">
        <v>43</v>
      </c>
      <c r="D305" s="263">
        <v>55.674999999999997</v>
      </c>
      <c r="E305" s="268" t="s">
        <v>195</v>
      </c>
      <c r="F305" s="82" t="s">
        <v>1109</v>
      </c>
      <c r="G305" s="83" t="s">
        <v>102</v>
      </c>
      <c r="H305" s="12" t="s">
        <v>127</v>
      </c>
    </row>
    <row r="306" spans="1:8" ht="28.8">
      <c r="A306" s="254" t="s">
        <v>71</v>
      </c>
      <c r="B306" s="47" t="s">
        <v>91</v>
      </c>
      <c r="C306" s="258" t="s">
        <v>43</v>
      </c>
      <c r="D306" s="263">
        <f>_xlfn.XLOOKUP("Natural Gas_CO2_TJ",Factors[For XLOOKUP],Factors[Value])/277777.777777777</f>
        <v>2.0043000000000055E-4</v>
      </c>
      <c r="E306" s="268" t="s">
        <v>273</v>
      </c>
      <c r="F306" s="82" t="s">
        <v>1109</v>
      </c>
      <c r="G306" s="83" t="s">
        <v>102</v>
      </c>
      <c r="H306" s="12" t="s">
        <v>275</v>
      </c>
    </row>
    <row r="307" spans="1:8" ht="28.8">
      <c r="A307" s="33" t="s">
        <v>105</v>
      </c>
      <c r="B307" s="47" t="s">
        <v>108</v>
      </c>
      <c r="C307" s="258" t="s">
        <v>38</v>
      </c>
      <c r="D307" s="84">
        <v>72.374821974732356</v>
      </c>
      <c r="E307" s="273" t="s">
        <v>195</v>
      </c>
      <c r="F307" s="82" t="s">
        <v>1212</v>
      </c>
      <c r="G307" s="85" t="s">
        <v>1211</v>
      </c>
      <c r="H307" s="22" t="s">
        <v>1218</v>
      </c>
    </row>
    <row r="308" spans="1:8" ht="28.8">
      <c r="A308" s="33" t="s">
        <v>105</v>
      </c>
      <c r="B308" s="47" t="s">
        <v>108</v>
      </c>
      <c r="C308" s="258" t="s">
        <v>282</v>
      </c>
      <c r="D308" s="84">
        <f>0.563818217737119*10^-3</f>
        <v>5.6381821773711903E-4</v>
      </c>
      <c r="E308" s="273" t="s">
        <v>203</v>
      </c>
      <c r="F308" s="82" t="s">
        <v>1212</v>
      </c>
      <c r="G308" s="85" t="s">
        <v>1211</v>
      </c>
      <c r="H308" s="22" t="s">
        <v>1213</v>
      </c>
    </row>
    <row r="309" spans="1:8" ht="28.8">
      <c r="A309" s="33" t="s">
        <v>105</v>
      </c>
      <c r="B309" s="47" t="s">
        <v>108</v>
      </c>
      <c r="C309" s="258" t="s">
        <v>32</v>
      </c>
      <c r="D309" s="84">
        <f>6.13620228374347*10^-3</f>
        <v>6.1362022837434709E-3</v>
      </c>
      <c r="E309" s="273" t="s">
        <v>197</v>
      </c>
      <c r="F309" s="82" t="s">
        <v>1212</v>
      </c>
      <c r="G309" s="85" t="s">
        <v>1211</v>
      </c>
      <c r="H309" s="22" t="s">
        <v>1214</v>
      </c>
    </row>
    <row r="310" spans="1:8" ht="28.8">
      <c r="A310" s="33" t="s">
        <v>105</v>
      </c>
      <c r="B310" s="47" t="s">
        <v>173</v>
      </c>
      <c r="C310" s="258" t="s">
        <v>23</v>
      </c>
      <c r="D310" s="82">
        <v>44.3</v>
      </c>
      <c r="E310" s="258" t="s">
        <v>24</v>
      </c>
      <c r="F310" s="82" t="s">
        <v>1216</v>
      </c>
      <c r="G310" s="82" t="s">
        <v>1217</v>
      </c>
      <c r="H310" s="12" t="s">
        <v>1206</v>
      </c>
    </row>
    <row r="311" spans="1:8" ht="43.2">
      <c r="A311" s="33" t="s">
        <v>105</v>
      </c>
      <c r="B311" s="47" t="s">
        <v>108</v>
      </c>
      <c r="C311" s="258" t="s">
        <v>38</v>
      </c>
      <c r="D311" s="84">
        <v>72.790000000000006</v>
      </c>
      <c r="E311" s="273" t="s">
        <v>195</v>
      </c>
      <c r="F311" s="82" t="s">
        <v>1396</v>
      </c>
      <c r="G311" s="85" t="s">
        <v>1395</v>
      </c>
      <c r="H311" s="22" t="s">
        <v>1397</v>
      </c>
    </row>
    <row r="312" spans="1:8" ht="43.2">
      <c r="A312" s="33" t="s">
        <v>105</v>
      </c>
      <c r="B312" s="47" t="s">
        <v>108</v>
      </c>
      <c r="C312" s="258" t="s">
        <v>282</v>
      </c>
      <c r="D312" s="84">
        <f>0.29*10^-3</f>
        <v>2.9E-4</v>
      </c>
      <c r="E312" s="273" t="s">
        <v>203</v>
      </c>
      <c r="F312" s="82" t="s">
        <v>1396</v>
      </c>
      <c r="G312" s="85" t="s">
        <v>1395</v>
      </c>
      <c r="H312" s="22" t="s">
        <v>1398</v>
      </c>
    </row>
    <row r="313" spans="1:8" ht="43.2">
      <c r="A313" s="33" t="s">
        <v>105</v>
      </c>
      <c r="B313" s="47" t="s">
        <v>108</v>
      </c>
      <c r="C313" s="258" t="s">
        <v>32</v>
      </c>
      <c r="D313" s="84">
        <f>4.64*10^-3</f>
        <v>4.64E-3</v>
      </c>
      <c r="E313" s="273" t="s">
        <v>197</v>
      </c>
      <c r="F313" s="82" t="s">
        <v>1396</v>
      </c>
      <c r="G313" s="85" t="s">
        <v>1395</v>
      </c>
      <c r="H313" s="22" t="s">
        <v>1399</v>
      </c>
    </row>
    <row r="314" spans="1:8" ht="43.2">
      <c r="A314" s="254" t="s">
        <v>105</v>
      </c>
      <c r="B314" s="47" t="s">
        <v>108</v>
      </c>
      <c r="C314" s="258" t="s">
        <v>282</v>
      </c>
      <c r="D314" s="84">
        <f>(2.75215234724618*10^-3)</f>
        <v>2.7521523472461801E-3</v>
      </c>
      <c r="E314" s="273" t="s">
        <v>203</v>
      </c>
      <c r="F314" s="82" t="s">
        <v>1109</v>
      </c>
      <c r="G314" s="85" t="s">
        <v>1119</v>
      </c>
      <c r="H314" s="12" t="s">
        <v>166</v>
      </c>
    </row>
    <row r="315" spans="1:8" ht="43.2">
      <c r="A315" s="254" t="s">
        <v>105</v>
      </c>
      <c r="B315" s="47" t="s">
        <v>108</v>
      </c>
      <c r="C315" s="258" t="s">
        <v>32</v>
      </c>
      <c r="D315" s="263">
        <f>10^-3*3</f>
        <v>3.0000000000000001E-3</v>
      </c>
      <c r="E315" s="268" t="s">
        <v>197</v>
      </c>
      <c r="F315" s="82" t="s">
        <v>1109</v>
      </c>
      <c r="G315" s="83" t="s">
        <v>1112</v>
      </c>
      <c r="H315" s="22" t="s">
        <v>151</v>
      </c>
    </row>
    <row r="316" spans="1:8" ht="43.2">
      <c r="A316" s="254" t="s">
        <v>105</v>
      </c>
      <c r="B316" s="47" t="s">
        <v>91</v>
      </c>
      <c r="C316" s="258" t="s">
        <v>38</v>
      </c>
      <c r="D316" s="263">
        <v>76.816511377534695</v>
      </c>
      <c r="E316" s="268" t="s">
        <v>195</v>
      </c>
      <c r="F316" s="82" t="s">
        <v>1109</v>
      </c>
      <c r="G316" s="83" t="s">
        <v>1112</v>
      </c>
      <c r="H316" s="22" t="s">
        <v>137</v>
      </c>
    </row>
    <row r="317" spans="1:8" ht="43.2">
      <c r="A317" s="262" t="s">
        <v>105</v>
      </c>
      <c r="B317" s="47" t="s">
        <v>108</v>
      </c>
      <c r="C317" s="82" t="s">
        <v>282</v>
      </c>
      <c r="D317" s="84">
        <f>10^-3*0.6</f>
        <v>5.9999999999999995E-4</v>
      </c>
      <c r="E317" s="85" t="s">
        <v>203</v>
      </c>
      <c r="F317" s="82" t="s">
        <v>1109</v>
      </c>
      <c r="G317" s="85" t="s">
        <v>1112</v>
      </c>
      <c r="H317" s="22" t="s">
        <v>165</v>
      </c>
    </row>
    <row r="318" spans="1:8" ht="43.2">
      <c r="A318" s="262" t="s">
        <v>105</v>
      </c>
      <c r="B318" s="47" t="s">
        <v>108</v>
      </c>
      <c r="C318" s="82" t="s">
        <v>38</v>
      </c>
      <c r="D318" s="263">
        <f>73.26</f>
        <v>73.260000000000005</v>
      </c>
      <c r="E318" s="83" t="s">
        <v>195</v>
      </c>
      <c r="F318" s="82" t="s">
        <v>1109</v>
      </c>
      <c r="G318" s="83" t="s">
        <v>1117</v>
      </c>
      <c r="H318" s="22" t="s">
        <v>136</v>
      </c>
    </row>
    <row r="319" spans="1:8" ht="43.2">
      <c r="A319" s="254" t="s">
        <v>105</v>
      </c>
      <c r="B319" s="47" t="s">
        <v>108</v>
      </c>
      <c r="C319" s="258" t="s">
        <v>32</v>
      </c>
      <c r="D319" s="263">
        <f>(16.7625019593613*10^-3)</f>
        <v>1.6762501959361298E-2</v>
      </c>
      <c r="E319" s="268" t="s">
        <v>197</v>
      </c>
      <c r="F319" s="82" t="s">
        <v>1109</v>
      </c>
      <c r="G319" s="83" t="s">
        <v>1118</v>
      </c>
      <c r="H319" s="12" t="s">
        <v>152</v>
      </c>
    </row>
    <row r="320" spans="1:8" ht="43.2">
      <c r="A320" s="254" t="s">
        <v>105</v>
      </c>
      <c r="B320" s="47" t="s">
        <v>108</v>
      </c>
      <c r="C320" s="258" t="s">
        <v>38</v>
      </c>
      <c r="D320" s="263">
        <f>73.26</f>
        <v>73.260000000000005</v>
      </c>
      <c r="E320" s="268" t="s">
        <v>195</v>
      </c>
      <c r="F320" s="82" t="s">
        <v>1109</v>
      </c>
      <c r="G320" s="83" t="s">
        <v>1118</v>
      </c>
      <c r="H320" s="12" t="s">
        <v>138</v>
      </c>
    </row>
    <row r="321" spans="1:8" ht="43.2">
      <c r="A321" s="262" t="s">
        <v>105</v>
      </c>
      <c r="B321" s="47" t="s">
        <v>108</v>
      </c>
      <c r="C321" s="82" t="s">
        <v>32</v>
      </c>
      <c r="D321" s="263">
        <f>(93.6246135418169*10^-3)</f>
        <v>9.3624613541816906E-2</v>
      </c>
      <c r="E321" s="83" t="s">
        <v>197</v>
      </c>
      <c r="F321" s="82" t="s">
        <v>1109</v>
      </c>
      <c r="G321" s="83" t="s">
        <v>1120</v>
      </c>
      <c r="H321" s="12" t="s">
        <v>228</v>
      </c>
    </row>
    <row r="322" spans="1:8" ht="43.2">
      <c r="A322" s="262" t="s">
        <v>105</v>
      </c>
      <c r="B322" s="47" t="s">
        <v>108</v>
      </c>
      <c r="C322" s="82" t="s">
        <v>38</v>
      </c>
      <c r="D322" s="263">
        <f>73.26</f>
        <v>73.260000000000005</v>
      </c>
      <c r="E322" s="83" t="s">
        <v>195</v>
      </c>
      <c r="F322" s="82" t="s">
        <v>1109</v>
      </c>
      <c r="G322" s="83" t="s">
        <v>1120</v>
      </c>
      <c r="H322" s="12" t="s">
        <v>139</v>
      </c>
    </row>
    <row r="323" spans="1:8" ht="43.2">
      <c r="A323" s="254" t="s">
        <v>105</v>
      </c>
      <c r="B323" s="47" t="s">
        <v>108</v>
      </c>
      <c r="C323" s="258" t="s">
        <v>282</v>
      </c>
      <c r="D323" s="84">
        <f>(1.53615664844663*10^-3)</f>
        <v>1.5361566484466301E-3</v>
      </c>
      <c r="E323" s="273" t="s">
        <v>203</v>
      </c>
      <c r="F323" s="82" t="s">
        <v>1109</v>
      </c>
      <c r="G323" s="85" t="s">
        <v>1120</v>
      </c>
      <c r="H323" s="12" t="s">
        <v>229</v>
      </c>
    </row>
    <row r="324" spans="1:8" ht="28.8">
      <c r="A324" s="254" t="s">
        <v>105</v>
      </c>
      <c r="B324" s="47" t="s">
        <v>108</v>
      </c>
      <c r="C324" s="258" t="s">
        <v>32</v>
      </c>
      <c r="D324" s="263">
        <f>(19.4054845156209*10^-3)</f>
        <v>1.9405484515620897E-2</v>
      </c>
      <c r="E324" s="268" t="s">
        <v>197</v>
      </c>
      <c r="F324" s="82" t="s">
        <v>1109</v>
      </c>
      <c r="G324" s="83" t="s">
        <v>1121</v>
      </c>
      <c r="H324" s="12" t="s">
        <v>149</v>
      </c>
    </row>
    <row r="325" spans="1:8" ht="28.8">
      <c r="A325" s="254" t="s">
        <v>105</v>
      </c>
      <c r="B325" s="47" t="s">
        <v>108</v>
      </c>
      <c r="C325" s="258" t="s">
        <v>38</v>
      </c>
      <c r="D325" s="263">
        <v>73.260000000000005</v>
      </c>
      <c r="E325" s="83" t="s">
        <v>195</v>
      </c>
      <c r="F325" s="82" t="s">
        <v>1109</v>
      </c>
      <c r="G325" s="83" t="s">
        <v>1121</v>
      </c>
      <c r="H325" s="12" t="s">
        <v>135</v>
      </c>
    </row>
    <row r="326" spans="1:8" ht="28.8">
      <c r="A326" s="254" t="s">
        <v>105</v>
      </c>
      <c r="B326" s="47" t="s">
        <v>108</v>
      </c>
      <c r="C326" s="258" t="s">
        <v>282</v>
      </c>
      <c r="D326" s="84">
        <f>(1.60663853445688*10^-3)</f>
        <v>1.6066385344568801E-3</v>
      </c>
      <c r="E326" s="85" t="s">
        <v>203</v>
      </c>
      <c r="F326" s="305" t="s">
        <v>1109</v>
      </c>
      <c r="G326" s="85" t="s">
        <v>1121</v>
      </c>
      <c r="H326" s="12" t="s">
        <v>163</v>
      </c>
    </row>
    <row r="327" spans="1:8" ht="43.2">
      <c r="A327" s="254" t="s">
        <v>105</v>
      </c>
      <c r="B327" s="33" t="s">
        <v>108</v>
      </c>
      <c r="C327" s="258" t="s">
        <v>282</v>
      </c>
      <c r="D327" s="272">
        <f>(1.35532333626123*10^-3)</f>
        <v>1.3553233362612301E-3</v>
      </c>
      <c r="E327" s="273" t="s">
        <v>203</v>
      </c>
      <c r="F327" s="258" t="s">
        <v>1109</v>
      </c>
      <c r="G327" s="273" t="s">
        <v>1114</v>
      </c>
      <c r="H327" s="22" t="s">
        <v>164</v>
      </c>
    </row>
    <row r="328" spans="1:8" ht="29.4" customHeight="1">
      <c r="A328" s="254" t="s">
        <v>105</v>
      </c>
      <c r="B328" s="33" t="s">
        <v>108</v>
      </c>
      <c r="C328" s="258" t="s">
        <v>32</v>
      </c>
      <c r="D328" s="271">
        <f>(9.33628915340323*10^-3)</f>
        <v>9.3362891534032304E-3</v>
      </c>
      <c r="E328" s="83" t="s">
        <v>197</v>
      </c>
      <c r="F328" s="258" t="s">
        <v>1109</v>
      </c>
      <c r="G328" s="268" t="s">
        <v>1114</v>
      </c>
      <c r="H328" s="25" t="s">
        <v>150</v>
      </c>
    </row>
    <row r="329" spans="1:8" ht="29.4" customHeight="1">
      <c r="A329" s="254" t="s">
        <v>105</v>
      </c>
      <c r="B329" s="33" t="s">
        <v>91</v>
      </c>
      <c r="C329" s="258" t="s">
        <v>281</v>
      </c>
      <c r="D329" s="84">
        <f>(2.60722971847836*10^-3)</f>
        <v>2.6072297184783601E-3</v>
      </c>
      <c r="E329" s="85" t="s">
        <v>203</v>
      </c>
      <c r="F329" s="82" t="s">
        <v>1109</v>
      </c>
      <c r="G329" s="85" t="s">
        <v>1115</v>
      </c>
      <c r="H329" s="13" t="s">
        <v>162</v>
      </c>
    </row>
    <row r="330" spans="1:8" ht="29.4" customHeight="1">
      <c r="A330" s="254" t="s">
        <v>105</v>
      </c>
      <c r="B330" s="33" t="s">
        <v>91</v>
      </c>
      <c r="C330" s="258" t="s">
        <v>31</v>
      </c>
      <c r="D330" s="263">
        <f>(2.07352354844556*10^-3)</f>
        <v>2.0735235484455601E-3</v>
      </c>
      <c r="E330" s="83" t="s">
        <v>197</v>
      </c>
      <c r="F330" s="82" t="s">
        <v>1109</v>
      </c>
      <c r="G330" s="83" t="s">
        <v>1115</v>
      </c>
      <c r="H330" s="13" t="s">
        <v>148</v>
      </c>
    </row>
    <row r="331" spans="1:8" ht="28.8">
      <c r="A331" s="33" t="s">
        <v>105</v>
      </c>
      <c r="B331" s="47" t="s">
        <v>173</v>
      </c>
      <c r="C331" s="258" t="s">
        <v>23</v>
      </c>
      <c r="D331" s="258">
        <v>42.79</v>
      </c>
      <c r="E331" s="82" t="s">
        <v>24</v>
      </c>
      <c r="F331" s="258" t="s">
        <v>1109</v>
      </c>
      <c r="G331" s="258" t="s">
        <v>1113</v>
      </c>
      <c r="H331" s="13" t="s">
        <v>171</v>
      </c>
    </row>
    <row r="332" spans="1:8" ht="28.8">
      <c r="A332" s="254" t="s">
        <v>105</v>
      </c>
      <c r="B332" s="33" t="s">
        <v>91</v>
      </c>
      <c r="C332" s="258" t="s">
        <v>43</v>
      </c>
      <c r="D332" s="271">
        <f>73.26</f>
        <v>73.260000000000005</v>
      </c>
      <c r="E332" s="83" t="s">
        <v>195</v>
      </c>
      <c r="F332" s="258" t="s">
        <v>1109</v>
      </c>
      <c r="G332" s="268" t="s">
        <v>1116</v>
      </c>
      <c r="H332" s="13" t="s">
        <v>134</v>
      </c>
    </row>
    <row r="333" spans="1:8" ht="28.8">
      <c r="A333" s="33" t="s">
        <v>105</v>
      </c>
      <c r="B333" s="33" t="s">
        <v>121</v>
      </c>
      <c r="C333" s="258" t="s">
        <v>26</v>
      </c>
      <c r="D333" s="258">
        <v>0.74750000000000005</v>
      </c>
      <c r="E333" s="82" t="s">
        <v>27</v>
      </c>
      <c r="F333" s="258" t="s">
        <v>37</v>
      </c>
      <c r="G333" s="258" t="s">
        <v>261</v>
      </c>
      <c r="H333" s="13" t="s">
        <v>172</v>
      </c>
    </row>
    <row r="334" spans="1:8">
      <c r="A334" s="47" t="s">
        <v>105</v>
      </c>
      <c r="B334" s="47" t="s">
        <v>173</v>
      </c>
      <c r="C334" s="258" t="s">
        <v>23</v>
      </c>
      <c r="D334" s="84">
        <v>44.75</v>
      </c>
      <c r="E334" s="82" t="s">
        <v>24</v>
      </c>
      <c r="F334" s="303" t="s">
        <v>1400</v>
      </c>
      <c r="G334" s="82"/>
      <c r="H334" s="12" t="s">
        <v>1394</v>
      </c>
    </row>
    <row r="335" spans="1:8">
      <c r="A335" s="33" t="s">
        <v>105</v>
      </c>
      <c r="B335" s="33" t="s">
        <v>121</v>
      </c>
      <c r="C335" s="258" t="s">
        <v>26</v>
      </c>
      <c r="D335" s="272">
        <v>0.74750000000000005</v>
      </c>
      <c r="E335" s="82" t="s">
        <v>27</v>
      </c>
      <c r="F335" s="306" t="s">
        <v>1215</v>
      </c>
      <c r="G335" s="82"/>
      <c r="H335" s="13" t="s">
        <v>1207</v>
      </c>
    </row>
    <row r="336" spans="1:8">
      <c r="A336" s="33" t="s">
        <v>105</v>
      </c>
      <c r="B336" s="47" t="s">
        <v>121</v>
      </c>
      <c r="C336" s="258" t="s">
        <v>26</v>
      </c>
      <c r="D336" s="84">
        <v>0.74070000000000003</v>
      </c>
      <c r="E336" s="82" t="s">
        <v>27</v>
      </c>
      <c r="F336" s="286" t="s">
        <v>1400</v>
      </c>
      <c r="G336" s="82"/>
      <c r="H336" s="12" t="s">
        <v>1393</v>
      </c>
    </row>
    <row r="337" spans="1:8">
      <c r="A337" s="33" t="s">
        <v>105</v>
      </c>
      <c r="B337" s="47" t="s">
        <v>108</v>
      </c>
      <c r="C337" s="258" t="s">
        <v>32</v>
      </c>
      <c r="D337" s="84">
        <f>_xlfn.XLOOKUP("petrol_base",Factors[For XLOOKUP],Factors[Value])*_xlfn.XLOOKUP(" generators_CH4_petrol_TJ",Factors[For XLOOKUP],Factors[Value])*10^-3</f>
        <v>9.595657500000001E-8</v>
      </c>
      <c r="E337" s="82" t="s">
        <v>200</v>
      </c>
      <c r="F337" s="82" t="s">
        <v>1109</v>
      </c>
      <c r="G337" s="85"/>
      <c r="H337" s="22" t="s">
        <v>207</v>
      </c>
    </row>
    <row r="338" spans="1:8">
      <c r="A338" s="33" t="s">
        <v>105</v>
      </c>
      <c r="B338" s="47" t="s">
        <v>108</v>
      </c>
      <c r="C338" s="258" t="s">
        <v>38</v>
      </c>
      <c r="D338" s="84">
        <f>_xlfn.XLOOKUP("petrol_base",Factors[For XLOOKUP],Factors[Value])*_xlfn.XLOOKUP(" generators_CO2_petrol_TJ",Factors[For XLOOKUP],Factors[Value])*10^-3</f>
        <v>2.4570164450789206E-3</v>
      </c>
      <c r="E338" s="82" t="s">
        <v>199</v>
      </c>
      <c r="F338" s="82" t="s">
        <v>1109</v>
      </c>
      <c r="G338" s="85"/>
      <c r="H338" s="22" t="s">
        <v>205</v>
      </c>
    </row>
    <row r="339" spans="1:8">
      <c r="A339" s="33" t="s">
        <v>105</v>
      </c>
      <c r="B339" s="47" t="s">
        <v>108</v>
      </c>
      <c r="C339" s="258" t="s">
        <v>282</v>
      </c>
      <c r="D339" s="84">
        <f>_xlfn.XLOOKUP("petrol_base",Factors[For XLOOKUP],Factors[Value])*_xlfn.XLOOKUP(" generators_N2O_petrol_TJ",Factors[For XLOOKUP],Factors[Value])*10^-3</f>
        <v>1.9191314999999997E-8</v>
      </c>
      <c r="E339" s="82" t="s">
        <v>213</v>
      </c>
      <c r="F339" s="82" t="s">
        <v>1109</v>
      </c>
      <c r="G339" s="85"/>
      <c r="H339" s="22" t="s">
        <v>209</v>
      </c>
    </row>
    <row r="340" spans="1:8">
      <c r="A340" s="254" t="s">
        <v>105</v>
      </c>
      <c r="B340" s="47" t="s">
        <v>91</v>
      </c>
      <c r="C340" s="258" t="s">
        <v>31</v>
      </c>
      <c r="D340" s="263">
        <f>_xlfn.XLOOKUP("petrol_base",Factors[For XLOOKUP],Factors[Value])*_xlfn.XLOOKUP(" plant machinery_CH4_petrol_TJ",Factors[For XLOOKUP],Factors[Value])*10^-3</f>
        <v>6.6322739296894177E-8</v>
      </c>
      <c r="E340" s="82" t="s">
        <v>200</v>
      </c>
      <c r="F340" s="82" t="s">
        <v>1109</v>
      </c>
      <c r="G340" s="83"/>
      <c r="H340" s="12" t="s">
        <v>270</v>
      </c>
    </row>
    <row r="341" spans="1:8">
      <c r="A341" s="254" t="s">
        <v>105</v>
      </c>
      <c r="B341" s="47" t="s">
        <v>91</v>
      </c>
      <c r="C341" s="258" t="s">
        <v>43</v>
      </c>
      <c r="D341" s="263">
        <f>_xlfn.XLOOKUP("petrol_base",Factors[For XLOOKUP],Factors[Value])*_xlfn.XLOOKUP(" plant machinery_CO2_petrol_TJ",Factors[For XLOOKUP],Factors[Value])*10^-3</f>
        <v>2.3432595615E-3</v>
      </c>
      <c r="E341" s="82" t="s">
        <v>199</v>
      </c>
      <c r="F341" s="82" t="s">
        <v>1109</v>
      </c>
      <c r="G341" s="83"/>
      <c r="H341" s="12" t="s">
        <v>268</v>
      </c>
    </row>
    <row r="342" spans="1:8">
      <c r="A342" s="254" t="s">
        <v>105</v>
      </c>
      <c r="B342" s="47" t="s">
        <v>91</v>
      </c>
      <c r="C342" s="258" t="s">
        <v>281</v>
      </c>
      <c r="D342" s="263">
        <f>_xlfn.XLOOKUP("petrol_base",Factors[For XLOOKUP],Factors[Value])*_xlfn.XLOOKUP(" plant machinery_N2O_petrol_TJ",Factors[For XLOOKUP],Factors[Value])*10^-3</f>
        <v>8.3393611341132544E-8</v>
      </c>
      <c r="E342" s="82" t="s">
        <v>213</v>
      </c>
      <c r="F342" s="82" t="s">
        <v>1109</v>
      </c>
      <c r="G342" s="85"/>
      <c r="H342" s="12" t="s">
        <v>272</v>
      </c>
    </row>
    <row r="343" spans="1:8">
      <c r="A343" s="33" t="s">
        <v>105</v>
      </c>
      <c r="B343" s="47" t="s">
        <v>108</v>
      </c>
      <c r="C343" s="258" t="s">
        <v>32</v>
      </c>
      <c r="D343" s="84">
        <f>_xlfn.XLOOKUP("petrol_base",Factors[For XLOOKUP],Factors[Value])*_xlfn.XLOOKUP("company vehicles_CH4_petrol_TJ",Factors[For XLOOKUP],Factors[Value])*10^-3</f>
        <v>2.9862611012340788E-7</v>
      </c>
      <c r="E343" s="82" t="s">
        <v>200</v>
      </c>
      <c r="F343" s="82" t="s">
        <v>1109</v>
      </c>
      <c r="G343" s="85"/>
      <c r="H343" s="22" t="s">
        <v>192</v>
      </c>
    </row>
    <row r="344" spans="1:8">
      <c r="A344" s="33" t="s">
        <v>105</v>
      </c>
      <c r="B344" s="47" t="s">
        <v>108</v>
      </c>
      <c r="C344" s="258" t="s">
        <v>38</v>
      </c>
      <c r="D344" s="84">
        <f>_xlfn.XLOOKUP("petrol_base",Factors[For XLOOKUP],Factors[Value])*_xlfn.XLOOKUP("company vehicles_CO2_petrol_TJ",Factors[For XLOOKUP],Factors[Value])*10^-3</f>
        <v>2.3432595615E-3</v>
      </c>
      <c r="E344" s="82" t="s">
        <v>199</v>
      </c>
      <c r="F344" s="82" t="s">
        <v>1109</v>
      </c>
      <c r="G344" s="85"/>
      <c r="H344" s="22" t="s">
        <v>190</v>
      </c>
    </row>
    <row r="345" spans="1:8">
      <c r="A345" s="33" t="s">
        <v>105</v>
      </c>
      <c r="B345" s="47" t="s">
        <v>108</v>
      </c>
      <c r="C345" s="258" t="s">
        <v>282</v>
      </c>
      <c r="D345" s="84">
        <f>_xlfn.XLOOKUP("petrol_base",Factors[For XLOOKUP],Factors[Value])*_xlfn.XLOOKUP("company vehicles_N2O_petrol_TJ",Factors[For XLOOKUP],Factors[Value])*10^-3</f>
        <v>4.3350728455066983E-8</v>
      </c>
      <c r="E345" s="82" t="s">
        <v>213</v>
      </c>
      <c r="F345" s="82" t="s">
        <v>1109</v>
      </c>
      <c r="G345" s="85"/>
      <c r="H345" s="22" t="s">
        <v>194</v>
      </c>
    </row>
    <row r="346" spans="1:8">
      <c r="A346" s="33" t="s">
        <v>105</v>
      </c>
      <c r="B346" s="47" t="s">
        <v>108</v>
      </c>
      <c r="C346" s="258" t="s">
        <v>32</v>
      </c>
      <c r="D346" s="84">
        <f>_xlfn.XLOOKUP("petrol_base_CU",Factors[For XLOOKUP],Factors[Value])*_xlfn.XLOOKUP("company vehicles_CH4_petrol_TJ_CU",Factors[For XLOOKUP],Factors[Value])*10^-3</f>
        <v>2.031957364744522E-7</v>
      </c>
      <c r="E346" s="82" t="s">
        <v>200</v>
      </c>
      <c r="F346" s="82" t="s">
        <v>1212</v>
      </c>
      <c r="G346" s="85"/>
      <c r="H346" s="22" t="s">
        <v>1208</v>
      </c>
    </row>
    <row r="347" spans="1:8">
      <c r="A347" s="33" t="s">
        <v>105</v>
      </c>
      <c r="B347" s="47" t="s">
        <v>108</v>
      </c>
      <c r="C347" s="258" t="s">
        <v>38</v>
      </c>
      <c r="D347" s="84">
        <f>_xlfn.XLOOKUP("petrol_base_CU",Factors[For XLOOKUP],Factors[Value])*_xlfn.XLOOKUP("company vehicles_CO2_petrol_TJ_CU",Factors[For XLOOKUP],Factors[Value])*10^-3</f>
        <v>2.396637948576781E-3</v>
      </c>
      <c r="E347" s="82" t="s">
        <v>199</v>
      </c>
      <c r="F347" s="82" t="s">
        <v>1212</v>
      </c>
      <c r="G347" s="85"/>
      <c r="H347" s="22" t="s">
        <v>1209</v>
      </c>
    </row>
    <row r="348" spans="1:8">
      <c r="A348" s="33" t="s">
        <v>105</v>
      </c>
      <c r="B348" s="47" t="s">
        <v>108</v>
      </c>
      <c r="C348" s="258" t="s">
        <v>282</v>
      </c>
      <c r="D348" s="84">
        <f>_xlfn.XLOOKUP("petrol_base_CU",Factors[For XLOOKUP],Factors[Value])*_xlfn.XLOOKUP("company vehicles_N2O_petrol_TJ_CU",Factors[For XLOOKUP],Factors[Value])*10^-3</f>
        <v>1.8670417416701394E-8</v>
      </c>
      <c r="E348" s="82" t="s">
        <v>213</v>
      </c>
      <c r="F348" s="82" t="s">
        <v>1212</v>
      </c>
      <c r="G348" s="85"/>
      <c r="H348" s="22" t="s">
        <v>1210</v>
      </c>
    </row>
    <row r="349" spans="1:8">
      <c r="A349" s="33" t="s">
        <v>105</v>
      </c>
      <c r="B349" s="47" t="s">
        <v>108</v>
      </c>
      <c r="C349" s="258" t="s">
        <v>32</v>
      </c>
      <c r="D349" s="84">
        <f>_xlfn.XLOOKUP("petrol_base_DE",Factors[For XLOOKUP],Factors[Value])*_xlfn.XLOOKUP("company vehicles_CH4_petrol_TJ_DE",Factors[For XLOOKUP],Factors[Value])*10^-3</f>
        <v>1.5379894800000004E-7</v>
      </c>
      <c r="E349" s="82" t="s">
        <v>200</v>
      </c>
      <c r="F349" s="82" t="s">
        <v>1396</v>
      </c>
      <c r="G349" s="85"/>
      <c r="H349" s="22" t="s">
        <v>1389</v>
      </c>
    </row>
    <row r="350" spans="1:8">
      <c r="A350" s="33" t="s">
        <v>105</v>
      </c>
      <c r="B350" s="47" t="s">
        <v>108</v>
      </c>
      <c r="C350" s="258" t="s">
        <v>38</v>
      </c>
      <c r="D350" s="84">
        <f>_xlfn.XLOOKUP("petrol_base_DE",Factors[For XLOOKUP],Factors[Value])*_xlfn.XLOOKUP("company vehicles_CO2_petrol_TJ_DE",Factors[For XLOOKUP],Factors[Value])*10^-3</f>
        <v>2.4127209967500004E-3</v>
      </c>
      <c r="E350" s="82" t="s">
        <v>199</v>
      </c>
      <c r="F350" s="82" t="s">
        <v>1396</v>
      </c>
      <c r="G350" s="85"/>
      <c r="H350" s="22" t="s">
        <v>1390</v>
      </c>
    </row>
    <row r="351" spans="1:8">
      <c r="A351" s="33" t="s">
        <v>105</v>
      </c>
      <c r="B351" s="47" t="s">
        <v>108</v>
      </c>
      <c r="C351" s="258" t="s">
        <v>282</v>
      </c>
      <c r="D351" s="84">
        <f>_xlfn.XLOOKUP("petrol_base_DE",Factors[For XLOOKUP],Factors[Value])*_xlfn.XLOOKUP("company vehicles_N2O_petrol_TJ_DE",Factors[For XLOOKUP],Factors[Value])*10^-3</f>
        <v>9.6124342500000022E-9</v>
      </c>
      <c r="E351" s="82" t="s">
        <v>213</v>
      </c>
      <c r="F351" s="82" t="s">
        <v>1396</v>
      </c>
      <c r="G351" s="85"/>
      <c r="H351" s="22" t="s">
        <v>1391</v>
      </c>
    </row>
    <row r="352" spans="1:8">
      <c r="A352" s="254" t="s">
        <v>105</v>
      </c>
      <c r="B352" s="47" t="s">
        <v>108</v>
      </c>
      <c r="C352" s="258" t="s">
        <v>32</v>
      </c>
      <c r="D352" s="263">
        <f>_xlfn.XLOOKUP("petrol_base",Factors[For XLOOKUP],Factors[Value])*_xlfn.XLOOKUP("heavy duty vehicles_CH4_petrol_TJ",Factors[For XLOOKUP],Factors[Value])*10^-3</f>
        <v>6.2069461011150519E-7</v>
      </c>
      <c r="E352" s="82" t="s">
        <v>200</v>
      </c>
      <c r="F352" s="82" t="s">
        <v>1109</v>
      </c>
      <c r="G352" s="83"/>
      <c r="H352" s="12" t="s">
        <v>218</v>
      </c>
    </row>
    <row r="353" spans="1:8">
      <c r="A353" s="254" t="s">
        <v>105</v>
      </c>
      <c r="B353" s="47" t="s">
        <v>108</v>
      </c>
      <c r="C353" s="258" t="s">
        <v>38</v>
      </c>
      <c r="D353" s="263">
        <f>_xlfn.XLOOKUP("petrol_base",Factors[For XLOOKUP],Factors[Value])*_xlfn.XLOOKUP("heavy duty vehicles_CO2_petrol_TJ",Factors[For XLOOKUP],Factors[Value])*10^-3</f>
        <v>2.3432595615E-3</v>
      </c>
      <c r="E353" s="82" t="s">
        <v>199</v>
      </c>
      <c r="F353" s="82" t="s">
        <v>1109</v>
      </c>
      <c r="G353" s="83"/>
      <c r="H353" s="12" t="s">
        <v>216</v>
      </c>
    </row>
    <row r="354" spans="1:8">
      <c r="A354" s="254" t="s">
        <v>105</v>
      </c>
      <c r="B354" s="47" t="s">
        <v>108</v>
      </c>
      <c r="C354" s="258" t="s">
        <v>282</v>
      </c>
      <c r="D354" s="263">
        <f>_xlfn.XLOOKUP("petrol_base",Factors[For XLOOKUP],Factors[Value])*_xlfn.XLOOKUP("heavy duty vehicles_N2O_petrol_TJ",Factors[For XLOOKUP],Factors[Value])*10^-3</f>
        <v>5.1389177009833898E-8</v>
      </c>
      <c r="E354" s="82" t="s">
        <v>213</v>
      </c>
      <c r="F354" s="82" t="s">
        <v>1109</v>
      </c>
      <c r="G354" s="85"/>
      <c r="H354" s="12" t="s">
        <v>220</v>
      </c>
    </row>
    <row r="355" spans="1:8">
      <c r="A355" s="254" t="s">
        <v>105</v>
      </c>
      <c r="B355" s="47" t="s">
        <v>108</v>
      </c>
      <c r="C355" s="258" t="s">
        <v>32</v>
      </c>
      <c r="D355" s="263">
        <f>_xlfn.XLOOKUP("petrol_base",Factors[For XLOOKUP],Factors[Value])*_xlfn.XLOOKUP("light duty trucks _CH4_petrol_TJ",Factors[For XLOOKUP],Factors[Value])*10^-3</f>
        <v>5.3615742548369984E-7</v>
      </c>
      <c r="E355" s="82" t="s">
        <v>200</v>
      </c>
      <c r="F355" s="82" t="s">
        <v>1109</v>
      </c>
      <c r="G355" s="83"/>
      <c r="H355" s="12" t="s">
        <v>224</v>
      </c>
    </row>
    <row r="356" spans="1:8">
      <c r="A356" s="254" t="s">
        <v>105</v>
      </c>
      <c r="B356" s="47" t="s">
        <v>108</v>
      </c>
      <c r="C356" s="258" t="s">
        <v>38</v>
      </c>
      <c r="D356" s="263">
        <f>_xlfn.XLOOKUP("petrol_base",Factors[For XLOOKUP],Factors[Value])*_xlfn.XLOOKUP("light duty trucks _CO2_petrol_TJ",Factors[For XLOOKUP],Factors[Value])*10^-3</f>
        <v>2.3432595615E-3</v>
      </c>
      <c r="E356" s="82" t="s">
        <v>199</v>
      </c>
      <c r="F356" s="82" t="s">
        <v>1109</v>
      </c>
      <c r="G356" s="83"/>
      <c r="H356" s="12" t="s">
        <v>222</v>
      </c>
    </row>
    <row r="357" spans="1:8">
      <c r="A357" s="254" t="s">
        <v>105</v>
      </c>
      <c r="B357" s="47" t="s">
        <v>108</v>
      </c>
      <c r="C357" s="258" t="s">
        <v>282</v>
      </c>
      <c r="D357" s="263">
        <f>_xlfn.XLOOKUP("petrol_base",Factors[For XLOOKUP],Factors[Value])*_xlfn.XLOOKUP("light duty trucks _N2O_petrol_TJ",Factors[For XLOOKUP],Factors[Value])*10^-3</f>
        <v>8.8029037706651387E-8</v>
      </c>
      <c r="E357" s="82" t="s">
        <v>213</v>
      </c>
      <c r="F357" s="82" t="s">
        <v>1109</v>
      </c>
      <c r="G357" s="85"/>
      <c r="H357" s="12" t="s">
        <v>226</v>
      </c>
    </row>
    <row r="358" spans="1:8">
      <c r="A358" s="254" t="s">
        <v>105</v>
      </c>
      <c r="B358" s="47" t="s">
        <v>108</v>
      </c>
      <c r="C358" s="258" t="s">
        <v>32</v>
      </c>
      <c r="D358" s="263">
        <f>_xlfn.XLOOKUP("petrol_base",Factors[For XLOOKUP],Factors[Value])*_xlfn.XLOOKUP("motorcycle_CH4_petrol_TJ",Factors[For XLOOKUP],Factors[Value])*10^-3</f>
        <v>2.9946324170571233E-6</v>
      </c>
      <c r="E358" s="82" t="s">
        <v>200</v>
      </c>
      <c r="F358" s="82" t="s">
        <v>1109</v>
      </c>
      <c r="G358" s="83"/>
      <c r="H358" s="12" t="s">
        <v>230</v>
      </c>
    </row>
    <row r="359" spans="1:8">
      <c r="A359" s="33" t="s">
        <v>105</v>
      </c>
      <c r="B359" s="47" t="s">
        <v>108</v>
      </c>
      <c r="C359" s="258" t="s">
        <v>38</v>
      </c>
      <c r="D359" s="263">
        <f>_xlfn.XLOOKUP("petrol_base",Factors[For XLOOKUP],Factors[Value])*_xlfn.XLOOKUP("motorcycle_CO2_petrol_TJ",Factors[For XLOOKUP],Factors[Value])*10^-3</f>
        <v>2.3432595615E-3</v>
      </c>
      <c r="E359" s="82" t="s">
        <v>199</v>
      </c>
      <c r="F359" s="82" t="s">
        <v>1109</v>
      </c>
      <c r="G359" s="85"/>
      <c r="H359" s="12" t="s">
        <v>227</v>
      </c>
    </row>
    <row r="360" spans="1:8">
      <c r="A360" s="254" t="s">
        <v>105</v>
      </c>
      <c r="B360" s="47" t="s">
        <v>108</v>
      </c>
      <c r="C360" s="258" t="s">
        <v>282</v>
      </c>
      <c r="D360" s="263">
        <f>_xlfn.XLOOKUP("petrol_base",Factors[For XLOOKUP],Factors[Value])*_xlfn.XLOOKUP("motorcycle_N2O_petrol_TJ",Factors[For XLOOKUP],Factors[Value])*10^-3</f>
        <v>4.9134776882805899E-8</v>
      </c>
      <c r="E360" s="82" t="s">
        <v>213</v>
      </c>
      <c r="F360" s="82" t="s">
        <v>1109</v>
      </c>
      <c r="G360" s="85"/>
      <c r="H360" s="12" t="s">
        <v>231</v>
      </c>
    </row>
    <row r="361" spans="1:8">
      <c r="A361" s="33" t="s">
        <v>169</v>
      </c>
      <c r="B361" s="47" t="s">
        <v>174</v>
      </c>
      <c r="C361" s="258" t="s">
        <v>34</v>
      </c>
      <c r="D361" s="84">
        <f>_xlfn.XLOOKUP("petrol_NCV",Factors[For XLOOKUP],Factors[Value])*_xlfn.XLOOKUP("petrol_density",Factors[For XLOOKUP],Factors[Value])*10^-3</f>
        <v>3.1985525000000001E-2</v>
      </c>
      <c r="E361" s="82" t="s">
        <v>35</v>
      </c>
      <c r="F361" s="82"/>
      <c r="G361" s="82"/>
      <c r="H361" s="12" t="s">
        <v>170</v>
      </c>
    </row>
    <row r="362" spans="1:8">
      <c r="A362" s="33" t="s">
        <v>169</v>
      </c>
      <c r="B362" s="47" t="s">
        <v>174</v>
      </c>
      <c r="C362" s="258" t="s">
        <v>34</v>
      </c>
      <c r="D362" s="84">
        <f>_xlfn.XLOOKUP("petrol_NCV_CU",Factors[For XLOOKUP],Factors[Value])*_xlfn.XLOOKUP("petrol_density_CU",Factors[For XLOOKUP],Factors[Value])*10^-3</f>
        <v>3.3114249999999998E-2</v>
      </c>
      <c r="E362" s="82" t="s">
        <v>35</v>
      </c>
      <c r="F362" s="82"/>
      <c r="G362" s="82"/>
      <c r="H362" s="12" t="s">
        <v>1219</v>
      </c>
    </row>
    <row r="363" spans="1:8">
      <c r="A363" s="33" t="s">
        <v>169</v>
      </c>
      <c r="B363" s="47" t="s">
        <v>174</v>
      </c>
      <c r="C363" s="258" t="s">
        <v>34</v>
      </c>
      <c r="D363" s="84">
        <f>_xlfn.XLOOKUP("petrol_NCV_DE",Factors[For XLOOKUP],Factors[Value])*_xlfn.XLOOKUP("petrol_density_DE",Factors[For XLOOKUP],Factors[Value])*10^-3</f>
        <v>3.3146325000000004E-2</v>
      </c>
      <c r="E363" s="82" t="s">
        <v>35</v>
      </c>
      <c r="F363" s="82"/>
      <c r="G363" s="82"/>
      <c r="H363" s="12" t="s">
        <v>1392</v>
      </c>
    </row>
    <row r="364" spans="1:8">
      <c r="A364" s="33" t="s">
        <v>187</v>
      </c>
      <c r="B364" s="47" t="s">
        <v>183</v>
      </c>
      <c r="C364" s="258" t="s">
        <v>54</v>
      </c>
      <c r="D364" s="82">
        <f>_xlfn.XLOOKUP("R-125_GWP",Factors[For XLOOKUP],Factors[Value])*0.466+_xlfn.XLOOKUP("R-134A_GWP",Factors[For XLOOKUP],Factors[Value])*0.5+_xlfn.XLOOKUP("R-600_GWP",Factors[For XLOOKUP],Factors[Value])*0.034</f>
        <v>2127.3220000000001</v>
      </c>
      <c r="E364" s="82" t="s">
        <v>55</v>
      </c>
      <c r="F364" s="82" t="s">
        <v>56</v>
      </c>
      <c r="G364" s="82" t="s">
        <v>185</v>
      </c>
      <c r="H364" s="12" t="s">
        <v>279</v>
      </c>
    </row>
    <row r="365" spans="1:8">
      <c r="A365" s="33" t="s">
        <v>187</v>
      </c>
      <c r="B365" s="47" t="s">
        <v>53</v>
      </c>
      <c r="C365" s="258" t="s">
        <v>54</v>
      </c>
      <c r="D365" s="82">
        <f>_xlfn.XLOOKUP("R-32_GWP",Factors[For XLOOKUP],Factors[Value])*0.23+_xlfn.XLOOKUP("R-125_GWP",Factors[For XLOOKUP],Factors[Value])*0.25+_xlfn.XLOOKUP("R-134A_GWP",Factors[For XLOOKUP],Factors[Value])*0.52</f>
        <v>1624.21</v>
      </c>
      <c r="E365" s="82" t="s">
        <v>55</v>
      </c>
      <c r="F365" s="82" t="s">
        <v>56</v>
      </c>
      <c r="G365" s="82" t="s">
        <v>57</v>
      </c>
      <c r="H365" s="12" t="s">
        <v>58</v>
      </c>
    </row>
    <row r="366" spans="1:8">
      <c r="A366" s="33" t="s">
        <v>187</v>
      </c>
      <c r="B366" s="47" t="s">
        <v>67</v>
      </c>
      <c r="C366" s="258" t="s">
        <v>54</v>
      </c>
      <c r="D366" s="82">
        <f>_xlfn.XLOOKUP("R-32_GWP",Factors[For XLOOKUP],Factors[Value])*0.5+_xlfn.XLOOKUP("R-125_GWP",Factors[For XLOOKUP],Factors[Value])*0.5</f>
        <v>1923.5</v>
      </c>
      <c r="E366" s="82" t="s">
        <v>55</v>
      </c>
      <c r="F366" s="82" t="s">
        <v>56</v>
      </c>
      <c r="G366" s="82" t="s">
        <v>68</v>
      </c>
      <c r="H366" s="12" t="s">
        <v>69</v>
      </c>
    </row>
    <row r="367" spans="1:8">
      <c r="A367" s="33" t="s">
        <v>187</v>
      </c>
      <c r="B367" s="47" t="s">
        <v>184</v>
      </c>
      <c r="C367" s="258" t="s">
        <v>54</v>
      </c>
      <c r="D367" s="82">
        <v>3</v>
      </c>
      <c r="E367" s="82" t="s">
        <v>55</v>
      </c>
      <c r="F367" s="82" t="s">
        <v>56</v>
      </c>
      <c r="G367" s="82"/>
      <c r="H367" s="12" t="s">
        <v>186</v>
      </c>
    </row>
    <row r="368" spans="1:8">
      <c r="A368" s="33" t="s">
        <v>187</v>
      </c>
      <c r="B368" s="47" t="s">
        <v>59</v>
      </c>
      <c r="C368" s="258" t="s">
        <v>54</v>
      </c>
      <c r="D368" s="82">
        <v>677</v>
      </c>
      <c r="E368" s="82" t="s">
        <v>55</v>
      </c>
      <c r="F368" s="82" t="s">
        <v>56</v>
      </c>
      <c r="G368" s="82"/>
      <c r="H368" s="22" t="s">
        <v>60</v>
      </c>
    </row>
    <row r="369" spans="1:8">
      <c r="A369" s="33" t="s">
        <v>187</v>
      </c>
      <c r="B369" s="47" t="s">
        <v>63</v>
      </c>
      <c r="C369" s="82" t="s">
        <v>54</v>
      </c>
      <c r="D369" s="82">
        <v>1300</v>
      </c>
      <c r="E369" s="82" t="s">
        <v>55</v>
      </c>
      <c r="F369" s="82" t="s">
        <v>56</v>
      </c>
      <c r="G369" s="82"/>
      <c r="H369" s="12" t="s">
        <v>64</v>
      </c>
    </row>
    <row r="370" spans="1:8">
      <c r="A370" s="33" t="s">
        <v>187</v>
      </c>
      <c r="B370" s="47" t="s">
        <v>61</v>
      </c>
      <c r="C370" s="258" t="s">
        <v>54</v>
      </c>
      <c r="D370" s="82">
        <v>3170</v>
      </c>
      <c r="E370" s="82" t="s">
        <v>55</v>
      </c>
      <c r="F370" s="82" t="s">
        <v>56</v>
      </c>
      <c r="G370" s="82"/>
      <c r="H370" s="22" t="s">
        <v>62</v>
      </c>
    </row>
    <row r="371" spans="1:8">
      <c r="A371" s="33" t="s">
        <v>187</v>
      </c>
      <c r="B371" s="47" t="s">
        <v>1182</v>
      </c>
      <c r="C371" s="258" t="s">
        <v>54</v>
      </c>
      <c r="D371" s="82">
        <v>1120</v>
      </c>
      <c r="E371" s="82" t="s">
        <v>55</v>
      </c>
      <c r="F371" s="82" t="s">
        <v>56</v>
      </c>
      <c r="G371" s="82"/>
      <c r="H371" s="22" t="s">
        <v>1184</v>
      </c>
    </row>
    <row r="372" spans="1:8" ht="43.2">
      <c r="A372" s="33" t="s">
        <v>821</v>
      </c>
      <c r="B372" s="47" t="s">
        <v>634</v>
      </c>
      <c r="C372" s="258" t="s">
        <v>283</v>
      </c>
      <c r="D372" s="84">
        <f>(1.09904+0.13516)*10^-3</f>
        <v>1.2342E-3</v>
      </c>
      <c r="E372" s="82" t="s">
        <v>1033</v>
      </c>
      <c r="F372" s="260" t="s">
        <v>1092</v>
      </c>
      <c r="G372" s="82" t="s">
        <v>892</v>
      </c>
      <c r="H372" s="12" t="s">
        <v>891</v>
      </c>
    </row>
    <row r="373" spans="1:8" ht="28.8">
      <c r="A373" s="33" t="s">
        <v>821</v>
      </c>
      <c r="B373" s="47" t="s">
        <v>633</v>
      </c>
      <c r="C373" s="258" t="s">
        <v>283</v>
      </c>
      <c r="D373" s="264">
        <f>(0.096015+0.02359)*10^-3</f>
        <v>1.19605E-4</v>
      </c>
      <c r="E373" s="82" t="s">
        <v>1033</v>
      </c>
      <c r="F373" s="261" t="s">
        <v>1092</v>
      </c>
      <c r="G373" s="265" t="s">
        <v>1034</v>
      </c>
      <c r="H373" s="168" t="s">
        <v>1032</v>
      </c>
    </row>
    <row r="374" spans="1:8" ht="28.8">
      <c r="A374" s="33" t="s">
        <v>821</v>
      </c>
      <c r="B374" s="47" t="s">
        <v>633</v>
      </c>
      <c r="C374" s="258" t="s">
        <v>283</v>
      </c>
      <c r="D374" s="84">
        <f>(0.87296+0.21154)*10^-3</f>
        <v>1.0845E-3</v>
      </c>
      <c r="E374" s="82" t="s">
        <v>765</v>
      </c>
      <c r="F374" s="260" t="s">
        <v>1092</v>
      </c>
      <c r="G374" s="82" t="s">
        <v>824</v>
      </c>
      <c r="H374" s="12" t="s">
        <v>826</v>
      </c>
    </row>
    <row r="375" spans="1:8" ht="28.8">
      <c r="A375" s="33" t="s">
        <v>821</v>
      </c>
      <c r="B375" s="47" t="s">
        <v>822</v>
      </c>
      <c r="C375" s="258" t="s">
        <v>283</v>
      </c>
      <c r="D375" s="84">
        <f>(0.25023+0.06128)*10^-3</f>
        <v>3.1151000000000003E-4</v>
      </c>
      <c r="E375" s="82" t="s">
        <v>765</v>
      </c>
      <c r="F375" s="260" t="s">
        <v>1092</v>
      </c>
      <c r="G375" s="82" t="s">
        <v>823</v>
      </c>
      <c r="H375" s="12" t="s">
        <v>825</v>
      </c>
    </row>
    <row r="376" spans="1:8" ht="28.8">
      <c r="A376" s="33" t="s">
        <v>821</v>
      </c>
      <c r="B376" s="47" t="s">
        <v>822</v>
      </c>
      <c r="C376" s="258" t="s">
        <v>283</v>
      </c>
      <c r="D376" s="84">
        <f>(0.61643+0.15095)*10^-3</f>
        <v>7.6738000000000012E-4</v>
      </c>
      <c r="E376" s="82" t="s">
        <v>1033</v>
      </c>
      <c r="F376" s="261" t="s">
        <v>1092</v>
      </c>
      <c r="G376" s="82" t="s">
        <v>823</v>
      </c>
      <c r="H376" s="12" t="s">
        <v>1178</v>
      </c>
    </row>
    <row r="377" spans="1:8" ht="28.8">
      <c r="A377" s="33" t="s">
        <v>759</v>
      </c>
      <c r="B377" s="47" t="s">
        <v>770</v>
      </c>
      <c r="C377" s="258" t="s">
        <v>283</v>
      </c>
      <c r="D377" s="259">
        <f>(0.11131+0.02555)*10^-3</f>
        <v>1.3686000000000001E-4</v>
      </c>
      <c r="E377" s="260" t="s">
        <v>768</v>
      </c>
      <c r="F377" s="260" t="s">
        <v>1092</v>
      </c>
      <c r="G377" s="260" t="s">
        <v>769</v>
      </c>
      <c r="H377" s="12" t="s">
        <v>763</v>
      </c>
    </row>
    <row r="378" spans="1:8" ht="43.2">
      <c r="A378" s="33" t="s">
        <v>759</v>
      </c>
      <c r="B378" s="47" t="s">
        <v>767</v>
      </c>
      <c r="C378" s="258" t="s">
        <v>283</v>
      </c>
      <c r="D378" s="259">
        <f>(0.1645+0.04599)*10^-3</f>
        <v>2.1049000000000003E-4</v>
      </c>
      <c r="E378" s="266" t="s">
        <v>765</v>
      </c>
      <c r="F378" s="260" t="s">
        <v>1092</v>
      </c>
      <c r="G378" s="260" t="s">
        <v>766</v>
      </c>
      <c r="H378" s="12" t="s">
        <v>762</v>
      </c>
    </row>
    <row r="379" spans="1:8">
      <c r="A379" s="33" t="s">
        <v>759</v>
      </c>
      <c r="B379" s="47" t="s">
        <v>771</v>
      </c>
      <c r="C379" s="258" t="s">
        <v>283</v>
      </c>
      <c r="D379" s="84">
        <f>0.11*10^-3*1.053</f>
        <v>1.1582999999999999E-4</v>
      </c>
      <c r="E379" s="82" t="s">
        <v>579</v>
      </c>
      <c r="F379" s="82" t="s">
        <v>1133</v>
      </c>
      <c r="G379" s="82" t="s">
        <v>771</v>
      </c>
      <c r="H379" s="12" t="s">
        <v>764</v>
      </c>
    </row>
    <row r="380" spans="1:8">
      <c r="A380" s="33" t="s">
        <v>759</v>
      </c>
      <c r="B380" s="47" t="s">
        <v>885</v>
      </c>
      <c r="C380" s="258" t="s">
        <v>283</v>
      </c>
      <c r="D380" s="84">
        <f>0.644*10^-3*1.053</f>
        <v>6.7813200000000002E-4</v>
      </c>
      <c r="E380" s="82" t="s">
        <v>579</v>
      </c>
      <c r="F380" s="82" t="s">
        <v>1133</v>
      </c>
      <c r="G380" s="82" t="s">
        <v>883</v>
      </c>
      <c r="H380" s="12" t="s">
        <v>884</v>
      </c>
    </row>
    <row r="381" spans="1:8">
      <c r="A381" s="33" t="s">
        <v>759</v>
      </c>
      <c r="B381" s="47"/>
      <c r="C381" s="258" t="s">
        <v>760</v>
      </c>
      <c r="D381" s="84">
        <v>1</v>
      </c>
      <c r="E381" s="82"/>
      <c r="F381" s="82"/>
      <c r="G381" s="82"/>
      <c r="H381" s="12" t="s">
        <v>760</v>
      </c>
    </row>
    <row r="382" spans="1:8">
      <c r="A382" s="33" t="s">
        <v>759</v>
      </c>
      <c r="B382" s="47"/>
      <c r="C382" s="258" t="s">
        <v>74</v>
      </c>
      <c r="D382" s="84">
        <v>1</v>
      </c>
      <c r="E382" s="82"/>
      <c r="F382" s="82"/>
      <c r="G382" s="82"/>
      <c r="H382" s="12" t="s">
        <v>761</v>
      </c>
    </row>
    <row r="383" spans="1:8">
      <c r="A383" s="33" t="s">
        <v>113</v>
      </c>
      <c r="B383" s="33"/>
      <c r="C383" s="258" t="s">
        <v>283</v>
      </c>
      <c r="D383" s="299">
        <v>0.19841603596638982</v>
      </c>
      <c r="E383" s="258" t="s">
        <v>747</v>
      </c>
      <c r="F383" s="258" t="s">
        <v>1362</v>
      </c>
      <c r="G383" s="258" t="s">
        <v>740</v>
      </c>
      <c r="H383" s="13" t="s">
        <v>721</v>
      </c>
    </row>
    <row r="384" spans="1:8">
      <c r="A384" s="33" t="s">
        <v>113</v>
      </c>
      <c r="B384" s="33"/>
      <c r="C384" s="258" t="s">
        <v>283</v>
      </c>
      <c r="D384" s="272">
        <v>2.2046226218487758E-2</v>
      </c>
      <c r="E384" s="258" t="s">
        <v>747</v>
      </c>
      <c r="F384" s="258" t="s">
        <v>1362</v>
      </c>
      <c r="G384" s="258" t="s">
        <v>1359</v>
      </c>
      <c r="H384" s="13" t="s">
        <v>1346</v>
      </c>
    </row>
    <row r="385" spans="1:8">
      <c r="A385" s="33" t="s">
        <v>113</v>
      </c>
      <c r="B385" s="33"/>
      <c r="C385" s="258" t="s">
        <v>283</v>
      </c>
      <c r="D385" s="272">
        <v>1.1023113109243879E-2</v>
      </c>
      <c r="E385" s="258" t="s">
        <v>747</v>
      </c>
      <c r="F385" s="258" t="s">
        <v>1362</v>
      </c>
      <c r="G385" s="258" t="s">
        <v>739</v>
      </c>
      <c r="H385" s="13" t="s">
        <v>720</v>
      </c>
    </row>
    <row r="386" spans="1:8">
      <c r="A386" s="33" t="s">
        <v>113</v>
      </c>
      <c r="B386" s="33"/>
      <c r="C386" s="258" t="s">
        <v>283</v>
      </c>
      <c r="D386" s="84">
        <v>0.12125424420168267</v>
      </c>
      <c r="E386" s="82" t="s">
        <v>747</v>
      </c>
      <c r="F386" s="82" t="s">
        <v>1362</v>
      </c>
      <c r="G386" s="82" t="s">
        <v>1361</v>
      </c>
      <c r="H386" s="13" t="s">
        <v>1348</v>
      </c>
    </row>
    <row r="387" spans="1:8">
      <c r="A387" s="33" t="s">
        <v>113</v>
      </c>
      <c r="B387" s="33"/>
      <c r="C387" s="258" t="s">
        <v>283</v>
      </c>
      <c r="D387" s="84">
        <v>0.74957169142858371</v>
      </c>
      <c r="E387" s="82" t="s">
        <v>747</v>
      </c>
      <c r="F387" s="82" t="s">
        <v>1362</v>
      </c>
      <c r="G387" s="82" t="s">
        <v>1051</v>
      </c>
      <c r="H387" s="13" t="s">
        <v>1044</v>
      </c>
    </row>
    <row r="388" spans="1:8">
      <c r="A388" s="33" t="s">
        <v>113</v>
      </c>
      <c r="B388" s="33"/>
      <c r="C388" s="258" t="s">
        <v>283</v>
      </c>
      <c r="D388" s="272">
        <v>1.1023113109243879E-2</v>
      </c>
      <c r="E388" s="258" t="s">
        <v>747</v>
      </c>
      <c r="F388" s="82" t="s">
        <v>1362</v>
      </c>
      <c r="G388" s="33" t="s">
        <v>735</v>
      </c>
      <c r="H388" s="13" t="s">
        <v>716</v>
      </c>
    </row>
    <row r="389" spans="1:8">
      <c r="A389" s="47" t="s">
        <v>113</v>
      </c>
      <c r="B389" s="47"/>
      <c r="C389" s="82" t="s">
        <v>283</v>
      </c>
      <c r="D389" s="84">
        <v>2.2046226218487758E-2</v>
      </c>
      <c r="E389" s="82" t="s">
        <v>747</v>
      </c>
      <c r="F389" s="82" t="s">
        <v>1362</v>
      </c>
      <c r="G389" s="82" t="s">
        <v>736</v>
      </c>
      <c r="H389" s="12" t="s">
        <v>717</v>
      </c>
    </row>
    <row r="390" spans="1:8">
      <c r="A390" s="47" t="s">
        <v>113</v>
      </c>
      <c r="B390" s="47"/>
      <c r="C390" s="258" t="s">
        <v>283</v>
      </c>
      <c r="D390" s="267">
        <v>5.5115565546219394E-2</v>
      </c>
      <c r="E390" s="82" t="s">
        <v>747</v>
      </c>
      <c r="F390" s="82" t="s">
        <v>1362</v>
      </c>
      <c r="G390" s="82" t="s">
        <v>734</v>
      </c>
      <c r="H390" s="12" t="s">
        <v>715</v>
      </c>
    </row>
    <row r="391" spans="1:8">
      <c r="A391" s="47" t="s">
        <v>113</v>
      </c>
      <c r="B391" s="47"/>
      <c r="C391" s="258" t="s">
        <v>283</v>
      </c>
      <c r="D391" s="84">
        <v>0.30864716705882861</v>
      </c>
      <c r="E391" s="82" t="s">
        <v>747</v>
      </c>
      <c r="F391" s="82" t="s">
        <v>1362</v>
      </c>
      <c r="G391" s="82" t="s">
        <v>1350</v>
      </c>
      <c r="H391" s="12" t="s">
        <v>1344</v>
      </c>
    </row>
    <row r="392" spans="1:8">
      <c r="A392" s="47" t="s">
        <v>113</v>
      </c>
      <c r="B392" s="47"/>
      <c r="C392" s="82" t="s">
        <v>283</v>
      </c>
      <c r="D392" s="84">
        <v>0.30864716705882861</v>
      </c>
      <c r="E392" s="82" t="s">
        <v>747</v>
      </c>
      <c r="F392" s="82" t="s">
        <v>1362</v>
      </c>
      <c r="G392" s="82" t="s">
        <v>1350</v>
      </c>
      <c r="H392" s="12" t="s">
        <v>1384</v>
      </c>
    </row>
    <row r="393" spans="1:8">
      <c r="A393" s="47" t="s">
        <v>113</v>
      </c>
      <c r="B393" s="47"/>
      <c r="C393" s="47" t="s">
        <v>283</v>
      </c>
      <c r="D393" s="285">
        <f>0.0000551155655462194*10^3</f>
        <v>5.5115565546219401E-2</v>
      </c>
      <c r="E393" s="47" t="s">
        <v>1387</v>
      </c>
      <c r="F393" s="47" t="s">
        <v>1362</v>
      </c>
      <c r="G393" s="47" t="s">
        <v>1388</v>
      </c>
      <c r="H393" s="12" t="s">
        <v>1385</v>
      </c>
    </row>
    <row r="394" spans="1:8">
      <c r="A394" s="47" t="s">
        <v>113</v>
      </c>
      <c r="B394" s="47"/>
      <c r="C394" s="258" t="s">
        <v>283</v>
      </c>
      <c r="D394" s="84">
        <v>0.1543235835294143</v>
      </c>
      <c r="E394" s="82" t="s">
        <v>747</v>
      </c>
      <c r="F394" s="82" t="s">
        <v>1362</v>
      </c>
      <c r="G394" s="82" t="s">
        <v>315</v>
      </c>
      <c r="H394" s="12" t="s">
        <v>713</v>
      </c>
    </row>
    <row r="395" spans="1:8">
      <c r="A395" s="47" t="s">
        <v>113</v>
      </c>
      <c r="B395" s="47"/>
      <c r="C395" s="258" t="s">
        <v>283</v>
      </c>
      <c r="D395" s="84">
        <v>0.23148537529412144</v>
      </c>
      <c r="E395" s="82" t="s">
        <v>747</v>
      </c>
      <c r="F395" s="82" t="s">
        <v>1362</v>
      </c>
      <c r="G395" s="82" t="s">
        <v>745</v>
      </c>
      <c r="H395" s="12" t="s">
        <v>727</v>
      </c>
    </row>
    <row r="396" spans="1:8">
      <c r="A396" s="47" t="s">
        <v>113</v>
      </c>
      <c r="B396" s="47"/>
      <c r="C396" s="82" t="s">
        <v>283</v>
      </c>
      <c r="D396" s="84">
        <v>2.4404656276834</v>
      </c>
      <c r="E396" s="82" t="s">
        <v>747</v>
      </c>
      <c r="F396" s="82" t="s">
        <v>1363</v>
      </c>
      <c r="G396" s="82" t="s">
        <v>1360</v>
      </c>
      <c r="H396" s="12" t="s">
        <v>1347</v>
      </c>
    </row>
    <row r="397" spans="1:8" ht="43.2">
      <c r="A397" s="47" t="s">
        <v>113</v>
      </c>
      <c r="B397" s="47"/>
      <c r="C397" s="82" t="s">
        <v>283</v>
      </c>
      <c r="D397" s="84">
        <v>4.4319176903303399E-2</v>
      </c>
      <c r="E397" s="82" t="s">
        <v>747</v>
      </c>
      <c r="F397" s="82" t="s">
        <v>1363</v>
      </c>
      <c r="G397" s="82" t="s">
        <v>741</v>
      </c>
      <c r="H397" s="12" t="s">
        <v>1045</v>
      </c>
    </row>
    <row r="398" spans="1:8" ht="28.8">
      <c r="A398" s="47" t="s">
        <v>113</v>
      </c>
      <c r="B398" s="47"/>
      <c r="C398" s="82" t="s">
        <v>283</v>
      </c>
      <c r="D398" s="84">
        <v>2.8549618764799001</v>
      </c>
      <c r="E398" s="82" t="s">
        <v>747</v>
      </c>
      <c r="F398" s="82" t="s">
        <v>1363</v>
      </c>
      <c r="G398" s="82" t="s">
        <v>732</v>
      </c>
      <c r="H398" s="12" t="s">
        <v>712</v>
      </c>
    </row>
    <row r="399" spans="1:8" ht="28.8">
      <c r="A399" s="47" t="s">
        <v>113</v>
      </c>
      <c r="B399" s="33"/>
      <c r="C399" s="258" t="s">
        <v>283</v>
      </c>
      <c r="D399" s="272">
        <v>1.05157427048723</v>
      </c>
      <c r="E399" s="258" t="s">
        <v>747</v>
      </c>
      <c r="F399" s="258" t="s">
        <v>1363</v>
      </c>
      <c r="G399" s="258" t="s">
        <v>746</v>
      </c>
      <c r="H399" s="13" t="s">
        <v>728</v>
      </c>
    </row>
    <row r="400" spans="1:8">
      <c r="A400" s="47" t="s">
        <v>113</v>
      </c>
      <c r="B400" s="47"/>
      <c r="C400" s="82" t="s">
        <v>283</v>
      </c>
      <c r="D400" s="84">
        <v>0.63934056033614495</v>
      </c>
      <c r="E400" s="82" t="s">
        <v>747</v>
      </c>
      <c r="F400" s="82" t="s">
        <v>1362</v>
      </c>
      <c r="G400" s="82" t="s">
        <v>742</v>
      </c>
      <c r="H400" s="12" t="s">
        <v>724</v>
      </c>
    </row>
    <row r="401" spans="1:8">
      <c r="A401" s="47" t="s">
        <v>113</v>
      </c>
      <c r="B401" s="47"/>
      <c r="C401" s="82" t="s">
        <v>283</v>
      </c>
      <c r="D401" s="84">
        <v>5.5115565546219394E-2</v>
      </c>
      <c r="E401" s="82" t="s">
        <v>747</v>
      </c>
      <c r="F401" s="82" t="s">
        <v>1362</v>
      </c>
      <c r="G401" s="82" t="s">
        <v>738</v>
      </c>
      <c r="H401" s="12" t="s">
        <v>719</v>
      </c>
    </row>
    <row r="402" spans="1:8">
      <c r="A402" s="47" t="s">
        <v>113</v>
      </c>
      <c r="B402" s="47"/>
      <c r="C402" s="258" t="s">
        <v>283</v>
      </c>
      <c r="D402" s="272">
        <v>0.14330047042017041</v>
      </c>
      <c r="E402" s="258" t="s">
        <v>747</v>
      </c>
      <c r="F402" s="258" t="s">
        <v>1362</v>
      </c>
      <c r="G402" s="258" t="s">
        <v>729</v>
      </c>
      <c r="H402" s="12" t="s">
        <v>702</v>
      </c>
    </row>
    <row r="403" spans="1:8">
      <c r="A403" s="47" t="s">
        <v>113</v>
      </c>
      <c r="B403" s="47"/>
      <c r="C403" s="82" t="s">
        <v>283</v>
      </c>
      <c r="D403" s="84">
        <v>0.59524810789916949</v>
      </c>
      <c r="E403" s="82" t="s">
        <v>747</v>
      </c>
      <c r="F403" s="82" t="s">
        <v>1362</v>
      </c>
      <c r="G403" s="82" t="s">
        <v>1048</v>
      </c>
      <c r="H403" s="12" t="s">
        <v>703</v>
      </c>
    </row>
    <row r="404" spans="1:8">
      <c r="A404" s="47" t="s">
        <v>113</v>
      </c>
      <c r="B404" s="47"/>
      <c r="C404" s="82" t="s">
        <v>283</v>
      </c>
      <c r="D404" s="84">
        <f>0.000981057066722705*10^3</f>
        <v>0.9810570667227051</v>
      </c>
      <c r="E404" s="82" t="s">
        <v>747</v>
      </c>
      <c r="F404" s="82" t="s">
        <v>1362</v>
      </c>
      <c r="G404" s="82" t="s">
        <v>1386</v>
      </c>
      <c r="H404" s="12" t="s">
        <v>1383</v>
      </c>
    </row>
    <row r="405" spans="1:8">
      <c r="A405" s="47" t="s">
        <v>113</v>
      </c>
      <c r="B405" s="47"/>
      <c r="C405" s="258" t="s">
        <v>283</v>
      </c>
      <c r="D405" s="272">
        <v>7.7161791764707152E-2</v>
      </c>
      <c r="E405" s="258" t="s">
        <v>747</v>
      </c>
      <c r="F405" s="258" t="s">
        <v>1362</v>
      </c>
      <c r="G405" s="258" t="s">
        <v>730</v>
      </c>
      <c r="H405" s="12" t="s">
        <v>707</v>
      </c>
    </row>
    <row r="406" spans="1:8">
      <c r="A406" s="47" t="s">
        <v>113</v>
      </c>
      <c r="B406" s="47"/>
      <c r="C406" s="258" t="s">
        <v>283</v>
      </c>
      <c r="D406" s="84">
        <v>2.5794084675630673</v>
      </c>
      <c r="E406" s="258" t="s">
        <v>747</v>
      </c>
      <c r="F406" s="258" t="s">
        <v>1362</v>
      </c>
      <c r="G406" s="82" t="s">
        <v>1050</v>
      </c>
      <c r="H406" s="12" t="s">
        <v>1043</v>
      </c>
    </row>
    <row r="407" spans="1:8">
      <c r="A407" s="47" t="s">
        <v>113</v>
      </c>
      <c r="B407" s="33"/>
      <c r="C407" s="258" t="s">
        <v>283</v>
      </c>
      <c r="D407" s="272">
        <v>2.2046226218487758E-2</v>
      </c>
      <c r="E407" s="258" t="s">
        <v>747</v>
      </c>
      <c r="F407" s="258" t="s">
        <v>1362</v>
      </c>
      <c r="G407" s="82" t="s">
        <v>744</v>
      </c>
      <c r="H407" s="13" t="s">
        <v>726</v>
      </c>
    </row>
    <row r="408" spans="1:8">
      <c r="A408" s="33" t="s">
        <v>113</v>
      </c>
      <c r="B408" s="33"/>
      <c r="C408" s="82" t="s">
        <v>283</v>
      </c>
      <c r="D408" s="272">
        <v>0.24250848840336534</v>
      </c>
      <c r="E408" s="258" t="s">
        <v>747</v>
      </c>
      <c r="F408" s="258" t="s">
        <v>1362</v>
      </c>
      <c r="G408" s="258" t="s">
        <v>743</v>
      </c>
      <c r="H408" s="13" t="s">
        <v>725</v>
      </c>
    </row>
    <row r="409" spans="1:8">
      <c r="A409" s="33" t="s">
        <v>113</v>
      </c>
      <c r="B409" s="33"/>
      <c r="C409" s="82" t="s">
        <v>283</v>
      </c>
      <c r="D409" s="267">
        <v>0.82673348319329087</v>
      </c>
      <c r="E409" s="82" t="s">
        <v>747</v>
      </c>
      <c r="F409" s="258" t="s">
        <v>1362</v>
      </c>
      <c r="G409" s="258" t="s">
        <v>1039</v>
      </c>
      <c r="H409" s="13" t="s">
        <v>711</v>
      </c>
    </row>
    <row r="410" spans="1:8">
      <c r="A410" s="33" t="s">
        <v>113</v>
      </c>
      <c r="B410" s="33"/>
      <c r="C410" s="82" t="s">
        <v>283</v>
      </c>
      <c r="D410" s="84">
        <v>9.920801798319491E-2</v>
      </c>
      <c r="E410" s="82" t="s">
        <v>747</v>
      </c>
      <c r="F410" s="258" t="s">
        <v>1362</v>
      </c>
      <c r="G410" s="258" t="s">
        <v>731</v>
      </c>
      <c r="H410" s="13" t="s">
        <v>708</v>
      </c>
    </row>
    <row r="411" spans="1:8">
      <c r="A411" s="33" t="s">
        <v>113</v>
      </c>
      <c r="B411" s="33"/>
      <c r="C411" s="82" t="s">
        <v>283</v>
      </c>
      <c r="D411" s="272">
        <v>0.25353160151260923</v>
      </c>
      <c r="E411" s="258" t="s">
        <v>747</v>
      </c>
      <c r="F411" s="82" t="s">
        <v>1362</v>
      </c>
      <c r="G411" s="258" t="s">
        <v>1053</v>
      </c>
      <c r="H411" s="13" t="s">
        <v>1047</v>
      </c>
    </row>
    <row r="412" spans="1:8">
      <c r="A412" s="33" t="s">
        <v>113</v>
      </c>
      <c r="B412" s="33"/>
      <c r="C412" s="82" t="s">
        <v>283</v>
      </c>
      <c r="D412" s="272">
        <v>8.8838600000000004E-3</v>
      </c>
      <c r="E412" s="258" t="s">
        <v>747</v>
      </c>
      <c r="F412" s="82" t="s">
        <v>1092</v>
      </c>
      <c r="G412" s="258" t="s">
        <v>1052</v>
      </c>
      <c r="H412" s="13" t="s">
        <v>1046</v>
      </c>
    </row>
    <row r="413" spans="1:8">
      <c r="A413" s="33" t="s">
        <v>113</v>
      </c>
      <c r="B413" s="47"/>
      <c r="C413" s="82" t="s">
        <v>283</v>
      </c>
      <c r="D413" s="84">
        <v>0.11023113109243879</v>
      </c>
      <c r="E413" s="82" t="s">
        <v>747</v>
      </c>
      <c r="F413" s="82" t="s">
        <v>1362</v>
      </c>
      <c r="G413" s="82" t="s">
        <v>737</v>
      </c>
      <c r="H413" s="12" t="s">
        <v>718</v>
      </c>
    </row>
    <row r="414" spans="1:8" ht="43.2">
      <c r="A414" s="33" t="s">
        <v>113</v>
      </c>
      <c r="B414" s="47"/>
      <c r="C414" s="82" t="s">
        <v>283</v>
      </c>
      <c r="D414" s="84">
        <v>0.32822159278727803</v>
      </c>
      <c r="E414" s="82" t="s">
        <v>747</v>
      </c>
      <c r="F414" s="82" t="s">
        <v>1363</v>
      </c>
      <c r="G414" s="82" t="s">
        <v>1049</v>
      </c>
      <c r="H414" s="12" t="s">
        <v>709</v>
      </c>
    </row>
    <row r="415" spans="1:8">
      <c r="A415" s="33" t="s">
        <v>113</v>
      </c>
      <c r="B415" s="47"/>
      <c r="C415" s="82" t="s">
        <v>283</v>
      </c>
      <c r="D415" s="84">
        <v>6.4106099999999997E-3</v>
      </c>
      <c r="E415" s="82" t="s">
        <v>747</v>
      </c>
      <c r="F415" s="82" t="s">
        <v>1092</v>
      </c>
      <c r="G415" s="82" t="s">
        <v>733</v>
      </c>
      <c r="H415" s="12" t="s">
        <v>1056</v>
      </c>
    </row>
    <row r="416" spans="1:8">
      <c r="A416" s="33" t="s">
        <v>113</v>
      </c>
      <c r="B416" s="47"/>
      <c r="C416" s="82" t="s">
        <v>283</v>
      </c>
      <c r="D416" s="84">
        <v>1.2339999999999999E-3</v>
      </c>
      <c r="E416" s="82" t="s">
        <v>747</v>
      </c>
      <c r="F416" s="82" t="s">
        <v>1092</v>
      </c>
      <c r="G416" s="82" t="s">
        <v>1357</v>
      </c>
      <c r="H416" s="12" t="s">
        <v>1345</v>
      </c>
    </row>
    <row r="417" spans="1:8">
      <c r="A417" s="33" t="s">
        <v>113</v>
      </c>
      <c r="B417" s="33"/>
      <c r="C417" s="82" t="s">
        <v>283</v>
      </c>
      <c r="D417" s="258">
        <v>9.8485E-4</v>
      </c>
      <c r="E417" s="258" t="s">
        <v>747</v>
      </c>
      <c r="F417" s="258" t="s">
        <v>1092</v>
      </c>
      <c r="G417" s="258" t="s">
        <v>1354</v>
      </c>
      <c r="H417" s="13" t="s">
        <v>701</v>
      </c>
    </row>
    <row r="418" spans="1:8">
      <c r="A418" s="33" t="s">
        <v>113</v>
      </c>
      <c r="B418" s="33"/>
      <c r="C418" s="82" t="s">
        <v>283</v>
      </c>
      <c r="D418" s="272">
        <v>6.4106099999999997E-3</v>
      </c>
      <c r="E418" s="258" t="s">
        <v>747</v>
      </c>
      <c r="F418" s="258" t="s">
        <v>1092</v>
      </c>
      <c r="G418" s="258" t="s">
        <v>1353</v>
      </c>
      <c r="H418" s="13" t="s">
        <v>723</v>
      </c>
    </row>
    <row r="419" spans="1:8">
      <c r="A419" s="33" t="s">
        <v>113</v>
      </c>
      <c r="B419" s="33"/>
      <c r="C419" s="82" t="s">
        <v>283</v>
      </c>
      <c r="D419" s="84">
        <v>6.4106099999999997E-3</v>
      </c>
      <c r="E419" s="82" t="s">
        <v>747</v>
      </c>
      <c r="F419" s="82" t="s">
        <v>1092</v>
      </c>
      <c r="G419" s="82" t="s">
        <v>1349</v>
      </c>
      <c r="H419" s="12" t="s">
        <v>722</v>
      </c>
    </row>
    <row r="420" spans="1:8">
      <c r="A420" s="33" t="s">
        <v>113</v>
      </c>
      <c r="B420" s="33"/>
      <c r="C420" s="82" t="s">
        <v>283</v>
      </c>
      <c r="D420" s="272">
        <v>6.4106099999999997E-3</v>
      </c>
      <c r="E420" s="258" t="s">
        <v>747</v>
      </c>
      <c r="F420" s="258" t="s">
        <v>1092</v>
      </c>
      <c r="G420" s="258" t="s">
        <v>1352</v>
      </c>
      <c r="H420" s="13" t="s">
        <v>710</v>
      </c>
    </row>
    <row r="421" spans="1:8" ht="28.8">
      <c r="A421" s="33" t="s">
        <v>113</v>
      </c>
      <c r="B421" s="33"/>
      <c r="C421" s="82" t="s">
        <v>283</v>
      </c>
      <c r="D421" s="272">
        <v>6.4106099999999997E-3</v>
      </c>
      <c r="E421" s="258" t="s">
        <v>747</v>
      </c>
      <c r="F421" s="258" t="s">
        <v>1092</v>
      </c>
      <c r="G421" s="258" t="s">
        <v>1355</v>
      </c>
      <c r="H421" s="13" t="s">
        <v>705</v>
      </c>
    </row>
    <row r="422" spans="1:8">
      <c r="A422" s="33" t="s">
        <v>113</v>
      </c>
      <c r="B422" s="33"/>
      <c r="C422" s="82" t="s">
        <v>283</v>
      </c>
      <c r="D422" s="84">
        <v>6.4106099999999997E-3</v>
      </c>
      <c r="E422" s="258" t="s">
        <v>747</v>
      </c>
      <c r="F422" s="82" t="s">
        <v>1092</v>
      </c>
      <c r="G422" s="82" t="s">
        <v>1351</v>
      </c>
      <c r="H422" s="12" t="s">
        <v>704</v>
      </c>
    </row>
    <row r="423" spans="1:8">
      <c r="A423" s="33" t="s">
        <v>113</v>
      </c>
      <c r="B423" s="33"/>
      <c r="C423" s="82" t="s">
        <v>283</v>
      </c>
      <c r="D423" s="272">
        <v>6.4106099999999997E-3</v>
      </c>
      <c r="E423" s="258" t="s">
        <v>747</v>
      </c>
      <c r="F423" s="258" t="s">
        <v>1092</v>
      </c>
      <c r="G423" s="258" t="s">
        <v>1356</v>
      </c>
      <c r="H423" s="13" t="s">
        <v>706</v>
      </c>
    </row>
    <row r="424" spans="1:8">
      <c r="A424" s="33" t="s">
        <v>113</v>
      </c>
      <c r="B424" s="47"/>
      <c r="C424" s="82" t="s">
        <v>283</v>
      </c>
      <c r="D424" s="84">
        <v>2.1280999999999998E-2</v>
      </c>
      <c r="E424" s="82" t="s">
        <v>747</v>
      </c>
      <c r="F424" s="82" t="s">
        <v>1092</v>
      </c>
      <c r="G424" s="82" t="s">
        <v>1054</v>
      </c>
      <c r="H424" s="12" t="s">
        <v>1055</v>
      </c>
    </row>
    <row r="425" spans="1:8" ht="28.8">
      <c r="A425" s="33" t="s">
        <v>113</v>
      </c>
      <c r="B425" s="33"/>
      <c r="C425" s="82" t="s">
        <v>283</v>
      </c>
      <c r="D425" s="272">
        <v>0.52033419999999997</v>
      </c>
      <c r="E425" s="258" t="s">
        <v>747</v>
      </c>
      <c r="F425" s="258" t="s">
        <v>1092</v>
      </c>
      <c r="G425" s="258" t="s">
        <v>1358</v>
      </c>
      <c r="H425" s="13" t="s">
        <v>714</v>
      </c>
    </row>
    <row r="426" spans="1:8">
      <c r="A426" s="95" t="s">
        <v>244</v>
      </c>
      <c r="B426" s="33" t="s">
        <v>73</v>
      </c>
      <c r="C426" s="82" t="s">
        <v>74</v>
      </c>
      <c r="D426" s="272">
        <v>1</v>
      </c>
      <c r="E426" s="258" t="s">
        <v>198</v>
      </c>
      <c r="F426" s="258"/>
      <c r="G426" s="273"/>
      <c r="H426" s="25" t="s">
        <v>73</v>
      </c>
    </row>
    <row r="427" spans="1:8" ht="43.2">
      <c r="A427" s="33" t="s">
        <v>286</v>
      </c>
      <c r="B427" s="47" t="s">
        <v>188</v>
      </c>
      <c r="C427" s="82" t="s">
        <v>43</v>
      </c>
      <c r="D427" s="263">
        <f>101.710146335522/277777.777777777</f>
        <v>3.6615652680788022E-4</v>
      </c>
      <c r="E427" s="83" t="s">
        <v>273</v>
      </c>
      <c r="F427" s="82" t="s">
        <v>1402</v>
      </c>
      <c r="G427" s="83" t="s">
        <v>1403</v>
      </c>
      <c r="H427" s="12" t="s">
        <v>287</v>
      </c>
    </row>
    <row r="428" spans="1:8" ht="43.2">
      <c r="A428" s="33" t="s">
        <v>286</v>
      </c>
      <c r="B428" s="47" t="s">
        <v>91</v>
      </c>
      <c r="C428" s="82" t="s">
        <v>31</v>
      </c>
      <c r="D428" s="263">
        <f>98.3106004747165/277777.777777777</f>
        <v>3.539181617089804E-4</v>
      </c>
      <c r="E428" s="83" t="s">
        <v>274</v>
      </c>
      <c r="F428" s="82" t="s">
        <v>1402</v>
      </c>
      <c r="G428" s="83" t="s">
        <v>1403</v>
      </c>
      <c r="H428" s="12" t="s">
        <v>288</v>
      </c>
    </row>
    <row r="429" spans="1:8" ht="43.2">
      <c r="A429" s="33" t="s">
        <v>286</v>
      </c>
      <c r="B429" s="47" t="s">
        <v>91</v>
      </c>
      <c r="C429" s="82" t="s">
        <v>281</v>
      </c>
      <c r="D429" s="263">
        <f>1.57861901919687/277777.777777777</f>
        <v>5.6830284691087483E-6</v>
      </c>
      <c r="E429" s="85" t="s">
        <v>202</v>
      </c>
      <c r="F429" s="82" t="s">
        <v>1402</v>
      </c>
      <c r="G429" s="83" t="s">
        <v>1403</v>
      </c>
      <c r="H429" s="12" t="s">
        <v>289</v>
      </c>
    </row>
    <row r="430" spans="1:8">
      <c r="A430" s="33"/>
      <c r="B430" s="47"/>
      <c r="C430" s="82"/>
      <c r="D430" s="84"/>
      <c r="E430" s="82"/>
      <c r="F430" s="82"/>
      <c r="G430" s="82"/>
      <c r="H430" s="12"/>
    </row>
    <row r="431" spans="1:8">
      <c r="A431" s="33"/>
      <c r="B431" s="47"/>
      <c r="C431" s="82"/>
      <c r="D431" s="84"/>
      <c r="E431" s="82"/>
      <c r="F431" s="82"/>
      <c r="G431" s="83"/>
      <c r="H431" s="22"/>
    </row>
  </sheetData>
  <phoneticPr fontId="11" type="noConversion"/>
  <hyperlinks>
    <hyperlink ref="G108" r:id="rId1" xr:uid="{0C81ADF3-4F17-4994-B708-FB570F2C0384}"/>
    <hyperlink ref="F281" r:id="rId2" display="ΡΑΕ" xr:uid="{4D1F09E0-3F2B-4C86-9ACF-35B61B7F8BC2}"/>
    <hyperlink ref="F282" r:id="rId3" xr:uid="{341ABBB2-5F6A-421C-A423-A9454C2FC047}"/>
    <hyperlink ref="F283" r:id="rId4" display="ΡΑΕ" xr:uid="{FD69E947-3973-4D56-9C01-12FC111F1BCF}"/>
    <hyperlink ref="F335" r:id="rId5" xr:uid="{5ECA1F90-EEED-403D-8162-847503D2CED5}"/>
    <hyperlink ref="F65" r:id="rId6" xr:uid="{E236F95D-C923-4F77-A8A6-8243B6E8858A}"/>
    <hyperlink ref="F63" r:id="rId7" xr:uid="{744463FD-9AA8-43EA-9BAA-63D244AB4AC6}"/>
    <hyperlink ref="F64" r:id="rId8" xr:uid="{0200DA4A-D226-4C94-97FC-1DB45B81ACC0}"/>
    <hyperlink ref="F288" r:id="rId9" display="https://data.worldbank.org/indicator/EG.ELC.LOSS.ZS" xr:uid="{50D61B5C-31E6-40FB-8031-0B6B8B806DDC}"/>
    <hyperlink ref="F284" r:id="rId10" display="https://www.admie.gr/sites/default/files/attached-files/type-file/2025/02/Energy_Report_202412_v2_en.pdf" xr:uid="{3BE897DF-F055-4142-8B11-0D6FE7A9402F}"/>
    <hyperlink ref="F334" r:id="rId11" display="https://iea.blob.core.windows.net/assets/67fb0049-ec99-470d-8412-1ed9201e576f/EnergyStatisticsManual.pdf" xr:uid="{CA5B1D79-1693-43C9-8548-6ADA8BFD4481}"/>
    <hyperlink ref="F336" r:id="rId12" display="https://iea.blob.core.windows.net/assets/67fb0049-ec99-470d-8412-1ed9201e576f/EnergyStatisticsManual.pdf" xr:uid="{308BBA79-87E5-47DE-B974-E7A1A0D07A3D}"/>
  </hyperlinks>
  <pageMargins left="0.7" right="0.7" top="0.75" bottom="0.75" header="0.3" footer="0.3"/>
  <pageSetup paperSize="9" orientation="portrait" horizontalDpi="4294967293" verticalDpi="4294967293" r:id="rId13"/>
  <legacyDrawing r:id="rId14"/>
  <tableParts count="2">
    <tablePart r:id="rId15"/>
    <tablePart r:id="rId1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4B75-B2B8-433A-AD68-10762855A542}">
  <sheetPr codeName="Sheet7"/>
  <dimension ref="A1:Q39"/>
  <sheetViews>
    <sheetView topLeftCell="A8" zoomScale="55" zoomScaleNormal="55" workbookViewId="0">
      <selection activeCell="F21" sqref="F21"/>
    </sheetView>
  </sheetViews>
  <sheetFormatPr defaultColWidth="8.88671875" defaultRowHeight="14.4"/>
  <cols>
    <col min="1" max="1" width="25.44140625" style="98" customWidth="1"/>
    <col min="2" max="2" width="37.5546875" style="98" customWidth="1"/>
    <col min="3" max="3" width="25.33203125" style="98" customWidth="1"/>
    <col min="4" max="4" width="24.109375" style="98" customWidth="1"/>
    <col min="5" max="5" width="35.6640625" style="98" customWidth="1"/>
    <col min="6" max="6" width="19" style="98" customWidth="1"/>
    <col min="7" max="7" width="20.33203125" style="98" customWidth="1"/>
    <col min="8" max="8" width="28.33203125" style="98" customWidth="1"/>
    <col min="9" max="9" width="16.6640625" style="98" customWidth="1"/>
    <col min="10" max="10" width="21.6640625" style="98" customWidth="1"/>
    <col min="11" max="11" width="17.109375" style="98" customWidth="1"/>
    <col min="12" max="12" width="18.6640625" style="98" customWidth="1"/>
    <col min="13" max="13" width="20" style="98" customWidth="1"/>
    <col min="14" max="14" width="14.33203125" style="98" customWidth="1"/>
    <col min="15" max="15" width="8.88671875" style="98"/>
    <col min="16" max="16" width="17.6640625" style="98" customWidth="1"/>
    <col min="17" max="17" width="11.6640625" style="98" customWidth="1"/>
    <col min="18" max="18" width="8.88671875" style="98"/>
    <col min="19" max="19" width="9.109375" style="98" bestFit="1" customWidth="1"/>
    <col min="20" max="21" width="8.88671875" style="98"/>
    <col min="22" max="22" width="57.88671875" style="98" bestFit="1" customWidth="1"/>
    <col min="23" max="16384" width="8.88671875" style="98"/>
  </cols>
  <sheetData>
    <row r="1" spans="1:15" ht="31.95" customHeight="1">
      <c r="A1" s="371" t="s">
        <v>808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</row>
    <row r="2" spans="1:15" ht="19.95" customHeight="1" thickBot="1">
      <c r="A2" s="99"/>
      <c r="B2" s="99"/>
      <c r="C2" s="99"/>
      <c r="D2" s="99"/>
      <c r="E2" s="99"/>
      <c r="F2" s="100"/>
      <c r="G2" s="100"/>
      <c r="H2" s="100"/>
      <c r="I2" s="100"/>
    </row>
    <row r="3" spans="1:15" ht="42.6" customHeight="1" thickTop="1">
      <c r="A3" s="372" t="s">
        <v>809</v>
      </c>
      <c r="B3" s="373"/>
      <c r="C3" s="373"/>
      <c r="D3" s="373"/>
      <c r="E3" s="373"/>
      <c r="F3" s="373"/>
      <c r="G3" s="373"/>
      <c r="H3" s="373"/>
      <c r="I3" s="373"/>
      <c r="J3" s="373"/>
      <c r="K3" s="373"/>
      <c r="L3" s="373"/>
      <c r="M3" s="374"/>
    </row>
    <row r="4" spans="1:15" ht="86.4" customHeight="1" thickBot="1">
      <c r="A4" s="101"/>
      <c r="B4" s="102" t="s">
        <v>811</v>
      </c>
      <c r="C4" s="103" t="s">
        <v>810</v>
      </c>
      <c r="D4" s="104" t="s">
        <v>15</v>
      </c>
      <c r="E4" s="104" t="s">
        <v>600</v>
      </c>
      <c r="F4" s="105" t="s">
        <v>813</v>
      </c>
      <c r="G4" s="104" t="s">
        <v>109</v>
      </c>
      <c r="H4" s="104" t="s">
        <v>110</v>
      </c>
      <c r="I4" s="104" t="s">
        <v>111</v>
      </c>
      <c r="J4" s="104" t="s">
        <v>112</v>
      </c>
      <c r="K4" s="104" t="s">
        <v>812</v>
      </c>
      <c r="L4" s="104" t="s">
        <v>114</v>
      </c>
      <c r="M4" s="106" t="s">
        <v>814</v>
      </c>
    </row>
    <row r="5" spans="1:15" ht="19.95" customHeight="1">
      <c r="A5" s="107" t="s">
        <v>816</v>
      </c>
      <c r="B5" s="108">
        <v>0.42</v>
      </c>
      <c r="C5" s="108">
        <v>0.44</v>
      </c>
      <c r="D5" s="108">
        <v>0.44</v>
      </c>
      <c r="E5" s="108">
        <v>0.56999999999999995</v>
      </c>
      <c r="F5" s="108">
        <v>0.46750000000000003</v>
      </c>
      <c r="G5" s="109">
        <v>0</v>
      </c>
      <c r="H5" s="109">
        <v>0</v>
      </c>
      <c r="I5" s="109">
        <v>0</v>
      </c>
      <c r="J5" s="109">
        <v>0</v>
      </c>
      <c r="K5" s="110">
        <v>0.4</v>
      </c>
      <c r="L5" s="109">
        <v>0</v>
      </c>
      <c r="M5" s="111">
        <v>0.08</v>
      </c>
    </row>
    <row r="6" spans="1:15" ht="32.4" customHeight="1">
      <c r="A6" s="112" t="s">
        <v>815</v>
      </c>
      <c r="B6" s="113" t="s">
        <v>14</v>
      </c>
      <c r="C6" s="113">
        <v>7.3055555555555554</v>
      </c>
      <c r="D6" s="113" t="s">
        <v>14</v>
      </c>
      <c r="E6" s="113" t="s">
        <v>14</v>
      </c>
      <c r="F6" s="113" t="s">
        <v>14</v>
      </c>
      <c r="G6" s="114">
        <v>151190</v>
      </c>
      <c r="H6" s="115" t="s">
        <v>14</v>
      </c>
      <c r="I6" s="115" t="s">
        <v>14</v>
      </c>
      <c r="J6" s="115" t="s">
        <v>14</v>
      </c>
      <c r="K6" s="116" t="s">
        <v>14</v>
      </c>
      <c r="L6" s="115" t="s">
        <v>14</v>
      </c>
      <c r="M6" s="117" t="s">
        <v>14</v>
      </c>
    </row>
    <row r="7" spans="1:15" ht="98.4" customHeight="1">
      <c r="A7" s="195" t="s">
        <v>1127</v>
      </c>
      <c r="B7" s="118">
        <v>5.9249999999999997E-2</v>
      </c>
      <c r="C7" s="118" t="s">
        <v>14</v>
      </c>
      <c r="D7" s="118">
        <v>6.2909999999999994E-2</v>
      </c>
      <c r="E7" s="118">
        <v>3.347E-2</v>
      </c>
      <c r="F7" s="118">
        <v>5.1876666666666661E-2</v>
      </c>
      <c r="G7" s="118" t="s">
        <v>14</v>
      </c>
      <c r="H7" s="118">
        <v>0</v>
      </c>
      <c r="I7" s="118">
        <v>0</v>
      </c>
      <c r="J7" s="118">
        <v>0</v>
      </c>
      <c r="K7" s="118">
        <v>1.85425E-2</v>
      </c>
      <c r="L7" s="118">
        <v>0</v>
      </c>
      <c r="M7" s="119">
        <v>3.7085E-3</v>
      </c>
    </row>
    <row r="8" spans="1:15" ht="70.2" customHeight="1">
      <c r="A8" s="194" t="s">
        <v>1126</v>
      </c>
      <c r="B8" s="120" t="s">
        <v>14</v>
      </c>
      <c r="C8" s="121">
        <v>0.29422291246075399</v>
      </c>
      <c r="D8" s="122" t="s">
        <v>14</v>
      </c>
      <c r="E8" s="120" t="s">
        <v>14</v>
      </c>
      <c r="F8" s="120" t="s">
        <v>14</v>
      </c>
      <c r="G8" s="123">
        <v>1438.0149577311199</v>
      </c>
      <c r="H8" s="120" t="s">
        <v>14</v>
      </c>
      <c r="I8" s="120" t="s">
        <v>14</v>
      </c>
      <c r="J8" s="120" t="s">
        <v>14</v>
      </c>
      <c r="K8" s="122" t="s">
        <v>14</v>
      </c>
      <c r="L8" s="120" t="s">
        <v>14</v>
      </c>
      <c r="M8" s="124" t="s">
        <v>14</v>
      </c>
    </row>
    <row r="9" spans="1:15" ht="114" customHeight="1" thickBot="1">
      <c r="A9" s="125" t="s">
        <v>799</v>
      </c>
      <c r="B9" s="126" t="s">
        <v>800</v>
      </c>
      <c r="C9" s="116" t="s">
        <v>1125</v>
      </c>
      <c r="D9" s="116" t="s">
        <v>801</v>
      </c>
      <c r="E9" s="116" t="s">
        <v>802</v>
      </c>
      <c r="F9" s="126" t="s">
        <v>14</v>
      </c>
      <c r="G9" s="127" t="s">
        <v>803</v>
      </c>
      <c r="H9" s="126" t="s">
        <v>14</v>
      </c>
      <c r="I9" s="126" t="s">
        <v>14</v>
      </c>
      <c r="J9" s="126" t="s">
        <v>14</v>
      </c>
      <c r="K9" s="116" t="s">
        <v>804</v>
      </c>
      <c r="L9" s="126" t="s">
        <v>14</v>
      </c>
      <c r="M9" s="128" t="s">
        <v>14</v>
      </c>
    </row>
    <row r="10" spans="1:15" s="221" customFormat="1" ht="56.4" customHeight="1" thickBot="1">
      <c r="A10" s="216" t="s">
        <v>818</v>
      </c>
      <c r="B10" s="217">
        <f>B7/B5</f>
        <v>0.14107142857142857</v>
      </c>
      <c r="C10" s="218">
        <f>(C8/C6)/C5</f>
        <v>9.1531497136079706E-2</v>
      </c>
      <c r="D10" s="219">
        <f>D7/D5</f>
        <v>0.1429772727272727</v>
      </c>
      <c r="E10" s="219">
        <f>E7/E5</f>
        <v>5.8719298245614039E-2</v>
      </c>
      <c r="F10" s="219">
        <f>AVERAGE(B10:E10)</f>
        <v>0.10857487417009876</v>
      </c>
      <c r="G10" s="218">
        <f>G8/G6</f>
        <v>9.5113099922688009E-3</v>
      </c>
      <c r="H10" s="217">
        <v>0</v>
      </c>
      <c r="I10" s="217">
        <v>0</v>
      </c>
      <c r="J10" s="217">
        <v>0</v>
      </c>
      <c r="K10" s="219">
        <f>K7/K5</f>
        <v>4.6356249999999995E-2</v>
      </c>
      <c r="L10" s="217">
        <v>0</v>
      </c>
      <c r="M10" s="220">
        <f>AVERAGE(H10:L10)</f>
        <v>9.2712499999999982E-3</v>
      </c>
    </row>
    <row r="11" spans="1:15" ht="19.95" customHeight="1" thickTop="1">
      <c r="E11" s="129"/>
      <c r="I11" s="100"/>
    </row>
    <row r="12" spans="1:15" ht="19.95" customHeight="1">
      <c r="A12" s="129"/>
      <c r="B12" s="130"/>
      <c r="C12" s="129"/>
      <c r="D12" s="129"/>
      <c r="I12" s="100"/>
      <c r="K12" s="98">
        <v>1</v>
      </c>
      <c r="L12" s="98" t="s">
        <v>805</v>
      </c>
      <c r="M12" s="98" t="s">
        <v>806</v>
      </c>
      <c r="N12" s="98">
        <v>1000000</v>
      </c>
      <c r="O12" s="98" t="s">
        <v>807</v>
      </c>
    </row>
    <row r="13" spans="1:15" ht="19.95" customHeight="1">
      <c r="A13" s="129"/>
      <c r="B13" s="129"/>
      <c r="C13" s="129"/>
      <c r="D13" s="129"/>
      <c r="I13" s="100"/>
      <c r="K13" s="98">
        <v>1</v>
      </c>
      <c r="L13" s="98" t="s">
        <v>291</v>
      </c>
      <c r="M13" s="98" t="s">
        <v>806</v>
      </c>
      <c r="N13" s="98">
        <v>3600000</v>
      </c>
      <c r="O13" s="98" t="s">
        <v>807</v>
      </c>
    </row>
    <row r="14" spans="1:15" ht="19.95" customHeight="1">
      <c r="A14" s="129"/>
      <c r="B14" s="129"/>
      <c r="C14" s="129"/>
      <c r="D14" s="129"/>
      <c r="I14" s="100"/>
    </row>
    <row r="15" spans="1:15" ht="19.95" customHeight="1">
      <c r="A15" s="129"/>
      <c r="B15" s="129"/>
      <c r="C15" s="129"/>
      <c r="D15" s="129"/>
      <c r="I15" s="100"/>
    </row>
    <row r="16" spans="1:15" ht="19.95" customHeight="1">
      <c r="A16" s="100"/>
      <c r="B16" s="100"/>
      <c r="C16" s="129"/>
      <c r="D16" s="129"/>
      <c r="I16" s="100"/>
      <c r="J16" s="100"/>
    </row>
    <row r="17" spans="1:17" ht="17.399999999999999">
      <c r="A17" s="100"/>
      <c r="B17" s="100"/>
      <c r="C17" s="100"/>
      <c r="D17" s="99"/>
      <c r="E17" s="99"/>
      <c r="F17" s="99"/>
      <c r="G17" s="99"/>
      <c r="H17" s="99"/>
      <c r="I17" s="100"/>
      <c r="J17" s="100"/>
      <c r="K17" s="100"/>
      <c r="L17" s="100"/>
    </row>
    <row r="18" spans="1:17" ht="15" thickBot="1"/>
    <row r="19" spans="1:17" ht="24.6" customHeight="1" thickTop="1">
      <c r="A19" s="368" t="s">
        <v>833</v>
      </c>
      <c r="B19" s="369"/>
      <c r="C19" s="369"/>
      <c r="D19" s="369"/>
      <c r="E19" s="369"/>
      <c r="F19" s="369"/>
      <c r="G19" s="369"/>
      <c r="H19" s="369"/>
      <c r="I19" s="369"/>
      <c r="J19" s="369"/>
      <c r="K19" s="369"/>
      <c r="L19" s="369"/>
      <c r="M19" s="370"/>
    </row>
    <row r="20" spans="1:17" ht="29.4" thickBot="1">
      <c r="A20" s="131"/>
      <c r="B20" s="132" t="s">
        <v>811</v>
      </c>
      <c r="C20" s="133" t="s">
        <v>810</v>
      </c>
      <c r="D20" s="134" t="s">
        <v>15</v>
      </c>
      <c r="E20" s="134" t="s">
        <v>600</v>
      </c>
      <c r="F20" s="135" t="s">
        <v>813</v>
      </c>
      <c r="G20" s="136" t="s">
        <v>109</v>
      </c>
      <c r="H20" s="134" t="s">
        <v>110</v>
      </c>
      <c r="I20" s="134" t="s">
        <v>111</v>
      </c>
      <c r="J20" s="134" t="s">
        <v>112</v>
      </c>
      <c r="K20" s="134" t="s">
        <v>812</v>
      </c>
      <c r="L20" s="134" t="s">
        <v>114</v>
      </c>
      <c r="M20" s="135" t="s">
        <v>814</v>
      </c>
    </row>
    <row r="21" spans="1:17" ht="15" thickBot="1">
      <c r="A21" s="196" t="s">
        <v>1128</v>
      </c>
      <c r="B21" s="144">
        <v>9.1600000000000001E-2</v>
      </c>
      <c r="C21" s="137">
        <v>0</v>
      </c>
      <c r="D21" s="137">
        <v>7.4300000000000005E-2</v>
      </c>
      <c r="E21" s="137">
        <v>0.31869999999999998</v>
      </c>
      <c r="F21" s="138">
        <v>7.0000000000000001E-3</v>
      </c>
      <c r="G21" s="139">
        <v>0</v>
      </c>
      <c r="H21" s="137">
        <v>0.17499999999999999</v>
      </c>
      <c r="I21" s="137">
        <v>0.23</v>
      </c>
      <c r="J21" s="137">
        <v>9.0399999999999994E-2</v>
      </c>
      <c r="K21" s="137">
        <v>1.2999999999999999E-2</v>
      </c>
      <c r="L21" s="137">
        <v>0</v>
      </c>
      <c r="M21" s="138">
        <v>0</v>
      </c>
    </row>
    <row r="22" spans="1:17" ht="44.4" thickTop="1" thickBot="1">
      <c r="A22" s="140" t="s">
        <v>817</v>
      </c>
      <c r="B22" s="141">
        <f>SUMPRODUCT(B10:M10,B21:M21)</f>
        <v>4.3621849940847106E-2</v>
      </c>
      <c r="C22" s="142"/>
      <c r="D22" s="142"/>
      <c r="E22" s="142"/>
      <c r="F22" s="142"/>
      <c r="G22" s="143"/>
      <c r="H22" s="142"/>
      <c r="I22" s="142"/>
      <c r="J22" s="142"/>
      <c r="K22" s="142"/>
      <c r="L22" s="142"/>
      <c r="M22" s="142"/>
    </row>
    <row r="23" spans="1:17" ht="15.6" thickTop="1" thickBot="1"/>
    <row r="24" spans="1:17" ht="15" thickTop="1">
      <c r="A24" s="368" t="s">
        <v>834</v>
      </c>
      <c r="B24" s="369"/>
      <c r="C24" s="369"/>
      <c r="D24" s="369"/>
      <c r="E24" s="369"/>
      <c r="F24" s="369"/>
      <c r="G24" s="369"/>
      <c r="H24" s="369"/>
      <c r="I24" s="369"/>
      <c r="J24" s="369"/>
      <c r="K24" s="369"/>
      <c r="L24" s="369"/>
      <c r="M24" s="370"/>
    </row>
    <row r="25" spans="1:17" ht="29.4" thickBot="1">
      <c r="A25" s="131"/>
      <c r="B25" s="132" t="s">
        <v>811</v>
      </c>
      <c r="C25" s="133" t="s">
        <v>810</v>
      </c>
      <c r="D25" s="134" t="s">
        <v>15</v>
      </c>
      <c r="E25" s="134" t="s">
        <v>600</v>
      </c>
      <c r="F25" s="135" t="s">
        <v>813</v>
      </c>
      <c r="G25" s="136" t="s">
        <v>109</v>
      </c>
      <c r="H25" s="134" t="s">
        <v>110</v>
      </c>
      <c r="I25" s="134" t="s">
        <v>111</v>
      </c>
      <c r="J25" s="134" t="s">
        <v>112</v>
      </c>
      <c r="K25" s="134" t="s">
        <v>812</v>
      </c>
      <c r="L25" s="134" t="s">
        <v>114</v>
      </c>
      <c r="M25" s="135" t="s">
        <v>814</v>
      </c>
      <c r="Q25" s="98">
        <v>0.1033942970597161</v>
      </c>
    </row>
    <row r="26" spans="1:17" ht="15" thickBot="1">
      <c r="A26" s="193" t="s">
        <v>1090</v>
      </c>
      <c r="B26" s="144">
        <v>0.30853887339209302</v>
      </c>
      <c r="C26" s="137">
        <v>0</v>
      </c>
      <c r="D26" s="137">
        <v>1.1514126282495277E-2</v>
      </c>
      <c r="E26" s="137">
        <v>0.20429161881512223</v>
      </c>
      <c r="F26" s="138">
        <v>4.7616613212217926E-2</v>
      </c>
      <c r="G26" s="139">
        <v>4.9441830459286129E-2</v>
      </c>
      <c r="H26" s="139">
        <v>8.5931535043791168E-2</v>
      </c>
      <c r="I26" s="139">
        <v>0.17779629233358085</v>
      </c>
      <c r="J26" s="139">
        <v>3.3583237630243734E-2</v>
      </c>
      <c r="K26" s="139">
        <v>7.5829688807739992E-2</v>
      </c>
      <c r="L26" s="137">
        <v>1.4888055874565931E-3</v>
      </c>
      <c r="M26" s="138">
        <v>3.9673784359730603E-3</v>
      </c>
      <c r="Q26" s="98">
        <v>0.21400342567334713</v>
      </c>
    </row>
    <row r="27" spans="1:17" ht="44.4" thickTop="1" thickBot="1">
      <c r="A27" s="140" t="s">
        <v>817</v>
      </c>
      <c r="B27" s="141">
        <f>SUMPRODUCT(B10:M10,B26:M26)</f>
        <v>6.6360325440359344E-2</v>
      </c>
      <c r="C27" s="142"/>
      <c r="D27" s="142"/>
      <c r="E27" s="142"/>
      <c r="F27" s="142"/>
      <c r="G27" s="143"/>
      <c r="H27" s="142"/>
      <c r="I27" s="142"/>
      <c r="J27" s="142"/>
      <c r="K27" s="142"/>
      <c r="L27" s="142"/>
      <c r="M27" s="142"/>
      <c r="Q27" s="98">
        <v>4.0422259675641198E-2</v>
      </c>
    </row>
    <row r="28" spans="1:17" ht="15.6" thickTop="1" thickBot="1">
      <c r="Q28" s="98">
        <v>7.2995303844195294E-2</v>
      </c>
    </row>
    <row r="29" spans="1:17" ht="15" thickTop="1">
      <c r="A29" s="368" t="s">
        <v>1040</v>
      </c>
      <c r="B29" s="369"/>
      <c r="C29" s="369"/>
      <c r="D29" s="369"/>
      <c r="E29" s="369"/>
      <c r="F29" s="369"/>
      <c r="G29" s="369"/>
      <c r="H29" s="369"/>
      <c r="I29" s="369"/>
      <c r="J29" s="369"/>
      <c r="K29" s="369"/>
      <c r="L29" s="369"/>
      <c r="M29" s="370"/>
    </row>
    <row r="30" spans="1:17" ht="29.4" thickBot="1">
      <c r="A30" s="131"/>
      <c r="B30" s="132" t="s">
        <v>811</v>
      </c>
      <c r="C30" s="133" t="s">
        <v>810</v>
      </c>
      <c r="D30" s="134" t="s">
        <v>15</v>
      </c>
      <c r="E30" s="134" t="s">
        <v>600</v>
      </c>
      <c r="F30" s="135" t="s">
        <v>813</v>
      </c>
      <c r="G30" s="136" t="s">
        <v>109</v>
      </c>
      <c r="H30" s="134" t="s">
        <v>110</v>
      </c>
      <c r="I30" s="134" t="s">
        <v>111</v>
      </c>
      <c r="J30" s="134" t="s">
        <v>112</v>
      </c>
      <c r="K30" s="134" t="s">
        <v>812</v>
      </c>
      <c r="L30" s="134" t="s">
        <v>114</v>
      </c>
      <c r="M30" s="135" t="s">
        <v>814</v>
      </c>
    </row>
    <row r="31" spans="1:17" ht="15" thickBot="1">
      <c r="A31" s="193" t="s">
        <v>1090</v>
      </c>
      <c r="B31" s="144"/>
      <c r="C31" s="137"/>
      <c r="D31" s="137">
        <v>0.83072549212075797</v>
      </c>
      <c r="E31" s="137"/>
      <c r="F31" s="138"/>
      <c r="G31" s="139"/>
      <c r="H31" s="137">
        <v>0.11390965566155042</v>
      </c>
      <c r="I31" s="137">
        <v>4.2455512259879029E-2</v>
      </c>
      <c r="J31" s="137"/>
      <c r="K31" s="137">
        <v>1.2909339957812472E-2</v>
      </c>
      <c r="L31" s="137"/>
      <c r="M31" s="138"/>
    </row>
    <row r="32" spans="1:17" ht="44.4" thickTop="1" thickBot="1">
      <c r="A32" s="140" t="s">
        <v>817</v>
      </c>
      <c r="B32" s="141">
        <f>SUMPRODUCT(B10:M10,B31:M31)</f>
        <v>0.11937329383886679</v>
      </c>
      <c r="C32" s="142"/>
      <c r="D32" s="142"/>
      <c r="E32" s="142"/>
      <c r="F32" s="142"/>
      <c r="G32" s="143"/>
      <c r="H32" s="142"/>
      <c r="I32" s="142"/>
      <c r="J32" s="142"/>
      <c r="K32" s="142"/>
      <c r="L32" s="142"/>
      <c r="M32" s="142"/>
    </row>
    <row r="33" spans="1:13" ht="15" thickTop="1"/>
    <row r="34" spans="1:13" ht="15" thickBot="1"/>
    <row r="35" spans="1:13" ht="15" thickTop="1">
      <c r="A35" s="368" t="s">
        <v>1124</v>
      </c>
      <c r="B35" s="369"/>
      <c r="C35" s="369"/>
      <c r="D35" s="369"/>
      <c r="E35" s="369"/>
      <c r="F35" s="369"/>
      <c r="G35" s="369"/>
      <c r="H35" s="369"/>
      <c r="I35" s="369"/>
      <c r="J35" s="369"/>
      <c r="K35" s="369"/>
      <c r="L35" s="369"/>
      <c r="M35" s="370"/>
    </row>
    <row r="36" spans="1:13" ht="29.4" thickBot="1">
      <c r="A36" s="131"/>
      <c r="B36" s="132" t="s">
        <v>811</v>
      </c>
      <c r="C36" s="133" t="s">
        <v>810</v>
      </c>
      <c r="D36" s="134" t="s">
        <v>15</v>
      </c>
      <c r="E36" s="134" t="s">
        <v>600</v>
      </c>
      <c r="F36" s="135" t="s">
        <v>813</v>
      </c>
      <c r="G36" s="136" t="s">
        <v>109</v>
      </c>
      <c r="H36" s="134" t="s">
        <v>110</v>
      </c>
      <c r="I36" s="134" t="s">
        <v>111</v>
      </c>
      <c r="J36" s="134" t="s">
        <v>112</v>
      </c>
      <c r="K36" s="134" t="s">
        <v>812</v>
      </c>
      <c r="L36" s="134" t="s">
        <v>114</v>
      </c>
      <c r="M36" s="135" t="s">
        <v>814</v>
      </c>
    </row>
    <row r="37" spans="1:13" ht="15" thickBot="1">
      <c r="A37" s="193" t="s">
        <v>1090</v>
      </c>
      <c r="B37" s="144">
        <v>0.18854344479758772</v>
      </c>
      <c r="C37" s="137"/>
      <c r="D37" s="137">
        <v>2.5386765722566523E-2</v>
      </c>
      <c r="E37" s="137">
        <v>0.27295400576806622</v>
      </c>
      <c r="F37" s="138"/>
      <c r="G37" s="139">
        <v>0.15787350439249398</v>
      </c>
      <c r="H37" s="137">
        <v>2.8305603060270385E-2</v>
      </c>
      <c r="I37" s="137">
        <v>9.9610663485740256E-2</v>
      </c>
      <c r="J37" s="137">
        <v>0.20446099594843195</v>
      </c>
      <c r="K37" s="137">
        <v>2.1789239377884295E-2</v>
      </c>
      <c r="L37" s="137">
        <v>1.0520470620992597E-3</v>
      </c>
      <c r="M37" s="138"/>
    </row>
    <row r="38" spans="1:13" ht="44.4" thickTop="1" thickBot="1">
      <c r="A38" s="140" t="s">
        <v>817</v>
      </c>
      <c r="B38" s="141">
        <f>SUMPRODUCT(B10:M10,B37:M37)</f>
        <v>4.8767142571536762E-2</v>
      </c>
      <c r="C38" s="142"/>
      <c r="D38" s="142"/>
      <c r="E38" s="142"/>
      <c r="F38" s="142"/>
      <c r="G38" s="143"/>
      <c r="H38" s="142"/>
      <c r="I38" s="142"/>
      <c r="J38" s="142"/>
      <c r="K38" s="142"/>
      <c r="L38" s="142"/>
      <c r="M38" s="142"/>
    </row>
    <row r="39" spans="1:13" ht="15" thickTop="1"/>
  </sheetData>
  <mergeCells count="6">
    <mergeCell ref="A35:M35"/>
    <mergeCell ref="A1:M1"/>
    <mergeCell ref="A3:M3"/>
    <mergeCell ref="A19:M19"/>
    <mergeCell ref="A24:M24"/>
    <mergeCell ref="A29:M29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B1CF-2B81-4987-85FB-6D87B57AF645}">
  <sheetPr codeName="Sheet8"/>
  <dimension ref="A1:DK1013"/>
  <sheetViews>
    <sheetView showOutlineSymbols="0" showWhiteSpace="0" zoomScale="85" zoomScaleNormal="85" workbookViewId="0">
      <selection activeCell="G21" sqref="G21"/>
    </sheetView>
  </sheetViews>
  <sheetFormatPr defaultRowHeight="14.4"/>
  <cols>
    <col min="1" max="1" width="22.6640625" customWidth="1"/>
    <col min="4" max="4" width="18.33203125" customWidth="1"/>
    <col min="5" max="5" width="16.109375" customWidth="1"/>
    <col min="6" max="6" width="17.109375" customWidth="1"/>
    <col min="9" max="9" width="14.6640625" customWidth="1"/>
    <col min="10" max="10" width="15.33203125" customWidth="1"/>
    <col min="11" max="11" width="14.88671875" bestFit="1" customWidth="1"/>
    <col min="12" max="12" width="14.33203125" bestFit="1" customWidth="1"/>
    <col min="13" max="13" width="18.5546875" customWidth="1"/>
    <col min="16" max="115" width="10.88671875" customWidth="1"/>
  </cols>
  <sheetData>
    <row r="1" spans="1:115">
      <c r="A1" s="150" t="s">
        <v>1031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P1" s="152" t="s">
        <v>1030</v>
      </c>
      <c r="Q1" s="152" t="s">
        <v>1029</v>
      </c>
      <c r="R1" s="152" t="s">
        <v>1028</v>
      </c>
      <c r="S1" s="152" t="s">
        <v>1027</v>
      </c>
      <c r="T1" s="152" t="s">
        <v>1026</v>
      </c>
      <c r="U1" s="152" t="s">
        <v>1025</v>
      </c>
      <c r="V1" s="152" t="s">
        <v>1024</v>
      </c>
      <c r="W1" s="152" t="s">
        <v>1023</v>
      </c>
      <c r="X1" s="152" t="s">
        <v>1022</v>
      </c>
      <c r="Y1" s="152" t="s">
        <v>1021</v>
      </c>
      <c r="Z1" s="152" t="s">
        <v>1020</v>
      </c>
      <c r="AA1" s="152" t="s">
        <v>1019</v>
      </c>
      <c r="AB1" s="152" t="s">
        <v>1018</v>
      </c>
      <c r="AC1" s="152" t="s">
        <v>1017</v>
      </c>
      <c r="AD1" s="152" t="s">
        <v>1016</v>
      </c>
      <c r="AE1" s="152" t="s">
        <v>1015</v>
      </c>
      <c r="AF1" s="152" t="s">
        <v>1014</v>
      </c>
      <c r="AG1" s="152" t="s">
        <v>1013</v>
      </c>
      <c r="AH1" s="152" t="s">
        <v>1012</v>
      </c>
      <c r="AI1" s="152" t="s">
        <v>1011</v>
      </c>
      <c r="AJ1" s="152" t="s">
        <v>1010</v>
      </c>
      <c r="AK1" s="152" t="s">
        <v>1009</v>
      </c>
      <c r="AL1" s="152" t="s">
        <v>1008</v>
      </c>
      <c r="AM1" s="152" t="s">
        <v>1007</v>
      </c>
      <c r="AN1" s="152" t="s">
        <v>1006</v>
      </c>
      <c r="AO1" s="152" t="s">
        <v>1005</v>
      </c>
      <c r="AP1" s="152" t="s">
        <v>1004</v>
      </c>
      <c r="AQ1" s="152" t="s">
        <v>1003</v>
      </c>
      <c r="AR1" s="152" t="s">
        <v>1002</v>
      </c>
      <c r="AS1" s="152" t="s">
        <v>1001</v>
      </c>
      <c r="AT1" s="152" t="s">
        <v>1000</v>
      </c>
      <c r="AU1" s="152" t="s">
        <v>999</v>
      </c>
      <c r="AV1" s="152" t="s">
        <v>998</v>
      </c>
      <c r="AW1" s="152" t="s">
        <v>997</v>
      </c>
      <c r="AX1" s="152" t="s">
        <v>996</v>
      </c>
      <c r="AY1" s="152" t="s">
        <v>995</v>
      </c>
      <c r="AZ1" s="152" t="s">
        <v>994</v>
      </c>
      <c r="BA1" s="152" t="s">
        <v>993</v>
      </c>
      <c r="BB1" s="152" t="s">
        <v>992</v>
      </c>
      <c r="BC1" s="152" t="s">
        <v>991</v>
      </c>
      <c r="BD1" s="152" t="s">
        <v>990</v>
      </c>
      <c r="BE1" s="152" t="s">
        <v>989</v>
      </c>
      <c r="BF1" s="152" t="s">
        <v>988</v>
      </c>
      <c r="BG1" s="152" t="s">
        <v>987</v>
      </c>
      <c r="BH1" s="152" t="s">
        <v>986</v>
      </c>
      <c r="BI1" s="152" t="s">
        <v>985</v>
      </c>
      <c r="BJ1" s="152" t="s">
        <v>984</v>
      </c>
      <c r="BK1" s="152" t="s">
        <v>983</v>
      </c>
      <c r="BL1" s="152" t="s">
        <v>982</v>
      </c>
      <c r="BM1" s="152" t="s">
        <v>981</v>
      </c>
      <c r="BN1" s="152" t="s">
        <v>980</v>
      </c>
      <c r="BO1" s="152" t="s">
        <v>979</v>
      </c>
      <c r="BP1" s="152" t="s">
        <v>978</v>
      </c>
      <c r="BQ1" s="152" t="s">
        <v>977</v>
      </c>
      <c r="BR1" s="152" t="s">
        <v>976</v>
      </c>
      <c r="BS1" s="152" t="s">
        <v>975</v>
      </c>
      <c r="BT1" s="152" t="s">
        <v>974</v>
      </c>
      <c r="BU1" s="152" t="s">
        <v>973</v>
      </c>
      <c r="BV1" s="152" t="s">
        <v>972</v>
      </c>
      <c r="BW1" s="152" t="s">
        <v>971</v>
      </c>
      <c r="BX1" s="152" t="s">
        <v>970</v>
      </c>
      <c r="BY1" s="152" t="s">
        <v>969</v>
      </c>
      <c r="BZ1" s="152" t="s">
        <v>968</v>
      </c>
      <c r="CA1" s="152" t="s">
        <v>967</v>
      </c>
      <c r="CB1" s="152" t="s">
        <v>966</v>
      </c>
      <c r="CC1" s="152" t="s">
        <v>965</v>
      </c>
      <c r="CD1" s="152" t="s">
        <v>964</v>
      </c>
      <c r="CE1" s="152" t="s">
        <v>963</v>
      </c>
      <c r="CF1" s="152" t="s">
        <v>962</v>
      </c>
      <c r="CG1" s="152" t="s">
        <v>961</v>
      </c>
      <c r="CH1" s="152" t="s">
        <v>960</v>
      </c>
      <c r="CI1" s="152" t="s">
        <v>959</v>
      </c>
      <c r="CJ1" s="152" t="s">
        <v>958</v>
      </c>
      <c r="CK1" s="152" t="s">
        <v>957</v>
      </c>
      <c r="CL1" s="152" t="s">
        <v>956</v>
      </c>
      <c r="CM1" s="152" t="s">
        <v>955</v>
      </c>
      <c r="CN1" s="152" t="s">
        <v>954</v>
      </c>
      <c r="CO1" s="152" t="s">
        <v>953</v>
      </c>
      <c r="CP1" s="152" t="s">
        <v>952</v>
      </c>
      <c r="CQ1" s="152" t="s">
        <v>951</v>
      </c>
      <c r="CR1" s="152" t="s">
        <v>950</v>
      </c>
      <c r="CS1" s="152" t="s">
        <v>949</v>
      </c>
      <c r="CT1" s="152" t="s">
        <v>948</v>
      </c>
      <c r="CU1" s="152" t="s">
        <v>947</v>
      </c>
      <c r="CV1" s="152" t="s">
        <v>946</v>
      </c>
      <c r="CW1" s="152" t="s">
        <v>945</v>
      </c>
      <c r="CX1" s="152" t="s">
        <v>944</v>
      </c>
      <c r="CY1" s="152" t="s">
        <v>943</v>
      </c>
      <c r="CZ1" s="152" t="s">
        <v>942</v>
      </c>
      <c r="DA1" s="152" t="s">
        <v>941</v>
      </c>
      <c r="DB1" s="152" t="s">
        <v>940</v>
      </c>
      <c r="DC1" s="152" t="s">
        <v>939</v>
      </c>
      <c r="DD1" s="152" t="s">
        <v>938</v>
      </c>
      <c r="DE1" s="152" t="s">
        <v>937</v>
      </c>
      <c r="DF1" s="152" t="s">
        <v>936</v>
      </c>
      <c r="DG1" s="152" t="s">
        <v>935</v>
      </c>
      <c r="DH1" s="152" t="s">
        <v>934</v>
      </c>
      <c r="DI1" s="152" t="s">
        <v>933</v>
      </c>
      <c r="DJ1" s="152" t="s">
        <v>932</v>
      </c>
      <c r="DK1" s="152" t="s">
        <v>931</v>
      </c>
    </row>
    <row r="2" spans="1:115">
      <c r="A2" s="172">
        <f>Calculations[[#This Row],[Sum t eCO2]]*IF(Calculations[[#This Row],[GHG Scope]]="BIOGENIC",0,1)</f>
        <v>0</v>
      </c>
      <c r="B2" s="149"/>
      <c r="C2" s="150"/>
      <c r="D2" s="162" t="s">
        <v>911</v>
      </c>
      <c r="E2" s="162" t="s">
        <v>930</v>
      </c>
      <c r="F2" s="162" t="s">
        <v>907</v>
      </c>
      <c r="G2" s="149"/>
      <c r="H2" s="149"/>
      <c r="I2" s="149"/>
      <c r="J2" s="149"/>
      <c r="K2" s="149"/>
      <c r="L2" s="149"/>
      <c r="M2" s="149"/>
      <c r="O2">
        <f>1</f>
        <v>1</v>
      </c>
      <c r="P2">
        <v>3</v>
      </c>
      <c r="Q2">
        <v>0</v>
      </c>
      <c r="R2">
        <v>5</v>
      </c>
      <c r="S2">
        <v>2</v>
      </c>
      <c r="T2">
        <v>9</v>
      </c>
      <c r="U2">
        <v>0</v>
      </c>
      <c r="V2">
        <v>3</v>
      </c>
      <c r="W2">
        <v>6</v>
      </c>
      <c r="X2">
        <v>5</v>
      </c>
      <c r="Y2">
        <v>7</v>
      </c>
      <c r="Z2">
        <v>7</v>
      </c>
      <c r="AA2">
        <v>6</v>
      </c>
      <c r="AB2">
        <v>2</v>
      </c>
      <c r="AC2">
        <v>8</v>
      </c>
      <c r="AD2">
        <v>9</v>
      </c>
      <c r="AE2">
        <v>10</v>
      </c>
      <c r="AF2">
        <v>3</v>
      </c>
      <c r="AG2">
        <v>1</v>
      </c>
      <c r="AH2">
        <v>7</v>
      </c>
      <c r="AI2">
        <v>9</v>
      </c>
      <c r="AJ2">
        <v>6</v>
      </c>
      <c r="AK2">
        <v>4</v>
      </c>
      <c r="AL2">
        <v>6</v>
      </c>
      <c r="AM2">
        <v>3</v>
      </c>
      <c r="AN2">
        <v>5</v>
      </c>
      <c r="AO2">
        <v>9</v>
      </c>
      <c r="AP2">
        <v>9</v>
      </c>
      <c r="AQ2">
        <v>7</v>
      </c>
      <c r="AR2">
        <v>3</v>
      </c>
      <c r="AS2">
        <v>0</v>
      </c>
      <c r="AT2">
        <v>5</v>
      </c>
      <c r="AU2">
        <v>3</v>
      </c>
      <c r="AV2">
        <v>0</v>
      </c>
      <c r="AW2">
        <v>7</v>
      </c>
      <c r="AX2">
        <v>9</v>
      </c>
      <c r="AY2">
        <v>6</v>
      </c>
      <c r="AZ2">
        <v>5</v>
      </c>
      <c r="BA2">
        <v>8</v>
      </c>
      <c r="BB2">
        <v>3</v>
      </c>
      <c r="BC2">
        <v>5</v>
      </c>
      <c r="BD2">
        <v>2</v>
      </c>
      <c r="BE2">
        <v>8</v>
      </c>
      <c r="BF2">
        <v>4</v>
      </c>
      <c r="BG2">
        <v>8</v>
      </c>
      <c r="BH2">
        <v>8</v>
      </c>
      <c r="BI2">
        <v>8</v>
      </c>
      <c r="BJ2">
        <v>5</v>
      </c>
      <c r="BK2">
        <v>5</v>
      </c>
      <c r="BL2">
        <v>9</v>
      </c>
      <c r="BM2">
        <v>1</v>
      </c>
      <c r="BN2">
        <v>6</v>
      </c>
      <c r="BO2">
        <v>10</v>
      </c>
      <c r="BP2">
        <v>7</v>
      </c>
      <c r="BQ2">
        <v>8</v>
      </c>
      <c r="BR2">
        <v>8</v>
      </c>
      <c r="BS2">
        <v>10</v>
      </c>
      <c r="BT2">
        <v>2</v>
      </c>
      <c r="BU2">
        <v>9</v>
      </c>
      <c r="BV2">
        <v>2</v>
      </c>
      <c r="BW2">
        <v>0</v>
      </c>
      <c r="BX2">
        <v>2</v>
      </c>
      <c r="BY2">
        <v>8</v>
      </c>
      <c r="BZ2">
        <v>1</v>
      </c>
      <c r="CA2">
        <v>5</v>
      </c>
      <c r="CB2">
        <v>2</v>
      </c>
      <c r="CC2">
        <v>7</v>
      </c>
      <c r="CD2">
        <v>3</v>
      </c>
      <c r="CE2">
        <v>8</v>
      </c>
      <c r="CF2">
        <v>0</v>
      </c>
      <c r="CG2">
        <v>8</v>
      </c>
      <c r="CH2">
        <v>4</v>
      </c>
      <c r="CI2">
        <v>7</v>
      </c>
      <c r="CJ2">
        <v>3</v>
      </c>
      <c r="CK2">
        <v>5</v>
      </c>
      <c r="CL2">
        <v>6</v>
      </c>
      <c r="CM2">
        <v>2</v>
      </c>
      <c r="CN2">
        <v>6</v>
      </c>
      <c r="CO2">
        <v>7</v>
      </c>
      <c r="CP2">
        <v>2</v>
      </c>
      <c r="CQ2">
        <v>7</v>
      </c>
      <c r="CR2">
        <v>9</v>
      </c>
      <c r="CS2">
        <v>0</v>
      </c>
      <c r="CT2">
        <v>3</v>
      </c>
      <c r="CU2">
        <v>10</v>
      </c>
      <c r="CV2">
        <v>3</v>
      </c>
      <c r="CW2">
        <v>8</v>
      </c>
      <c r="CX2">
        <v>0</v>
      </c>
      <c r="CY2">
        <v>7</v>
      </c>
      <c r="CZ2">
        <v>3</v>
      </c>
      <c r="DA2">
        <v>0</v>
      </c>
      <c r="DB2">
        <v>3</v>
      </c>
      <c r="DC2">
        <v>2</v>
      </c>
      <c r="DD2">
        <v>8</v>
      </c>
      <c r="DE2">
        <v>7</v>
      </c>
      <c r="DF2">
        <v>1</v>
      </c>
      <c r="DG2">
        <v>7</v>
      </c>
      <c r="DH2">
        <v>4</v>
      </c>
      <c r="DI2">
        <v>9</v>
      </c>
      <c r="DJ2">
        <v>3</v>
      </c>
      <c r="DK2">
        <v>3</v>
      </c>
    </row>
    <row r="3" spans="1:115">
      <c r="A3" s="172">
        <f>Calculations[[#This Row],[Sum t eCO2]]*IF(Calculations[[#This Row],[GHG Scope]]="BIOGENIC",0,1)</f>
        <v>0</v>
      </c>
      <c r="B3" s="149"/>
      <c r="C3" s="150"/>
      <c r="D3" s="162" t="s">
        <v>1035</v>
      </c>
      <c r="E3" s="167">
        <f>F3/$F$8</f>
        <v>0.67040816326530617</v>
      </c>
      <c r="F3" s="169">
        <f>COUNTIF(Un[], "&lt;10")-COUNTIF(Un[],"=0")</f>
        <v>657</v>
      </c>
      <c r="G3" s="149"/>
      <c r="H3" s="149"/>
      <c r="I3" s="149"/>
      <c r="J3" s="149"/>
      <c r="K3" s="149"/>
      <c r="L3" s="149"/>
      <c r="M3" s="149"/>
      <c r="O3">
        <f>O2+1</f>
        <v>2</v>
      </c>
      <c r="P3">
        <v>3</v>
      </c>
      <c r="Q3">
        <v>2</v>
      </c>
      <c r="R3">
        <v>7</v>
      </c>
      <c r="S3">
        <v>2</v>
      </c>
      <c r="T3">
        <v>2</v>
      </c>
      <c r="U3">
        <v>9</v>
      </c>
      <c r="V3">
        <v>9</v>
      </c>
      <c r="W3">
        <v>3</v>
      </c>
      <c r="X3">
        <v>10</v>
      </c>
      <c r="Y3">
        <v>9</v>
      </c>
      <c r="Z3">
        <v>10</v>
      </c>
      <c r="AA3">
        <v>4</v>
      </c>
      <c r="AB3">
        <v>4</v>
      </c>
      <c r="AC3">
        <v>0</v>
      </c>
      <c r="AD3">
        <v>10</v>
      </c>
      <c r="AE3">
        <v>1</v>
      </c>
      <c r="AF3">
        <v>0</v>
      </c>
      <c r="AG3">
        <v>4</v>
      </c>
      <c r="AH3">
        <v>3</v>
      </c>
      <c r="AI3">
        <v>8</v>
      </c>
      <c r="AJ3">
        <v>10</v>
      </c>
      <c r="AK3">
        <v>2</v>
      </c>
      <c r="AL3">
        <v>7</v>
      </c>
      <c r="AM3">
        <v>7</v>
      </c>
      <c r="AN3">
        <v>6</v>
      </c>
      <c r="AO3">
        <v>9</v>
      </c>
      <c r="AP3">
        <v>1</v>
      </c>
      <c r="AQ3">
        <v>8</v>
      </c>
      <c r="AR3">
        <v>0</v>
      </c>
      <c r="AS3">
        <v>3</v>
      </c>
      <c r="AT3">
        <v>3</v>
      </c>
      <c r="AU3">
        <v>9</v>
      </c>
      <c r="AV3">
        <v>8</v>
      </c>
      <c r="AW3">
        <v>1</v>
      </c>
      <c r="AX3">
        <v>1</v>
      </c>
      <c r="AY3">
        <v>9</v>
      </c>
      <c r="AZ3">
        <v>9</v>
      </c>
      <c r="BA3">
        <v>8</v>
      </c>
      <c r="BB3">
        <v>4</v>
      </c>
      <c r="BC3">
        <v>8</v>
      </c>
      <c r="BD3">
        <v>5</v>
      </c>
      <c r="BE3">
        <v>8</v>
      </c>
      <c r="BF3">
        <v>0</v>
      </c>
      <c r="BG3">
        <v>9</v>
      </c>
      <c r="BH3">
        <v>0</v>
      </c>
      <c r="BI3">
        <v>3</v>
      </c>
      <c r="BJ3">
        <v>5</v>
      </c>
      <c r="BK3">
        <v>7</v>
      </c>
      <c r="BL3">
        <v>2</v>
      </c>
      <c r="BM3">
        <v>0</v>
      </c>
      <c r="BN3">
        <v>3</v>
      </c>
      <c r="BO3">
        <v>0</v>
      </c>
      <c r="BP3">
        <v>6</v>
      </c>
      <c r="BQ3">
        <v>6</v>
      </c>
      <c r="BR3">
        <v>3</v>
      </c>
      <c r="BS3">
        <v>0</v>
      </c>
      <c r="BT3">
        <v>0</v>
      </c>
      <c r="BU3">
        <v>4</v>
      </c>
      <c r="BV3">
        <v>5</v>
      </c>
      <c r="BW3">
        <v>4</v>
      </c>
      <c r="BX3">
        <v>3</v>
      </c>
      <c r="BY3">
        <v>9</v>
      </c>
      <c r="BZ3">
        <v>10</v>
      </c>
      <c r="CA3">
        <v>1</v>
      </c>
      <c r="CB3">
        <v>4</v>
      </c>
      <c r="CC3">
        <v>6</v>
      </c>
      <c r="CD3">
        <v>8</v>
      </c>
      <c r="CE3">
        <v>1</v>
      </c>
      <c r="CF3">
        <v>3</v>
      </c>
      <c r="CG3">
        <v>0</v>
      </c>
      <c r="CH3">
        <v>2</v>
      </c>
      <c r="CI3">
        <v>10</v>
      </c>
      <c r="CJ3">
        <v>8</v>
      </c>
      <c r="CK3">
        <v>1</v>
      </c>
      <c r="CL3">
        <v>2</v>
      </c>
      <c r="CM3">
        <v>8</v>
      </c>
      <c r="CN3">
        <v>8</v>
      </c>
      <c r="CO3">
        <v>1</v>
      </c>
      <c r="CP3">
        <v>9</v>
      </c>
      <c r="CQ3">
        <v>2</v>
      </c>
      <c r="CR3">
        <v>7</v>
      </c>
      <c r="CS3">
        <v>10</v>
      </c>
      <c r="CT3">
        <v>10</v>
      </c>
      <c r="CU3">
        <v>7</v>
      </c>
      <c r="CV3">
        <v>5</v>
      </c>
      <c r="CW3">
        <v>5</v>
      </c>
      <c r="CX3">
        <v>5</v>
      </c>
      <c r="CY3">
        <v>2</v>
      </c>
      <c r="CZ3">
        <v>10</v>
      </c>
      <c r="DA3">
        <v>8</v>
      </c>
      <c r="DB3">
        <v>2</v>
      </c>
      <c r="DC3">
        <v>0</v>
      </c>
      <c r="DD3">
        <v>7</v>
      </c>
      <c r="DE3">
        <v>2</v>
      </c>
      <c r="DF3">
        <v>10</v>
      </c>
      <c r="DG3">
        <v>10</v>
      </c>
      <c r="DH3">
        <v>8</v>
      </c>
      <c r="DI3">
        <v>2</v>
      </c>
      <c r="DJ3">
        <v>9</v>
      </c>
      <c r="DK3">
        <v>1</v>
      </c>
    </row>
    <row r="4" spans="1:115" ht="19.8">
      <c r="A4" s="172">
        <f>Calculations[[#This Row],[Sum t eCO2]]*IF(Calculations[[#This Row],[GHG Scope]]="BIOGENIC",0,1)</f>
        <v>0</v>
      </c>
      <c r="B4" s="149"/>
      <c r="C4" s="150"/>
      <c r="D4" s="162" t="s">
        <v>929</v>
      </c>
      <c r="E4" s="167">
        <f>F4/$F$8</f>
        <v>0.19489795918367347</v>
      </c>
      <c r="F4" s="169">
        <f>COUNTIF(Un[], "&lt;100")-F3-COUNTIF(Un[],"=0")</f>
        <v>191</v>
      </c>
      <c r="G4" s="149"/>
      <c r="H4" s="149"/>
      <c r="I4" s="165"/>
      <c r="J4" s="165"/>
      <c r="K4" s="165"/>
      <c r="L4" s="165"/>
      <c r="M4" s="165"/>
      <c r="O4">
        <f t="shared" ref="O4:O67" si="0">O3+1</f>
        <v>3</v>
      </c>
      <c r="P4">
        <v>9</v>
      </c>
      <c r="Q4">
        <v>7</v>
      </c>
      <c r="R4">
        <v>0</v>
      </c>
      <c r="S4">
        <v>0</v>
      </c>
      <c r="T4">
        <v>8</v>
      </c>
      <c r="U4">
        <v>6</v>
      </c>
      <c r="V4">
        <v>8</v>
      </c>
      <c r="W4">
        <v>10</v>
      </c>
      <c r="X4">
        <v>9</v>
      </c>
      <c r="Y4">
        <v>0</v>
      </c>
      <c r="Z4">
        <v>9</v>
      </c>
      <c r="AA4">
        <v>2</v>
      </c>
      <c r="AB4">
        <v>9</v>
      </c>
      <c r="AC4">
        <v>2</v>
      </c>
      <c r="AD4">
        <v>10</v>
      </c>
      <c r="AE4">
        <v>0</v>
      </c>
      <c r="AF4">
        <v>5</v>
      </c>
      <c r="AG4">
        <v>6</v>
      </c>
      <c r="AH4">
        <v>2</v>
      </c>
      <c r="AI4">
        <v>4</v>
      </c>
      <c r="AJ4">
        <v>0</v>
      </c>
      <c r="AK4">
        <v>2</v>
      </c>
      <c r="AL4">
        <v>6</v>
      </c>
      <c r="AM4">
        <v>7</v>
      </c>
      <c r="AN4">
        <v>6</v>
      </c>
      <c r="AO4">
        <v>0</v>
      </c>
      <c r="AP4">
        <v>9</v>
      </c>
      <c r="AQ4">
        <v>10</v>
      </c>
      <c r="AR4">
        <v>5</v>
      </c>
      <c r="AS4">
        <v>7</v>
      </c>
      <c r="AT4">
        <v>0</v>
      </c>
      <c r="AU4">
        <v>9</v>
      </c>
      <c r="AV4">
        <v>1</v>
      </c>
      <c r="AW4">
        <v>10</v>
      </c>
      <c r="AX4">
        <v>6</v>
      </c>
      <c r="AY4">
        <v>9</v>
      </c>
      <c r="AZ4">
        <v>10</v>
      </c>
      <c r="BA4">
        <v>8</v>
      </c>
      <c r="BB4">
        <v>7</v>
      </c>
      <c r="BC4">
        <v>4</v>
      </c>
      <c r="BD4">
        <v>6</v>
      </c>
      <c r="BE4">
        <v>5</v>
      </c>
      <c r="BF4">
        <v>10</v>
      </c>
      <c r="BG4">
        <v>5</v>
      </c>
      <c r="BH4">
        <v>10</v>
      </c>
      <c r="BI4">
        <v>4</v>
      </c>
      <c r="BJ4">
        <v>5</v>
      </c>
      <c r="BK4">
        <v>6</v>
      </c>
      <c r="BL4">
        <v>2</v>
      </c>
      <c r="BM4">
        <v>0</v>
      </c>
      <c r="BN4">
        <v>0</v>
      </c>
      <c r="BO4">
        <v>1</v>
      </c>
      <c r="BP4">
        <v>10</v>
      </c>
      <c r="BQ4">
        <v>8</v>
      </c>
      <c r="BR4">
        <v>5</v>
      </c>
      <c r="BS4">
        <v>4</v>
      </c>
      <c r="BT4">
        <v>0</v>
      </c>
      <c r="BU4">
        <v>6</v>
      </c>
      <c r="BV4">
        <v>7</v>
      </c>
      <c r="BW4">
        <v>5</v>
      </c>
      <c r="BX4">
        <v>2</v>
      </c>
      <c r="BY4">
        <v>2</v>
      </c>
      <c r="BZ4">
        <v>1</v>
      </c>
      <c r="CA4">
        <v>0</v>
      </c>
      <c r="CB4">
        <v>9</v>
      </c>
      <c r="CC4">
        <v>4</v>
      </c>
      <c r="CD4">
        <v>3</v>
      </c>
      <c r="CE4">
        <v>9</v>
      </c>
      <c r="CF4">
        <v>7</v>
      </c>
      <c r="CG4">
        <v>6</v>
      </c>
      <c r="CH4">
        <v>9</v>
      </c>
      <c r="CI4">
        <v>8</v>
      </c>
      <c r="CJ4">
        <v>0</v>
      </c>
      <c r="CK4">
        <v>10</v>
      </c>
      <c r="CL4">
        <v>5</v>
      </c>
      <c r="CM4">
        <v>4</v>
      </c>
      <c r="CN4">
        <v>3</v>
      </c>
      <c r="CO4">
        <v>9</v>
      </c>
      <c r="CP4">
        <v>5</v>
      </c>
      <c r="CQ4">
        <v>2</v>
      </c>
      <c r="CR4">
        <v>1</v>
      </c>
      <c r="CS4">
        <v>3</v>
      </c>
      <c r="CT4">
        <v>4</v>
      </c>
      <c r="CU4">
        <v>9</v>
      </c>
      <c r="CV4">
        <v>4</v>
      </c>
      <c r="CW4">
        <v>8</v>
      </c>
      <c r="CX4">
        <v>4</v>
      </c>
      <c r="CY4">
        <v>5</v>
      </c>
      <c r="CZ4">
        <v>7</v>
      </c>
      <c r="DA4">
        <v>8</v>
      </c>
      <c r="DB4">
        <v>6</v>
      </c>
      <c r="DC4">
        <v>4</v>
      </c>
      <c r="DD4">
        <v>9</v>
      </c>
      <c r="DE4">
        <v>5</v>
      </c>
      <c r="DF4">
        <v>3</v>
      </c>
      <c r="DG4">
        <v>10</v>
      </c>
      <c r="DH4">
        <v>6</v>
      </c>
      <c r="DI4">
        <v>4</v>
      </c>
      <c r="DJ4">
        <v>10</v>
      </c>
      <c r="DK4">
        <v>9</v>
      </c>
    </row>
    <row r="5" spans="1:115" ht="19.8">
      <c r="A5" s="172">
        <f>Calculations[[#This Row],[Sum t eCO2]]*IF(Calculations[[#This Row],[GHG Scope]]="BIOGENIC",0,1)</f>
        <v>2581.4795322019127</v>
      </c>
      <c r="B5" s="149"/>
      <c r="C5" s="150"/>
      <c r="D5" s="162" t="s">
        <v>928</v>
      </c>
      <c r="E5" s="167">
        <f>F5/$F$8</f>
        <v>9.8979591836734687E-2</v>
      </c>
      <c r="F5" s="169">
        <f>COUNTIF(Un[], "&lt;1000")-SUM(F3:F4)-COUNTIF(Un[],"=0")</f>
        <v>97</v>
      </c>
      <c r="G5" s="149"/>
      <c r="H5" s="149"/>
      <c r="I5" s="149"/>
      <c r="J5" s="149"/>
      <c r="K5" s="164"/>
      <c r="L5" s="149"/>
      <c r="M5" s="149"/>
      <c r="O5">
        <f t="shared" si="0"/>
        <v>4</v>
      </c>
      <c r="P5">
        <v>0</v>
      </c>
      <c r="Q5">
        <v>6</v>
      </c>
      <c r="R5">
        <v>0</v>
      </c>
      <c r="S5">
        <v>0</v>
      </c>
      <c r="T5">
        <v>1</v>
      </c>
      <c r="U5">
        <v>10</v>
      </c>
      <c r="V5">
        <v>8</v>
      </c>
      <c r="W5">
        <v>1</v>
      </c>
      <c r="X5">
        <v>10</v>
      </c>
      <c r="Y5">
        <v>6</v>
      </c>
      <c r="Z5">
        <v>5</v>
      </c>
      <c r="AA5">
        <v>4</v>
      </c>
      <c r="AB5">
        <v>10</v>
      </c>
      <c r="AC5">
        <v>10</v>
      </c>
      <c r="AD5">
        <v>9</v>
      </c>
      <c r="AE5">
        <v>4</v>
      </c>
      <c r="AF5">
        <v>2</v>
      </c>
      <c r="AG5">
        <v>2</v>
      </c>
      <c r="AH5">
        <v>5</v>
      </c>
      <c r="AI5">
        <v>1</v>
      </c>
      <c r="AJ5">
        <v>1</v>
      </c>
      <c r="AK5">
        <v>7</v>
      </c>
      <c r="AL5">
        <v>6</v>
      </c>
      <c r="AM5">
        <v>2</v>
      </c>
      <c r="AN5">
        <v>6</v>
      </c>
      <c r="AO5">
        <v>0</v>
      </c>
      <c r="AP5">
        <v>1</v>
      </c>
      <c r="AQ5">
        <v>5</v>
      </c>
      <c r="AR5">
        <v>10</v>
      </c>
      <c r="AS5">
        <v>2</v>
      </c>
      <c r="AT5">
        <v>2</v>
      </c>
      <c r="AU5">
        <v>1</v>
      </c>
      <c r="AV5">
        <v>7</v>
      </c>
      <c r="AW5">
        <v>6</v>
      </c>
      <c r="AX5">
        <v>10</v>
      </c>
      <c r="AY5">
        <v>6</v>
      </c>
      <c r="AZ5">
        <v>1</v>
      </c>
      <c r="BA5">
        <v>2</v>
      </c>
      <c r="BB5">
        <v>1</v>
      </c>
      <c r="BC5">
        <v>10</v>
      </c>
      <c r="BD5">
        <v>0</v>
      </c>
      <c r="BE5">
        <v>4</v>
      </c>
      <c r="BF5">
        <v>2</v>
      </c>
      <c r="BG5">
        <v>4</v>
      </c>
      <c r="BH5">
        <v>7</v>
      </c>
      <c r="BI5">
        <v>6</v>
      </c>
      <c r="BJ5">
        <v>4</v>
      </c>
      <c r="BK5">
        <v>7</v>
      </c>
      <c r="BL5">
        <v>9</v>
      </c>
      <c r="BM5">
        <v>5</v>
      </c>
      <c r="BN5">
        <v>8</v>
      </c>
      <c r="BO5">
        <v>6</v>
      </c>
      <c r="BP5">
        <v>0</v>
      </c>
      <c r="BQ5">
        <v>6</v>
      </c>
      <c r="BR5">
        <v>7</v>
      </c>
      <c r="BS5">
        <v>6</v>
      </c>
      <c r="BT5">
        <v>1</v>
      </c>
      <c r="BU5">
        <v>2</v>
      </c>
      <c r="BV5">
        <v>4</v>
      </c>
      <c r="BW5">
        <v>1</v>
      </c>
      <c r="BX5">
        <v>7</v>
      </c>
      <c r="BY5">
        <v>3</v>
      </c>
      <c r="BZ5">
        <v>2</v>
      </c>
      <c r="CA5">
        <v>3</v>
      </c>
      <c r="CB5">
        <v>2</v>
      </c>
      <c r="CC5">
        <v>9</v>
      </c>
      <c r="CD5">
        <v>2</v>
      </c>
      <c r="CE5">
        <v>1</v>
      </c>
      <c r="CF5">
        <v>2</v>
      </c>
      <c r="CG5">
        <v>2</v>
      </c>
      <c r="CH5">
        <v>5</v>
      </c>
      <c r="CI5">
        <v>7</v>
      </c>
      <c r="CJ5">
        <v>8</v>
      </c>
      <c r="CK5">
        <v>0</v>
      </c>
      <c r="CL5">
        <v>10</v>
      </c>
      <c r="CM5">
        <v>3</v>
      </c>
      <c r="CN5">
        <v>7</v>
      </c>
      <c r="CO5">
        <v>9</v>
      </c>
      <c r="CP5">
        <v>4</v>
      </c>
      <c r="CQ5">
        <v>1</v>
      </c>
      <c r="CR5">
        <v>7</v>
      </c>
      <c r="CS5">
        <v>0</v>
      </c>
      <c r="CT5">
        <v>9</v>
      </c>
      <c r="CU5">
        <v>1</v>
      </c>
      <c r="CV5">
        <v>9</v>
      </c>
      <c r="CW5">
        <v>3</v>
      </c>
      <c r="CX5">
        <v>9</v>
      </c>
      <c r="CY5">
        <v>5</v>
      </c>
      <c r="CZ5">
        <v>3</v>
      </c>
      <c r="DA5">
        <v>4</v>
      </c>
      <c r="DB5">
        <v>1</v>
      </c>
      <c r="DC5">
        <v>9</v>
      </c>
      <c r="DD5">
        <v>10</v>
      </c>
      <c r="DE5">
        <v>2</v>
      </c>
      <c r="DF5">
        <v>0</v>
      </c>
      <c r="DG5">
        <v>1</v>
      </c>
      <c r="DH5">
        <v>10</v>
      </c>
      <c r="DI5">
        <v>9</v>
      </c>
      <c r="DJ5">
        <v>4</v>
      </c>
      <c r="DK5">
        <v>5</v>
      </c>
    </row>
    <row r="6" spans="1:115" ht="19.8">
      <c r="A6" s="172">
        <f>Calculations[[#This Row],[Sum t eCO2]]*IF(Calculations[[#This Row],[GHG Scope]]="BIOGENIC",0,1)</f>
        <v>5.6412309059421775</v>
      </c>
      <c r="B6" s="149"/>
      <c r="C6" s="150"/>
      <c r="D6" s="162" t="s">
        <v>927</v>
      </c>
      <c r="E6" s="167">
        <f>F6/$F$8</f>
        <v>2.8571428571428571E-2</v>
      </c>
      <c r="F6" s="169">
        <f>COUNTIF(Un[], "&lt;10000")-SUM(F3:F5)-COUNTIF(Un[],"=0")</f>
        <v>28</v>
      </c>
      <c r="G6" s="149"/>
      <c r="H6" s="149"/>
      <c r="I6" s="149"/>
      <c r="J6" s="149"/>
      <c r="K6" s="163"/>
      <c r="L6" s="149"/>
      <c r="M6" s="149"/>
      <c r="O6">
        <f t="shared" si="0"/>
        <v>5</v>
      </c>
      <c r="P6">
        <v>3</v>
      </c>
      <c r="Q6">
        <v>3</v>
      </c>
      <c r="R6">
        <v>4</v>
      </c>
      <c r="S6">
        <v>9</v>
      </c>
      <c r="T6">
        <v>5</v>
      </c>
      <c r="U6">
        <v>6</v>
      </c>
      <c r="V6">
        <v>4</v>
      </c>
      <c r="W6">
        <v>7</v>
      </c>
      <c r="X6">
        <v>3</v>
      </c>
      <c r="Y6">
        <v>3</v>
      </c>
      <c r="Z6">
        <v>6</v>
      </c>
      <c r="AA6">
        <v>9</v>
      </c>
      <c r="AB6">
        <v>6</v>
      </c>
      <c r="AC6">
        <v>3</v>
      </c>
      <c r="AD6">
        <v>3</v>
      </c>
      <c r="AE6">
        <v>0</v>
      </c>
      <c r="AF6">
        <v>8</v>
      </c>
      <c r="AG6">
        <v>0</v>
      </c>
      <c r="AH6">
        <v>0</v>
      </c>
      <c r="AI6">
        <v>6</v>
      </c>
      <c r="AJ6">
        <v>8</v>
      </c>
      <c r="AK6">
        <v>6</v>
      </c>
      <c r="AL6">
        <v>0</v>
      </c>
      <c r="AM6">
        <v>2</v>
      </c>
      <c r="AN6">
        <v>7</v>
      </c>
      <c r="AO6">
        <v>10</v>
      </c>
      <c r="AP6">
        <v>9</v>
      </c>
      <c r="AQ6">
        <v>3</v>
      </c>
      <c r="AR6">
        <v>5</v>
      </c>
      <c r="AS6">
        <v>1</v>
      </c>
      <c r="AT6">
        <v>7</v>
      </c>
      <c r="AU6">
        <v>5</v>
      </c>
      <c r="AV6">
        <v>9</v>
      </c>
      <c r="AW6">
        <v>4</v>
      </c>
      <c r="AX6">
        <v>3</v>
      </c>
      <c r="AY6">
        <v>9</v>
      </c>
      <c r="AZ6">
        <v>8</v>
      </c>
      <c r="BA6">
        <v>1</v>
      </c>
      <c r="BB6">
        <v>4</v>
      </c>
      <c r="BC6">
        <v>6</v>
      </c>
      <c r="BD6">
        <v>2</v>
      </c>
      <c r="BE6">
        <v>8</v>
      </c>
      <c r="BF6">
        <v>2</v>
      </c>
      <c r="BG6">
        <v>2</v>
      </c>
      <c r="BH6">
        <v>1</v>
      </c>
      <c r="BI6">
        <v>2</v>
      </c>
      <c r="BJ6">
        <v>10</v>
      </c>
      <c r="BK6">
        <v>9</v>
      </c>
      <c r="BL6">
        <v>9</v>
      </c>
      <c r="BM6">
        <v>8</v>
      </c>
      <c r="BN6">
        <v>3</v>
      </c>
      <c r="BO6">
        <v>6</v>
      </c>
      <c r="BP6">
        <v>3</v>
      </c>
      <c r="BQ6">
        <v>9</v>
      </c>
      <c r="BR6">
        <v>0</v>
      </c>
      <c r="BS6">
        <v>4</v>
      </c>
      <c r="BT6">
        <v>8</v>
      </c>
      <c r="BU6">
        <v>3</v>
      </c>
      <c r="BV6">
        <v>3</v>
      </c>
      <c r="BW6">
        <v>7</v>
      </c>
      <c r="BX6">
        <v>3</v>
      </c>
      <c r="BY6">
        <v>5</v>
      </c>
      <c r="BZ6">
        <v>10</v>
      </c>
      <c r="CA6">
        <v>1</v>
      </c>
      <c r="CB6">
        <v>1</v>
      </c>
      <c r="CC6">
        <v>1</v>
      </c>
      <c r="CD6">
        <v>2</v>
      </c>
      <c r="CE6">
        <v>8</v>
      </c>
      <c r="CF6">
        <v>1</v>
      </c>
      <c r="CG6">
        <v>10</v>
      </c>
      <c r="CH6">
        <v>10</v>
      </c>
      <c r="CI6">
        <v>9</v>
      </c>
      <c r="CJ6">
        <v>10</v>
      </c>
      <c r="CK6">
        <v>3</v>
      </c>
      <c r="CL6">
        <v>6</v>
      </c>
      <c r="CM6">
        <v>8</v>
      </c>
      <c r="CN6">
        <v>7</v>
      </c>
      <c r="CO6">
        <v>5</v>
      </c>
      <c r="CP6">
        <v>0</v>
      </c>
      <c r="CQ6">
        <v>3</v>
      </c>
      <c r="CR6">
        <v>9</v>
      </c>
      <c r="CS6">
        <v>0</v>
      </c>
      <c r="CT6">
        <v>9</v>
      </c>
      <c r="CU6">
        <v>6</v>
      </c>
      <c r="CV6">
        <v>4</v>
      </c>
      <c r="CW6">
        <v>0</v>
      </c>
      <c r="CX6">
        <v>8</v>
      </c>
      <c r="CY6">
        <v>8</v>
      </c>
      <c r="CZ6">
        <v>10</v>
      </c>
      <c r="DA6">
        <v>10</v>
      </c>
      <c r="DB6">
        <v>3</v>
      </c>
      <c r="DC6">
        <v>8</v>
      </c>
      <c r="DD6">
        <v>1</v>
      </c>
      <c r="DE6">
        <v>10</v>
      </c>
      <c r="DF6">
        <v>1</v>
      </c>
      <c r="DG6">
        <v>0</v>
      </c>
      <c r="DH6">
        <v>2</v>
      </c>
      <c r="DI6">
        <v>9</v>
      </c>
      <c r="DJ6">
        <v>10</v>
      </c>
      <c r="DK6">
        <v>4</v>
      </c>
    </row>
    <row r="7" spans="1:115">
      <c r="A7" s="172">
        <f>Calculations[[#This Row],[Sum t eCO2]]*IF(Calculations[[#This Row],[GHG Scope]]="BIOGENIC",0,1)</f>
        <v>15.521548846874262</v>
      </c>
      <c r="B7" s="149"/>
      <c r="C7" s="150"/>
      <c r="D7" s="232" t="s">
        <v>1380</v>
      </c>
      <c r="E7" s="167">
        <f>F7/$F$8</f>
        <v>7.1428571428571426E-3</v>
      </c>
      <c r="F7" s="169">
        <f>COUNTIF(Un[], "&lt;116818")-SUM(F3:F6)-COUNTIF(Un[],"=0")</f>
        <v>7</v>
      </c>
      <c r="G7" s="149"/>
      <c r="H7" s="149"/>
      <c r="I7" s="149"/>
      <c r="J7" s="149"/>
      <c r="K7" s="149"/>
      <c r="L7" s="149"/>
      <c r="M7" s="149"/>
      <c r="O7">
        <f t="shared" si="0"/>
        <v>6</v>
      </c>
      <c r="P7">
        <v>8</v>
      </c>
      <c r="Q7">
        <v>3</v>
      </c>
      <c r="R7">
        <v>3</v>
      </c>
      <c r="S7">
        <v>7</v>
      </c>
      <c r="T7">
        <v>8</v>
      </c>
      <c r="U7">
        <v>7</v>
      </c>
      <c r="V7">
        <v>5</v>
      </c>
      <c r="W7">
        <v>8</v>
      </c>
      <c r="X7">
        <v>8</v>
      </c>
      <c r="Y7">
        <v>6</v>
      </c>
      <c r="Z7">
        <v>7</v>
      </c>
      <c r="AA7">
        <v>9</v>
      </c>
      <c r="AB7">
        <v>8</v>
      </c>
      <c r="AC7">
        <v>3</v>
      </c>
      <c r="AD7">
        <v>3</v>
      </c>
      <c r="AE7">
        <v>10</v>
      </c>
      <c r="AF7">
        <v>0</v>
      </c>
      <c r="AG7">
        <v>1</v>
      </c>
      <c r="AH7">
        <v>6</v>
      </c>
      <c r="AI7">
        <v>9</v>
      </c>
      <c r="AJ7">
        <v>2</v>
      </c>
      <c r="AK7">
        <v>3</v>
      </c>
      <c r="AL7">
        <v>6</v>
      </c>
      <c r="AM7">
        <v>4</v>
      </c>
      <c r="AN7">
        <v>9</v>
      </c>
      <c r="AO7">
        <v>7</v>
      </c>
      <c r="AP7">
        <v>5</v>
      </c>
      <c r="AQ7">
        <v>3</v>
      </c>
      <c r="AR7">
        <v>1</v>
      </c>
      <c r="AS7">
        <v>4</v>
      </c>
      <c r="AT7">
        <v>2</v>
      </c>
      <c r="AU7">
        <v>0</v>
      </c>
      <c r="AV7">
        <v>8</v>
      </c>
      <c r="AW7">
        <v>1</v>
      </c>
      <c r="AX7">
        <v>3</v>
      </c>
      <c r="AY7">
        <v>8</v>
      </c>
      <c r="AZ7">
        <v>2</v>
      </c>
      <c r="BA7">
        <v>9</v>
      </c>
      <c r="BB7">
        <v>8</v>
      </c>
      <c r="BC7">
        <v>3</v>
      </c>
      <c r="BD7">
        <v>9</v>
      </c>
      <c r="BE7">
        <v>6</v>
      </c>
      <c r="BF7">
        <v>2</v>
      </c>
      <c r="BG7">
        <v>9</v>
      </c>
      <c r="BH7">
        <v>4</v>
      </c>
      <c r="BI7">
        <v>6</v>
      </c>
      <c r="BJ7">
        <v>1</v>
      </c>
      <c r="BK7">
        <v>2</v>
      </c>
      <c r="BL7">
        <v>7</v>
      </c>
      <c r="BM7">
        <v>1</v>
      </c>
      <c r="BN7">
        <v>9</v>
      </c>
      <c r="BO7">
        <v>4</v>
      </c>
      <c r="BP7">
        <v>9</v>
      </c>
      <c r="BQ7">
        <v>10</v>
      </c>
      <c r="BR7">
        <v>4</v>
      </c>
      <c r="BS7">
        <v>8</v>
      </c>
      <c r="BT7">
        <v>7</v>
      </c>
      <c r="BU7">
        <v>4</v>
      </c>
      <c r="BV7">
        <v>2</v>
      </c>
      <c r="BW7">
        <v>2</v>
      </c>
      <c r="BX7">
        <v>3</v>
      </c>
      <c r="BY7">
        <v>6</v>
      </c>
      <c r="BZ7">
        <v>0</v>
      </c>
      <c r="CA7">
        <v>9</v>
      </c>
      <c r="CB7">
        <v>10</v>
      </c>
      <c r="CC7">
        <v>7</v>
      </c>
      <c r="CD7">
        <v>1</v>
      </c>
      <c r="CE7">
        <v>10</v>
      </c>
      <c r="CF7">
        <v>7</v>
      </c>
      <c r="CG7">
        <v>9</v>
      </c>
      <c r="CH7">
        <v>7</v>
      </c>
      <c r="CI7">
        <v>5</v>
      </c>
      <c r="CJ7">
        <v>7</v>
      </c>
      <c r="CK7">
        <v>9</v>
      </c>
      <c r="CL7">
        <v>8</v>
      </c>
      <c r="CM7">
        <v>2</v>
      </c>
      <c r="CN7">
        <v>4</v>
      </c>
      <c r="CO7">
        <v>9</v>
      </c>
      <c r="CP7">
        <v>3</v>
      </c>
      <c r="CQ7">
        <v>7</v>
      </c>
      <c r="CR7">
        <v>8</v>
      </c>
      <c r="CS7">
        <v>5</v>
      </c>
      <c r="CT7">
        <v>7</v>
      </c>
      <c r="CU7">
        <v>2</v>
      </c>
      <c r="CV7">
        <v>2</v>
      </c>
      <c r="CW7">
        <v>0</v>
      </c>
      <c r="CX7">
        <v>5</v>
      </c>
      <c r="CY7">
        <v>9</v>
      </c>
      <c r="CZ7">
        <v>2</v>
      </c>
      <c r="DA7">
        <v>1</v>
      </c>
      <c r="DB7">
        <v>10</v>
      </c>
      <c r="DC7">
        <v>0</v>
      </c>
      <c r="DD7">
        <v>10</v>
      </c>
      <c r="DE7">
        <v>7</v>
      </c>
      <c r="DF7">
        <v>4</v>
      </c>
      <c r="DG7">
        <v>10</v>
      </c>
      <c r="DH7">
        <v>0</v>
      </c>
      <c r="DI7">
        <v>0</v>
      </c>
      <c r="DJ7">
        <v>8</v>
      </c>
      <c r="DK7">
        <v>3</v>
      </c>
    </row>
    <row r="8" spans="1:115">
      <c r="A8" s="172">
        <f>Calculations[[#This Row],[Sum t eCO2]]*IF(Calculations[[#This Row],[GHG Scope]]="BIOGENIC",0,1)</f>
        <v>922.66219877618266</v>
      </c>
      <c r="B8" s="149"/>
      <c r="C8" s="150"/>
      <c r="D8" s="162" t="s">
        <v>900</v>
      </c>
      <c r="E8" s="167">
        <f>SUM(E3:E7)</f>
        <v>1</v>
      </c>
      <c r="F8" s="166">
        <f>SUM(F3:F7)</f>
        <v>980</v>
      </c>
      <c r="G8" s="149"/>
      <c r="H8" s="149"/>
      <c r="I8" s="149"/>
      <c r="J8" s="149"/>
      <c r="K8" s="149"/>
      <c r="L8" s="149"/>
      <c r="M8" s="149"/>
      <c r="O8">
        <f t="shared" si="0"/>
        <v>7</v>
      </c>
      <c r="P8">
        <v>5</v>
      </c>
      <c r="Q8">
        <v>8</v>
      </c>
      <c r="R8">
        <v>4</v>
      </c>
      <c r="S8">
        <v>1</v>
      </c>
      <c r="T8">
        <v>0</v>
      </c>
      <c r="U8">
        <v>10</v>
      </c>
      <c r="V8">
        <v>1</v>
      </c>
      <c r="W8">
        <v>3</v>
      </c>
      <c r="X8">
        <v>3</v>
      </c>
      <c r="Y8">
        <v>4</v>
      </c>
      <c r="Z8">
        <v>3</v>
      </c>
      <c r="AA8">
        <v>7</v>
      </c>
      <c r="AB8">
        <v>9</v>
      </c>
      <c r="AC8">
        <v>7</v>
      </c>
      <c r="AD8">
        <v>3</v>
      </c>
      <c r="AE8">
        <v>8</v>
      </c>
      <c r="AF8">
        <v>6</v>
      </c>
      <c r="AG8">
        <v>0</v>
      </c>
      <c r="AH8">
        <v>6</v>
      </c>
      <c r="AI8">
        <v>6</v>
      </c>
      <c r="AJ8">
        <v>7</v>
      </c>
      <c r="AK8">
        <v>6</v>
      </c>
      <c r="AL8">
        <v>9</v>
      </c>
      <c r="AM8">
        <v>6</v>
      </c>
      <c r="AN8">
        <v>5</v>
      </c>
      <c r="AO8">
        <v>1</v>
      </c>
      <c r="AP8">
        <v>4</v>
      </c>
      <c r="AQ8">
        <v>8</v>
      </c>
      <c r="AR8">
        <v>3</v>
      </c>
      <c r="AS8">
        <v>2</v>
      </c>
      <c r="AT8">
        <v>8</v>
      </c>
      <c r="AU8">
        <v>10</v>
      </c>
      <c r="AV8">
        <v>1</v>
      </c>
      <c r="AW8">
        <v>6</v>
      </c>
      <c r="AX8">
        <v>7</v>
      </c>
      <c r="AY8">
        <v>6</v>
      </c>
      <c r="AZ8">
        <v>10</v>
      </c>
      <c r="BA8">
        <v>7</v>
      </c>
      <c r="BB8">
        <v>5</v>
      </c>
      <c r="BC8">
        <v>9</v>
      </c>
      <c r="BD8">
        <v>2</v>
      </c>
      <c r="BE8">
        <v>10</v>
      </c>
      <c r="BF8">
        <v>6</v>
      </c>
      <c r="BG8">
        <v>1</v>
      </c>
      <c r="BH8">
        <v>3</v>
      </c>
      <c r="BI8">
        <v>10</v>
      </c>
      <c r="BJ8">
        <v>0</v>
      </c>
      <c r="BK8">
        <v>8</v>
      </c>
      <c r="BL8">
        <v>1</v>
      </c>
      <c r="BM8">
        <v>1</v>
      </c>
      <c r="BN8">
        <v>7</v>
      </c>
      <c r="BO8">
        <v>1</v>
      </c>
      <c r="BP8">
        <v>2</v>
      </c>
      <c r="BQ8">
        <v>8</v>
      </c>
      <c r="BR8">
        <v>6</v>
      </c>
      <c r="BS8">
        <v>9</v>
      </c>
      <c r="BT8">
        <v>10</v>
      </c>
      <c r="BU8">
        <v>5</v>
      </c>
      <c r="BV8">
        <v>6</v>
      </c>
      <c r="BW8">
        <v>10</v>
      </c>
      <c r="BX8">
        <v>2</v>
      </c>
      <c r="BY8">
        <v>1</v>
      </c>
      <c r="BZ8">
        <v>9</v>
      </c>
      <c r="CA8">
        <v>1</v>
      </c>
      <c r="CB8">
        <v>9</v>
      </c>
      <c r="CC8">
        <v>10</v>
      </c>
      <c r="CD8">
        <v>7</v>
      </c>
      <c r="CE8">
        <v>7</v>
      </c>
      <c r="CF8">
        <v>2</v>
      </c>
      <c r="CG8">
        <v>0</v>
      </c>
      <c r="CH8">
        <v>2</v>
      </c>
      <c r="CI8">
        <v>0</v>
      </c>
      <c r="CJ8">
        <v>4</v>
      </c>
      <c r="CK8">
        <v>10</v>
      </c>
      <c r="CL8">
        <v>3</v>
      </c>
      <c r="CM8">
        <v>4</v>
      </c>
      <c r="CN8">
        <v>4</v>
      </c>
      <c r="CO8">
        <v>10</v>
      </c>
      <c r="CP8">
        <v>3</v>
      </c>
      <c r="CQ8">
        <v>3</v>
      </c>
      <c r="CR8">
        <v>9</v>
      </c>
      <c r="CS8">
        <v>1</v>
      </c>
      <c r="CT8">
        <v>9</v>
      </c>
      <c r="CU8">
        <v>2</v>
      </c>
      <c r="CV8">
        <v>8</v>
      </c>
      <c r="CW8">
        <v>8</v>
      </c>
      <c r="CX8">
        <v>3</v>
      </c>
      <c r="CY8">
        <v>6</v>
      </c>
      <c r="CZ8">
        <v>3</v>
      </c>
      <c r="DA8">
        <v>6</v>
      </c>
      <c r="DB8">
        <v>9</v>
      </c>
      <c r="DC8">
        <v>2</v>
      </c>
      <c r="DD8">
        <v>8</v>
      </c>
      <c r="DE8">
        <v>4</v>
      </c>
      <c r="DF8">
        <v>7</v>
      </c>
      <c r="DG8">
        <v>10</v>
      </c>
      <c r="DH8">
        <v>1</v>
      </c>
      <c r="DI8">
        <v>1</v>
      </c>
      <c r="DJ8">
        <v>8</v>
      </c>
      <c r="DK8">
        <v>3</v>
      </c>
    </row>
    <row r="9" spans="1:115" ht="19.8">
      <c r="A9" s="172">
        <f>Calculations[[#This Row],[Sum t eCO2]]*IF(Calculations[[#This Row],[GHG Scope]]="BIOGENIC",0,1)</f>
        <v>1.3314255104098678</v>
      </c>
      <c r="B9" s="149"/>
      <c r="C9" s="150"/>
      <c r="D9" s="149"/>
      <c r="E9" s="149"/>
      <c r="F9" s="149"/>
      <c r="G9" s="149"/>
      <c r="H9" s="149"/>
      <c r="I9" s="165"/>
      <c r="J9" s="165"/>
      <c r="K9" s="165"/>
      <c r="L9" s="165"/>
      <c r="M9" s="165"/>
      <c r="O9">
        <f t="shared" si="0"/>
        <v>8</v>
      </c>
      <c r="P9">
        <v>8</v>
      </c>
      <c r="Q9">
        <v>10</v>
      </c>
      <c r="R9">
        <v>7</v>
      </c>
      <c r="S9">
        <v>7</v>
      </c>
      <c r="T9">
        <v>9</v>
      </c>
      <c r="U9">
        <v>0</v>
      </c>
      <c r="V9">
        <v>8</v>
      </c>
      <c r="W9">
        <v>1</v>
      </c>
      <c r="X9">
        <v>5</v>
      </c>
      <c r="Y9">
        <v>5</v>
      </c>
      <c r="Z9">
        <v>3</v>
      </c>
      <c r="AA9">
        <v>7</v>
      </c>
      <c r="AB9">
        <v>5</v>
      </c>
      <c r="AC9">
        <v>6</v>
      </c>
      <c r="AD9">
        <v>5</v>
      </c>
      <c r="AE9">
        <v>4</v>
      </c>
      <c r="AF9">
        <v>6</v>
      </c>
      <c r="AG9">
        <v>10</v>
      </c>
      <c r="AH9">
        <v>6</v>
      </c>
      <c r="AI9">
        <v>1</v>
      </c>
      <c r="AJ9">
        <v>1</v>
      </c>
      <c r="AK9">
        <v>8</v>
      </c>
      <c r="AL9">
        <v>9</v>
      </c>
      <c r="AM9">
        <v>9</v>
      </c>
      <c r="AN9">
        <v>10</v>
      </c>
      <c r="AO9">
        <v>2</v>
      </c>
      <c r="AP9">
        <v>10</v>
      </c>
      <c r="AQ9">
        <v>4</v>
      </c>
      <c r="AR9">
        <v>3</v>
      </c>
      <c r="AS9">
        <v>5</v>
      </c>
      <c r="AT9">
        <v>2</v>
      </c>
      <c r="AU9">
        <v>1</v>
      </c>
      <c r="AV9">
        <v>7</v>
      </c>
      <c r="AW9">
        <v>4</v>
      </c>
      <c r="AX9">
        <v>1</v>
      </c>
      <c r="AY9">
        <v>3</v>
      </c>
      <c r="AZ9">
        <v>4</v>
      </c>
      <c r="BA9">
        <v>1</v>
      </c>
      <c r="BB9">
        <v>4</v>
      </c>
      <c r="BC9">
        <v>5</v>
      </c>
      <c r="BD9">
        <v>1</v>
      </c>
      <c r="BE9">
        <v>8</v>
      </c>
      <c r="BF9">
        <v>1</v>
      </c>
      <c r="BG9">
        <v>1</v>
      </c>
      <c r="BH9">
        <v>10</v>
      </c>
      <c r="BI9">
        <v>2</v>
      </c>
      <c r="BJ9">
        <v>4</v>
      </c>
      <c r="BK9">
        <v>9</v>
      </c>
      <c r="BL9">
        <v>0</v>
      </c>
      <c r="BM9">
        <v>1</v>
      </c>
      <c r="BN9">
        <v>8</v>
      </c>
      <c r="BO9">
        <v>4</v>
      </c>
      <c r="BP9">
        <v>2</v>
      </c>
      <c r="BQ9">
        <v>4</v>
      </c>
      <c r="BR9">
        <v>7</v>
      </c>
      <c r="BS9">
        <v>7</v>
      </c>
      <c r="BT9">
        <v>4</v>
      </c>
      <c r="BU9">
        <v>1</v>
      </c>
      <c r="BV9">
        <v>3</v>
      </c>
      <c r="BW9">
        <v>0</v>
      </c>
      <c r="BX9">
        <v>7</v>
      </c>
      <c r="BY9">
        <v>7</v>
      </c>
      <c r="BZ9">
        <v>3</v>
      </c>
      <c r="CA9">
        <v>7</v>
      </c>
      <c r="CB9">
        <v>8</v>
      </c>
      <c r="CC9">
        <v>8</v>
      </c>
      <c r="CD9">
        <v>7</v>
      </c>
      <c r="CE9">
        <v>0</v>
      </c>
      <c r="CF9">
        <v>8</v>
      </c>
      <c r="CG9">
        <v>9</v>
      </c>
      <c r="CH9">
        <v>8</v>
      </c>
      <c r="CI9">
        <v>1</v>
      </c>
      <c r="CJ9">
        <v>3</v>
      </c>
      <c r="CK9">
        <v>10</v>
      </c>
      <c r="CL9">
        <v>1</v>
      </c>
      <c r="CM9">
        <v>8</v>
      </c>
      <c r="CN9">
        <v>0</v>
      </c>
      <c r="CO9">
        <v>6</v>
      </c>
      <c r="CP9">
        <v>7</v>
      </c>
      <c r="CQ9">
        <v>1</v>
      </c>
      <c r="CR9">
        <v>3</v>
      </c>
      <c r="CS9">
        <v>8</v>
      </c>
      <c r="CT9">
        <v>10</v>
      </c>
      <c r="CU9">
        <v>3</v>
      </c>
      <c r="CV9">
        <v>9</v>
      </c>
      <c r="CW9">
        <v>7</v>
      </c>
      <c r="CX9">
        <v>2</v>
      </c>
      <c r="CY9">
        <v>6</v>
      </c>
      <c r="CZ9">
        <v>3</v>
      </c>
      <c r="DA9">
        <v>1</v>
      </c>
      <c r="DB9">
        <v>6</v>
      </c>
      <c r="DC9">
        <v>3</v>
      </c>
      <c r="DD9">
        <v>9</v>
      </c>
      <c r="DE9">
        <v>1</v>
      </c>
      <c r="DF9">
        <v>2</v>
      </c>
      <c r="DG9">
        <v>0</v>
      </c>
      <c r="DH9">
        <v>7</v>
      </c>
      <c r="DI9">
        <v>10</v>
      </c>
      <c r="DJ9">
        <v>4</v>
      </c>
      <c r="DK9">
        <v>2</v>
      </c>
    </row>
    <row r="10" spans="1:115" ht="19.8">
      <c r="A10" s="172">
        <f>Calculations[[#This Row],[Sum t eCO2]]*IF(Calculations[[#This Row],[GHG Scope]]="BIOGENIC",0,1)</f>
        <v>15.479632979825332</v>
      </c>
      <c r="B10" s="149"/>
      <c r="C10" s="150"/>
      <c r="D10" s="149"/>
      <c r="E10" s="149"/>
      <c r="F10" s="149"/>
      <c r="G10" s="149"/>
      <c r="H10" s="149"/>
      <c r="I10" s="149"/>
      <c r="J10" s="149"/>
      <c r="K10" s="164"/>
      <c r="L10" s="149"/>
      <c r="M10" s="149"/>
      <c r="O10">
        <f t="shared" si="0"/>
        <v>9</v>
      </c>
      <c r="P10">
        <v>10</v>
      </c>
      <c r="Q10">
        <v>4</v>
      </c>
      <c r="R10">
        <v>4</v>
      </c>
      <c r="S10">
        <v>9</v>
      </c>
      <c r="T10">
        <v>10</v>
      </c>
      <c r="U10">
        <v>5</v>
      </c>
      <c r="V10">
        <v>2</v>
      </c>
      <c r="W10">
        <v>10</v>
      </c>
      <c r="X10">
        <v>6</v>
      </c>
      <c r="Y10">
        <v>2</v>
      </c>
      <c r="Z10">
        <v>2</v>
      </c>
      <c r="AA10">
        <v>2</v>
      </c>
      <c r="AB10">
        <v>6</v>
      </c>
      <c r="AC10">
        <v>7</v>
      </c>
      <c r="AD10">
        <v>7</v>
      </c>
      <c r="AE10">
        <v>5</v>
      </c>
      <c r="AF10">
        <v>6</v>
      </c>
      <c r="AG10">
        <v>8</v>
      </c>
      <c r="AH10">
        <v>8</v>
      </c>
      <c r="AI10">
        <v>7</v>
      </c>
      <c r="AJ10">
        <v>1</v>
      </c>
      <c r="AK10">
        <v>3</v>
      </c>
      <c r="AL10">
        <v>1</v>
      </c>
      <c r="AM10">
        <v>9</v>
      </c>
      <c r="AN10">
        <v>1</v>
      </c>
      <c r="AO10">
        <v>10</v>
      </c>
      <c r="AP10">
        <v>3</v>
      </c>
      <c r="AQ10">
        <v>4</v>
      </c>
      <c r="AR10">
        <v>5</v>
      </c>
      <c r="AS10">
        <v>6</v>
      </c>
      <c r="AT10">
        <v>10</v>
      </c>
      <c r="AU10">
        <v>3</v>
      </c>
      <c r="AV10">
        <v>4</v>
      </c>
      <c r="AW10">
        <v>2</v>
      </c>
      <c r="AX10">
        <v>10</v>
      </c>
      <c r="AY10">
        <v>0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7</v>
      </c>
      <c r="BF10">
        <v>10</v>
      </c>
      <c r="BG10">
        <v>1</v>
      </c>
      <c r="BH10">
        <v>9</v>
      </c>
      <c r="BI10">
        <v>2</v>
      </c>
      <c r="BJ10">
        <v>0</v>
      </c>
      <c r="BK10">
        <v>4</v>
      </c>
      <c r="BL10">
        <v>4</v>
      </c>
      <c r="BM10">
        <v>0</v>
      </c>
      <c r="BN10">
        <v>3</v>
      </c>
      <c r="BO10">
        <v>3</v>
      </c>
      <c r="BP10">
        <v>9</v>
      </c>
      <c r="BQ10">
        <v>9</v>
      </c>
      <c r="BR10">
        <v>0</v>
      </c>
      <c r="BS10">
        <v>2</v>
      </c>
      <c r="BT10">
        <v>2</v>
      </c>
      <c r="BU10">
        <v>2</v>
      </c>
      <c r="BV10">
        <v>2</v>
      </c>
      <c r="BW10">
        <v>3</v>
      </c>
      <c r="BX10">
        <v>10</v>
      </c>
      <c r="BY10">
        <v>9</v>
      </c>
      <c r="BZ10">
        <v>4</v>
      </c>
      <c r="CA10">
        <v>7</v>
      </c>
      <c r="CB10">
        <v>6</v>
      </c>
      <c r="CC10">
        <v>1</v>
      </c>
      <c r="CD10">
        <v>1</v>
      </c>
      <c r="CE10">
        <v>8</v>
      </c>
      <c r="CF10">
        <v>9</v>
      </c>
      <c r="CG10">
        <v>6</v>
      </c>
      <c r="CH10">
        <v>1</v>
      </c>
      <c r="CI10">
        <v>3</v>
      </c>
      <c r="CJ10">
        <v>7</v>
      </c>
      <c r="CK10">
        <v>7</v>
      </c>
      <c r="CL10">
        <v>4</v>
      </c>
      <c r="CM10">
        <v>6</v>
      </c>
      <c r="CN10">
        <v>5</v>
      </c>
      <c r="CO10">
        <v>5</v>
      </c>
      <c r="CP10">
        <v>8</v>
      </c>
      <c r="CQ10">
        <v>8</v>
      </c>
      <c r="CR10">
        <v>6</v>
      </c>
      <c r="CS10">
        <v>7</v>
      </c>
      <c r="CT10">
        <v>7</v>
      </c>
      <c r="CU10">
        <v>9</v>
      </c>
      <c r="CV10">
        <v>4</v>
      </c>
      <c r="CW10">
        <v>4</v>
      </c>
      <c r="CX10">
        <v>10</v>
      </c>
      <c r="CY10">
        <v>0</v>
      </c>
      <c r="CZ10">
        <v>9</v>
      </c>
      <c r="DA10">
        <v>3</v>
      </c>
      <c r="DB10">
        <v>3</v>
      </c>
      <c r="DC10">
        <v>0</v>
      </c>
      <c r="DD10">
        <v>4</v>
      </c>
      <c r="DE10">
        <v>3</v>
      </c>
      <c r="DF10">
        <v>4</v>
      </c>
      <c r="DG10">
        <v>5</v>
      </c>
      <c r="DH10">
        <v>1</v>
      </c>
      <c r="DI10">
        <v>10</v>
      </c>
      <c r="DJ10">
        <v>7</v>
      </c>
      <c r="DK10">
        <v>5</v>
      </c>
    </row>
    <row r="11" spans="1:115" ht="19.8">
      <c r="A11" s="172">
        <f>Calculations[[#This Row],[Sum t eCO2]]*IF(Calculations[[#This Row],[GHG Scope]]="BIOGENIC",0,1)</f>
        <v>186.31407677265</v>
      </c>
      <c r="B11" s="149"/>
      <c r="C11" s="150"/>
      <c r="D11" s="149"/>
      <c r="E11" s="149"/>
      <c r="F11" s="149"/>
      <c r="G11" s="149"/>
      <c r="H11" s="149"/>
      <c r="I11" s="149"/>
      <c r="J11" s="149"/>
      <c r="K11" s="163"/>
      <c r="L11" s="149"/>
      <c r="M11" s="149"/>
      <c r="O11">
        <f t="shared" si="0"/>
        <v>10</v>
      </c>
      <c r="P11">
        <v>5</v>
      </c>
      <c r="Q11">
        <v>3</v>
      </c>
      <c r="R11">
        <v>7</v>
      </c>
      <c r="S11">
        <v>8</v>
      </c>
      <c r="T11">
        <v>7</v>
      </c>
      <c r="U11">
        <v>1</v>
      </c>
      <c r="V11">
        <v>3</v>
      </c>
      <c r="W11">
        <v>6</v>
      </c>
      <c r="X11">
        <v>8</v>
      </c>
      <c r="Y11">
        <v>0</v>
      </c>
      <c r="Z11">
        <v>5</v>
      </c>
      <c r="AA11">
        <v>0</v>
      </c>
      <c r="AB11">
        <v>7</v>
      </c>
      <c r="AC11">
        <v>6</v>
      </c>
      <c r="AD11">
        <v>4</v>
      </c>
      <c r="AE11">
        <v>10</v>
      </c>
      <c r="AF11">
        <v>0</v>
      </c>
      <c r="AG11">
        <v>4</v>
      </c>
      <c r="AH11">
        <v>9</v>
      </c>
      <c r="AI11">
        <v>4</v>
      </c>
      <c r="AJ11">
        <v>6</v>
      </c>
      <c r="AK11">
        <v>3</v>
      </c>
      <c r="AL11">
        <v>0</v>
      </c>
      <c r="AM11">
        <v>9</v>
      </c>
      <c r="AN11">
        <v>5</v>
      </c>
      <c r="AO11">
        <v>4</v>
      </c>
      <c r="AP11">
        <v>0</v>
      </c>
      <c r="AQ11">
        <v>10</v>
      </c>
      <c r="AR11">
        <v>7</v>
      </c>
      <c r="AS11">
        <v>10</v>
      </c>
      <c r="AT11">
        <v>5</v>
      </c>
      <c r="AU11">
        <v>4</v>
      </c>
      <c r="AV11">
        <v>1</v>
      </c>
      <c r="AW11">
        <v>6</v>
      </c>
      <c r="AX11">
        <v>4</v>
      </c>
      <c r="AY11">
        <v>6</v>
      </c>
      <c r="AZ11">
        <v>8</v>
      </c>
      <c r="BA11">
        <v>3</v>
      </c>
      <c r="BB11">
        <v>0</v>
      </c>
      <c r="BC11">
        <v>9</v>
      </c>
      <c r="BD11">
        <v>7</v>
      </c>
      <c r="BE11">
        <v>1</v>
      </c>
      <c r="BF11">
        <v>2</v>
      </c>
      <c r="BG11">
        <v>9</v>
      </c>
      <c r="BH11">
        <v>1</v>
      </c>
      <c r="BI11">
        <v>5</v>
      </c>
      <c r="BJ11">
        <v>4</v>
      </c>
      <c r="BK11">
        <v>8</v>
      </c>
      <c r="BL11">
        <v>7</v>
      </c>
      <c r="BM11">
        <v>6</v>
      </c>
      <c r="BN11">
        <v>9</v>
      </c>
      <c r="BO11">
        <v>1</v>
      </c>
      <c r="BP11">
        <v>10</v>
      </c>
      <c r="BQ11">
        <v>2</v>
      </c>
      <c r="BR11">
        <v>1</v>
      </c>
      <c r="BS11">
        <v>0</v>
      </c>
      <c r="BT11">
        <v>7</v>
      </c>
      <c r="BU11">
        <v>0</v>
      </c>
      <c r="BV11">
        <v>1</v>
      </c>
      <c r="BW11">
        <v>2</v>
      </c>
      <c r="BX11">
        <v>6</v>
      </c>
      <c r="BY11">
        <v>4</v>
      </c>
      <c r="BZ11">
        <v>5</v>
      </c>
      <c r="CA11">
        <v>0</v>
      </c>
      <c r="CB11">
        <v>5</v>
      </c>
      <c r="CC11">
        <v>5</v>
      </c>
      <c r="CD11">
        <v>1</v>
      </c>
      <c r="CE11">
        <v>7</v>
      </c>
      <c r="CF11">
        <v>9</v>
      </c>
      <c r="CG11">
        <v>8</v>
      </c>
      <c r="CH11">
        <v>3</v>
      </c>
      <c r="CI11">
        <v>8</v>
      </c>
      <c r="CJ11">
        <v>2</v>
      </c>
      <c r="CK11">
        <v>6</v>
      </c>
      <c r="CL11">
        <v>7</v>
      </c>
      <c r="CM11">
        <v>5</v>
      </c>
      <c r="CN11">
        <v>1</v>
      </c>
      <c r="CO11">
        <v>4</v>
      </c>
      <c r="CP11">
        <v>0</v>
      </c>
      <c r="CQ11">
        <v>7</v>
      </c>
      <c r="CR11">
        <v>7</v>
      </c>
      <c r="CS11">
        <v>7</v>
      </c>
      <c r="CT11">
        <v>8</v>
      </c>
      <c r="CU11">
        <v>8</v>
      </c>
      <c r="CV11">
        <v>5</v>
      </c>
      <c r="CW11">
        <v>3</v>
      </c>
      <c r="CX11">
        <v>6</v>
      </c>
      <c r="CY11">
        <v>5</v>
      </c>
      <c r="CZ11">
        <v>0</v>
      </c>
      <c r="DA11">
        <v>9</v>
      </c>
      <c r="DB11">
        <v>5</v>
      </c>
      <c r="DC11">
        <v>8</v>
      </c>
      <c r="DD11">
        <v>3</v>
      </c>
      <c r="DE11">
        <v>6</v>
      </c>
      <c r="DF11">
        <v>8</v>
      </c>
      <c r="DG11">
        <v>8</v>
      </c>
      <c r="DH11">
        <v>3</v>
      </c>
      <c r="DI11">
        <v>10</v>
      </c>
      <c r="DJ11">
        <v>7</v>
      </c>
      <c r="DK11">
        <v>5</v>
      </c>
    </row>
    <row r="12" spans="1:115">
      <c r="A12" s="172">
        <f>Calculations[[#This Row],[Sum t eCO2]]*IF(Calculations[[#This Row],[GHG Scope]]="BIOGENIC",0,1)</f>
        <v>0.40714664400436107</v>
      </c>
      <c r="B12" s="149"/>
      <c r="C12" s="150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O12">
        <f t="shared" si="0"/>
        <v>11</v>
      </c>
      <c r="P12">
        <v>2</v>
      </c>
      <c r="Q12">
        <v>8</v>
      </c>
      <c r="R12">
        <v>5</v>
      </c>
      <c r="S12">
        <v>6</v>
      </c>
      <c r="T12">
        <v>3</v>
      </c>
      <c r="U12">
        <v>10</v>
      </c>
      <c r="V12">
        <v>4</v>
      </c>
      <c r="W12">
        <v>0</v>
      </c>
      <c r="X12">
        <v>7</v>
      </c>
      <c r="Y12">
        <v>0</v>
      </c>
      <c r="Z12">
        <v>7</v>
      </c>
      <c r="AA12">
        <v>10</v>
      </c>
      <c r="AB12">
        <v>5</v>
      </c>
      <c r="AC12">
        <v>3</v>
      </c>
      <c r="AD12">
        <v>6</v>
      </c>
      <c r="AE12">
        <v>6</v>
      </c>
      <c r="AF12">
        <v>2</v>
      </c>
      <c r="AG12">
        <v>2</v>
      </c>
      <c r="AH12">
        <v>4</v>
      </c>
      <c r="AI12">
        <v>8</v>
      </c>
      <c r="AJ12">
        <v>8</v>
      </c>
      <c r="AK12">
        <v>4</v>
      </c>
      <c r="AL12">
        <v>2</v>
      </c>
      <c r="AM12">
        <v>1</v>
      </c>
      <c r="AN12">
        <v>8</v>
      </c>
      <c r="AO12">
        <v>9</v>
      </c>
      <c r="AP12">
        <v>7</v>
      </c>
      <c r="AQ12">
        <v>9</v>
      </c>
      <c r="AR12">
        <v>1</v>
      </c>
      <c r="AS12">
        <v>0</v>
      </c>
      <c r="AT12">
        <v>10</v>
      </c>
      <c r="AU12">
        <v>10</v>
      </c>
      <c r="AV12">
        <v>9</v>
      </c>
      <c r="AW12">
        <v>4</v>
      </c>
      <c r="AX12">
        <v>3</v>
      </c>
      <c r="AY12">
        <v>7</v>
      </c>
      <c r="AZ12">
        <v>0</v>
      </c>
      <c r="BA12">
        <v>5</v>
      </c>
      <c r="BB12">
        <v>9</v>
      </c>
      <c r="BC12">
        <v>0</v>
      </c>
      <c r="BD12">
        <v>1</v>
      </c>
      <c r="BE12">
        <v>4</v>
      </c>
      <c r="BF12">
        <v>7</v>
      </c>
      <c r="BG12">
        <v>10</v>
      </c>
      <c r="BH12">
        <v>9</v>
      </c>
      <c r="BI12">
        <v>8</v>
      </c>
      <c r="BJ12">
        <v>5</v>
      </c>
      <c r="BK12">
        <v>3</v>
      </c>
      <c r="BL12">
        <v>10</v>
      </c>
      <c r="BM12">
        <v>2</v>
      </c>
      <c r="BN12">
        <v>1</v>
      </c>
      <c r="BO12">
        <v>3</v>
      </c>
      <c r="BP12">
        <v>9</v>
      </c>
      <c r="BQ12">
        <v>3</v>
      </c>
      <c r="BR12">
        <v>5</v>
      </c>
      <c r="BS12">
        <v>3</v>
      </c>
      <c r="BT12">
        <v>1</v>
      </c>
      <c r="BU12">
        <v>5</v>
      </c>
      <c r="BV12">
        <v>10</v>
      </c>
      <c r="BW12">
        <v>4</v>
      </c>
      <c r="BX12">
        <v>4</v>
      </c>
      <c r="BY12">
        <v>1</v>
      </c>
      <c r="BZ12">
        <v>10</v>
      </c>
      <c r="CA12">
        <v>4</v>
      </c>
      <c r="CB12">
        <v>4</v>
      </c>
      <c r="CC12">
        <v>9</v>
      </c>
      <c r="CD12">
        <v>7</v>
      </c>
      <c r="CE12">
        <v>5</v>
      </c>
      <c r="CF12">
        <v>3</v>
      </c>
      <c r="CG12">
        <v>8</v>
      </c>
      <c r="CH12">
        <v>1</v>
      </c>
      <c r="CI12">
        <v>0</v>
      </c>
      <c r="CJ12">
        <v>5</v>
      </c>
      <c r="CK12">
        <v>1</v>
      </c>
      <c r="CL12">
        <v>3</v>
      </c>
      <c r="CM12">
        <v>6</v>
      </c>
      <c r="CN12">
        <v>9</v>
      </c>
      <c r="CO12">
        <v>9</v>
      </c>
      <c r="CP12">
        <v>5</v>
      </c>
      <c r="CQ12">
        <v>6</v>
      </c>
      <c r="CR12">
        <v>0</v>
      </c>
      <c r="CS12">
        <v>3</v>
      </c>
      <c r="CT12">
        <v>0</v>
      </c>
      <c r="CU12">
        <v>8</v>
      </c>
      <c r="CV12">
        <v>0</v>
      </c>
      <c r="CW12">
        <v>7</v>
      </c>
      <c r="CX12">
        <v>1</v>
      </c>
      <c r="CY12">
        <v>9</v>
      </c>
      <c r="CZ12">
        <v>7</v>
      </c>
      <c r="DA12">
        <v>8</v>
      </c>
      <c r="DB12">
        <v>7</v>
      </c>
      <c r="DC12">
        <v>5</v>
      </c>
      <c r="DD12">
        <v>9</v>
      </c>
      <c r="DE12">
        <v>0</v>
      </c>
      <c r="DF12">
        <v>7</v>
      </c>
      <c r="DG12">
        <v>9</v>
      </c>
      <c r="DH12">
        <v>4</v>
      </c>
      <c r="DI12">
        <v>4</v>
      </c>
      <c r="DJ12">
        <v>5</v>
      </c>
      <c r="DK12">
        <v>8</v>
      </c>
    </row>
    <row r="13" spans="1:115" ht="19.8">
      <c r="A13" s="172">
        <f>Calculations[[#This Row],[Sum t eCO2]]*IF(Calculations[[#This Row],[GHG Scope]]="BIOGENIC",0,1)</f>
        <v>1.1202424839759595</v>
      </c>
      <c r="B13" s="149"/>
      <c r="C13" s="150"/>
      <c r="D13" s="162" t="s">
        <v>926</v>
      </c>
      <c r="E13" s="162" t="s">
        <v>925</v>
      </c>
      <c r="F13" s="162" t="s">
        <v>900</v>
      </c>
      <c r="G13" s="149"/>
      <c r="H13" s="149"/>
      <c r="I13" s="375" t="s">
        <v>924</v>
      </c>
      <c r="J13" s="376"/>
      <c r="K13" s="376"/>
      <c r="L13" s="376"/>
      <c r="M13" s="377"/>
      <c r="O13">
        <f t="shared" si="0"/>
        <v>12</v>
      </c>
      <c r="P13">
        <v>7</v>
      </c>
      <c r="Q13">
        <v>10</v>
      </c>
      <c r="R13">
        <v>4</v>
      </c>
      <c r="S13">
        <v>5</v>
      </c>
      <c r="T13">
        <v>6</v>
      </c>
      <c r="U13">
        <v>8</v>
      </c>
      <c r="V13">
        <v>4</v>
      </c>
      <c r="W13">
        <v>0</v>
      </c>
      <c r="X13">
        <v>8</v>
      </c>
      <c r="Y13">
        <v>2</v>
      </c>
      <c r="Z13">
        <v>3</v>
      </c>
      <c r="AA13">
        <v>3</v>
      </c>
      <c r="AB13">
        <v>10</v>
      </c>
      <c r="AC13">
        <v>2</v>
      </c>
      <c r="AD13">
        <v>1</v>
      </c>
      <c r="AE13">
        <v>6</v>
      </c>
      <c r="AF13">
        <v>8</v>
      </c>
      <c r="AG13">
        <v>7</v>
      </c>
      <c r="AH13">
        <v>2</v>
      </c>
      <c r="AI13">
        <v>9</v>
      </c>
      <c r="AJ13">
        <v>6</v>
      </c>
      <c r="AK13">
        <v>0</v>
      </c>
      <c r="AL13">
        <v>0</v>
      </c>
      <c r="AM13">
        <v>9</v>
      </c>
      <c r="AN13">
        <v>9</v>
      </c>
      <c r="AO13">
        <v>2</v>
      </c>
      <c r="AP13">
        <v>4</v>
      </c>
      <c r="AQ13">
        <v>9</v>
      </c>
      <c r="AR13">
        <v>0</v>
      </c>
      <c r="AS13">
        <v>10</v>
      </c>
      <c r="AT13">
        <v>3</v>
      </c>
      <c r="AU13">
        <v>9</v>
      </c>
      <c r="AV13">
        <v>10</v>
      </c>
      <c r="AW13">
        <v>3</v>
      </c>
      <c r="AX13">
        <v>7</v>
      </c>
      <c r="AY13">
        <v>10</v>
      </c>
      <c r="AZ13">
        <v>10</v>
      </c>
      <c r="BA13">
        <v>0</v>
      </c>
      <c r="BB13">
        <v>10</v>
      </c>
      <c r="BC13">
        <v>7</v>
      </c>
      <c r="BD13">
        <v>2</v>
      </c>
      <c r="BE13">
        <v>9</v>
      </c>
      <c r="BF13">
        <v>8</v>
      </c>
      <c r="BG13">
        <v>2</v>
      </c>
      <c r="BH13">
        <v>9</v>
      </c>
      <c r="BI13">
        <v>1</v>
      </c>
      <c r="BJ13">
        <v>7</v>
      </c>
      <c r="BK13">
        <v>7</v>
      </c>
      <c r="BL13">
        <v>4</v>
      </c>
      <c r="BM13">
        <v>1</v>
      </c>
      <c r="BN13">
        <v>8</v>
      </c>
      <c r="BO13">
        <v>7</v>
      </c>
      <c r="BP13">
        <v>0</v>
      </c>
      <c r="BQ13">
        <v>9</v>
      </c>
      <c r="BR13">
        <v>9</v>
      </c>
      <c r="BS13">
        <v>9</v>
      </c>
      <c r="BT13">
        <v>3</v>
      </c>
      <c r="BU13">
        <v>10</v>
      </c>
      <c r="BV13">
        <v>0</v>
      </c>
      <c r="BW13">
        <v>7</v>
      </c>
      <c r="BX13">
        <v>0</v>
      </c>
      <c r="BY13">
        <v>9</v>
      </c>
      <c r="BZ13">
        <v>1</v>
      </c>
      <c r="CA13">
        <v>3</v>
      </c>
      <c r="CB13">
        <v>6</v>
      </c>
      <c r="CC13">
        <v>6</v>
      </c>
      <c r="CD13">
        <v>7</v>
      </c>
      <c r="CE13">
        <v>10</v>
      </c>
      <c r="CF13">
        <v>7</v>
      </c>
      <c r="CG13">
        <v>2</v>
      </c>
      <c r="CH13">
        <v>2</v>
      </c>
      <c r="CI13">
        <v>9</v>
      </c>
      <c r="CJ13">
        <v>7</v>
      </c>
      <c r="CK13">
        <v>7</v>
      </c>
      <c r="CL13">
        <v>7</v>
      </c>
      <c r="CM13">
        <v>10</v>
      </c>
      <c r="CN13">
        <v>4</v>
      </c>
      <c r="CO13">
        <v>6</v>
      </c>
      <c r="CP13">
        <v>7</v>
      </c>
      <c r="CQ13">
        <v>6</v>
      </c>
      <c r="CR13">
        <v>2</v>
      </c>
      <c r="CS13">
        <v>9</v>
      </c>
      <c r="CT13">
        <v>1</v>
      </c>
      <c r="CU13">
        <v>10</v>
      </c>
      <c r="CV13">
        <v>6</v>
      </c>
      <c r="CW13">
        <v>4</v>
      </c>
      <c r="CX13">
        <v>7</v>
      </c>
      <c r="CY13">
        <v>9</v>
      </c>
      <c r="CZ13">
        <v>0</v>
      </c>
      <c r="DA13">
        <v>9</v>
      </c>
      <c r="DB13">
        <v>5</v>
      </c>
      <c r="DC13">
        <v>5</v>
      </c>
      <c r="DD13">
        <v>4</v>
      </c>
      <c r="DE13">
        <v>2</v>
      </c>
      <c r="DF13">
        <v>9</v>
      </c>
      <c r="DG13">
        <v>8</v>
      </c>
      <c r="DH13">
        <v>3</v>
      </c>
      <c r="DI13">
        <v>7</v>
      </c>
      <c r="DJ13">
        <v>6</v>
      </c>
      <c r="DK13">
        <v>2</v>
      </c>
    </row>
    <row r="14" spans="1:115" ht="19.8">
      <c r="A14" s="172">
        <f>Calculations[[#This Row],[Sum t eCO2]]*IF(Calculations[[#This Row],[GHG Scope]]="BIOGENIC",0,1)</f>
        <v>84.574014230596504</v>
      </c>
      <c r="B14" s="149"/>
      <c r="C14" s="150"/>
      <c r="D14" s="170">
        <f>MIN(Un[])</f>
        <v>0</v>
      </c>
      <c r="E14" s="170">
        <f>MAX(Un[])</f>
        <v>75624.102865756257</v>
      </c>
      <c r="F14" s="171">
        <f>SUM(Un[])</f>
        <v>346831.07876979519</v>
      </c>
      <c r="G14" s="149"/>
      <c r="H14" s="149"/>
      <c r="I14" s="161" t="s">
        <v>908</v>
      </c>
      <c r="J14" s="160" t="s">
        <v>923</v>
      </c>
      <c r="K14" s="160" t="s">
        <v>922</v>
      </c>
      <c r="L14" s="160" t="s">
        <v>921</v>
      </c>
      <c r="M14" s="159" t="s">
        <v>920</v>
      </c>
      <c r="O14">
        <f t="shared" si="0"/>
        <v>13</v>
      </c>
      <c r="P14">
        <v>5</v>
      </c>
      <c r="Q14">
        <v>9</v>
      </c>
      <c r="R14">
        <v>9</v>
      </c>
      <c r="S14">
        <v>3</v>
      </c>
      <c r="T14">
        <v>3</v>
      </c>
      <c r="U14">
        <v>5</v>
      </c>
      <c r="V14">
        <v>2</v>
      </c>
      <c r="W14">
        <v>6</v>
      </c>
      <c r="X14">
        <v>4</v>
      </c>
      <c r="Y14">
        <v>8</v>
      </c>
      <c r="Z14">
        <v>1</v>
      </c>
      <c r="AA14">
        <v>7</v>
      </c>
      <c r="AB14">
        <v>4</v>
      </c>
      <c r="AC14">
        <v>10</v>
      </c>
      <c r="AD14">
        <v>10</v>
      </c>
      <c r="AE14">
        <v>4</v>
      </c>
      <c r="AF14">
        <v>10</v>
      </c>
      <c r="AG14">
        <v>0</v>
      </c>
      <c r="AH14">
        <v>6</v>
      </c>
      <c r="AI14">
        <v>0</v>
      </c>
      <c r="AJ14">
        <v>4</v>
      </c>
      <c r="AK14">
        <v>7</v>
      </c>
      <c r="AL14">
        <v>1</v>
      </c>
      <c r="AM14">
        <v>9</v>
      </c>
      <c r="AN14">
        <v>6</v>
      </c>
      <c r="AO14">
        <v>3</v>
      </c>
      <c r="AP14">
        <v>0</v>
      </c>
      <c r="AQ14">
        <v>2</v>
      </c>
      <c r="AR14">
        <v>9</v>
      </c>
      <c r="AS14">
        <v>0</v>
      </c>
      <c r="AT14">
        <v>1</v>
      </c>
      <c r="AU14">
        <v>9</v>
      </c>
      <c r="AV14">
        <v>9</v>
      </c>
      <c r="AW14">
        <v>5</v>
      </c>
      <c r="AX14">
        <v>4</v>
      </c>
      <c r="AY14">
        <v>7</v>
      </c>
      <c r="AZ14">
        <v>8</v>
      </c>
      <c r="BA14">
        <v>2</v>
      </c>
      <c r="BB14">
        <v>4</v>
      </c>
      <c r="BC14">
        <v>5</v>
      </c>
      <c r="BD14">
        <v>5</v>
      </c>
      <c r="BE14">
        <v>2</v>
      </c>
      <c r="BF14">
        <v>10</v>
      </c>
      <c r="BG14">
        <v>3</v>
      </c>
      <c r="BH14">
        <v>1</v>
      </c>
      <c r="BI14">
        <v>6</v>
      </c>
      <c r="BJ14">
        <v>10</v>
      </c>
      <c r="BK14">
        <v>6</v>
      </c>
      <c r="BL14">
        <v>0</v>
      </c>
      <c r="BM14">
        <v>5</v>
      </c>
      <c r="BN14">
        <v>7</v>
      </c>
      <c r="BO14">
        <v>10</v>
      </c>
      <c r="BP14">
        <v>10</v>
      </c>
      <c r="BQ14">
        <v>6</v>
      </c>
      <c r="BR14">
        <v>7</v>
      </c>
      <c r="BS14">
        <v>4</v>
      </c>
      <c r="BT14">
        <v>7</v>
      </c>
      <c r="BU14">
        <v>5</v>
      </c>
      <c r="BV14">
        <v>0</v>
      </c>
      <c r="BW14">
        <v>10</v>
      </c>
      <c r="BX14">
        <v>3</v>
      </c>
      <c r="BY14">
        <v>5</v>
      </c>
      <c r="BZ14">
        <v>7</v>
      </c>
      <c r="CA14">
        <v>5</v>
      </c>
      <c r="CB14">
        <v>7</v>
      </c>
      <c r="CC14">
        <v>5</v>
      </c>
      <c r="CD14">
        <v>8</v>
      </c>
      <c r="CE14">
        <v>8</v>
      </c>
      <c r="CF14">
        <v>9</v>
      </c>
      <c r="CG14">
        <v>7</v>
      </c>
      <c r="CH14">
        <v>10</v>
      </c>
      <c r="CI14">
        <v>1</v>
      </c>
      <c r="CJ14">
        <v>2</v>
      </c>
      <c r="CK14">
        <v>1</v>
      </c>
      <c r="CL14">
        <v>4</v>
      </c>
      <c r="CM14">
        <v>6</v>
      </c>
      <c r="CN14">
        <v>10</v>
      </c>
      <c r="CO14">
        <v>2</v>
      </c>
      <c r="CP14">
        <v>0</v>
      </c>
      <c r="CQ14">
        <v>8</v>
      </c>
      <c r="CR14">
        <v>8</v>
      </c>
      <c r="CS14">
        <v>9</v>
      </c>
      <c r="CT14">
        <v>10</v>
      </c>
      <c r="CU14">
        <v>1</v>
      </c>
      <c r="CV14">
        <v>3</v>
      </c>
      <c r="CW14">
        <v>0</v>
      </c>
      <c r="CX14">
        <v>5</v>
      </c>
      <c r="CY14">
        <v>2</v>
      </c>
      <c r="CZ14">
        <v>5</v>
      </c>
      <c r="DA14">
        <v>4</v>
      </c>
      <c r="DB14">
        <v>4</v>
      </c>
      <c r="DC14">
        <v>9</v>
      </c>
      <c r="DD14">
        <v>0</v>
      </c>
      <c r="DE14">
        <v>8</v>
      </c>
      <c r="DF14">
        <v>1</v>
      </c>
      <c r="DG14">
        <v>1</v>
      </c>
      <c r="DH14">
        <v>5</v>
      </c>
      <c r="DI14">
        <v>0</v>
      </c>
      <c r="DJ14">
        <v>10</v>
      </c>
      <c r="DK14">
        <v>10</v>
      </c>
    </row>
    <row r="15" spans="1:115" ht="19.8">
      <c r="A15" s="172">
        <f>Calculations[[#This Row],[Sum t eCO2]]*IF(Calculations[[#This Row],[GHG Scope]]="BIOGENIC",0,1)</f>
        <v>0.18481709305294527</v>
      </c>
      <c r="B15" s="149"/>
      <c r="C15" s="150"/>
      <c r="D15" s="149"/>
      <c r="E15" s="149"/>
      <c r="F15" s="149"/>
      <c r="G15" s="149"/>
      <c r="H15" s="149"/>
      <c r="I15" s="158">
        <f>F14</f>
        <v>346831.07876979519</v>
      </c>
      <c r="J15" s="157">
        <f>E32</f>
        <v>2790.1439247053281</v>
      </c>
      <c r="K15" s="157">
        <f>I15-J15</f>
        <v>344040.93484508985</v>
      </c>
      <c r="L15" s="157">
        <f>I15+J15</f>
        <v>349621.22269450052</v>
      </c>
      <c r="M15" s="156">
        <f>J15/I15</f>
        <v>8.0446767763775046E-3</v>
      </c>
      <c r="O15">
        <f t="shared" si="0"/>
        <v>14</v>
      </c>
      <c r="P15">
        <v>2</v>
      </c>
      <c r="Q15">
        <v>9</v>
      </c>
      <c r="R15">
        <v>8</v>
      </c>
      <c r="S15">
        <v>2</v>
      </c>
      <c r="T15">
        <v>7</v>
      </c>
      <c r="U15">
        <v>6</v>
      </c>
      <c r="V15">
        <v>2</v>
      </c>
      <c r="W15">
        <v>4</v>
      </c>
      <c r="X15">
        <v>6</v>
      </c>
      <c r="Y15">
        <v>9</v>
      </c>
      <c r="Z15">
        <v>5</v>
      </c>
      <c r="AA15">
        <v>2</v>
      </c>
      <c r="AB15">
        <v>3</v>
      </c>
      <c r="AC15">
        <v>7</v>
      </c>
      <c r="AD15">
        <v>7</v>
      </c>
      <c r="AE15">
        <v>1</v>
      </c>
      <c r="AF15">
        <v>6</v>
      </c>
      <c r="AG15">
        <v>6</v>
      </c>
      <c r="AH15">
        <v>5</v>
      </c>
      <c r="AI15">
        <v>0</v>
      </c>
      <c r="AJ15">
        <v>2</v>
      </c>
      <c r="AK15">
        <v>6</v>
      </c>
      <c r="AL15">
        <v>9</v>
      </c>
      <c r="AM15">
        <v>9</v>
      </c>
      <c r="AN15">
        <v>5</v>
      </c>
      <c r="AO15">
        <v>8</v>
      </c>
      <c r="AP15">
        <v>7</v>
      </c>
      <c r="AQ15">
        <v>5</v>
      </c>
      <c r="AR15">
        <v>8</v>
      </c>
      <c r="AS15">
        <v>6</v>
      </c>
      <c r="AT15">
        <v>7</v>
      </c>
      <c r="AU15">
        <v>0</v>
      </c>
      <c r="AV15">
        <v>4</v>
      </c>
      <c r="AW15">
        <v>7</v>
      </c>
      <c r="AX15">
        <v>8</v>
      </c>
      <c r="AY15">
        <v>6</v>
      </c>
      <c r="AZ15">
        <v>10</v>
      </c>
      <c r="BA15">
        <v>5</v>
      </c>
      <c r="BB15">
        <v>1</v>
      </c>
      <c r="BC15">
        <v>9</v>
      </c>
      <c r="BD15">
        <v>7</v>
      </c>
      <c r="BE15">
        <v>10</v>
      </c>
      <c r="BF15">
        <v>3</v>
      </c>
      <c r="BG15">
        <v>3</v>
      </c>
      <c r="BH15">
        <v>4</v>
      </c>
      <c r="BI15">
        <v>0</v>
      </c>
      <c r="BJ15">
        <v>7</v>
      </c>
      <c r="BK15">
        <v>9</v>
      </c>
      <c r="BL15">
        <v>3</v>
      </c>
      <c r="BM15">
        <v>1</v>
      </c>
      <c r="BN15">
        <v>2</v>
      </c>
      <c r="BO15">
        <v>5</v>
      </c>
      <c r="BP15">
        <v>4</v>
      </c>
      <c r="BQ15">
        <v>7</v>
      </c>
      <c r="BR15">
        <v>8</v>
      </c>
      <c r="BS15">
        <v>3</v>
      </c>
      <c r="BT15">
        <v>1</v>
      </c>
      <c r="BU15">
        <v>2</v>
      </c>
      <c r="BV15">
        <v>7</v>
      </c>
      <c r="BW15">
        <v>5</v>
      </c>
      <c r="BX15">
        <v>7</v>
      </c>
      <c r="BY15">
        <v>3</v>
      </c>
      <c r="BZ15">
        <v>7</v>
      </c>
      <c r="CA15">
        <v>5</v>
      </c>
      <c r="CB15">
        <v>6</v>
      </c>
      <c r="CC15">
        <v>3</v>
      </c>
      <c r="CD15">
        <v>3</v>
      </c>
      <c r="CE15">
        <v>6</v>
      </c>
      <c r="CF15">
        <v>4</v>
      </c>
      <c r="CG15">
        <v>7</v>
      </c>
      <c r="CH15">
        <v>4</v>
      </c>
      <c r="CI15">
        <v>4</v>
      </c>
      <c r="CJ15">
        <v>10</v>
      </c>
      <c r="CK15">
        <v>6</v>
      </c>
      <c r="CL15">
        <v>5</v>
      </c>
      <c r="CM15">
        <v>5</v>
      </c>
      <c r="CN15">
        <v>3</v>
      </c>
      <c r="CO15">
        <v>0</v>
      </c>
      <c r="CP15">
        <v>0</v>
      </c>
      <c r="CQ15">
        <v>7</v>
      </c>
      <c r="CR15">
        <v>6</v>
      </c>
      <c r="CS15">
        <v>4</v>
      </c>
      <c r="CT15">
        <v>2</v>
      </c>
      <c r="CU15">
        <v>7</v>
      </c>
      <c r="CV15">
        <v>5</v>
      </c>
      <c r="CW15">
        <v>3</v>
      </c>
      <c r="CX15">
        <v>10</v>
      </c>
      <c r="CY15">
        <v>8</v>
      </c>
      <c r="CZ15">
        <v>9</v>
      </c>
      <c r="DA15">
        <v>3</v>
      </c>
      <c r="DB15">
        <v>3</v>
      </c>
      <c r="DC15">
        <v>10</v>
      </c>
      <c r="DD15">
        <v>1</v>
      </c>
      <c r="DE15">
        <v>2</v>
      </c>
      <c r="DF15">
        <v>7</v>
      </c>
      <c r="DG15">
        <v>0</v>
      </c>
      <c r="DH15">
        <v>3</v>
      </c>
      <c r="DI15">
        <v>7</v>
      </c>
      <c r="DJ15">
        <v>10</v>
      </c>
      <c r="DK15">
        <v>9</v>
      </c>
    </row>
    <row r="16" spans="1:115" ht="15" thickBot="1">
      <c r="A16" s="172">
        <f>Calculations[[#This Row],[Sum t eCO2]]*IF(Calculations[[#This Row],[GHG Scope]]="BIOGENIC",0,1)</f>
        <v>0.5085144688080242</v>
      </c>
      <c r="B16" s="149"/>
      <c r="C16" s="150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O16">
        <f t="shared" si="0"/>
        <v>15</v>
      </c>
      <c r="P16">
        <v>4</v>
      </c>
      <c r="Q16">
        <v>7</v>
      </c>
      <c r="R16">
        <v>7</v>
      </c>
      <c r="S16">
        <v>6</v>
      </c>
      <c r="T16">
        <v>6</v>
      </c>
      <c r="U16">
        <v>6</v>
      </c>
      <c r="V16">
        <v>2</v>
      </c>
      <c r="W16">
        <v>9</v>
      </c>
      <c r="X16">
        <v>9</v>
      </c>
      <c r="Y16">
        <v>10</v>
      </c>
      <c r="Z16">
        <v>5</v>
      </c>
      <c r="AA16">
        <v>4</v>
      </c>
      <c r="AB16">
        <v>8</v>
      </c>
      <c r="AC16">
        <v>2</v>
      </c>
      <c r="AD16">
        <v>1</v>
      </c>
      <c r="AE16">
        <v>7</v>
      </c>
      <c r="AF16">
        <v>4</v>
      </c>
      <c r="AG16">
        <v>0</v>
      </c>
      <c r="AH16">
        <v>10</v>
      </c>
      <c r="AI16">
        <v>10</v>
      </c>
      <c r="AJ16">
        <v>3</v>
      </c>
      <c r="AK16">
        <v>7</v>
      </c>
      <c r="AL16">
        <v>7</v>
      </c>
      <c r="AM16">
        <v>7</v>
      </c>
      <c r="AN16">
        <v>0</v>
      </c>
      <c r="AO16">
        <v>9</v>
      </c>
      <c r="AP16">
        <v>2</v>
      </c>
      <c r="AQ16">
        <v>0</v>
      </c>
      <c r="AR16">
        <v>1</v>
      </c>
      <c r="AS16">
        <v>10</v>
      </c>
      <c r="AT16">
        <v>8</v>
      </c>
      <c r="AU16">
        <v>5</v>
      </c>
      <c r="AV16">
        <v>4</v>
      </c>
      <c r="AW16">
        <v>0</v>
      </c>
      <c r="AX16">
        <v>9</v>
      </c>
      <c r="AY16">
        <v>1</v>
      </c>
      <c r="AZ16">
        <v>1</v>
      </c>
      <c r="BA16">
        <v>9</v>
      </c>
      <c r="BB16">
        <v>8</v>
      </c>
      <c r="BC16">
        <v>1</v>
      </c>
      <c r="BD16">
        <v>6</v>
      </c>
      <c r="BE16">
        <v>0</v>
      </c>
      <c r="BF16">
        <v>6</v>
      </c>
      <c r="BG16">
        <v>6</v>
      </c>
      <c r="BH16">
        <v>6</v>
      </c>
      <c r="BI16">
        <v>10</v>
      </c>
      <c r="BJ16">
        <v>10</v>
      </c>
      <c r="BK16">
        <v>2</v>
      </c>
      <c r="BL16">
        <v>0</v>
      </c>
      <c r="BM16">
        <v>4</v>
      </c>
      <c r="BN16">
        <v>10</v>
      </c>
      <c r="BO16">
        <v>9</v>
      </c>
      <c r="BP16">
        <v>5</v>
      </c>
      <c r="BQ16">
        <v>8</v>
      </c>
      <c r="BR16">
        <v>9</v>
      </c>
      <c r="BS16">
        <v>9</v>
      </c>
      <c r="BT16">
        <v>3</v>
      </c>
      <c r="BU16">
        <v>0</v>
      </c>
      <c r="BV16">
        <v>4</v>
      </c>
      <c r="BW16">
        <v>2</v>
      </c>
      <c r="BX16">
        <v>7</v>
      </c>
      <c r="BY16">
        <v>8</v>
      </c>
      <c r="BZ16">
        <v>1</v>
      </c>
      <c r="CA16">
        <v>4</v>
      </c>
      <c r="CB16">
        <v>10</v>
      </c>
      <c r="CC16">
        <v>10</v>
      </c>
      <c r="CD16">
        <v>3</v>
      </c>
      <c r="CE16">
        <v>2</v>
      </c>
      <c r="CF16">
        <v>9</v>
      </c>
      <c r="CG16">
        <v>0</v>
      </c>
      <c r="CH16">
        <v>4</v>
      </c>
      <c r="CI16">
        <v>10</v>
      </c>
      <c r="CJ16">
        <v>5</v>
      </c>
      <c r="CK16">
        <v>4</v>
      </c>
      <c r="CL16">
        <v>2</v>
      </c>
      <c r="CM16">
        <v>10</v>
      </c>
      <c r="CN16">
        <v>1</v>
      </c>
      <c r="CO16">
        <v>6</v>
      </c>
      <c r="CP16">
        <v>1</v>
      </c>
      <c r="CQ16">
        <v>8</v>
      </c>
      <c r="CR16">
        <v>1</v>
      </c>
      <c r="CS16">
        <v>1</v>
      </c>
      <c r="CT16">
        <v>5</v>
      </c>
      <c r="CU16">
        <v>7</v>
      </c>
      <c r="CV16">
        <v>5</v>
      </c>
      <c r="CW16">
        <v>10</v>
      </c>
      <c r="CX16">
        <v>9</v>
      </c>
      <c r="CY16">
        <v>4</v>
      </c>
      <c r="CZ16">
        <v>3</v>
      </c>
      <c r="DA16">
        <v>4</v>
      </c>
      <c r="DB16">
        <v>10</v>
      </c>
      <c r="DC16">
        <v>3</v>
      </c>
      <c r="DD16">
        <v>4</v>
      </c>
      <c r="DE16">
        <v>0</v>
      </c>
      <c r="DF16">
        <v>8</v>
      </c>
      <c r="DG16">
        <v>0</v>
      </c>
      <c r="DH16">
        <v>9</v>
      </c>
      <c r="DI16">
        <v>3</v>
      </c>
      <c r="DJ16">
        <v>1</v>
      </c>
      <c r="DK16">
        <v>0</v>
      </c>
    </row>
    <row r="17" spans="1:115">
      <c r="A17" s="172">
        <f>Calculations[[#This Row],[Sum t eCO2]]*IF(Calculations[[#This Row],[GHG Scope]]="BIOGENIC",0,1)</f>
        <v>1.7596707677084251</v>
      </c>
      <c r="B17" s="149"/>
      <c r="C17" s="150"/>
      <c r="D17" s="235" t="s">
        <v>1382</v>
      </c>
      <c r="E17" s="235"/>
      <c r="F17" s="149"/>
      <c r="G17" s="149"/>
      <c r="H17" s="149"/>
      <c r="I17" s="149"/>
      <c r="J17" s="149"/>
      <c r="K17" s="149"/>
      <c r="L17" s="149"/>
      <c r="M17" s="149"/>
      <c r="O17">
        <f t="shared" si="0"/>
        <v>16</v>
      </c>
      <c r="P17">
        <v>3</v>
      </c>
      <c r="Q17">
        <v>0</v>
      </c>
      <c r="R17">
        <v>7</v>
      </c>
      <c r="S17">
        <v>5</v>
      </c>
      <c r="T17">
        <v>3</v>
      </c>
      <c r="U17">
        <v>10</v>
      </c>
      <c r="V17">
        <v>3</v>
      </c>
      <c r="W17">
        <v>4</v>
      </c>
      <c r="X17">
        <v>7</v>
      </c>
      <c r="Y17">
        <v>0</v>
      </c>
      <c r="Z17">
        <v>0</v>
      </c>
      <c r="AA17">
        <v>9</v>
      </c>
      <c r="AB17">
        <v>3</v>
      </c>
      <c r="AC17">
        <v>1</v>
      </c>
      <c r="AD17">
        <v>7</v>
      </c>
      <c r="AE17">
        <v>4</v>
      </c>
      <c r="AF17">
        <v>7</v>
      </c>
      <c r="AG17">
        <v>8</v>
      </c>
      <c r="AH17">
        <v>5</v>
      </c>
      <c r="AI17">
        <v>2</v>
      </c>
      <c r="AJ17">
        <v>0</v>
      </c>
      <c r="AK17">
        <v>8</v>
      </c>
      <c r="AL17">
        <v>9</v>
      </c>
      <c r="AM17">
        <v>4</v>
      </c>
      <c r="AN17">
        <v>3</v>
      </c>
      <c r="AO17">
        <v>2</v>
      </c>
      <c r="AP17">
        <v>9</v>
      </c>
      <c r="AQ17">
        <v>7</v>
      </c>
      <c r="AR17">
        <v>0</v>
      </c>
      <c r="AS17">
        <v>7</v>
      </c>
      <c r="AT17">
        <v>0</v>
      </c>
      <c r="AU17">
        <v>8</v>
      </c>
      <c r="AV17">
        <v>5</v>
      </c>
      <c r="AW17">
        <v>2</v>
      </c>
      <c r="AX17">
        <v>4</v>
      </c>
      <c r="AY17">
        <v>7</v>
      </c>
      <c r="AZ17">
        <v>5</v>
      </c>
      <c r="BA17">
        <v>1</v>
      </c>
      <c r="BB17">
        <v>2</v>
      </c>
      <c r="BC17">
        <v>7</v>
      </c>
      <c r="BD17">
        <v>9</v>
      </c>
      <c r="BE17">
        <v>2</v>
      </c>
      <c r="BF17">
        <v>6</v>
      </c>
      <c r="BG17">
        <v>2</v>
      </c>
      <c r="BH17">
        <v>7</v>
      </c>
      <c r="BI17">
        <v>10</v>
      </c>
      <c r="BJ17">
        <v>4</v>
      </c>
      <c r="BK17">
        <v>0</v>
      </c>
      <c r="BL17">
        <v>2</v>
      </c>
      <c r="BM17">
        <v>8</v>
      </c>
      <c r="BN17">
        <v>4</v>
      </c>
      <c r="BO17">
        <v>5</v>
      </c>
      <c r="BP17">
        <v>10</v>
      </c>
      <c r="BQ17">
        <v>5</v>
      </c>
      <c r="BR17">
        <v>6</v>
      </c>
      <c r="BS17">
        <v>6</v>
      </c>
      <c r="BT17">
        <v>1</v>
      </c>
      <c r="BU17">
        <v>6</v>
      </c>
      <c r="BV17">
        <v>10</v>
      </c>
      <c r="BW17">
        <v>6</v>
      </c>
      <c r="BX17">
        <v>9</v>
      </c>
      <c r="BY17">
        <v>1</v>
      </c>
      <c r="BZ17">
        <v>0</v>
      </c>
      <c r="CA17">
        <v>5</v>
      </c>
      <c r="CB17">
        <v>8</v>
      </c>
      <c r="CC17">
        <v>10</v>
      </c>
      <c r="CD17">
        <v>9</v>
      </c>
      <c r="CE17">
        <v>0</v>
      </c>
      <c r="CF17">
        <v>8</v>
      </c>
      <c r="CG17">
        <v>4</v>
      </c>
      <c r="CH17">
        <v>5</v>
      </c>
      <c r="CI17">
        <v>3</v>
      </c>
      <c r="CJ17">
        <v>5</v>
      </c>
      <c r="CK17">
        <v>6</v>
      </c>
      <c r="CL17">
        <v>7</v>
      </c>
      <c r="CM17">
        <v>3</v>
      </c>
      <c r="CN17">
        <v>8</v>
      </c>
      <c r="CO17">
        <v>6</v>
      </c>
      <c r="CP17">
        <v>3</v>
      </c>
      <c r="CQ17">
        <v>1</v>
      </c>
      <c r="CR17">
        <v>8</v>
      </c>
      <c r="CS17">
        <v>0</v>
      </c>
      <c r="CT17">
        <v>3</v>
      </c>
      <c r="CU17">
        <v>4</v>
      </c>
      <c r="CV17">
        <v>9</v>
      </c>
      <c r="CW17">
        <v>6</v>
      </c>
      <c r="CX17">
        <v>8</v>
      </c>
      <c r="CY17">
        <v>2</v>
      </c>
      <c r="CZ17">
        <v>8</v>
      </c>
      <c r="DA17">
        <v>9</v>
      </c>
      <c r="DB17">
        <v>8</v>
      </c>
      <c r="DC17">
        <v>2</v>
      </c>
      <c r="DD17">
        <v>0</v>
      </c>
      <c r="DE17">
        <v>5</v>
      </c>
      <c r="DF17">
        <v>0</v>
      </c>
      <c r="DG17">
        <v>6</v>
      </c>
      <c r="DH17">
        <v>1</v>
      </c>
      <c r="DI17">
        <v>10</v>
      </c>
      <c r="DJ17">
        <v>3</v>
      </c>
      <c r="DK17">
        <v>4</v>
      </c>
    </row>
    <row r="18" spans="1:115">
      <c r="A18" s="172">
        <f>Calculations[[#This Row],[Sum t eCO2]]*IF(Calculations[[#This Row],[GHG Scope]]="BIOGENIC",0,1)</f>
        <v>1.3051097288970576E-2</v>
      </c>
      <c r="B18" s="149"/>
      <c r="C18" s="150"/>
      <c r="F18" s="149"/>
      <c r="G18" s="152"/>
      <c r="H18" s="149"/>
      <c r="I18" s="149"/>
      <c r="J18" s="149"/>
      <c r="K18" s="149"/>
      <c r="L18" s="149"/>
      <c r="M18" s="155"/>
      <c r="O18">
        <f t="shared" si="0"/>
        <v>17</v>
      </c>
      <c r="P18">
        <v>5</v>
      </c>
      <c r="Q18">
        <v>3</v>
      </c>
      <c r="R18">
        <v>4</v>
      </c>
      <c r="S18">
        <v>7</v>
      </c>
      <c r="T18">
        <v>6</v>
      </c>
      <c r="U18">
        <v>1</v>
      </c>
      <c r="V18">
        <v>1</v>
      </c>
      <c r="W18">
        <v>8</v>
      </c>
      <c r="X18">
        <v>0</v>
      </c>
      <c r="Y18">
        <v>5</v>
      </c>
      <c r="Z18">
        <v>2</v>
      </c>
      <c r="AA18">
        <v>6</v>
      </c>
      <c r="AB18">
        <v>8</v>
      </c>
      <c r="AC18">
        <v>8</v>
      </c>
      <c r="AD18">
        <v>5</v>
      </c>
      <c r="AE18">
        <v>5</v>
      </c>
      <c r="AF18">
        <v>0</v>
      </c>
      <c r="AG18">
        <v>8</v>
      </c>
      <c r="AH18">
        <v>9</v>
      </c>
      <c r="AI18">
        <v>6</v>
      </c>
      <c r="AJ18">
        <v>10</v>
      </c>
      <c r="AK18">
        <v>7</v>
      </c>
      <c r="AL18">
        <v>7</v>
      </c>
      <c r="AM18">
        <v>4</v>
      </c>
      <c r="AN18">
        <v>10</v>
      </c>
      <c r="AO18">
        <v>10</v>
      </c>
      <c r="AP18">
        <v>9</v>
      </c>
      <c r="AQ18">
        <v>7</v>
      </c>
      <c r="AR18">
        <v>8</v>
      </c>
      <c r="AS18">
        <v>0</v>
      </c>
      <c r="AT18">
        <v>7</v>
      </c>
      <c r="AU18">
        <v>7</v>
      </c>
      <c r="AV18">
        <v>10</v>
      </c>
      <c r="AW18">
        <v>7</v>
      </c>
      <c r="AX18">
        <v>0</v>
      </c>
      <c r="AY18">
        <v>7</v>
      </c>
      <c r="AZ18">
        <v>3</v>
      </c>
      <c r="BA18">
        <v>4</v>
      </c>
      <c r="BB18">
        <v>3</v>
      </c>
      <c r="BC18">
        <v>6</v>
      </c>
      <c r="BD18">
        <v>10</v>
      </c>
      <c r="BE18">
        <v>10</v>
      </c>
      <c r="BF18">
        <v>10</v>
      </c>
      <c r="BG18">
        <v>7</v>
      </c>
      <c r="BH18">
        <v>5</v>
      </c>
      <c r="BI18">
        <v>5</v>
      </c>
      <c r="BJ18">
        <v>0</v>
      </c>
      <c r="BK18">
        <v>0</v>
      </c>
      <c r="BL18">
        <v>10</v>
      </c>
      <c r="BM18">
        <v>10</v>
      </c>
      <c r="BN18">
        <v>2</v>
      </c>
      <c r="BO18">
        <v>9</v>
      </c>
      <c r="BP18">
        <v>7</v>
      </c>
      <c r="BQ18">
        <v>0</v>
      </c>
      <c r="BR18">
        <v>8</v>
      </c>
      <c r="BS18">
        <v>0</v>
      </c>
      <c r="BT18">
        <v>1</v>
      </c>
      <c r="BU18">
        <v>4</v>
      </c>
      <c r="BV18">
        <v>0</v>
      </c>
      <c r="BW18">
        <v>10</v>
      </c>
      <c r="BX18">
        <v>8</v>
      </c>
      <c r="BY18">
        <v>3</v>
      </c>
      <c r="BZ18">
        <v>2</v>
      </c>
      <c r="CA18">
        <v>3</v>
      </c>
      <c r="CB18">
        <v>6</v>
      </c>
      <c r="CC18">
        <v>9</v>
      </c>
      <c r="CD18">
        <v>7</v>
      </c>
      <c r="CE18">
        <v>7</v>
      </c>
      <c r="CF18">
        <v>6</v>
      </c>
      <c r="CG18">
        <v>0</v>
      </c>
      <c r="CH18">
        <v>4</v>
      </c>
      <c r="CI18">
        <v>9</v>
      </c>
      <c r="CJ18">
        <v>10</v>
      </c>
      <c r="CK18">
        <v>2</v>
      </c>
      <c r="CL18">
        <v>3</v>
      </c>
      <c r="CM18">
        <v>5</v>
      </c>
      <c r="CN18">
        <v>0</v>
      </c>
      <c r="CO18">
        <v>5</v>
      </c>
      <c r="CP18">
        <v>3</v>
      </c>
      <c r="CQ18">
        <v>6</v>
      </c>
      <c r="CR18">
        <v>1</v>
      </c>
      <c r="CS18">
        <v>0</v>
      </c>
      <c r="CT18">
        <v>5</v>
      </c>
      <c r="CU18">
        <v>4</v>
      </c>
      <c r="CV18">
        <v>9</v>
      </c>
      <c r="CW18">
        <v>9</v>
      </c>
      <c r="CX18">
        <v>5</v>
      </c>
      <c r="CY18">
        <v>10</v>
      </c>
      <c r="CZ18">
        <v>0</v>
      </c>
      <c r="DA18">
        <v>0</v>
      </c>
      <c r="DB18">
        <v>2</v>
      </c>
      <c r="DC18">
        <v>1</v>
      </c>
      <c r="DD18">
        <v>9</v>
      </c>
      <c r="DE18">
        <v>8</v>
      </c>
      <c r="DF18">
        <v>5</v>
      </c>
      <c r="DG18">
        <v>9</v>
      </c>
      <c r="DH18">
        <v>2</v>
      </c>
      <c r="DI18">
        <v>5</v>
      </c>
      <c r="DJ18">
        <v>5</v>
      </c>
      <c r="DK18">
        <v>0</v>
      </c>
    </row>
    <row r="19" spans="1:115">
      <c r="A19" s="172">
        <f>Calculations[[#This Row],[Sum t eCO2]]*IF(Calculations[[#This Row],[GHG Scope]]="BIOGENIC",0,1)</f>
        <v>1.0226536156016713E-2</v>
      </c>
      <c r="B19" s="149"/>
      <c r="C19" s="150"/>
      <c r="D19" t="s">
        <v>919</v>
      </c>
      <c r="E19">
        <v>302347.84000000003</v>
      </c>
      <c r="F19" s="149"/>
      <c r="G19" s="152"/>
      <c r="H19" s="149"/>
      <c r="I19" s="154"/>
      <c r="J19" s="149"/>
      <c r="K19" s="149"/>
      <c r="L19" s="149"/>
      <c r="M19" s="149"/>
      <c r="O19">
        <f t="shared" si="0"/>
        <v>18</v>
      </c>
      <c r="P19">
        <v>10</v>
      </c>
      <c r="Q19">
        <v>6</v>
      </c>
      <c r="R19">
        <v>1</v>
      </c>
      <c r="S19">
        <v>0</v>
      </c>
      <c r="T19">
        <v>3</v>
      </c>
      <c r="U19">
        <v>1</v>
      </c>
      <c r="V19">
        <v>6</v>
      </c>
      <c r="W19">
        <v>0</v>
      </c>
      <c r="X19">
        <v>2</v>
      </c>
      <c r="Y19">
        <v>8</v>
      </c>
      <c r="Z19">
        <v>3</v>
      </c>
      <c r="AA19">
        <v>6</v>
      </c>
      <c r="AB19">
        <v>0</v>
      </c>
      <c r="AC19">
        <v>1</v>
      </c>
      <c r="AD19">
        <v>10</v>
      </c>
      <c r="AE19">
        <v>2</v>
      </c>
      <c r="AF19">
        <v>3</v>
      </c>
      <c r="AG19">
        <v>5</v>
      </c>
      <c r="AH19">
        <v>2</v>
      </c>
      <c r="AI19">
        <v>8</v>
      </c>
      <c r="AJ19">
        <v>7</v>
      </c>
      <c r="AK19">
        <v>9</v>
      </c>
      <c r="AL19">
        <v>3</v>
      </c>
      <c r="AM19">
        <v>2</v>
      </c>
      <c r="AN19">
        <v>0</v>
      </c>
      <c r="AO19">
        <v>1</v>
      </c>
      <c r="AP19">
        <v>6</v>
      </c>
      <c r="AQ19">
        <v>6</v>
      </c>
      <c r="AR19">
        <v>10</v>
      </c>
      <c r="AS19">
        <v>4</v>
      </c>
      <c r="AT19">
        <v>8</v>
      </c>
      <c r="AU19">
        <v>2</v>
      </c>
      <c r="AV19">
        <v>3</v>
      </c>
      <c r="AW19">
        <v>9</v>
      </c>
      <c r="AX19">
        <v>10</v>
      </c>
      <c r="AY19">
        <v>3</v>
      </c>
      <c r="AZ19">
        <v>7</v>
      </c>
      <c r="BA19">
        <v>0</v>
      </c>
      <c r="BB19">
        <v>10</v>
      </c>
      <c r="BC19">
        <v>2</v>
      </c>
      <c r="BD19">
        <v>6</v>
      </c>
      <c r="BE19">
        <v>10</v>
      </c>
      <c r="BF19">
        <v>3</v>
      </c>
      <c r="BG19">
        <v>4</v>
      </c>
      <c r="BH19">
        <v>9</v>
      </c>
      <c r="BI19">
        <v>8</v>
      </c>
      <c r="BJ19">
        <v>9</v>
      </c>
      <c r="BK19">
        <v>4</v>
      </c>
      <c r="BL19">
        <v>8</v>
      </c>
      <c r="BM19">
        <v>0</v>
      </c>
      <c r="BN19">
        <v>1</v>
      </c>
      <c r="BO19">
        <v>4</v>
      </c>
      <c r="BP19">
        <v>3</v>
      </c>
      <c r="BQ19">
        <v>3</v>
      </c>
      <c r="BR19">
        <v>0</v>
      </c>
      <c r="BS19">
        <v>9</v>
      </c>
      <c r="BT19">
        <v>6</v>
      </c>
      <c r="BU19">
        <v>7</v>
      </c>
      <c r="BV19">
        <v>1</v>
      </c>
      <c r="BW19">
        <v>3</v>
      </c>
      <c r="BX19">
        <v>10</v>
      </c>
      <c r="BY19">
        <v>1</v>
      </c>
      <c r="BZ19">
        <v>6</v>
      </c>
      <c r="CA19">
        <v>10</v>
      </c>
      <c r="CB19">
        <v>3</v>
      </c>
      <c r="CC19">
        <v>8</v>
      </c>
      <c r="CD19">
        <v>9</v>
      </c>
      <c r="CE19">
        <v>10</v>
      </c>
      <c r="CF19">
        <v>6</v>
      </c>
      <c r="CG19">
        <v>2</v>
      </c>
      <c r="CH19">
        <v>10</v>
      </c>
      <c r="CI19">
        <v>0</v>
      </c>
      <c r="CJ19">
        <v>6</v>
      </c>
      <c r="CK19">
        <v>5</v>
      </c>
      <c r="CL19">
        <v>1</v>
      </c>
      <c r="CM19">
        <v>9</v>
      </c>
      <c r="CN19">
        <v>4</v>
      </c>
      <c r="CO19">
        <v>0</v>
      </c>
      <c r="CP19">
        <v>8</v>
      </c>
      <c r="CQ19">
        <v>10</v>
      </c>
      <c r="CR19">
        <v>4</v>
      </c>
      <c r="CS19">
        <v>6</v>
      </c>
      <c r="CT19">
        <v>2</v>
      </c>
      <c r="CU19">
        <v>8</v>
      </c>
      <c r="CV19">
        <v>4</v>
      </c>
      <c r="CW19">
        <v>7</v>
      </c>
      <c r="CX19">
        <v>5</v>
      </c>
      <c r="CY19">
        <v>10</v>
      </c>
      <c r="CZ19">
        <v>0</v>
      </c>
      <c r="DA19">
        <v>8</v>
      </c>
      <c r="DB19">
        <v>4</v>
      </c>
      <c r="DC19">
        <v>2</v>
      </c>
      <c r="DD19">
        <v>4</v>
      </c>
      <c r="DE19">
        <v>5</v>
      </c>
      <c r="DF19">
        <v>2</v>
      </c>
      <c r="DG19">
        <v>3</v>
      </c>
      <c r="DH19">
        <v>9</v>
      </c>
      <c r="DI19">
        <v>10</v>
      </c>
      <c r="DJ19">
        <v>0</v>
      </c>
      <c r="DK19">
        <v>10</v>
      </c>
    </row>
    <row r="20" spans="1:115">
      <c r="A20" s="172">
        <f>Calculations[[#This Row],[Sum t eCO2]]*IF(Calculations[[#This Row],[GHG Scope]]="BIOGENIC",0,1)</f>
        <v>15.323885979095701</v>
      </c>
      <c r="B20" s="149"/>
      <c r="C20" s="150"/>
      <c r="D20" t="s">
        <v>918</v>
      </c>
      <c r="E20">
        <v>1406.1687772975424</v>
      </c>
      <c r="F20" s="149"/>
      <c r="G20" s="149"/>
      <c r="H20" s="149"/>
      <c r="I20" s="149"/>
      <c r="J20" s="153"/>
      <c r="K20" s="149"/>
      <c r="L20" s="149"/>
      <c r="M20" s="149"/>
      <c r="O20">
        <f t="shared" si="0"/>
        <v>19</v>
      </c>
      <c r="P20">
        <v>5</v>
      </c>
      <c r="Q20">
        <v>0</v>
      </c>
      <c r="R20">
        <v>6</v>
      </c>
      <c r="S20">
        <v>5</v>
      </c>
      <c r="T20">
        <v>2</v>
      </c>
      <c r="U20">
        <v>4</v>
      </c>
      <c r="V20">
        <v>7</v>
      </c>
      <c r="W20">
        <v>9</v>
      </c>
      <c r="X20">
        <v>2</v>
      </c>
      <c r="Y20">
        <v>10</v>
      </c>
      <c r="Z20">
        <v>4</v>
      </c>
      <c r="AA20">
        <v>10</v>
      </c>
      <c r="AB20">
        <v>5</v>
      </c>
      <c r="AC20">
        <v>6</v>
      </c>
      <c r="AD20">
        <v>6</v>
      </c>
      <c r="AE20">
        <v>8</v>
      </c>
      <c r="AF20">
        <v>1</v>
      </c>
      <c r="AG20">
        <v>10</v>
      </c>
      <c r="AH20">
        <v>5</v>
      </c>
      <c r="AI20">
        <v>1</v>
      </c>
      <c r="AJ20">
        <v>7</v>
      </c>
      <c r="AK20">
        <v>3</v>
      </c>
      <c r="AL20">
        <v>3</v>
      </c>
      <c r="AM20">
        <v>0</v>
      </c>
      <c r="AN20">
        <v>8</v>
      </c>
      <c r="AO20">
        <v>3</v>
      </c>
      <c r="AP20">
        <v>1</v>
      </c>
      <c r="AQ20">
        <v>4</v>
      </c>
      <c r="AR20">
        <v>6</v>
      </c>
      <c r="AS20">
        <v>5</v>
      </c>
      <c r="AT20">
        <v>3</v>
      </c>
      <c r="AU20">
        <v>9</v>
      </c>
      <c r="AV20">
        <v>3</v>
      </c>
      <c r="AW20">
        <v>7</v>
      </c>
      <c r="AX20">
        <v>10</v>
      </c>
      <c r="AY20">
        <v>2</v>
      </c>
      <c r="AZ20">
        <v>1</v>
      </c>
      <c r="BA20">
        <v>9</v>
      </c>
      <c r="BB20">
        <v>0</v>
      </c>
      <c r="BC20">
        <v>5</v>
      </c>
      <c r="BD20">
        <v>10</v>
      </c>
      <c r="BE20">
        <v>8</v>
      </c>
      <c r="BF20">
        <v>5</v>
      </c>
      <c r="BG20">
        <v>1</v>
      </c>
      <c r="BH20">
        <v>7</v>
      </c>
      <c r="BI20">
        <v>10</v>
      </c>
      <c r="BJ20">
        <v>1</v>
      </c>
      <c r="BK20">
        <v>10</v>
      </c>
      <c r="BL20">
        <v>5</v>
      </c>
      <c r="BM20">
        <v>9</v>
      </c>
      <c r="BN20">
        <v>7</v>
      </c>
      <c r="BO20">
        <v>3</v>
      </c>
      <c r="BP20">
        <v>0</v>
      </c>
      <c r="BQ20">
        <v>10</v>
      </c>
      <c r="BR20">
        <v>9</v>
      </c>
      <c r="BS20">
        <v>8</v>
      </c>
      <c r="BT20">
        <v>4</v>
      </c>
      <c r="BU20">
        <v>0</v>
      </c>
      <c r="BV20">
        <v>7</v>
      </c>
      <c r="BW20">
        <v>4</v>
      </c>
      <c r="BX20">
        <v>7</v>
      </c>
      <c r="BY20">
        <v>8</v>
      </c>
      <c r="BZ20">
        <v>10</v>
      </c>
      <c r="CA20">
        <v>5</v>
      </c>
      <c r="CB20">
        <v>0</v>
      </c>
      <c r="CC20">
        <v>10</v>
      </c>
      <c r="CD20">
        <v>9</v>
      </c>
      <c r="CE20">
        <v>0</v>
      </c>
      <c r="CF20">
        <v>4</v>
      </c>
      <c r="CG20">
        <v>7</v>
      </c>
      <c r="CH20">
        <v>2</v>
      </c>
      <c r="CI20">
        <v>5</v>
      </c>
      <c r="CJ20">
        <v>3</v>
      </c>
      <c r="CK20">
        <v>4</v>
      </c>
      <c r="CL20">
        <v>1</v>
      </c>
      <c r="CM20">
        <v>3</v>
      </c>
      <c r="CN20">
        <v>10</v>
      </c>
      <c r="CO20">
        <v>2</v>
      </c>
      <c r="CP20">
        <v>6</v>
      </c>
      <c r="CQ20">
        <v>6</v>
      </c>
      <c r="CR20">
        <v>7</v>
      </c>
      <c r="CS20">
        <v>6</v>
      </c>
      <c r="CT20">
        <v>4</v>
      </c>
      <c r="CU20">
        <v>2</v>
      </c>
      <c r="CV20">
        <v>2</v>
      </c>
      <c r="CW20">
        <v>9</v>
      </c>
      <c r="CX20">
        <v>3</v>
      </c>
      <c r="CY20">
        <v>9</v>
      </c>
      <c r="CZ20">
        <v>1</v>
      </c>
      <c r="DA20">
        <v>1</v>
      </c>
      <c r="DB20">
        <v>2</v>
      </c>
      <c r="DC20">
        <v>10</v>
      </c>
      <c r="DD20">
        <v>9</v>
      </c>
      <c r="DE20">
        <v>7</v>
      </c>
      <c r="DF20">
        <v>3</v>
      </c>
      <c r="DG20">
        <v>8</v>
      </c>
      <c r="DH20">
        <v>8</v>
      </c>
      <c r="DI20">
        <v>2</v>
      </c>
      <c r="DJ20">
        <v>10</v>
      </c>
      <c r="DK20">
        <v>6</v>
      </c>
    </row>
    <row r="21" spans="1:115">
      <c r="A21" s="172">
        <f>Calculations[[#This Row],[Sum t eCO2]]*IF(Calculations[[#This Row],[GHG Scope]]="BIOGENIC",0,1)</f>
        <v>1.6388370571439448E-4</v>
      </c>
      <c r="B21" s="149"/>
      <c r="C21" s="150"/>
      <c r="D21" t="s">
        <v>917</v>
      </c>
      <c r="E21">
        <v>301051.5</v>
      </c>
      <c r="F21" s="149"/>
      <c r="G21" s="149"/>
      <c r="H21" s="149"/>
      <c r="I21" s="149"/>
      <c r="J21" s="149"/>
      <c r="K21" s="149"/>
      <c r="L21" s="149"/>
      <c r="M21" s="149"/>
      <c r="O21">
        <f t="shared" si="0"/>
        <v>20</v>
      </c>
      <c r="P21">
        <v>4</v>
      </c>
      <c r="Q21">
        <v>1</v>
      </c>
      <c r="R21">
        <v>4</v>
      </c>
      <c r="S21">
        <v>8</v>
      </c>
      <c r="T21">
        <v>10</v>
      </c>
      <c r="U21">
        <v>6</v>
      </c>
      <c r="V21">
        <v>8</v>
      </c>
      <c r="W21">
        <v>7</v>
      </c>
      <c r="X21">
        <v>10</v>
      </c>
      <c r="Y21">
        <v>5</v>
      </c>
      <c r="Z21">
        <v>8</v>
      </c>
      <c r="AA21">
        <v>5</v>
      </c>
      <c r="AB21">
        <v>3</v>
      </c>
      <c r="AC21">
        <v>4</v>
      </c>
      <c r="AD21">
        <v>7</v>
      </c>
      <c r="AE21">
        <v>7</v>
      </c>
      <c r="AF21">
        <v>0</v>
      </c>
      <c r="AG21">
        <v>1</v>
      </c>
      <c r="AH21">
        <v>3</v>
      </c>
      <c r="AI21">
        <v>7</v>
      </c>
      <c r="AJ21">
        <v>8</v>
      </c>
      <c r="AK21">
        <v>6</v>
      </c>
      <c r="AL21">
        <v>6</v>
      </c>
      <c r="AM21">
        <v>0</v>
      </c>
      <c r="AN21">
        <v>5</v>
      </c>
      <c r="AO21">
        <v>0</v>
      </c>
      <c r="AP21">
        <v>0</v>
      </c>
      <c r="AQ21">
        <v>2</v>
      </c>
      <c r="AR21">
        <v>6</v>
      </c>
      <c r="AS21">
        <v>1</v>
      </c>
      <c r="AT21">
        <v>1</v>
      </c>
      <c r="AU21">
        <v>4</v>
      </c>
      <c r="AV21">
        <v>1</v>
      </c>
      <c r="AW21">
        <v>3</v>
      </c>
      <c r="AX21">
        <v>2</v>
      </c>
      <c r="AY21">
        <v>8</v>
      </c>
      <c r="AZ21">
        <v>5</v>
      </c>
      <c r="BA21">
        <v>2</v>
      </c>
      <c r="BB21">
        <v>0</v>
      </c>
      <c r="BC21">
        <v>2</v>
      </c>
      <c r="BD21">
        <v>7</v>
      </c>
      <c r="BE21">
        <v>5</v>
      </c>
      <c r="BF21">
        <v>4</v>
      </c>
      <c r="BG21">
        <v>4</v>
      </c>
      <c r="BH21">
        <v>1</v>
      </c>
      <c r="BI21">
        <v>1</v>
      </c>
      <c r="BJ21">
        <v>4</v>
      </c>
      <c r="BK21">
        <v>5</v>
      </c>
      <c r="BL21">
        <v>5</v>
      </c>
      <c r="BM21">
        <v>7</v>
      </c>
      <c r="BN21">
        <v>3</v>
      </c>
      <c r="BO21">
        <v>3</v>
      </c>
      <c r="BP21">
        <v>8</v>
      </c>
      <c r="BQ21">
        <v>0</v>
      </c>
      <c r="BR21">
        <v>3</v>
      </c>
      <c r="BS21">
        <v>1</v>
      </c>
      <c r="BT21">
        <v>0</v>
      </c>
      <c r="BU21">
        <v>9</v>
      </c>
      <c r="BV21">
        <v>8</v>
      </c>
      <c r="BW21">
        <v>5</v>
      </c>
      <c r="BX21">
        <v>6</v>
      </c>
      <c r="BY21">
        <v>7</v>
      </c>
      <c r="BZ21">
        <v>7</v>
      </c>
      <c r="CA21">
        <v>9</v>
      </c>
      <c r="CB21">
        <v>9</v>
      </c>
      <c r="CC21">
        <v>8</v>
      </c>
      <c r="CD21">
        <v>1</v>
      </c>
      <c r="CE21">
        <v>4</v>
      </c>
      <c r="CF21">
        <v>3</v>
      </c>
      <c r="CG21">
        <v>4</v>
      </c>
      <c r="CH21">
        <v>4</v>
      </c>
      <c r="CI21">
        <v>2</v>
      </c>
      <c r="CJ21">
        <v>6</v>
      </c>
      <c r="CK21">
        <v>1</v>
      </c>
      <c r="CL21">
        <v>6</v>
      </c>
      <c r="CM21">
        <v>9</v>
      </c>
      <c r="CN21">
        <v>4</v>
      </c>
      <c r="CO21">
        <v>6</v>
      </c>
      <c r="CP21">
        <v>9</v>
      </c>
      <c r="CQ21">
        <v>8</v>
      </c>
      <c r="CR21">
        <v>4</v>
      </c>
      <c r="CS21">
        <v>3</v>
      </c>
      <c r="CT21">
        <v>4</v>
      </c>
      <c r="CU21">
        <v>8</v>
      </c>
      <c r="CV21">
        <v>10</v>
      </c>
      <c r="CW21">
        <v>9</v>
      </c>
      <c r="CX21">
        <v>5</v>
      </c>
      <c r="CY21">
        <v>6</v>
      </c>
      <c r="CZ21">
        <v>4</v>
      </c>
      <c r="DA21">
        <v>9</v>
      </c>
      <c r="DB21">
        <v>8</v>
      </c>
      <c r="DC21">
        <v>4</v>
      </c>
      <c r="DD21">
        <v>7</v>
      </c>
      <c r="DE21">
        <v>0</v>
      </c>
      <c r="DF21">
        <v>2</v>
      </c>
      <c r="DG21">
        <v>1</v>
      </c>
      <c r="DH21">
        <v>8</v>
      </c>
      <c r="DI21">
        <v>5</v>
      </c>
      <c r="DJ21">
        <v>9</v>
      </c>
      <c r="DK21">
        <v>9</v>
      </c>
    </row>
    <row r="22" spans="1:115">
      <c r="A22" s="172">
        <f>Calculations[[#This Row],[Sum t eCO2]]*IF(Calculations[[#This Row],[GHG Scope]]="BIOGENIC",0,1)</f>
        <v>0.16291165478775321</v>
      </c>
      <c r="B22" s="149"/>
      <c r="C22" s="150"/>
      <c r="D22" t="s">
        <v>916</v>
      </c>
      <c r="E22" t="e">
        <v>#N/A</v>
      </c>
      <c r="F22" s="149"/>
      <c r="G22" s="149"/>
      <c r="H22" s="149"/>
      <c r="I22" s="149"/>
      <c r="J22" s="149"/>
      <c r="K22" s="149"/>
      <c r="L22" s="149"/>
      <c r="M22" s="149"/>
      <c r="O22">
        <f t="shared" si="0"/>
        <v>21</v>
      </c>
      <c r="P22">
        <v>10</v>
      </c>
      <c r="Q22">
        <v>0</v>
      </c>
      <c r="R22">
        <v>5</v>
      </c>
      <c r="S22">
        <v>9</v>
      </c>
      <c r="T22">
        <v>6</v>
      </c>
      <c r="U22">
        <v>9</v>
      </c>
      <c r="V22">
        <v>7</v>
      </c>
      <c r="W22">
        <v>1</v>
      </c>
      <c r="X22">
        <v>2</v>
      </c>
      <c r="Y22">
        <v>5</v>
      </c>
      <c r="Z22">
        <v>1</v>
      </c>
      <c r="AA22">
        <v>3</v>
      </c>
      <c r="AB22">
        <v>2</v>
      </c>
      <c r="AC22">
        <v>7</v>
      </c>
      <c r="AD22">
        <v>4</v>
      </c>
      <c r="AE22">
        <v>5</v>
      </c>
      <c r="AF22">
        <v>6</v>
      </c>
      <c r="AG22">
        <v>8</v>
      </c>
      <c r="AH22">
        <v>7</v>
      </c>
      <c r="AI22">
        <v>6</v>
      </c>
      <c r="AJ22">
        <v>7</v>
      </c>
      <c r="AK22">
        <v>6</v>
      </c>
      <c r="AL22">
        <v>6</v>
      </c>
      <c r="AM22">
        <v>6</v>
      </c>
      <c r="AN22">
        <v>5</v>
      </c>
      <c r="AO22">
        <v>1</v>
      </c>
      <c r="AP22">
        <v>7</v>
      </c>
      <c r="AQ22">
        <v>10</v>
      </c>
      <c r="AR22">
        <v>1</v>
      </c>
      <c r="AS22">
        <v>3</v>
      </c>
      <c r="AT22">
        <v>0</v>
      </c>
      <c r="AU22">
        <v>10</v>
      </c>
      <c r="AV22">
        <v>9</v>
      </c>
      <c r="AW22">
        <v>6</v>
      </c>
      <c r="AX22">
        <v>6</v>
      </c>
      <c r="AY22">
        <v>3</v>
      </c>
      <c r="AZ22">
        <v>2</v>
      </c>
      <c r="BA22">
        <v>1</v>
      </c>
      <c r="BB22">
        <v>3</v>
      </c>
      <c r="BC22">
        <v>8</v>
      </c>
      <c r="BD22">
        <v>2</v>
      </c>
      <c r="BE22">
        <v>6</v>
      </c>
      <c r="BF22">
        <v>10</v>
      </c>
      <c r="BG22">
        <v>7</v>
      </c>
      <c r="BH22">
        <v>4</v>
      </c>
      <c r="BI22">
        <v>4</v>
      </c>
      <c r="BJ22">
        <v>3</v>
      </c>
      <c r="BK22">
        <v>4</v>
      </c>
      <c r="BL22">
        <v>5</v>
      </c>
      <c r="BM22">
        <v>9</v>
      </c>
      <c r="BN22">
        <v>3</v>
      </c>
      <c r="BO22">
        <v>4</v>
      </c>
      <c r="BP22">
        <v>10</v>
      </c>
      <c r="BQ22">
        <v>9</v>
      </c>
      <c r="BR22">
        <v>7</v>
      </c>
      <c r="BS22">
        <v>5</v>
      </c>
      <c r="BT22">
        <v>2</v>
      </c>
      <c r="BU22">
        <v>0</v>
      </c>
      <c r="BV22">
        <v>9</v>
      </c>
      <c r="BW22">
        <v>10</v>
      </c>
      <c r="BX22">
        <v>4</v>
      </c>
      <c r="BY22">
        <v>9</v>
      </c>
      <c r="BZ22">
        <v>2</v>
      </c>
      <c r="CA22">
        <v>1</v>
      </c>
      <c r="CB22">
        <v>4</v>
      </c>
      <c r="CC22">
        <v>9</v>
      </c>
      <c r="CD22">
        <v>4</v>
      </c>
      <c r="CE22">
        <v>8</v>
      </c>
      <c r="CF22">
        <v>0</v>
      </c>
      <c r="CG22">
        <v>1</v>
      </c>
      <c r="CH22">
        <v>7</v>
      </c>
      <c r="CI22">
        <v>10</v>
      </c>
      <c r="CJ22">
        <v>1</v>
      </c>
      <c r="CK22">
        <v>9</v>
      </c>
      <c r="CL22">
        <v>1</v>
      </c>
      <c r="CM22">
        <v>7</v>
      </c>
      <c r="CN22">
        <v>5</v>
      </c>
      <c r="CO22">
        <v>5</v>
      </c>
      <c r="CP22">
        <v>0</v>
      </c>
      <c r="CQ22">
        <v>10</v>
      </c>
      <c r="CR22">
        <v>7</v>
      </c>
      <c r="CS22">
        <v>10</v>
      </c>
      <c r="CT22">
        <v>8</v>
      </c>
      <c r="CU22">
        <v>3</v>
      </c>
      <c r="CV22">
        <v>1</v>
      </c>
      <c r="CW22">
        <v>4</v>
      </c>
      <c r="CX22">
        <v>4</v>
      </c>
      <c r="CY22">
        <v>7</v>
      </c>
      <c r="CZ22">
        <v>7</v>
      </c>
      <c r="DA22">
        <v>7</v>
      </c>
      <c r="DB22">
        <v>8</v>
      </c>
      <c r="DC22">
        <v>4</v>
      </c>
      <c r="DD22">
        <v>6</v>
      </c>
      <c r="DE22">
        <v>2</v>
      </c>
      <c r="DF22">
        <v>8</v>
      </c>
      <c r="DG22">
        <v>5</v>
      </c>
      <c r="DH22">
        <v>1</v>
      </c>
      <c r="DI22">
        <v>8</v>
      </c>
      <c r="DJ22">
        <v>7</v>
      </c>
      <c r="DK22">
        <v>1</v>
      </c>
    </row>
    <row r="23" spans="1:115">
      <c r="A23" s="172">
        <f>Calculations[[#This Row],[Sum t eCO2]]*IF(Calculations[[#This Row],[GHG Scope]]="BIOGENIC",0,1)</f>
        <v>35.84337199576477</v>
      </c>
      <c r="B23" s="149"/>
      <c r="C23" s="150"/>
      <c r="D23" t="s">
        <v>915</v>
      </c>
      <c r="E23">
        <v>14061.687772975423</v>
      </c>
      <c r="F23" s="152"/>
      <c r="G23" s="149"/>
      <c r="H23" s="149"/>
      <c r="I23" s="149"/>
      <c r="J23" s="149"/>
      <c r="K23" s="149"/>
      <c r="L23" s="149"/>
      <c r="M23" s="149"/>
      <c r="O23">
        <f t="shared" si="0"/>
        <v>22</v>
      </c>
      <c r="P23">
        <v>6</v>
      </c>
      <c r="Q23">
        <v>7</v>
      </c>
      <c r="R23">
        <v>3</v>
      </c>
      <c r="S23">
        <v>6</v>
      </c>
      <c r="T23">
        <v>10</v>
      </c>
      <c r="U23">
        <v>10</v>
      </c>
      <c r="V23">
        <v>8</v>
      </c>
      <c r="W23">
        <v>0</v>
      </c>
      <c r="X23">
        <v>3</v>
      </c>
      <c r="Y23">
        <v>0</v>
      </c>
      <c r="Z23">
        <v>2</v>
      </c>
      <c r="AA23">
        <v>0</v>
      </c>
      <c r="AB23">
        <v>6</v>
      </c>
      <c r="AC23">
        <v>2</v>
      </c>
      <c r="AD23">
        <v>1</v>
      </c>
      <c r="AE23">
        <v>6</v>
      </c>
      <c r="AF23">
        <v>2</v>
      </c>
      <c r="AG23">
        <v>1</v>
      </c>
      <c r="AH23">
        <v>8</v>
      </c>
      <c r="AI23">
        <v>5</v>
      </c>
      <c r="AJ23">
        <v>9</v>
      </c>
      <c r="AK23">
        <v>0</v>
      </c>
      <c r="AL23">
        <v>0</v>
      </c>
      <c r="AM23">
        <v>7</v>
      </c>
      <c r="AN23">
        <v>3</v>
      </c>
      <c r="AO23">
        <v>0</v>
      </c>
      <c r="AP23">
        <v>8</v>
      </c>
      <c r="AQ23">
        <v>0</v>
      </c>
      <c r="AR23">
        <v>6</v>
      </c>
      <c r="AS23">
        <v>4</v>
      </c>
      <c r="AT23">
        <v>2</v>
      </c>
      <c r="AU23">
        <v>10</v>
      </c>
      <c r="AV23">
        <v>9</v>
      </c>
      <c r="AW23">
        <v>7</v>
      </c>
      <c r="AX23">
        <v>6</v>
      </c>
      <c r="AY23">
        <v>10</v>
      </c>
      <c r="AZ23">
        <v>1</v>
      </c>
      <c r="BA23">
        <v>4</v>
      </c>
      <c r="BB23">
        <v>5</v>
      </c>
      <c r="BC23">
        <v>8</v>
      </c>
      <c r="BD23">
        <v>7</v>
      </c>
      <c r="BE23">
        <v>10</v>
      </c>
      <c r="BF23">
        <v>2</v>
      </c>
      <c r="BG23">
        <v>5</v>
      </c>
      <c r="BH23">
        <v>4</v>
      </c>
      <c r="BI23">
        <v>9</v>
      </c>
      <c r="BJ23">
        <v>5</v>
      </c>
      <c r="BK23">
        <v>8</v>
      </c>
      <c r="BL23">
        <v>4</v>
      </c>
      <c r="BM23">
        <v>8</v>
      </c>
      <c r="BN23">
        <v>5</v>
      </c>
      <c r="BO23">
        <v>1</v>
      </c>
      <c r="BP23">
        <v>8</v>
      </c>
      <c r="BQ23">
        <v>8</v>
      </c>
      <c r="BR23">
        <v>0</v>
      </c>
      <c r="BS23">
        <v>2</v>
      </c>
      <c r="BT23">
        <v>3</v>
      </c>
      <c r="BU23">
        <v>4</v>
      </c>
      <c r="BV23">
        <v>9</v>
      </c>
      <c r="BW23">
        <v>6</v>
      </c>
      <c r="BX23">
        <v>9</v>
      </c>
      <c r="BY23">
        <v>6</v>
      </c>
      <c r="BZ23">
        <v>7</v>
      </c>
      <c r="CA23">
        <v>0</v>
      </c>
      <c r="CB23">
        <v>10</v>
      </c>
      <c r="CC23">
        <v>0</v>
      </c>
      <c r="CD23">
        <v>4</v>
      </c>
      <c r="CE23">
        <v>5</v>
      </c>
      <c r="CF23">
        <v>5</v>
      </c>
      <c r="CG23">
        <v>2</v>
      </c>
      <c r="CH23">
        <v>7</v>
      </c>
      <c r="CI23">
        <v>0</v>
      </c>
      <c r="CJ23">
        <v>5</v>
      </c>
      <c r="CK23">
        <v>2</v>
      </c>
      <c r="CL23">
        <v>8</v>
      </c>
      <c r="CM23">
        <v>1</v>
      </c>
      <c r="CN23">
        <v>0</v>
      </c>
      <c r="CO23">
        <v>3</v>
      </c>
      <c r="CP23">
        <v>8</v>
      </c>
      <c r="CQ23">
        <v>2</v>
      </c>
      <c r="CR23">
        <v>8</v>
      </c>
      <c r="CS23">
        <v>1</v>
      </c>
      <c r="CT23">
        <v>1</v>
      </c>
      <c r="CU23">
        <v>7</v>
      </c>
      <c r="CV23">
        <v>2</v>
      </c>
      <c r="CW23">
        <v>6</v>
      </c>
      <c r="CX23">
        <v>6</v>
      </c>
      <c r="CY23">
        <v>5</v>
      </c>
      <c r="CZ23">
        <v>4</v>
      </c>
      <c r="DA23">
        <v>1</v>
      </c>
      <c r="DB23">
        <v>6</v>
      </c>
      <c r="DC23">
        <v>8</v>
      </c>
      <c r="DD23">
        <v>8</v>
      </c>
      <c r="DE23">
        <v>0</v>
      </c>
      <c r="DF23">
        <v>2</v>
      </c>
      <c r="DG23">
        <v>1</v>
      </c>
      <c r="DH23">
        <v>7</v>
      </c>
      <c r="DI23">
        <v>10</v>
      </c>
      <c r="DJ23">
        <v>3</v>
      </c>
      <c r="DK23">
        <v>2</v>
      </c>
    </row>
    <row r="24" spans="1:115">
      <c r="A24" s="172">
        <f>Calculations[[#This Row],[Sum t eCO2]]*IF(Calculations[[#This Row],[GHG Scope]]="BIOGENIC",0,1)</f>
        <v>1.4630191228401997E-3</v>
      </c>
      <c r="B24" s="149"/>
      <c r="C24" s="150"/>
      <c r="D24" t="s">
        <v>914</v>
      </c>
      <c r="E24">
        <v>197731063.02464652</v>
      </c>
      <c r="F24" s="149"/>
      <c r="G24" s="149"/>
      <c r="H24" s="149"/>
      <c r="I24" s="149"/>
      <c r="J24" s="149"/>
      <c r="K24" s="149"/>
      <c r="L24" s="149"/>
      <c r="M24" s="149"/>
      <c r="O24">
        <f t="shared" si="0"/>
        <v>23</v>
      </c>
      <c r="P24">
        <v>1</v>
      </c>
      <c r="Q24">
        <v>0</v>
      </c>
      <c r="R24">
        <v>6</v>
      </c>
      <c r="S24">
        <v>2</v>
      </c>
      <c r="T24">
        <v>2</v>
      </c>
      <c r="U24">
        <v>3</v>
      </c>
      <c r="V24">
        <v>5</v>
      </c>
      <c r="W24">
        <v>7</v>
      </c>
      <c r="X24">
        <v>1</v>
      </c>
      <c r="Y24">
        <v>9</v>
      </c>
      <c r="Z24">
        <v>3</v>
      </c>
      <c r="AA24">
        <v>9</v>
      </c>
      <c r="AB24">
        <v>4</v>
      </c>
      <c r="AC24">
        <v>2</v>
      </c>
      <c r="AD24">
        <v>1</v>
      </c>
      <c r="AE24">
        <v>9</v>
      </c>
      <c r="AF24">
        <v>0</v>
      </c>
      <c r="AG24">
        <v>1</v>
      </c>
      <c r="AH24">
        <v>9</v>
      </c>
      <c r="AI24">
        <v>7</v>
      </c>
      <c r="AJ24">
        <v>1</v>
      </c>
      <c r="AK24">
        <v>2</v>
      </c>
      <c r="AL24">
        <v>3</v>
      </c>
      <c r="AM24">
        <v>7</v>
      </c>
      <c r="AN24">
        <v>6</v>
      </c>
      <c r="AO24">
        <v>0</v>
      </c>
      <c r="AP24">
        <v>8</v>
      </c>
      <c r="AQ24">
        <v>1</v>
      </c>
      <c r="AR24">
        <v>8</v>
      </c>
      <c r="AS24">
        <v>10</v>
      </c>
      <c r="AT24">
        <v>0</v>
      </c>
      <c r="AU24">
        <v>0</v>
      </c>
      <c r="AV24">
        <v>8</v>
      </c>
      <c r="AW24">
        <v>6</v>
      </c>
      <c r="AX24">
        <v>2</v>
      </c>
      <c r="AY24">
        <v>10</v>
      </c>
      <c r="AZ24">
        <v>1</v>
      </c>
      <c r="BA24">
        <v>8</v>
      </c>
      <c r="BB24">
        <v>4</v>
      </c>
      <c r="BC24">
        <v>2</v>
      </c>
      <c r="BD24">
        <v>3</v>
      </c>
      <c r="BE24">
        <v>6</v>
      </c>
      <c r="BF24">
        <v>1</v>
      </c>
      <c r="BG24">
        <v>9</v>
      </c>
      <c r="BH24">
        <v>8</v>
      </c>
      <c r="BI24">
        <v>5</v>
      </c>
      <c r="BJ24">
        <v>7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7</v>
      </c>
      <c r="BQ24">
        <v>9</v>
      </c>
      <c r="BR24">
        <v>4</v>
      </c>
      <c r="BS24">
        <v>2</v>
      </c>
      <c r="BT24">
        <v>0</v>
      </c>
      <c r="BU24">
        <v>6</v>
      </c>
      <c r="BV24">
        <v>10</v>
      </c>
      <c r="BW24">
        <v>4</v>
      </c>
      <c r="BX24">
        <v>0</v>
      </c>
      <c r="BY24">
        <v>6</v>
      </c>
      <c r="BZ24">
        <v>3</v>
      </c>
      <c r="CA24">
        <v>6</v>
      </c>
      <c r="CB24">
        <v>0</v>
      </c>
      <c r="CC24">
        <v>5</v>
      </c>
      <c r="CD24">
        <v>2</v>
      </c>
      <c r="CE24">
        <v>6</v>
      </c>
      <c r="CF24">
        <v>9</v>
      </c>
      <c r="CG24">
        <v>5</v>
      </c>
      <c r="CH24">
        <v>3</v>
      </c>
      <c r="CI24">
        <v>10</v>
      </c>
      <c r="CJ24">
        <v>9</v>
      </c>
      <c r="CK24">
        <v>8</v>
      </c>
      <c r="CL24">
        <v>6</v>
      </c>
      <c r="CM24">
        <v>5</v>
      </c>
      <c r="CN24">
        <v>7</v>
      </c>
      <c r="CO24">
        <v>10</v>
      </c>
      <c r="CP24">
        <v>6</v>
      </c>
      <c r="CQ24">
        <v>6</v>
      </c>
      <c r="CR24">
        <v>10</v>
      </c>
      <c r="CS24">
        <v>8</v>
      </c>
      <c r="CT24">
        <v>1</v>
      </c>
      <c r="CU24">
        <v>4</v>
      </c>
      <c r="CV24">
        <v>4</v>
      </c>
      <c r="CW24">
        <v>4</v>
      </c>
      <c r="CX24">
        <v>8</v>
      </c>
      <c r="CY24">
        <v>10</v>
      </c>
      <c r="CZ24">
        <v>10</v>
      </c>
      <c r="DA24">
        <v>4</v>
      </c>
      <c r="DB24">
        <v>9</v>
      </c>
      <c r="DC24">
        <v>6</v>
      </c>
      <c r="DD24">
        <v>8</v>
      </c>
      <c r="DE24">
        <v>10</v>
      </c>
      <c r="DF24">
        <v>0</v>
      </c>
      <c r="DG24">
        <v>6</v>
      </c>
      <c r="DH24">
        <v>3</v>
      </c>
      <c r="DI24">
        <v>5</v>
      </c>
      <c r="DJ24">
        <v>10</v>
      </c>
      <c r="DK24">
        <v>5</v>
      </c>
    </row>
    <row r="25" spans="1:115">
      <c r="A25" s="172">
        <f>Calculations[[#This Row],[Sum t eCO2]]*IF(Calculations[[#This Row],[GHG Scope]]="BIOGENIC",0,1)</f>
        <v>0.37073798182118073</v>
      </c>
      <c r="B25" s="149"/>
      <c r="C25" s="150"/>
      <c r="D25" t="s">
        <v>913</v>
      </c>
      <c r="E25">
        <v>-0.41194841271083416</v>
      </c>
      <c r="F25" s="149"/>
      <c r="G25" s="149"/>
      <c r="H25" s="149"/>
      <c r="I25" s="149"/>
      <c r="J25" s="149"/>
      <c r="K25" s="149"/>
      <c r="L25" s="149"/>
      <c r="M25" s="149"/>
      <c r="O25">
        <f t="shared" si="0"/>
        <v>24</v>
      </c>
      <c r="P25">
        <v>2</v>
      </c>
      <c r="Q25">
        <v>0</v>
      </c>
      <c r="R25">
        <v>7</v>
      </c>
      <c r="S25">
        <v>7</v>
      </c>
      <c r="T25">
        <v>7</v>
      </c>
      <c r="U25">
        <v>4</v>
      </c>
      <c r="V25">
        <v>7</v>
      </c>
      <c r="W25">
        <v>1</v>
      </c>
      <c r="X25">
        <v>6</v>
      </c>
      <c r="Y25">
        <v>9</v>
      </c>
      <c r="Z25">
        <v>2</v>
      </c>
      <c r="AA25">
        <v>2</v>
      </c>
      <c r="AB25">
        <v>0</v>
      </c>
      <c r="AC25">
        <v>5</v>
      </c>
      <c r="AD25">
        <v>4</v>
      </c>
      <c r="AE25">
        <v>9</v>
      </c>
      <c r="AF25">
        <v>0</v>
      </c>
      <c r="AG25">
        <v>10</v>
      </c>
      <c r="AH25">
        <v>8</v>
      </c>
      <c r="AI25">
        <v>6</v>
      </c>
      <c r="AJ25">
        <v>1</v>
      </c>
      <c r="AK25">
        <v>5</v>
      </c>
      <c r="AL25">
        <v>4</v>
      </c>
      <c r="AM25">
        <v>2</v>
      </c>
      <c r="AN25">
        <v>9</v>
      </c>
      <c r="AO25">
        <v>8</v>
      </c>
      <c r="AP25">
        <v>8</v>
      </c>
      <c r="AQ25">
        <v>9</v>
      </c>
      <c r="AR25">
        <v>7</v>
      </c>
      <c r="AS25">
        <v>8</v>
      </c>
      <c r="AT25">
        <v>5</v>
      </c>
      <c r="AU25">
        <v>9</v>
      </c>
      <c r="AV25">
        <v>7</v>
      </c>
      <c r="AW25">
        <v>4</v>
      </c>
      <c r="AX25">
        <v>7</v>
      </c>
      <c r="AY25">
        <v>10</v>
      </c>
      <c r="AZ25">
        <v>4</v>
      </c>
      <c r="BA25">
        <v>10</v>
      </c>
      <c r="BB25">
        <v>0</v>
      </c>
      <c r="BC25">
        <v>1</v>
      </c>
      <c r="BD25">
        <v>5</v>
      </c>
      <c r="BE25">
        <v>0</v>
      </c>
      <c r="BF25">
        <v>5</v>
      </c>
      <c r="BG25">
        <v>1</v>
      </c>
      <c r="BH25">
        <v>0</v>
      </c>
      <c r="BI25">
        <v>6</v>
      </c>
      <c r="BJ25">
        <v>8</v>
      </c>
      <c r="BK25">
        <v>10</v>
      </c>
      <c r="BL25">
        <v>9</v>
      </c>
      <c r="BM25">
        <v>0</v>
      </c>
      <c r="BN25">
        <v>6</v>
      </c>
      <c r="BO25">
        <v>5</v>
      </c>
      <c r="BP25">
        <v>8</v>
      </c>
      <c r="BQ25">
        <v>7</v>
      </c>
      <c r="BR25">
        <v>4</v>
      </c>
      <c r="BS25">
        <v>10</v>
      </c>
      <c r="BT25">
        <v>8</v>
      </c>
      <c r="BU25">
        <v>9</v>
      </c>
      <c r="BV25">
        <v>7</v>
      </c>
      <c r="BW25">
        <v>4</v>
      </c>
      <c r="BX25">
        <v>4</v>
      </c>
      <c r="BY25">
        <v>1</v>
      </c>
      <c r="BZ25">
        <v>9</v>
      </c>
      <c r="CA25">
        <v>10</v>
      </c>
      <c r="CB25">
        <v>6</v>
      </c>
      <c r="CC25">
        <v>0</v>
      </c>
      <c r="CD25">
        <v>9</v>
      </c>
      <c r="CE25">
        <v>5</v>
      </c>
      <c r="CF25">
        <v>0</v>
      </c>
      <c r="CG25">
        <v>10</v>
      </c>
      <c r="CH25">
        <v>8</v>
      </c>
      <c r="CI25">
        <v>6</v>
      </c>
      <c r="CJ25">
        <v>3</v>
      </c>
      <c r="CK25">
        <v>5</v>
      </c>
      <c r="CL25">
        <v>8</v>
      </c>
      <c r="CM25">
        <v>7</v>
      </c>
      <c r="CN25">
        <v>2</v>
      </c>
      <c r="CO25">
        <v>5</v>
      </c>
      <c r="CP25">
        <v>4</v>
      </c>
      <c r="CQ25">
        <v>0</v>
      </c>
      <c r="CR25">
        <v>9</v>
      </c>
      <c r="CS25">
        <v>3</v>
      </c>
      <c r="CT25">
        <v>5</v>
      </c>
      <c r="CU25">
        <v>5</v>
      </c>
      <c r="CV25">
        <v>7</v>
      </c>
      <c r="CW25">
        <v>5</v>
      </c>
      <c r="CX25">
        <v>8</v>
      </c>
      <c r="CY25">
        <v>1</v>
      </c>
      <c r="CZ25">
        <v>8</v>
      </c>
      <c r="DA25">
        <v>9</v>
      </c>
      <c r="DB25">
        <v>6</v>
      </c>
      <c r="DC25">
        <v>2</v>
      </c>
      <c r="DD25">
        <v>2</v>
      </c>
      <c r="DE25">
        <v>6</v>
      </c>
      <c r="DF25">
        <v>0</v>
      </c>
      <c r="DG25">
        <v>8</v>
      </c>
      <c r="DH25">
        <v>3</v>
      </c>
      <c r="DI25">
        <v>1</v>
      </c>
      <c r="DJ25">
        <v>2</v>
      </c>
      <c r="DK25">
        <v>9</v>
      </c>
    </row>
    <row r="26" spans="1:115">
      <c r="A26" s="172">
        <f>Calculations[[#This Row],[Sum t eCO2]]*IF(Calculations[[#This Row],[GHG Scope]]="BIOGENIC",0,1)</f>
        <v>25.317091895726136</v>
      </c>
      <c r="B26" s="149"/>
      <c r="C26" s="150"/>
      <c r="D26" t="s">
        <v>912</v>
      </c>
      <c r="E26">
        <v>0.32049395888964655</v>
      </c>
      <c r="F26" s="149"/>
      <c r="G26" s="149"/>
      <c r="H26" s="149"/>
      <c r="I26" s="149"/>
      <c r="J26" s="149"/>
      <c r="K26" s="149"/>
      <c r="L26" s="149"/>
      <c r="M26" s="149"/>
      <c r="O26">
        <f t="shared" si="0"/>
        <v>25</v>
      </c>
      <c r="P26">
        <v>8</v>
      </c>
      <c r="Q26">
        <v>5</v>
      </c>
      <c r="R26">
        <v>0</v>
      </c>
      <c r="S26">
        <v>3</v>
      </c>
      <c r="T26">
        <v>1</v>
      </c>
      <c r="U26">
        <v>8</v>
      </c>
      <c r="V26">
        <v>2</v>
      </c>
      <c r="W26">
        <v>1</v>
      </c>
      <c r="X26">
        <v>0</v>
      </c>
      <c r="Y26">
        <v>4</v>
      </c>
      <c r="Z26">
        <v>8</v>
      </c>
      <c r="AA26">
        <v>0</v>
      </c>
      <c r="AB26">
        <v>7</v>
      </c>
      <c r="AC26">
        <v>6</v>
      </c>
      <c r="AD26">
        <v>7</v>
      </c>
      <c r="AE26">
        <v>2</v>
      </c>
      <c r="AF26">
        <v>7</v>
      </c>
      <c r="AG26">
        <v>4</v>
      </c>
      <c r="AH26">
        <v>3</v>
      </c>
      <c r="AI26">
        <v>4</v>
      </c>
      <c r="AJ26">
        <v>6</v>
      </c>
      <c r="AK26">
        <v>6</v>
      </c>
      <c r="AL26">
        <v>10</v>
      </c>
      <c r="AM26">
        <v>8</v>
      </c>
      <c r="AN26">
        <v>4</v>
      </c>
      <c r="AO26">
        <v>1</v>
      </c>
      <c r="AP26">
        <v>2</v>
      </c>
      <c r="AQ26">
        <v>0</v>
      </c>
      <c r="AR26">
        <v>0</v>
      </c>
      <c r="AS26">
        <v>1</v>
      </c>
      <c r="AT26">
        <v>6</v>
      </c>
      <c r="AU26">
        <v>0</v>
      </c>
      <c r="AV26">
        <v>0</v>
      </c>
      <c r="AW26">
        <v>0</v>
      </c>
      <c r="AX26">
        <v>7</v>
      </c>
      <c r="AY26">
        <v>8</v>
      </c>
      <c r="AZ26">
        <v>6</v>
      </c>
      <c r="BA26">
        <v>1</v>
      </c>
      <c r="BB26">
        <v>3</v>
      </c>
      <c r="BC26">
        <v>8</v>
      </c>
      <c r="BD26">
        <v>6</v>
      </c>
      <c r="BE26">
        <v>3</v>
      </c>
      <c r="BF26">
        <v>5</v>
      </c>
      <c r="BG26">
        <v>1</v>
      </c>
      <c r="BH26">
        <v>4</v>
      </c>
      <c r="BI26">
        <v>3</v>
      </c>
      <c r="BJ26">
        <v>0</v>
      </c>
      <c r="BK26">
        <v>8</v>
      </c>
      <c r="BL26">
        <v>8</v>
      </c>
      <c r="BM26">
        <v>6</v>
      </c>
      <c r="BN26">
        <v>6</v>
      </c>
      <c r="BO26">
        <v>10</v>
      </c>
      <c r="BP26">
        <v>0</v>
      </c>
      <c r="BQ26">
        <v>2</v>
      </c>
      <c r="BR26">
        <v>9</v>
      </c>
      <c r="BS26">
        <v>5</v>
      </c>
      <c r="BT26">
        <v>10</v>
      </c>
      <c r="BU26">
        <v>7</v>
      </c>
      <c r="BV26">
        <v>3</v>
      </c>
      <c r="BW26">
        <v>2</v>
      </c>
      <c r="BX26">
        <v>9</v>
      </c>
      <c r="BY26">
        <v>7</v>
      </c>
      <c r="BZ26">
        <v>8</v>
      </c>
      <c r="CA26">
        <v>2</v>
      </c>
      <c r="CB26">
        <v>5</v>
      </c>
      <c r="CC26">
        <v>8</v>
      </c>
      <c r="CD26">
        <v>8</v>
      </c>
      <c r="CE26">
        <v>7</v>
      </c>
      <c r="CF26">
        <v>9</v>
      </c>
      <c r="CG26">
        <v>4</v>
      </c>
      <c r="CH26">
        <v>3</v>
      </c>
      <c r="CI26">
        <v>2</v>
      </c>
      <c r="CJ26">
        <v>0</v>
      </c>
      <c r="CK26">
        <v>7</v>
      </c>
      <c r="CL26">
        <v>3</v>
      </c>
      <c r="CM26">
        <v>10</v>
      </c>
      <c r="CN26">
        <v>3</v>
      </c>
      <c r="CO26">
        <v>9</v>
      </c>
      <c r="CP26">
        <v>5</v>
      </c>
      <c r="CQ26">
        <v>4</v>
      </c>
      <c r="CR26">
        <v>5</v>
      </c>
      <c r="CS26">
        <v>0</v>
      </c>
      <c r="CT26">
        <v>7</v>
      </c>
      <c r="CU26">
        <v>6</v>
      </c>
      <c r="CV26">
        <v>9</v>
      </c>
      <c r="CW26">
        <v>4</v>
      </c>
      <c r="CX26">
        <v>6</v>
      </c>
      <c r="CY26">
        <v>8</v>
      </c>
      <c r="CZ26">
        <v>8</v>
      </c>
      <c r="DA26">
        <v>4</v>
      </c>
      <c r="DB26">
        <v>8</v>
      </c>
      <c r="DC26">
        <v>6</v>
      </c>
      <c r="DD26">
        <v>3</v>
      </c>
      <c r="DE26">
        <v>0</v>
      </c>
      <c r="DF26">
        <v>0</v>
      </c>
      <c r="DG26">
        <v>6</v>
      </c>
      <c r="DH26">
        <v>8</v>
      </c>
      <c r="DI26">
        <v>2</v>
      </c>
      <c r="DJ26">
        <v>2</v>
      </c>
      <c r="DK26">
        <v>8</v>
      </c>
    </row>
    <row r="27" spans="1:115">
      <c r="A27" s="172">
        <f>Calculations[[#This Row],[Sum t eCO2]]*IF(Calculations[[#This Row],[GHG Scope]]="BIOGENIC",0,1)</f>
        <v>3.4101583097341223E-2</v>
      </c>
      <c r="B27" s="149"/>
      <c r="C27" s="150"/>
      <c r="D27" t="s">
        <v>911</v>
      </c>
      <c r="E27">
        <v>62668</v>
      </c>
      <c r="F27" s="149"/>
      <c r="G27" s="149"/>
      <c r="H27" s="149"/>
      <c r="I27" s="149"/>
      <c r="J27" s="149"/>
      <c r="K27" s="149"/>
      <c r="L27" s="149"/>
      <c r="M27" s="149"/>
      <c r="O27">
        <f t="shared" si="0"/>
        <v>26</v>
      </c>
      <c r="P27">
        <v>3</v>
      </c>
      <c r="Q27">
        <v>9</v>
      </c>
      <c r="R27">
        <v>5</v>
      </c>
      <c r="S27">
        <v>6</v>
      </c>
      <c r="T27">
        <v>0</v>
      </c>
      <c r="U27">
        <v>4</v>
      </c>
      <c r="V27">
        <v>7</v>
      </c>
      <c r="W27">
        <v>8</v>
      </c>
      <c r="X27">
        <v>2</v>
      </c>
      <c r="Y27">
        <v>0</v>
      </c>
      <c r="Z27">
        <v>1</v>
      </c>
      <c r="AA27">
        <v>6</v>
      </c>
      <c r="AB27">
        <v>1</v>
      </c>
      <c r="AC27">
        <v>8</v>
      </c>
      <c r="AD27">
        <v>8</v>
      </c>
      <c r="AE27">
        <v>8</v>
      </c>
      <c r="AF27">
        <v>8</v>
      </c>
      <c r="AG27">
        <v>10</v>
      </c>
      <c r="AH27">
        <v>7</v>
      </c>
      <c r="AI27">
        <v>0</v>
      </c>
      <c r="AJ27">
        <v>0</v>
      </c>
      <c r="AK27">
        <v>7</v>
      </c>
      <c r="AL27">
        <v>9</v>
      </c>
      <c r="AM27">
        <v>9</v>
      </c>
      <c r="AN27">
        <v>5</v>
      </c>
      <c r="AO27">
        <v>10</v>
      </c>
      <c r="AP27">
        <v>4</v>
      </c>
      <c r="AQ27">
        <v>8</v>
      </c>
      <c r="AR27">
        <v>3</v>
      </c>
      <c r="AS27">
        <v>2</v>
      </c>
      <c r="AT27">
        <v>0</v>
      </c>
      <c r="AU27">
        <v>8</v>
      </c>
      <c r="AV27">
        <v>0</v>
      </c>
      <c r="AW27">
        <v>2</v>
      </c>
      <c r="AX27">
        <v>1</v>
      </c>
      <c r="AY27">
        <v>5</v>
      </c>
      <c r="AZ27">
        <v>8</v>
      </c>
      <c r="BA27">
        <v>0</v>
      </c>
      <c r="BB27">
        <v>2</v>
      </c>
      <c r="BC27">
        <v>10</v>
      </c>
      <c r="BD27">
        <v>1</v>
      </c>
      <c r="BE27">
        <v>9</v>
      </c>
      <c r="BF27">
        <v>5</v>
      </c>
      <c r="BG27">
        <v>7</v>
      </c>
      <c r="BH27">
        <v>6</v>
      </c>
      <c r="BI27">
        <v>8</v>
      </c>
      <c r="BJ27">
        <v>2</v>
      </c>
      <c r="BK27">
        <v>0</v>
      </c>
      <c r="BL27">
        <v>6</v>
      </c>
      <c r="BM27">
        <v>7</v>
      </c>
      <c r="BN27">
        <v>7</v>
      </c>
      <c r="BO27">
        <v>6</v>
      </c>
      <c r="BP27">
        <v>4</v>
      </c>
      <c r="BQ27">
        <v>3</v>
      </c>
      <c r="BR27">
        <v>6</v>
      </c>
      <c r="BS27">
        <v>3</v>
      </c>
      <c r="BT27">
        <v>4</v>
      </c>
      <c r="BU27">
        <v>9</v>
      </c>
      <c r="BV27">
        <v>10</v>
      </c>
      <c r="BW27">
        <v>1</v>
      </c>
      <c r="BX27">
        <v>1</v>
      </c>
      <c r="BY27">
        <v>8</v>
      </c>
      <c r="BZ27">
        <v>7</v>
      </c>
      <c r="CA27">
        <v>9</v>
      </c>
      <c r="CB27">
        <v>1</v>
      </c>
      <c r="CC27">
        <v>1</v>
      </c>
      <c r="CD27">
        <v>7</v>
      </c>
      <c r="CE27">
        <v>2</v>
      </c>
      <c r="CF27">
        <v>4</v>
      </c>
      <c r="CG27">
        <v>4</v>
      </c>
      <c r="CH27">
        <v>2</v>
      </c>
      <c r="CI27">
        <v>0</v>
      </c>
      <c r="CJ27">
        <v>7</v>
      </c>
      <c r="CK27">
        <v>7</v>
      </c>
      <c r="CL27">
        <v>8</v>
      </c>
      <c r="CM27">
        <v>8</v>
      </c>
      <c r="CN27">
        <v>3</v>
      </c>
      <c r="CO27">
        <v>5</v>
      </c>
      <c r="CP27">
        <v>2</v>
      </c>
      <c r="CQ27">
        <v>6</v>
      </c>
      <c r="CR27">
        <v>10</v>
      </c>
      <c r="CS27">
        <v>8</v>
      </c>
      <c r="CT27">
        <v>1</v>
      </c>
      <c r="CU27">
        <v>8</v>
      </c>
      <c r="CV27">
        <v>1</v>
      </c>
      <c r="CW27">
        <v>10</v>
      </c>
      <c r="CX27">
        <v>7</v>
      </c>
      <c r="CY27">
        <v>8</v>
      </c>
      <c r="CZ27">
        <v>6</v>
      </c>
      <c r="DA27">
        <v>6</v>
      </c>
      <c r="DB27">
        <v>5</v>
      </c>
      <c r="DC27">
        <v>8</v>
      </c>
      <c r="DD27">
        <v>7</v>
      </c>
      <c r="DE27">
        <v>6</v>
      </c>
      <c r="DF27">
        <v>9</v>
      </c>
      <c r="DG27">
        <v>5</v>
      </c>
      <c r="DH27">
        <v>1</v>
      </c>
      <c r="DI27">
        <v>4</v>
      </c>
      <c r="DJ27">
        <v>2</v>
      </c>
      <c r="DK27">
        <v>7</v>
      </c>
    </row>
    <row r="28" spans="1:115">
      <c r="A28" s="172">
        <f>Calculations[[#This Row],[Sum t eCO2]]*IF(Calculations[[#This Row],[GHG Scope]]="BIOGENIC",0,1)</f>
        <v>0.31305711428815142</v>
      </c>
      <c r="B28" s="149"/>
      <c r="C28" s="150"/>
      <c r="D28" t="s">
        <v>910</v>
      </c>
      <c r="E28">
        <v>271754</v>
      </c>
      <c r="F28" s="149"/>
      <c r="G28" s="149"/>
      <c r="H28" s="149"/>
      <c r="I28" s="149"/>
      <c r="J28" s="149"/>
      <c r="K28" s="149"/>
      <c r="L28" s="149"/>
      <c r="M28" s="149"/>
      <c r="O28">
        <f t="shared" si="0"/>
        <v>27</v>
      </c>
      <c r="P28">
        <v>3</v>
      </c>
      <c r="Q28">
        <v>6</v>
      </c>
      <c r="R28">
        <v>4</v>
      </c>
      <c r="S28">
        <v>6</v>
      </c>
      <c r="T28">
        <v>4</v>
      </c>
      <c r="U28">
        <v>3</v>
      </c>
      <c r="V28">
        <v>10</v>
      </c>
      <c r="W28">
        <v>2</v>
      </c>
      <c r="X28">
        <v>6</v>
      </c>
      <c r="Y28">
        <v>7</v>
      </c>
      <c r="Z28">
        <v>2</v>
      </c>
      <c r="AA28">
        <v>2</v>
      </c>
      <c r="AB28">
        <v>10</v>
      </c>
      <c r="AC28">
        <v>8</v>
      </c>
      <c r="AD28">
        <v>4</v>
      </c>
      <c r="AE28">
        <v>10</v>
      </c>
      <c r="AF28">
        <v>6</v>
      </c>
      <c r="AG28">
        <v>7</v>
      </c>
      <c r="AH28">
        <v>7</v>
      </c>
      <c r="AI28">
        <v>0</v>
      </c>
      <c r="AJ28">
        <v>4</v>
      </c>
      <c r="AK28">
        <v>1</v>
      </c>
      <c r="AL28">
        <v>8</v>
      </c>
      <c r="AM28">
        <v>9</v>
      </c>
      <c r="AN28">
        <v>6</v>
      </c>
      <c r="AO28">
        <v>9</v>
      </c>
      <c r="AP28">
        <v>0</v>
      </c>
      <c r="AQ28">
        <v>6</v>
      </c>
      <c r="AR28">
        <v>3</v>
      </c>
      <c r="AS28">
        <v>8</v>
      </c>
      <c r="AT28">
        <v>1</v>
      </c>
      <c r="AU28">
        <v>1</v>
      </c>
      <c r="AV28">
        <v>8</v>
      </c>
      <c r="AW28">
        <v>1</v>
      </c>
      <c r="AX28">
        <v>0</v>
      </c>
      <c r="AY28">
        <v>10</v>
      </c>
      <c r="AZ28">
        <v>9</v>
      </c>
      <c r="BA28">
        <v>2</v>
      </c>
      <c r="BB28">
        <v>4</v>
      </c>
      <c r="BC28">
        <v>9</v>
      </c>
      <c r="BD28">
        <v>6</v>
      </c>
      <c r="BE28">
        <v>7</v>
      </c>
      <c r="BF28">
        <v>6</v>
      </c>
      <c r="BG28">
        <v>4</v>
      </c>
      <c r="BH28">
        <v>9</v>
      </c>
      <c r="BI28">
        <v>10</v>
      </c>
      <c r="BJ28">
        <v>5</v>
      </c>
      <c r="BK28">
        <v>2</v>
      </c>
      <c r="BL28">
        <v>6</v>
      </c>
      <c r="BM28">
        <v>9</v>
      </c>
      <c r="BN28">
        <v>8</v>
      </c>
      <c r="BO28">
        <v>10</v>
      </c>
      <c r="BP28">
        <v>8</v>
      </c>
      <c r="BQ28">
        <v>0</v>
      </c>
      <c r="BR28">
        <v>4</v>
      </c>
      <c r="BS28">
        <v>7</v>
      </c>
      <c r="BT28">
        <v>10</v>
      </c>
      <c r="BU28">
        <v>8</v>
      </c>
      <c r="BV28">
        <v>1</v>
      </c>
      <c r="BW28">
        <v>3</v>
      </c>
      <c r="BX28">
        <v>9</v>
      </c>
      <c r="BY28">
        <v>5</v>
      </c>
      <c r="BZ28">
        <v>1</v>
      </c>
      <c r="CA28">
        <v>10</v>
      </c>
      <c r="CB28">
        <v>2</v>
      </c>
      <c r="CC28">
        <v>6</v>
      </c>
      <c r="CD28">
        <v>3</v>
      </c>
      <c r="CE28">
        <v>10</v>
      </c>
      <c r="CF28">
        <v>9</v>
      </c>
      <c r="CG28">
        <v>4</v>
      </c>
      <c r="CH28">
        <v>3</v>
      </c>
      <c r="CI28">
        <v>0</v>
      </c>
      <c r="CJ28">
        <v>3</v>
      </c>
      <c r="CK28">
        <v>0</v>
      </c>
      <c r="CL28">
        <v>9</v>
      </c>
      <c r="CM28">
        <v>10</v>
      </c>
      <c r="CN28">
        <v>0</v>
      </c>
      <c r="CO28">
        <v>7</v>
      </c>
      <c r="CP28">
        <v>2</v>
      </c>
      <c r="CQ28">
        <v>0</v>
      </c>
      <c r="CR28">
        <v>4</v>
      </c>
      <c r="CS28">
        <v>3</v>
      </c>
      <c r="CT28">
        <v>6</v>
      </c>
      <c r="CU28">
        <v>4</v>
      </c>
      <c r="CV28">
        <v>7</v>
      </c>
      <c r="CW28">
        <v>6</v>
      </c>
      <c r="CX28">
        <v>0</v>
      </c>
      <c r="CY28">
        <v>5</v>
      </c>
      <c r="CZ28">
        <v>1</v>
      </c>
      <c r="DA28">
        <v>9</v>
      </c>
      <c r="DB28">
        <v>1</v>
      </c>
      <c r="DC28">
        <v>1</v>
      </c>
      <c r="DD28">
        <v>5</v>
      </c>
      <c r="DE28">
        <v>3</v>
      </c>
      <c r="DF28">
        <v>6</v>
      </c>
      <c r="DG28">
        <v>9</v>
      </c>
      <c r="DH28">
        <v>6</v>
      </c>
      <c r="DI28">
        <v>5</v>
      </c>
      <c r="DJ28">
        <v>9</v>
      </c>
      <c r="DK28">
        <v>9</v>
      </c>
    </row>
    <row r="29" spans="1:115">
      <c r="A29" s="172">
        <f>Calculations[[#This Row],[Sum t eCO2]]*IF(Calculations[[#This Row],[GHG Scope]]="BIOGENIC",0,1)</f>
        <v>124.67773765190793</v>
      </c>
      <c r="B29" s="149"/>
      <c r="C29" s="150"/>
      <c r="D29" t="s">
        <v>909</v>
      </c>
      <c r="E29">
        <v>334422</v>
      </c>
      <c r="F29" s="149"/>
      <c r="G29" s="149"/>
      <c r="H29" s="149"/>
      <c r="I29" s="149"/>
      <c r="J29" s="149"/>
      <c r="K29" s="149"/>
      <c r="L29" s="149"/>
      <c r="M29" s="149"/>
      <c r="O29">
        <f t="shared" si="0"/>
        <v>28</v>
      </c>
      <c r="P29">
        <v>3</v>
      </c>
      <c r="Q29">
        <v>4</v>
      </c>
      <c r="R29">
        <v>2</v>
      </c>
      <c r="S29">
        <v>8</v>
      </c>
      <c r="T29">
        <v>1</v>
      </c>
      <c r="U29">
        <v>1</v>
      </c>
      <c r="V29">
        <v>2</v>
      </c>
      <c r="W29">
        <v>7</v>
      </c>
      <c r="X29">
        <v>10</v>
      </c>
      <c r="Y29">
        <v>4</v>
      </c>
      <c r="Z29">
        <v>6</v>
      </c>
      <c r="AA29">
        <v>5</v>
      </c>
      <c r="AB29">
        <v>2</v>
      </c>
      <c r="AC29">
        <v>6</v>
      </c>
      <c r="AD29">
        <v>7</v>
      </c>
      <c r="AE29">
        <v>3</v>
      </c>
      <c r="AF29">
        <v>7</v>
      </c>
      <c r="AG29">
        <v>9</v>
      </c>
      <c r="AH29">
        <v>5</v>
      </c>
      <c r="AI29">
        <v>10</v>
      </c>
      <c r="AJ29">
        <v>9</v>
      </c>
      <c r="AK29">
        <v>6</v>
      </c>
      <c r="AL29">
        <v>2</v>
      </c>
      <c r="AM29">
        <v>2</v>
      </c>
      <c r="AN29">
        <v>3</v>
      </c>
      <c r="AO29">
        <v>5</v>
      </c>
      <c r="AP29">
        <v>10</v>
      </c>
      <c r="AQ29">
        <v>3</v>
      </c>
      <c r="AR29">
        <v>0</v>
      </c>
      <c r="AS29">
        <v>10</v>
      </c>
      <c r="AT29">
        <v>10</v>
      </c>
      <c r="AU29">
        <v>8</v>
      </c>
      <c r="AV29">
        <v>10</v>
      </c>
      <c r="AW29">
        <v>7</v>
      </c>
      <c r="AX29">
        <v>5</v>
      </c>
      <c r="AY29">
        <v>0</v>
      </c>
      <c r="AZ29">
        <v>10</v>
      </c>
      <c r="BA29">
        <v>1</v>
      </c>
      <c r="BB29">
        <v>5</v>
      </c>
      <c r="BC29">
        <v>2</v>
      </c>
      <c r="BD29">
        <v>4</v>
      </c>
      <c r="BE29">
        <v>2</v>
      </c>
      <c r="BF29">
        <v>6</v>
      </c>
      <c r="BG29">
        <v>7</v>
      </c>
      <c r="BH29">
        <v>5</v>
      </c>
      <c r="BI29">
        <v>7</v>
      </c>
      <c r="BJ29">
        <v>2</v>
      </c>
      <c r="BK29">
        <v>5</v>
      </c>
      <c r="BL29">
        <v>3</v>
      </c>
      <c r="BM29">
        <v>9</v>
      </c>
      <c r="BN29">
        <v>5</v>
      </c>
      <c r="BO29">
        <v>8</v>
      </c>
      <c r="BP29">
        <v>3</v>
      </c>
      <c r="BQ29">
        <v>0</v>
      </c>
      <c r="BR29">
        <v>10</v>
      </c>
      <c r="BS29">
        <v>6</v>
      </c>
      <c r="BT29">
        <v>7</v>
      </c>
      <c r="BU29">
        <v>10</v>
      </c>
      <c r="BV29">
        <v>1</v>
      </c>
      <c r="BW29">
        <v>4</v>
      </c>
      <c r="BX29">
        <v>6</v>
      </c>
      <c r="BY29">
        <v>1</v>
      </c>
      <c r="BZ29">
        <v>8</v>
      </c>
      <c r="CA29">
        <v>9</v>
      </c>
      <c r="CB29">
        <v>10</v>
      </c>
      <c r="CC29">
        <v>10</v>
      </c>
      <c r="CD29">
        <v>9</v>
      </c>
      <c r="CE29">
        <v>10</v>
      </c>
      <c r="CF29">
        <v>6</v>
      </c>
      <c r="CG29">
        <v>0</v>
      </c>
      <c r="CH29">
        <v>8</v>
      </c>
      <c r="CI29">
        <v>3</v>
      </c>
      <c r="CJ29">
        <v>5</v>
      </c>
      <c r="CK29">
        <v>9</v>
      </c>
      <c r="CL29">
        <v>9</v>
      </c>
      <c r="CM29">
        <v>8</v>
      </c>
      <c r="CN29">
        <v>8</v>
      </c>
      <c r="CO29">
        <v>6</v>
      </c>
      <c r="CP29">
        <v>0</v>
      </c>
      <c r="CQ29">
        <v>10</v>
      </c>
      <c r="CR29">
        <v>8</v>
      </c>
      <c r="CS29">
        <v>7</v>
      </c>
      <c r="CT29">
        <v>6</v>
      </c>
      <c r="CU29">
        <v>6</v>
      </c>
      <c r="CV29">
        <v>10</v>
      </c>
      <c r="CW29">
        <v>9</v>
      </c>
      <c r="CX29">
        <v>1</v>
      </c>
      <c r="CY29">
        <v>2</v>
      </c>
      <c r="CZ29">
        <v>2</v>
      </c>
      <c r="DA29">
        <v>1</v>
      </c>
      <c r="DB29">
        <v>4</v>
      </c>
      <c r="DC29">
        <v>1</v>
      </c>
      <c r="DD29">
        <v>2</v>
      </c>
      <c r="DE29">
        <v>10</v>
      </c>
      <c r="DF29">
        <v>1</v>
      </c>
      <c r="DG29">
        <v>5</v>
      </c>
      <c r="DH29">
        <v>4</v>
      </c>
      <c r="DI29">
        <v>6</v>
      </c>
      <c r="DJ29">
        <v>3</v>
      </c>
      <c r="DK29">
        <v>4</v>
      </c>
    </row>
    <row r="30" spans="1:115">
      <c r="A30" s="172">
        <f>Calculations[[#This Row],[Sum t eCO2]]*IF(Calculations[[#This Row],[GHG Scope]]="BIOGENIC",0,1)</f>
        <v>1.3333856499816855E-3</v>
      </c>
      <c r="B30" s="149"/>
      <c r="C30" s="150"/>
      <c r="D30" t="s">
        <v>908</v>
      </c>
      <c r="E30">
        <v>30234784</v>
      </c>
      <c r="F30" s="149"/>
      <c r="G30" s="149"/>
      <c r="H30" s="149"/>
      <c r="I30" s="149"/>
      <c r="J30" s="149"/>
      <c r="K30" s="149"/>
      <c r="L30" s="149"/>
      <c r="M30" s="149"/>
      <c r="O30">
        <f t="shared" si="0"/>
        <v>29</v>
      </c>
      <c r="P30">
        <v>7</v>
      </c>
      <c r="Q30">
        <v>3</v>
      </c>
      <c r="R30">
        <v>7</v>
      </c>
      <c r="S30">
        <v>1</v>
      </c>
      <c r="T30">
        <v>10</v>
      </c>
      <c r="U30">
        <v>4</v>
      </c>
      <c r="V30">
        <v>2</v>
      </c>
      <c r="W30">
        <v>10</v>
      </c>
      <c r="X30">
        <v>9</v>
      </c>
      <c r="Y30">
        <v>5</v>
      </c>
      <c r="Z30">
        <v>7</v>
      </c>
      <c r="AA30">
        <v>9</v>
      </c>
      <c r="AB30">
        <v>5</v>
      </c>
      <c r="AC30">
        <v>2</v>
      </c>
      <c r="AD30">
        <v>0</v>
      </c>
      <c r="AE30">
        <v>3</v>
      </c>
      <c r="AF30">
        <v>7</v>
      </c>
      <c r="AG30">
        <v>7</v>
      </c>
      <c r="AH30">
        <v>9</v>
      </c>
      <c r="AI30">
        <v>2</v>
      </c>
      <c r="AJ30">
        <v>8</v>
      </c>
      <c r="AK30">
        <v>7</v>
      </c>
      <c r="AL30">
        <v>0</v>
      </c>
      <c r="AM30">
        <v>0</v>
      </c>
      <c r="AN30">
        <v>8</v>
      </c>
      <c r="AO30">
        <v>4</v>
      </c>
      <c r="AP30">
        <v>5</v>
      </c>
      <c r="AQ30">
        <v>1</v>
      </c>
      <c r="AR30">
        <v>1</v>
      </c>
      <c r="AS30">
        <v>0</v>
      </c>
      <c r="AT30">
        <v>4</v>
      </c>
      <c r="AU30">
        <v>1</v>
      </c>
      <c r="AV30">
        <v>2</v>
      </c>
      <c r="AW30">
        <v>1</v>
      </c>
      <c r="AX30">
        <v>4</v>
      </c>
      <c r="AY30">
        <v>6</v>
      </c>
      <c r="AZ30">
        <v>3</v>
      </c>
      <c r="BA30">
        <v>1</v>
      </c>
      <c r="BB30">
        <v>3</v>
      </c>
      <c r="BC30">
        <v>6</v>
      </c>
      <c r="BD30">
        <v>0</v>
      </c>
      <c r="BE30">
        <v>8</v>
      </c>
      <c r="BF30">
        <v>8</v>
      </c>
      <c r="BG30">
        <v>4</v>
      </c>
      <c r="BH30">
        <v>1</v>
      </c>
      <c r="BI30">
        <v>9</v>
      </c>
      <c r="BJ30">
        <v>1</v>
      </c>
      <c r="BK30">
        <v>3</v>
      </c>
      <c r="BL30">
        <v>3</v>
      </c>
      <c r="BM30">
        <v>10</v>
      </c>
      <c r="BN30">
        <v>8</v>
      </c>
      <c r="BO30">
        <v>6</v>
      </c>
      <c r="BP30">
        <v>1</v>
      </c>
      <c r="BQ30">
        <v>8</v>
      </c>
      <c r="BR30">
        <v>2</v>
      </c>
      <c r="BS30">
        <v>3</v>
      </c>
      <c r="BT30">
        <v>4</v>
      </c>
      <c r="BU30">
        <v>0</v>
      </c>
      <c r="BV30">
        <v>5</v>
      </c>
      <c r="BW30">
        <v>6</v>
      </c>
      <c r="BX30">
        <v>2</v>
      </c>
      <c r="BY30">
        <v>4</v>
      </c>
      <c r="BZ30">
        <v>2</v>
      </c>
      <c r="CA30">
        <v>6</v>
      </c>
      <c r="CB30">
        <v>9</v>
      </c>
      <c r="CC30">
        <v>10</v>
      </c>
      <c r="CD30">
        <v>4</v>
      </c>
      <c r="CE30">
        <v>0</v>
      </c>
      <c r="CF30">
        <v>9</v>
      </c>
      <c r="CG30">
        <v>8</v>
      </c>
      <c r="CH30">
        <v>6</v>
      </c>
      <c r="CI30">
        <v>0</v>
      </c>
      <c r="CJ30">
        <v>2</v>
      </c>
      <c r="CK30">
        <v>4</v>
      </c>
      <c r="CL30">
        <v>5</v>
      </c>
      <c r="CM30">
        <v>4</v>
      </c>
      <c r="CN30">
        <v>7</v>
      </c>
      <c r="CO30">
        <v>10</v>
      </c>
      <c r="CP30">
        <v>4</v>
      </c>
      <c r="CQ30">
        <v>6</v>
      </c>
      <c r="CR30">
        <v>4</v>
      </c>
      <c r="CS30">
        <v>4</v>
      </c>
      <c r="CT30">
        <v>3</v>
      </c>
      <c r="CU30">
        <v>3</v>
      </c>
      <c r="CV30">
        <v>5</v>
      </c>
      <c r="CW30">
        <v>5</v>
      </c>
      <c r="CX30">
        <v>7</v>
      </c>
      <c r="CY30">
        <v>3</v>
      </c>
      <c r="CZ30">
        <v>9</v>
      </c>
      <c r="DA30">
        <v>6</v>
      </c>
      <c r="DB30">
        <v>6</v>
      </c>
      <c r="DC30">
        <v>1</v>
      </c>
      <c r="DD30">
        <v>5</v>
      </c>
      <c r="DE30">
        <v>6</v>
      </c>
      <c r="DF30">
        <v>4</v>
      </c>
      <c r="DG30">
        <v>9</v>
      </c>
      <c r="DH30">
        <v>1</v>
      </c>
      <c r="DI30">
        <v>0</v>
      </c>
      <c r="DJ30">
        <v>4</v>
      </c>
      <c r="DK30">
        <v>0</v>
      </c>
    </row>
    <row r="31" spans="1:115">
      <c r="A31" s="172">
        <f>Calculations[[#This Row],[Sum t eCO2]]*IF(Calculations[[#This Row],[GHG Scope]]="BIOGENIC",0,1)</f>
        <v>1.3254768786307762</v>
      </c>
      <c r="B31" s="149"/>
      <c r="C31" s="150"/>
      <c r="D31" t="s">
        <v>907</v>
      </c>
      <c r="E31">
        <v>100</v>
      </c>
      <c r="F31" s="149"/>
      <c r="G31" s="149"/>
      <c r="H31" s="149"/>
      <c r="I31" s="149"/>
      <c r="J31" s="149"/>
      <c r="K31" s="149"/>
      <c r="L31" s="149"/>
      <c r="M31" s="149"/>
      <c r="O31">
        <f t="shared" si="0"/>
        <v>30</v>
      </c>
      <c r="P31">
        <v>6</v>
      </c>
      <c r="Q31">
        <v>4</v>
      </c>
      <c r="R31">
        <v>2</v>
      </c>
      <c r="S31">
        <v>6</v>
      </c>
      <c r="T31">
        <v>8</v>
      </c>
      <c r="U31">
        <v>10</v>
      </c>
      <c r="V31">
        <v>0</v>
      </c>
      <c r="W31">
        <v>2</v>
      </c>
      <c r="X31">
        <v>1</v>
      </c>
      <c r="Y31">
        <v>9</v>
      </c>
      <c r="Z31">
        <v>4</v>
      </c>
      <c r="AA31">
        <v>2</v>
      </c>
      <c r="AB31">
        <v>5</v>
      </c>
      <c r="AC31">
        <v>7</v>
      </c>
      <c r="AD31">
        <v>5</v>
      </c>
      <c r="AE31">
        <v>0</v>
      </c>
      <c r="AF31">
        <v>7</v>
      </c>
      <c r="AG31">
        <v>0</v>
      </c>
      <c r="AH31">
        <v>5</v>
      </c>
      <c r="AI31">
        <v>6</v>
      </c>
      <c r="AJ31">
        <v>4</v>
      </c>
      <c r="AK31">
        <v>9</v>
      </c>
      <c r="AL31">
        <v>8</v>
      </c>
      <c r="AM31">
        <v>2</v>
      </c>
      <c r="AN31">
        <v>1</v>
      </c>
      <c r="AO31">
        <v>6</v>
      </c>
      <c r="AP31">
        <v>5</v>
      </c>
      <c r="AQ31">
        <v>1</v>
      </c>
      <c r="AR31">
        <v>2</v>
      </c>
      <c r="AS31">
        <v>4</v>
      </c>
      <c r="AT31">
        <v>1</v>
      </c>
      <c r="AU31">
        <v>0</v>
      </c>
      <c r="AV31">
        <v>8</v>
      </c>
      <c r="AW31">
        <v>10</v>
      </c>
      <c r="AX31">
        <v>9</v>
      </c>
      <c r="AY31">
        <v>8</v>
      </c>
      <c r="AZ31">
        <v>9</v>
      </c>
      <c r="BA31">
        <v>2</v>
      </c>
      <c r="BB31">
        <v>2</v>
      </c>
      <c r="BC31">
        <v>6</v>
      </c>
      <c r="BD31">
        <v>8</v>
      </c>
      <c r="BE31">
        <v>9</v>
      </c>
      <c r="BF31">
        <v>2</v>
      </c>
      <c r="BG31">
        <v>7</v>
      </c>
      <c r="BH31">
        <v>2</v>
      </c>
      <c r="BI31">
        <v>2</v>
      </c>
      <c r="BJ31">
        <v>1</v>
      </c>
      <c r="BK31">
        <v>1</v>
      </c>
      <c r="BL31">
        <v>3</v>
      </c>
      <c r="BM31">
        <v>3</v>
      </c>
      <c r="BN31">
        <v>1</v>
      </c>
      <c r="BO31">
        <v>5</v>
      </c>
      <c r="BP31">
        <v>5</v>
      </c>
      <c r="BQ31">
        <v>2</v>
      </c>
      <c r="BR31">
        <v>6</v>
      </c>
      <c r="BS31">
        <v>8</v>
      </c>
      <c r="BT31">
        <v>10</v>
      </c>
      <c r="BU31">
        <v>5</v>
      </c>
      <c r="BV31">
        <v>7</v>
      </c>
      <c r="BW31">
        <v>5</v>
      </c>
      <c r="BX31">
        <v>5</v>
      </c>
      <c r="BY31">
        <v>3</v>
      </c>
      <c r="BZ31">
        <v>9</v>
      </c>
      <c r="CA31">
        <v>3</v>
      </c>
      <c r="CB31">
        <v>5</v>
      </c>
      <c r="CC31">
        <v>9</v>
      </c>
      <c r="CD31">
        <v>7</v>
      </c>
      <c r="CE31">
        <v>9</v>
      </c>
      <c r="CF31">
        <v>10</v>
      </c>
      <c r="CG31">
        <v>6</v>
      </c>
      <c r="CH31">
        <v>4</v>
      </c>
      <c r="CI31">
        <v>3</v>
      </c>
      <c r="CJ31">
        <v>3</v>
      </c>
      <c r="CK31">
        <v>3</v>
      </c>
      <c r="CL31">
        <v>0</v>
      </c>
      <c r="CM31">
        <v>7</v>
      </c>
      <c r="CN31">
        <v>9</v>
      </c>
      <c r="CO31">
        <v>8</v>
      </c>
      <c r="CP31">
        <v>2</v>
      </c>
      <c r="CQ31">
        <v>9</v>
      </c>
      <c r="CR31">
        <v>1</v>
      </c>
      <c r="CS31">
        <v>0</v>
      </c>
      <c r="CT31">
        <v>7</v>
      </c>
      <c r="CU31">
        <v>5</v>
      </c>
      <c r="CV31">
        <v>10</v>
      </c>
      <c r="CW31">
        <v>7</v>
      </c>
      <c r="CX31">
        <v>2</v>
      </c>
      <c r="CY31">
        <v>5</v>
      </c>
      <c r="CZ31">
        <v>8</v>
      </c>
      <c r="DA31">
        <v>0</v>
      </c>
      <c r="DB31">
        <v>4</v>
      </c>
      <c r="DC31">
        <v>6</v>
      </c>
      <c r="DD31">
        <v>9</v>
      </c>
      <c r="DE31">
        <v>10</v>
      </c>
      <c r="DF31">
        <v>1</v>
      </c>
      <c r="DG31">
        <v>6</v>
      </c>
      <c r="DH31">
        <v>1</v>
      </c>
      <c r="DI31">
        <v>8</v>
      </c>
      <c r="DJ31">
        <v>1</v>
      </c>
      <c r="DK31">
        <v>0</v>
      </c>
    </row>
    <row r="32" spans="1:115" ht="15" thickBot="1">
      <c r="A32" s="172">
        <f>Calculations[[#This Row],[Sum t eCO2]]*IF(Calculations[[#This Row],[GHG Scope]]="BIOGENIC",0,1)</f>
        <v>68.988784957199996</v>
      </c>
      <c r="B32" s="149"/>
      <c r="C32" s="150"/>
      <c r="D32" s="234" t="s">
        <v>906</v>
      </c>
      <c r="E32" s="234">
        <v>2790.1439247053281</v>
      </c>
      <c r="F32" s="149"/>
      <c r="G32" s="149"/>
      <c r="H32" s="149"/>
      <c r="I32" s="149"/>
      <c r="J32" s="149"/>
      <c r="K32" s="149"/>
      <c r="L32" s="149"/>
      <c r="M32" s="149"/>
      <c r="O32">
        <f t="shared" si="0"/>
        <v>31</v>
      </c>
      <c r="P32">
        <v>2</v>
      </c>
      <c r="Q32">
        <v>9</v>
      </c>
      <c r="R32">
        <v>0</v>
      </c>
      <c r="S32">
        <v>1</v>
      </c>
      <c r="T32">
        <v>1</v>
      </c>
      <c r="U32">
        <v>2</v>
      </c>
      <c r="V32">
        <v>10</v>
      </c>
      <c r="W32">
        <v>1</v>
      </c>
      <c r="X32">
        <v>2</v>
      </c>
      <c r="Y32">
        <v>6</v>
      </c>
      <c r="Z32">
        <v>7</v>
      </c>
      <c r="AA32">
        <v>0</v>
      </c>
      <c r="AB32">
        <v>9</v>
      </c>
      <c r="AC32">
        <v>3</v>
      </c>
      <c r="AD32">
        <v>9</v>
      </c>
      <c r="AE32">
        <v>1</v>
      </c>
      <c r="AF32">
        <v>9</v>
      </c>
      <c r="AG32">
        <v>8</v>
      </c>
      <c r="AH32">
        <v>8</v>
      </c>
      <c r="AI32">
        <v>1</v>
      </c>
      <c r="AJ32">
        <v>6</v>
      </c>
      <c r="AK32">
        <v>10</v>
      </c>
      <c r="AL32">
        <v>3</v>
      </c>
      <c r="AM32">
        <v>5</v>
      </c>
      <c r="AN32">
        <v>6</v>
      </c>
      <c r="AO32">
        <v>5</v>
      </c>
      <c r="AP32">
        <v>3</v>
      </c>
      <c r="AQ32">
        <v>0</v>
      </c>
      <c r="AR32">
        <v>3</v>
      </c>
      <c r="AS32">
        <v>7</v>
      </c>
      <c r="AT32">
        <v>6</v>
      </c>
      <c r="AU32">
        <v>0</v>
      </c>
      <c r="AV32">
        <v>0</v>
      </c>
      <c r="AW32">
        <v>7</v>
      </c>
      <c r="AX32">
        <v>5</v>
      </c>
      <c r="AY32">
        <v>10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4</v>
      </c>
      <c r="BF32">
        <v>6</v>
      </c>
      <c r="BG32">
        <v>8</v>
      </c>
      <c r="BH32">
        <v>7</v>
      </c>
      <c r="BI32">
        <v>8</v>
      </c>
      <c r="BJ32">
        <v>2</v>
      </c>
      <c r="BK32">
        <v>3</v>
      </c>
      <c r="BL32">
        <v>8</v>
      </c>
      <c r="BM32">
        <v>8</v>
      </c>
      <c r="BN32">
        <v>5</v>
      </c>
      <c r="BO32">
        <v>0</v>
      </c>
      <c r="BP32">
        <v>8</v>
      </c>
      <c r="BQ32">
        <v>7</v>
      </c>
      <c r="BR32">
        <v>5</v>
      </c>
      <c r="BS32">
        <v>2</v>
      </c>
      <c r="BT32">
        <v>4</v>
      </c>
      <c r="BU32">
        <v>9</v>
      </c>
      <c r="BV32">
        <v>7</v>
      </c>
      <c r="BW32">
        <v>5</v>
      </c>
      <c r="BX32">
        <v>8</v>
      </c>
      <c r="BY32">
        <v>6</v>
      </c>
      <c r="BZ32">
        <v>8</v>
      </c>
      <c r="CA32">
        <v>6</v>
      </c>
      <c r="CB32">
        <v>2</v>
      </c>
      <c r="CC32">
        <v>7</v>
      </c>
      <c r="CD32">
        <v>3</v>
      </c>
      <c r="CE32">
        <v>9</v>
      </c>
      <c r="CF32">
        <v>4</v>
      </c>
      <c r="CG32">
        <v>10</v>
      </c>
      <c r="CH32">
        <v>0</v>
      </c>
      <c r="CI32">
        <v>9</v>
      </c>
      <c r="CJ32">
        <v>5</v>
      </c>
      <c r="CK32">
        <v>5</v>
      </c>
      <c r="CL32">
        <v>8</v>
      </c>
      <c r="CM32">
        <v>4</v>
      </c>
      <c r="CN32">
        <v>10</v>
      </c>
      <c r="CO32">
        <v>8</v>
      </c>
      <c r="CP32">
        <v>2</v>
      </c>
      <c r="CQ32">
        <v>8</v>
      </c>
      <c r="CR32">
        <v>0</v>
      </c>
      <c r="CS32">
        <v>2</v>
      </c>
      <c r="CT32">
        <v>6</v>
      </c>
      <c r="CU32">
        <v>9</v>
      </c>
      <c r="CV32">
        <v>0</v>
      </c>
      <c r="CW32">
        <v>8</v>
      </c>
      <c r="CX32">
        <v>1</v>
      </c>
      <c r="CY32">
        <v>8</v>
      </c>
      <c r="CZ32">
        <v>5</v>
      </c>
      <c r="DA32">
        <v>8</v>
      </c>
      <c r="DB32">
        <v>4</v>
      </c>
      <c r="DC32">
        <v>3</v>
      </c>
      <c r="DD32">
        <v>8</v>
      </c>
      <c r="DE32">
        <v>9</v>
      </c>
      <c r="DF32">
        <v>6</v>
      </c>
      <c r="DG32">
        <v>7</v>
      </c>
      <c r="DH32">
        <v>8</v>
      </c>
      <c r="DI32">
        <v>7</v>
      </c>
      <c r="DJ32">
        <v>4</v>
      </c>
      <c r="DK32">
        <v>5</v>
      </c>
    </row>
    <row r="33" spans="1:115">
      <c r="A33" s="172">
        <f>Calculations[[#This Row],[Sum t eCO2]]*IF(Calculations[[#This Row],[GHG Scope]]="BIOGENIC",0,1)</f>
        <v>7.3781139764044444E-4</v>
      </c>
      <c r="B33" s="149"/>
      <c r="C33" s="150"/>
      <c r="F33" s="149"/>
      <c r="G33" s="149"/>
      <c r="H33" s="149"/>
      <c r="I33" s="149"/>
      <c r="J33" s="149"/>
      <c r="K33" s="149"/>
      <c r="L33" s="149"/>
      <c r="M33" s="149"/>
      <c r="O33">
        <f t="shared" si="0"/>
        <v>32</v>
      </c>
      <c r="P33">
        <v>3</v>
      </c>
      <c r="Q33">
        <v>9</v>
      </c>
      <c r="R33">
        <v>1</v>
      </c>
      <c r="S33">
        <v>7</v>
      </c>
      <c r="T33">
        <v>2</v>
      </c>
      <c r="U33">
        <v>7</v>
      </c>
      <c r="V33">
        <v>4</v>
      </c>
      <c r="W33">
        <v>6</v>
      </c>
      <c r="X33">
        <v>4</v>
      </c>
      <c r="Y33">
        <v>10</v>
      </c>
      <c r="Z33">
        <v>8</v>
      </c>
      <c r="AA33">
        <v>4</v>
      </c>
      <c r="AB33">
        <v>10</v>
      </c>
      <c r="AC33">
        <v>3</v>
      </c>
      <c r="AD33">
        <v>2</v>
      </c>
      <c r="AE33">
        <v>10</v>
      </c>
      <c r="AF33">
        <v>1</v>
      </c>
      <c r="AG33">
        <v>3</v>
      </c>
      <c r="AH33">
        <v>4</v>
      </c>
      <c r="AI33">
        <v>7</v>
      </c>
      <c r="AJ33">
        <v>1</v>
      </c>
      <c r="AK33">
        <v>5</v>
      </c>
      <c r="AL33">
        <v>2</v>
      </c>
      <c r="AM33">
        <v>9</v>
      </c>
      <c r="AN33">
        <v>3</v>
      </c>
      <c r="AO33">
        <v>1</v>
      </c>
      <c r="AP33">
        <v>7</v>
      </c>
      <c r="AQ33">
        <v>6</v>
      </c>
      <c r="AR33">
        <v>6</v>
      </c>
      <c r="AS33">
        <v>5</v>
      </c>
      <c r="AT33">
        <v>7</v>
      </c>
      <c r="AU33">
        <v>3</v>
      </c>
      <c r="AV33">
        <v>3</v>
      </c>
      <c r="AW33">
        <v>9</v>
      </c>
      <c r="AX33">
        <v>4</v>
      </c>
      <c r="AY33">
        <v>0</v>
      </c>
      <c r="AZ33">
        <v>3</v>
      </c>
      <c r="BA33">
        <v>1</v>
      </c>
      <c r="BB33">
        <v>5</v>
      </c>
      <c r="BC33">
        <v>9</v>
      </c>
      <c r="BD33">
        <v>4</v>
      </c>
      <c r="BE33">
        <v>6</v>
      </c>
      <c r="BF33">
        <v>3</v>
      </c>
      <c r="BG33">
        <v>0</v>
      </c>
      <c r="BH33">
        <v>8</v>
      </c>
      <c r="BI33">
        <v>7</v>
      </c>
      <c r="BJ33">
        <v>4</v>
      </c>
      <c r="BK33">
        <v>7</v>
      </c>
      <c r="BL33">
        <v>7</v>
      </c>
      <c r="BM33">
        <v>8</v>
      </c>
      <c r="BN33">
        <v>5</v>
      </c>
      <c r="BO33">
        <v>6</v>
      </c>
      <c r="BP33">
        <v>0</v>
      </c>
      <c r="BQ33">
        <v>1</v>
      </c>
      <c r="BR33">
        <v>6</v>
      </c>
      <c r="BS33">
        <v>0</v>
      </c>
      <c r="BT33">
        <v>10</v>
      </c>
      <c r="BU33">
        <v>3</v>
      </c>
      <c r="BV33">
        <v>6</v>
      </c>
      <c r="BW33">
        <v>8</v>
      </c>
      <c r="BX33">
        <v>2</v>
      </c>
      <c r="BY33">
        <v>8</v>
      </c>
      <c r="BZ33">
        <v>3</v>
      </c>
      <c r="CA33">
        <v>0</v>
      </c>
      <c r="CB33">
        <v>5</v>
      </c>
      <c r="CC33">
        <v>6</v>
      </c>
      <c r="CD33">
        <v>10</v>
      </c>
      <c r="CE33">
        <v>1</v>
      </c>
      <c r="CF33">
        <v>2</v>
      </c>
      <c r="CG33">
        <v>4</v>
      </c>
      <c r="CH33">
        <v>2</v>
      </c>
      <c r="CI33">
        <v>10</v>
      </c>
      <c r="CJ33">
        <v>4</v>
      </c>
      <c r="CK33">
        <v>4</v>
      </c>
      <c r="CL33">
        <v>3</v>
      </c>
      <c r="CM33">
        <v>7</v>
      </c>
      <c r="CN33">
        <v>2</v>
      </c>
      <c r="CO33">
        <v>5</v>
      </c>
      <c r="CP33">
        <v>5</v>
      </c>
      <c r="CQ33">
        <v>3</v>
      </c>
      <c r="CR33">
        <v>7</v>
      </c>
      <c r="CS33">
        <v>2</v>
      </c>
      <c r="CT33">
        <v>6</v>
      </c>
      <c r="CU33">
        <v>1</v>
      </c>
      <c r="CV33">
        <v>3</v>
      </c>
      <c r="CW33">
        <v>2</v>
      </c>
      <c r="CX33">
        <v>8</v>
      </c>
      <c r="CY33">
        <v>5</v>
      </c>
      <c r="CZ33">
        <v>0</v>
      </c>
      <c r="DA33">
        <v>5</v>
      </c>
      <c r="DB33">
        <v>2</v>
      </c>
      <c r="DC33">
        <v>0</v>
      </c>
      <c r="DD33">
        <v>5</v>
      </c>
      <c r="DE33">
        <v>4</v>
      </c>
      <c r="DF33">
        <v>3</v>
      </c>
      <c r="DG33">
        <v>6</v>
      </c>
      <c r="DH33">
        <v>0</v>
      </c>
      <c r="DI33">
        <v>2</v>
      </c>
      <c r="DJ33">
        <v>9</v>
      </c>
      <c r="DK33">
        <v>7</v>
      </c>
    </row>
    <row r="34" spans="1:115">
      <c r="A34" s="172">
        <f>Calculations[[#This Row],[Sum t eCO2]]*IF(Calculations[[#This Row],[GHG Scope]]="BIOGENIC",0,1)</f>
        <v>0.73343518311907674</v>
      </c>
      <c r="B34" s="149"/>
      <c r="C34" s="150"/>
      <c r="D34" s="378" t="s">
        <v>905</v>
      </c>
      <c r="E34" s="379"/>
      <c r="F34" s="149"/>
      <c r="G34" s="149"/>
      <c r="H34" s="149"/>
      <c r="I34" s="149"/>
      <c r="J34" s="149"/>
      <c r="K34" s="149"/>
      <c r="L34" s="149"/>
      <c r="M34" s="149"/>
      <c r="O34">
        <f t="shared" si="0"/>
        <v>33</v>
      </c>
      <c r="P34">
        <v>3</v>
      </c>
      <c r="Q34">
        <v>1</v>
      </c>
      <c r="R34">
        <v>3</v>
      </c>
      <c r="S34">
        <v>1</v>
      </c>
      <c r="T34">
        <v>4</v>
      </c>
      <c r="U34">
        <v>5</v>
      </c>
      <c r="V34">
        <v>5</v>
      </c>
      <c r="W34">
        <v>1</v>
      </c>
      <c r="X34">
        <v>6</v>
      </c>
      <c r="Y34">
        <v>3</v>
      </c>
      <c r="Z34">
        <v>9</v>
      </c>
      <c r="AA34">
        <v>1</v>
      </c>
      <c r="AB34">
        <v>10</v>
      </c>
      <c r="AC34">
        <v>3</v>
      </c>
      <c r="AD34">
        <v>4</v>
      </c>
      <c r="AE34">
        <v>4</v>
      </c>
      <c r="AF34">
        <v>8</v>
      </c>
      <c r="AG34">
        <v>9</v>
      </c>
      <c r="AH34">
        <v>8</v>
      </c>
      <c r="AI34">
        <v>0</v>
      </c>
      <c r="AJ34">
        <v>9</v>
      </c>
      <c r="AK34">
        <v>0</v>
      </c>
      <c r="AL34">
        <v>7</v>
      </c>
      <c r="AM34">
        <v>4</v>
      </c>
      <c r="AN34">
        <v>5</v>
      </c>
      <c r="AO34">
        <v>7</v>
      </c>
      <c r="AP34">
        <v>10</v>
      </c>
      <c r="AQ34">
        <v>9</v>
      </c>
      <c r="AR34">
        <v>1</v>
      </c>
      <c r="AS34">
        <v>3</v>
      </c>
      <c r="AT34">
        <v>9</v>
      </c>
      <c r="AU34">
        <v>5</v>
      </c>
      <c r="AV34">
        <v>8</v>
      </c>
      <c r="AW34">
        <v>9</v>
      </c>
      <c r="AX34">
        <v>9</v>
      </c>
      <c r="AY34">
        <v>9</v>
      </c>
      <c r="AZ34">
        <v>3</v>
      </c>
      <c r="BA34">
        <v>2</v>
      </c>
      <c r="BB34">
        <v>8</v>
      </c>
      <c r="BC34">
        <v>4</v>
      </c>
      <c r="BD34">
        <v>4</v>
      </c>
      <c r="BE34">
        <v>5</v>
      </c>
      <c r="BF34">
        <v>6</v>
      </c>
      <c r="BG34">
        <v>6</v>
      </c>
      <c r="BH34">
        <v>0</v>
      </c>
      <c r="BI34">
        <v>7</v>
      </c>
      <c r="BJ34">
        <v>6</v>
      </c>
      <c r="BK34">
        <v>10</v>
      </c>
      <c r="BL34">
        <v>8</v>
      </c>
      <c r="BM34">
        <v>0</v>
      </c>
      <c r="BN34">
        <v>10</v>
      </c>
      <c r="BO34">
        <v>10</v>
      </c>
      <c r="BP34">
        <v>8</v>
      </c>
      <c r="BQ34">
        <v>4</v>
      </c>
      <c r="BR34">
        <v>0</v>
      </c>
      <c r="BS34">
        <v>1</v>
      </c>
      <c r="BT34">
        <v>10</v>
      </c>
      <c r="BU34">
        <v>3</v>
      </c>
      <c r="BV34">
        <v>9</v>
      </c>
      <c r="BW34">
        <v>7</v>
      </c>
      <c r="BX34">
        <v>5</v>
      </c>
      <c r="BY34">
        <v>6</v>
      </c>
      <c r="BZ34">
        <v>9</v>
      </c>
      <c r="CA34">
        <v>8</v>
      </c>
      <c r="CB34">
        <v>6</v>
      </c>
      <c r="CC34">
        <v>10</v>
      </c>
      <c r="CD34">
        <v>9</v>
      </c>
      <c r="CE34">
        <v>5</v>
      </c>
      <c r="CF34">
        <v>2</v>
      </c>
      <c r="CG34">
        <v>2</v>
      </c>
      <c r="CH34">
        <v>4</v>
      </c>
      <c r="CI34">
        <v>10</v>
      </c>
      <c r="CJ34">
        <v>5</v>
      </c>
      <c r="CK34">
        <v>5</v>
      </c>
      <c r="CL34">
        <v>7</v>
      </c>
      <c r="CM34">
        <v>9</v>
      </c>
      <c r="CN34">
        <v>2</v>
      </c>
      <c r="CO34">
        <v>7</v>
      </c>
      <c r="CP34">
        <v>6</v>
      </c>
      <c r="CQ34">
        <v>1</v>
      </c>
      <c r="CR34">
        <v>3</v>
      </c>
      <c r="CS34">
        <v>4</v>
      </c>
      <c r="CT34">
        <v>0</v>
      </c>
      <c r="CU34">
        <v>1</v>
      </c>
      <c r="CV34">
        <v>8</v>
      </c>
      <c r="CW34">
        <v>10</v>
      </c>
      <c r="CX34">
        <v>4</v>
      </c>
      <c r="CY34">
        <v>2</v>
      </c>
      <c r="CZ34">
        <v>1</v>
      </c>
      <c r="DA34">
        <v>6</v>
      </c>
      <c r="DB34">
        <v>2</v>
      </c>
      <c r="DC34">
        <v>9</v>
      </c>
      <c r="DD34">
        <v>2</v>
      </c>
      <c r="DE34">
        <v>1</v>
      </c>
      <c r="DF34">
        <v>7</v>
      </c>
      <c r="DG34">
        <v>9</v>
      </c>
      <c r="DH34">
        <v>3</v>
      </c>
      <c r="DI34">
        <v>2</v>
      </c>
      <c r="DJ34">
        <v>3</v>
      </c>
      <c r="DK34">
        <v>9</v>
      </c>
    </row>
    <row r="35" spans="1:115">
      <c r="A35" s="172">
        <f>Calculations[[#This Row],[Sum t eCO2]]*IF(Calculations[[#This Row],[GHG Scope]]="BIOGENIC",0,1)</f>
        <v>11.246815780645502</v>
      </c>
      <c r="B35" s="149"/>
      <c r="C35" s="150"/>
      <c r="D35" s="151" t="s">
        <v>904</v>
      </c>
      <c r="E35" s="151">
        <f>(E31/6)*(E26^2+(E25^2)/4)</f>
        <v>2.4190291894750398</v>
      </c>
      <c r="F35" s="149"/>
      <c r="G35" s="149"/>
      <c r="H35" s="149"/>
      <c r="I35" s="149"/>
      <c r="J35" s="149"/>
      <c r="K35" s="149"/>
      <c r="L35" s="149"/>
      <c r="M35" s="149"/>
      <c r="O35">
        <f t="shared" si="0"/>
        <v>34</v>
      </c>
      <c r="P35">
        <v>8</v>
      </c>
      <c r="Q35">
        <v>8</v>
      </c>
      <c r="R35">
        <v>3</v>
      </c>
      <c r="S35">
        <v>5</v>
      </c>
      <c r="T35">
        <v>5</v>
      </c>
      <c r="U35">
        <v>3</v>
      </c>
      <c r="V35">
        <v>2</v>
      </c>
      <c r="W35">
        <v>10</v>
      </c>
      <c r="X35">
        <v>2</v>
      </c>
      <c r="Y35">
        <v>3</v>
      </c>
      <c r="Z35">
        <v>8</v>
      </c>
      <c r="AA35">
        <v>10</v>
      </c>
      <c r="AB35">
        <v>7</v>
      </c>
      <c r="AC35">
        <v>8</v>
      </c>
      <c r="AD35">
        <v>1</v>
      </c>
      <c r="AE35">
        <v>9</v>
      </c>
      <c r="AF35">
        <v>7</v>
      </c>
      <c r="AG35">
        <v>6</v>
      </c>
      <c r="AH35">
        <v>1</v>
      </c>
      <c r="AI35">
        <v>0</v>
      </c>
      <c r="AJ35">
        <v>6</v>
      </c>
      <c r="AK35">
        <v>4</v>
      </c>
      <c r="AL35">
        <v>4</v>
      </c>
      <c r="AM35">
        <v>6</v>
      </c>
      <c r="AN35">
        <v>4</v>
      </c>
      <c r="AO35">
        <v>8</v>
      </c>
      <c r="AP35">
        <v>10</v>
      </c>
      <c r="AQ35">
        <v>0</v>
      </c>
      <c r="AR35">
        <v>9</v>
      </c>
      <c r="AS35">
        <v>2</v>
      </c>
      <c r="AT35">
        <v>10</v>
      </c>
      <c r="AU35">
        <v>1</v>
      </c>
      <c r="AV35">
        <v>6</v>
      </c>
      <c r="AW35">
        <v>8</v>
      </c>
      <c r="AX35">
        <v>7</v>
      </c>
      <c r="AY35">
        <v>10</v>
      </c>
      <c r="AZ35">
        <v>10</v>
      </c>
      <c r="BA35">
        <v>3</v>
      </c>
      <c r="BB35">
        <v>9</v>
      </c>
      <c r="BC35">
        <v>1</v>
      </c>
      <c r="BD35">
        <v>0</v>
      </c>
      <c r="BE35">
        <v>1</v>
      </c>
      <c r="BF35">
        <v>10</v>
      </c>
      <c r="BG35">
        <v>2</v>
      </c>
      <c r="BH35">
        <v>10</v>
      </c>
      <c r="BI35">
        <v>1</v>
      </c>
      <c r="BJ35">
        <v>7</v>
      </c>
      <c r="BK35">
        <v>5</v>
      </c>
      <c r="BL35">
        <v>5</v>
      </c>
      <c r="BM35">
        <v>9</v>
      </c>
      <c r="BN35">
        <v>10</v>
      </c>
      <c r="BO35">
        <v>5</v>
      </c>
      <c r="BP35">
        <v>4</v>
      </c>
      <c r="BQ35">
        <v>8</v>
      </c>
      <c r="BR35">
        <v>9</v>
      </c>
      <c r="BS35">
        <v>10</v>
      </c>
      <c r="BT35">
        <v>7</v>
      </c>
      <c r="BU35">
        <v>8</v>
      </c>
      <c r="BV35">
        <v>0</v>
      </c>
      <c r="BW35">
        <v>6</v>
      </c>
      <c r="BX35">
        <v>8</v>
      </c>
      <c r="BY35">
        <v>7</v>
      </c>
      <c r="BZ35">
        <v>5</v>
      </c>
      <c r="CA35">
        <v>7</v>
      </c>
      <c r="CB35">
        <v>1</v>
      </c>
      <c r="CC35">
        <v>6</v>
      </c>
      <c r="CD35">
        <v>7</v>
      </c>
      <c r="CE35">
        <v>9</v>
      </c>
      <c r="CF35">
        <v>10</v>
      </c>
      <c r="CG35">
        <v>7</v>
      </c>
      <c r="CH35">
        <v>6</v>
      </c>
      <c r="CI35">
        <v>7</v>
      </c>
      <c r="CJ35">
        <v>5</v>
      </c>
      <c r="CK35">
        <v>7</v>
      </c>
      <c r="CL35">
        <v>3</v>
      </c>
      <c r="CM35">
        <v>4</v>
      </c>
      <c r="CN35">
        <v>9</v>
      </c>
      <c r="CO35">
        <v>9</v>
      </c>
      <c r="CP35">
        <v>9</v>
      </c>
      <c r="CQ35">
        <v>0</v>
      </c>
      <c r="CR35">
        <v>8</v>
      </c>
      <c r="CS35">
        <v>0</v>
      </c>
      <c r="CT35">
        <v>4</v>
      </c>
      <c r="CU35">
        <v>5</v>
      </c>
      <c r="CV35">
        <v>0</v>
      </c>
      <c r="CW35">
        <v>10</v>
      </c>
      <c r="CX35">
        <v>1</v>
      </c>
      <c r="CY35">
        <v>3</v>
      </c>
      <c r="CZ35">
        <v>2</v>
      </c>
      <c r="DA35">
        <v>4</v>
      </c>
      <c r="DB35">
        <v>8</v>
      </c>
      <c r="DC35">
        <v>1</v>
      </c>
      <c r="DD35">
        <v>9</v>
      </c>
      <c r="DE35">
        <v>3</v>
      </c>
      <c r="DF35">
        <v>7</v>
      </c>
      <c r="DG35">
        <v>7</v>
      </c>
      <c r="DH35">
        <v>3</v>
      </c>
      <c r="DI35">
        <v>7</v>
      </c>
      <c r="DJ35">
        <v>7</v>
      </c>
      <c r="DK35">
        <v>0</v>
      </c>
    </row>
    <row r="36" spans="1:115">
      <c r="A36" s="172">
        <f>Calculations[[#This Row],[Sum t eCO2]]*IF(Calculations[[#This Row],[GHG Scope]]="BIOGENIC",0,1)</f>
        <v>1.2028083804158432E-4</v>
      </c>
      <c r="B36" s="149"/>
      <c r="C36" s="150"/>
      <c r="D36" s="151" t="s">
        <v>903</v>
      </c>
      <c r="E36" s="151">
        <f>_xlfn.CHISQ.DIST.RT(E35,2)</f>
        <v>0.29834206109462813</v>
      </c>
      <c r="F36" s="149"/>
      <c r="G36" s="149"/>
      <c r="H36" s="149"/>
      <c r="I36" s="149"/>
      <c r="J36" s="149"/>
      <c r="K36" s="149"/>
      <c r="L36" s="149"/>
      <c r="M36" s="149"/>
      <c r="O36">
        <f t="shared" si="0"/>
        <v>35</v>
      </c>
      <c r="P36">
        <v>9</v>
      </c>
      <c r="Q36">
        <v>2</v>
      </c>
      <c r="R36">
        <v>4</v>
      </c>
      <c r="S36">
        <v>4</v>
      </c>
      <c r="T36">
        <v>1</v>
      </c>
      <c r="U36">
        <v>8</v>
      </c>
      <c r="V36">
        <v>2</v>
      </c>
      <c r="W36">
        <v>3</v>
      </c>
      <c r="X36">
        <v>7</v>
      </c>
      <c r="Y36">
        <v>3</v>
      </c>
      <c r="Z36">
        <v>2</v>
      </c>
      <c r="AA36">
        <v>2</v>
      </c>
      <c r="AB36">
        <v>5</v>
      </c>
      <c r="AC36">
        <v>4</v>
      </c>
      <c r="AD36">
        <v>2</v>
      </c>
      <c r="AE36">
        <v>10</v>
      </c>
      <c r="AF36">
        <v>3</v>
      </c>
      <c r="AG36">
        <v>8</v>
      </c>
      <c r="AH36">
        <v>7</v>
      </c>
      <c r="AI36">
        <v>4</v>
      </c>
      <c r="AJ36">
        <v>2</v>
      </c>
      <c r="AK36">
        <v>8</v>
      </c>
      <c r="AL36">
        <v>5</v>
      </c>
      <c r="AM36">
        <v>0</v>
      </c>
      <c r="AN36">
        <v>1</v>
      </c>
      <c r="AO36">
        <v>9</v>
      </c>
      <c r="AP36">
        <v>0</v>
      </c>
      <c r="AQ36">
        <v>4</v>
      </c>
      <c r="AR36">
        <v>4</v>
      </c>
      <c r="AS36">
        <v>10</v>
      </c>
      <c r="AT36">
        <v>9</v>
      </c>
      <c r="AU36">
        <v>8</v>
      </c>
      <c r="AV36">
        <v>4</v>
      </c>
      <c r="AW36">
        <v>10</v>
      </c>
      <c r="AX36">
        <v>3</v>
      </c>
      <c r="AY36">
        <v>4</v>
      </c>
      <c r="AZ36">
        <v>7</v>
      </c>
      <c r="BA36">
        <v>8</v>
      </c>
      <c r="BB36">
        <v>8</v>
      </c>
      <c r="BC36">
        <v>3</v>
      </c>
      <c r="BD36">
        <v>7</v>
      </c>
      <c r="BE36">
        <v>9</v>
      </c>
      <c r="BF36">
        <v>10</v>
      </c>
      <c r="BG36">
        <v>10</v>
      </c>
      <c r="BH36">
        <v>4</v>
      </c>
      <c r="BI36">
        <v>0</v>
      </c>
      <c r="BJ36">
        <v>10</v>
      </c>
      <c r="BK36">
        <v>8</v>
      </c>
      <c r="BL36">
        <v>5</v>
      </c>
      <c r="BM36">
        <v>2</v>
      </c>
      <c r="BN36">
        <v>9</v>
      </c>
      <c r="BO36">
        <v>5</v>
      </c>
      <c r="BP36">
        <v>0</v>
      </c>
      <c r="BQ36">
        <v>4</v>
      </c>
      <c r="BR36">
        <v>8</v>
      </c>
      <c r="BS36">
        <v>7</v>
      </c>
      <c r="BT36">
        <v>2</v>
      </c>
      <c r="BU36">
        <v>9</v>
      </c>
      <c r="BV36">
        <v>9</v>
      </c>
      <c r="BW36">
        <v>10</v>
      </c>
      <c r="BX36">
        <v>7</v>
      </c>
      <c r="BY36">
        <v>7</v>
      </c>
      <c r="BZ36">
        <v>1</v>
      </c>
      <c r="CA36">
        <v>7</v>
      </c>
      <c r="CB36">
        <v>9</v>
      </c>
      <c r="CC36">
        <v>7</v>
      </c>
      <c r="CD36">
        <v>7</v>
      </c>
      <c r="CE36">
        <v>10</v>
      </c>
      <c r="CF36">
        <v>2</v>
      </c>
      <c r="CG36">
        <v>9</v>
      </c>
      <c r="CH36">
        <v>4</v>
      </c>
      <c r="CI36">
        <v>0</v>
      </c>
      <c r="CJ36">
        <v>10</v>
      </c>
      <c r="CK36">
        <v>2</v>
      </c>
      <c r="CL36">
        <v>1</v>
      </c>
      <c r="CM36">
        <v>7</v>
      </c>
      <c r="CN36">
        <v>7</v>
      </c>
      <c r="CO36">
        <v>0</v>
      </c>
      <c r="CP36">
        <v>3</v>
      </c>
      <c r="CQ36">
        <v>10</v>
      </c>
      <c r="CR36">
        <v>0</v>
      </c>
      <c r="CS36">
        <v>10</v>
      </c>
      <c r="CT36">
        <v>10</v>
      </c>
      <c r="CU36">
        <v>5</v>
      </c>
      <c r="CV36">
        <v>4</v>
      </c>
      <c r="CW36">
        <v>1</v>
      </c>
      <c r="CX36">
        <v>4</v>
      </c>
      <c r="CY36">
        <v>5</v>
      </c>
      <c r="CZ36">
        <v>0</v>
      </c>
      <c r="DA36">
        <v>5</v>
      </c>
      <c r="DB36">
        <v>4</v>
      </c>
      <c r="DC36">
        <v>9</v>
      </c>
      <c r="DD36">
        <v>9</v>
      </c>
      <c r="DE36">
        <v>1</v>
      </c>
      <c r="DF36">
        <v>5</v>
      </c>
      <c r="DG36">
        <v>1</v>
      </c>
      <c r="DH36">
        <v>0</v>
      </c>
      <c r="DI36">
        <v>8</v>
      </c>
      <c r="DJ36">
        <v>2</v>
      </c>
      <c r="DK36">
        <v>5</v>
      </c>
    </row>
    <row r="37" spans="1:115">
      <c r="A37" s="172">
        <f>Calculations[[#This Row],[Sum t eCO2]]*IF(Calculations[[#This Row],[GHG Scope]]="BIOGENIC",0,1)</f>
        <v>0.11956741080020093</v>
      </c>
      <c r="B37" s="149"/>
      <c r="C37" s="150"/>
      <c r="D37" s="151" t="s">
        <v>902</v>
      </c>
      <c r="E37" s="151" t="s">
        <v>901</v>
      </c>
      <c r="F37" s="149"/>
      <c r="G37" s="149"/>
      <c r="H37" s="149"/>
      <c r="I37" s="149"/>
      <c r="J37" s="149"/>
      <c r="K37" s="149"/>
      <c r="L37" s="149"/>
      <c r="M37" s="149"/>
      <c r="O37">
        <f t="shared" si="0"/>
        <v>36</v>
      </c>
      <c r="P37">
        <v>0</v>
      </c>
      <c r="Q37">
        <v>3</v>
      </c>
      <c r="R37">
        <v>5</v>
      </c>
      <c r="S37">
        <v>5</v>
      </c>
      <c r="T37">
        <v>2</v>
      </c>
      <c r="U37">
        <v>1</v>
      </c>
      <c r="V37">
        <v>3</v>
      </c>
      <c r="W37">
        <v>0</v>
      </c>
      <c r="X37">
        <v>1</v>
      </c>
      <c r="Y37">
        <v>0</v>
      </c>
      <c r="Z37">
        <v>7</v>
      </c>
      <c r="AA37">
        <v>8</v>
      </c>
      <c r="AB37">
        <v>10</v>
      </c>
      <c r="AC37">
        <v>8</v>
      </c>
      <c r="AD37">
        <v>3</v>
      </c>
      <c r="AE37">
        <v>0</v>
      </c>
      <c r="AF37">
        <v>5</v>
      </c>
      <c r="AG37">
        <v>5</v>
      </c>
      <c r="AH37">
        <v>6</v>
      </c>
      <c r="AI37">
        <v>8</v>
      </c>
      <c r="AJ37">
        <v>9</v>
      </c>
      <c r="AK37">
        <v>0</v>
      </c>
      <c r="AL37">
        <v>9</v>
      </c>
      <c r="AM37">
        <v>6</v>
      </c>
      <c r="AN37">
        <v>10</v>
      </c>
      <c r="AO37">
        <v>5</v>
      </c>
      <c r="AP37">
        <v>0</v>
      </c>
      <c r="AQ37">
        <v>3</v>
      </c>
      <c r="AR37">
        <v>7</v>
      </c>
      <c r="AS37">
        <v>7</v>
      </c>
      <c r="AT37">
        <v>7</v>
      </c>
      <c r="AU37">
        <v>3</v>
      </c>
      <c r="AV37">
        <v>0</v>
      </c>
      <c r="AW37">
        <v>0</v>
      </c>
      <c r="AX37">
        <v>10</v>
      </c>
      <c r="AY37">
        <v>1</v>
      </c>
      <c r="AZ37">
        <v>9</v>
      </c>
      <c r="BA37">
        <v>6</v>
      </c>
      <c r="BB37">
        <v>5</v>
      </c>
      <c r="BC37">
        <v>6</v>
      </c>
      <c r="BD37">
        <v>9</v>
      </c>
      <c r="BE37">
        <v>9</v>
      </c>
      <c r="BF37">
        <v>3</v>
      </c>
      <c r="BG37">
        <v>0</v>
      </c>
      <c r="BH37">
        <v>2</v>
      </c>
      <c r="BI37">
        <v>9</v>
      </c>
      <c r="BJ37">
        <v>0</v>
      </c>
      <c r="BK37">
        <v>6</v>
      </c>
      <c r="BL37">
        <v>0</v>
      </c>
      <c r="BM37">
        <v>7</v>
      </c>
      <c r="BN37">
        <v>9</v>
      </c>
      <c r="BO37">
        <v>5</v>
      </c>
      <c r="BP37">
        <v>9</v>
      </c>
      <c r="BQ37">
        <v>4</v>
      </c>
      <c r="BR37">
        <v>2</v>
      </c>
      <c r="BS37">
        <v>2</v>
      </c>
      <c r="BT37">
        <v>10</v>
      </c>
      <c r="BU37">
        <v>2</v>
      </c>
      <c r="BV37">
        <v>4</v>
      </c>
      <c r="BW37">
        <v>9</v>
      </c>
      <c r="BX37">
        <v>8</v>
      </c>
      <c r="BY37">
        <v>2</v>
      </c>
      <c r="BZ37">
        <v>1</v>
      </c>
      <c r="CA37">
        <v>1</v>
      </c>
      <c r="CB37">
        <v>3</v>
      </c>
      <c r="CC37">
        <v>10</v>
      </c>
      <c r="CD37">
        <v>2</v>
      </c>
      <c r="CE37">
        <v>5</v>
      </c>
      <c r="CF37">
        <v>10</v>
      </c>
      <c r="CG37">
        <v>3</v>
      </c>
      <c r="CH37">
        <v>10</v>
      </c>
      <c r="CI37">
        <v>6</v>
      </c>
      <c r="CJ37">
        <v>0</v>
      </c>
      <c r="CK37">
        <v>10</v>
      </c>
      <c r="CL37">
        <v>0</v>
      </c>
      <c r="CM37">
        <v>1</v>
      </c>
      <c r="CN37">
        <v>2</v>
      </c>
      <c r="CO37">
        <v>3</v>
      </c>
      <c r="CP37">
        <v>7</v>
      </c>
      <c r="CQ37">
        <v>10</v>
      </c>
      <c r="CR37">
        <v>5</v>
      </c>
      <c r="CS37">
        <v>7</v>
      </c>
      <c r="CT37">
        <v>7</v>
      </c>
      <c r="CU37">
        <v>4</v>
      </c>
      <c r="CV37">
        <v>8</v>
      </c>
      <c r="CW37">
        <v>6</v>
      </c>
      <c r="CX37">
        <v>5</v>
      </c>
      <c r="CY37">
        <v>4</v>
      </c>
      <c r="CZ37">
        <v>4</v>
      </c>
      <c r="DA37">
        <v>10</v>
      </c>
      <c r="DB37">
        <v>0</v>
      </c>
      <c r="DC37">
        <v>2</v>
      </c>
      <c r="DD37">
        <v>10</v>
      </c>
      <c r="DE37">
        <v>2</v>
      </c>
      <c r="DF37">
        <v>10</v>
      </c>
      <c r="DG37">
        <v>7</v>
      </c>
      <c r="DH37">
        <v>9</v>
      </c>
      <c r="DI37">
        <v>6</v>
      </c>
      <c r="DJ37">
        <v>5</v>
      </c>
      <c r="DK37">
        <v>5</v>
      </c>
    </row>
    <row r="38" spans="1:115">
      <c r="A38" s="172">
        <f>Calculations[[#This Row],[Sum t eCO2]]*IF(Calculations[[#This Row],[GHG Scope]]="BIOGENIC",0,1)</f>
        <v>33.099509174883302</v>
      </c>
      <c r="B38" s="149"/>
      <c r="C38" s="150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O38">
        <f t="shared" si="0"/>
        <v>37</v>
      </c>
      <c r="P38">
        <v>1</v>
      </c>
      <c r="Q38">
        <v>0</v>
      </c>
      <c r="R38">
        <v>6</v>
      </c>
      <c r="S38">
        <v>2</v>
      </c>
      <c r="T38">
        <v>0</v>
      </c>
      <c r="U38">
        <v>9</v>
      </c>
      <c r="V38">
        <v>3</v>
      </c>
      <c r="W38">
        <v>8</v>
      </c>
      <c r="X38">
        <v>5</v>
      </c>
      <c r="Y38">
        <v>9</v>
      </c>
      <c r="Z38">
        <v>10</v>
      </c>
      <c r="AA38">
        <v>2</v>
      </c>
      <c r="AB38">
        <v>0</v>
      </c>
      <c r="AC38">
        <v>6</v>
      </c>
      <c r="AD38">
        <v>8</v>
      </c>
      <c r="AE38">
        <v>0</v>
      </c>
      <c r="AF38">
        <v>9</v>
      </c>
      <c r="AG38">
        <v>8</v>
      </c>
      <c r="AH38">
        <v>1</v>
      </c>
      <c r="AI38">
        <v>7</v>
      </c>
      <c r="AJ38">
        <v>2</v>
      </c>
      <c r="AK38">
        <v>10</v>
      </c>
      <c r="AL38">
        <v>7</v>
      </c>
      <c r="AM38">
        <v>5</v>
      </c>
      <c r="AN38">
        <v>2</v>
      </c>
      <c r="AO38">
        <v>0</v>
      </c>
      <c r="AP38">
        <v>5</v>
      </c>
      <c r="AQ38">
        <v>6</v>
      </c>
      <c r="AR38">
        <v>5</v>
      </c>
      <c r="AS38">
        <v>9</v>
      </c>
      <c r="AT38">
        <v>4</v>
      </c>
      <c r="AU38">
        <v>8</v>
      </c>
      <c r="AV38">
        <v>2</v>
      </c>
      <c r="AW38">
        <v>9</v>
      </c>
      <c r="AX38">
        <v>5</v>
      </c>
      <c r="AY38">
        <v>2</v>
      </c>
      <c r="AZ38">
        <v>9</v>
      </c>
      <c r="BA38">
        <v>1</v>
      </c>
      <c r="BB38">
        <v>10</v>
      </c>
      <c r="BC38">
        <v>0</v>
      </c>
      <c r="BD38">
        <v>1</v>
      </c>
      <c r="BE38">
        <v>8</v>
      </c>
      <c r="BF38">
        <v>8</v>
      </c>
      <c r="BG38">
        <v>9</v>
      </c>
      <c r="BH38">
        <v>1</v>
      </c>
      <c r="BI38">
        <v>2</v>
      </c>
      <c r="BJ38">
        <v>0</v>
      </c>
      <c r="BK38">
        <v>2</v>
      </c>
      <c r="BL38">
        <v>0</v>
      </c>
      <c r="BM38">
        <v>5</v>
      </c>
      <c r="BN38">
        <v>1</v>
      </c>
      <c r="BO38">
        <v>1</v>
      </c>
      <c r="BP38">
        <v>9</v>
      </c>
      <c r="BQ38">
        <v>7</v>
      </c>
      <c r="BR38">
        <v>6</v>
      </c>
      <c r="BS38">
        <v>4</v>
      </c>
      <c r="BT38">
        <v>2</v>
      </c>
      <c r="BU38">
        <v>5</v>
      </c>
      <c r="BV38">
        <v>2</v>
      </c>
      <c r="BW38">
        <v>3</v>
      </c>
      <c r="BX38">
        <v>6</v>
      </c>
      <c r="BY38">
        <v>3</v>
      </c>
      <c r="BZ38">
        <v>10</v>
      </c>
      <c r="CA38">
        <v>3</v>
      </c>
      <c r="CB38">
        <v>10</v>
      </c>
      <c r="CC38">
        <v>8</v>
      </c>
      <c r="CD38">
        <v>9</v>
      </c>
      <c r="CE38">
        <v>6</v>
      </c>
      <c r="CF38">
        <v>1</v>
      </c>
      <c r="CG38">
        <v>3</v>
      </c>
      <c r="CH38">
        <v>0</v>
      </c>
      <c r="CI38">
        <v>3</v>
      </c>
      <c r="CJ38">
        <v>10</v>
      </c>
      <c r="CK38">
        <v>0</v>
      </c>
      <c r="CL38">
        <v>2</v>
      </c>
      <c r="CM38">
        <v>9</v>
      </c>
      <c r="CN38">
        <v>8</v>
      </c>
      <c r="CO38">
        <v>6</v>
      </c>
      <c r="CP38">
        <v>8</v>
      </c>
      <c r="CQ38">
        <v>1</v>
      </c>
      <c r="CR38">
        <v>9</v>
      </c>
      <c r="CS38">
        <v>6</v>
      </c>
      <c r="CT38">
        <v>8</v>
      </c>
      <c r="CU38">
        <v>8</v>
      </c>
      <c r="CV38">
        <v>0</v>
      </c>
      <c r="CW38">
        <v>0</v>
      </c>
      <c r="CX38">
        <v>7</v>
      </c>
      <c r="CY38">
        <v>10</v>
      </c>
      <c r="CZ38">
        <v>1</v>
      </c>
      <c r="DA38">
        <v>5</v>
      </c>
      <c r="DB38">
        <v>5</v>
      </c>
      <c r="DC38">
        <v>9</v>
      </c>
      <c r="DD38">
        <v>1</v>
      </c>
      <c r="DE38">
        <v>2</v>
      </c>
      <c r="DF38">
        <v>8</v>
      </c>
      <c r="DG38">
        <v>2</v>
      </c>
      <c r="DH38">
        <v>10</v>
      </c>
      <c r="DI38">
        <v>2</v>
      </c>
      <c r="DJ38">
        <v>8</v>
      </c>
      <c r="DK38">
        <v>6</v>
      </c>
    </row>
    <row r="39" spans="1:115">
      <c r="A39" s="172">
        <f>Calculations[[#This Row],[Sum t eCO2]]*IF(Calculations[[#This Row],[GHG Scope]]="BIOGENIC",0,1)</f>
        <v>3.5398790021717359E-4</v>
      </c>
      <c r="B39" s="149"/>
      <c r="C39" s="150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O39">
        <f t="shared" si="0"/>
        <v>38</v>
      </c>
      <c r="P39">
        <v>10</v>
      </c>
      <c r="Q39">
        <v>6</v>
      </c>
      <c r="R39">
        <v>9</v>
      </c>
      <c r="S39">
        <v>4</v>
      </c>
      <c r="T39">
        <v>3</v>
      </c>
      <c r="U39">
        <v>3</v>
      </c>
      <c r="V39">
        <v>5</v>
      </c>
      <c r="W39">
        <v>7</v>
      </c>
      <c r="X39">
        <v>4</v>
      </c>
      <c r="Y39">
        <v>10</v>
      </c>
      <c r="Z39">
        <v>2</v>
      </c>
      <c r="AA39">
        <v>5</v>
      </c>
      <c r="AB39">
        <v>10</v>
      </c>
      <c r="AC39">
        <v>1</v>
      </c>
      <c r="AD39">
        <v>3</v>
      </c>
      <c r="AE39">
        <v>7</v>
      </c>
      <c r="AF39">
        <v>10</v>
      </c>
      <c r="AG39">
        <v>0</v>
      </c>
      <c r="AH39">
        <v>9</v>
      </c>
      <c r="AI39">
        <v>8</v>
      </c>
      <c r="AJ39">
        <v>9</v>
      </c>
      <c r="AK39">
        <v>10</v>
      </c>
      <c r="AL39">
        <v>3</v>
      </c>
      <c r="AM39">
        <v>7</v>
      </c>
      <c r="AN39">
        <v>3</v>
      </c>
      <c r="AO39">
        <v>8</v>
      </c>
      <c r="AP39">
        <v>3</v>
      </c>
      <c r="AQ39">
        <v>1</v>
      </c>
      <c r="AR39">
        <v>5</v>
      </c>
      <c r="AS39">
        <v>8</v>
      </c>
      <c r="AT39">
        <v>2</v>
      </c>
      <c r="AU39">
        <v>3</v>
      </c>
      <c r="AV39">
        <v>9</v>
      </c>
      <c r="AW39">
        <v>6</v>
      </c>
      <c r="AX39">
        <v>4</v>
      </c>
      <c r="AY39">
        <v>4</v>
      </c>
      <c r="AZ39">
        <v>6</v>
      </c>
      <c r="BA39">
        <v>4</v>
      </c>
      <c r="BB39">
        <v>4</v>
      </c>
      <c r="BC39">
        <v>3</v>
      </c>
      <c r="BD39">
        <v>7</v>
      </c>
      <c r="BE39">
        <v>5</v>
      </c>
      <c r="BF39">
        <v>9</v>
      </c>
      <c r="BG39">
        <v>7</v>
      </c>
      <c r="BH39">
        <v>3</v>
      </c>
      <c r="BI39">
        <v>1</v>
      </c>
      <c r="BJ39">
        <v>5</v>
      </c>
      <c r="BK39">
        <v>6</v>
      </c>
      <c r="BL39">
        <v>3</v>
      </c>
      <c r="BM39">
        <v>5</v>
      </c>
      <c r="BN39">
        <v>2</v>
      </c>
      <c r="BO39">
        <v>3</v>
      </c>
      <c r="BP39">
        <v>6</v>
      </c>
      <c r="BQ39">
        <v>2</v>
      </c>
      <c r="BR39">
        <v>8</v>
      </c>
      <c r="BS39">
        <v>9</v>
      </c>
      <c r="BT39">
        <v>8</v>
      </c>
      <c r="BU39">
        <v>7</v>
      </c>
      <c r="BV39">
        <v>10</v>
      </c>
      <c r="BW39">
        <v>2</v>
      </c>
      <c r="BX39">
        <v>0</v>
      </c>
      <c r="BY39">
        <v>10</v>
      </c>
      <c r="BZ39">
        <v>8</v>
      </c>
      <c r="CA39">
        <v>7</v>
      </c>
      <c r="CB39">
        <v>3</v>
      </c>
      <c r="CC39">
        <v>8</v>
      </c>
      <c r="CD39">
        <v>9</v>
      </c>
      <c r="CE39">
        <v>2</v>
      </c>
      <c r="CF39">
        <v>4</v>
      </c>
      <c r="CG39">
        <v>0</v>
      </c>
      <c r="CH39">
        <v>0</v>
      </c>
      <c r="CI39">
        <v>9</v>
      </c>
      <c r="CJ39">
        <v>4</v>
      </c>
      <c r="CK39">
        <v>0</v>
      </c>
      <c r="CL39">
        <v>4</v>
      </c>
      <c r="CM39">
        <v>1</v>
      </c>
      <c r="CN39">
        <v>9</v>
      </c>
      <c r="CO39">
        <v>9</v>
      </c>
      <c r="CP39">
        <v>3</v>
      </c>
      <c r="CQ39">
        <v>8</v>
      </c>
      <c r="CR39">
        <v>6</v>
      </c>
      <c r="CS39">
        <v>1</v>
      </c>
      <c r="CT39">
        <v>1</v>
      </c>
      <c r="CU39">
        <v>3</v>
      </c>
      <c r="CV39">
        <v>4</v>
      </c>
      <c r="CW39">
        <v>4</v>
      </c>
      <c r="CX39">
        <v>3</v>
      </c>
      <c r="CY39">
        <v>3</v>
      </c>
      <c r="CZ39">
        <v>2</v>
      </c>
      <c r="DA39">
        <v>6</v>
      </c>
      <c r="DB39">
        <v>8</v>
      </c>
      <c r="DC39">
        <v>9</v>
      </c>
      <c r="DD39">
        <v>5</v>
      </c>
      <c r="DE39">
        <v>10</v>
      </c>
      <c r="DF39">
        <v>0</v>
      </c>
      <c r="DG39">
        <v>0</v>
      </c>
      <c r="DH39">
        <v>6</v>
      </c>
      <c r="DI39">
        <v>5</v>
      </c>
      <c r="DJ39">
        <v>5</v>
      </c>
      <c r="DK39">
        <v>0</v>
      </c>
    </row>
    <row r="40" spans="1:115">
      <c r="A40" s="172">
        <f>Calculations[[#This Row],[Sum t eCO2]]*IF(Calculations[[#This Row],[GHG Scope]]="BIOGENIC",0,1)</f>
        <v>0.35188827557831193</v>
      </c>
      <c r="B40" s="149"/>
      <c r="C40" s="150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O40">
        <f t="shared" si="0"/>
        <v>39</v>
      </c>
      <c r="P40">
        <v>10</v>
      </c>
      <c r="Q40">
        <v>7</v>
      </c>
      <c r="R40">
        <v>6</v>
      </c>
      <c r="S40">
        <v>3</v>
      </c>
      <c r="T40">
        <v>7</v>
      </c>
      <c r="U40">
        <v>10</v>
      </c>
      <c r="V40">
        <v>5</v>
      </c>
      <c r="W40">
        <v>6</v>
      </c>
      <c r="X40">
        <v>10</v>
      </c>
      <c r="Y40">
        <v>5</v>
      </c>
      <c r="Z40">
        <v>7</v>
      </c>
      <c r="AA40">
        <v>0</v>
      </c>
      <c r="AB40">
        <v>0</v>
      </c>
      <c r="AC40">
        <v>9</v>
      </c>
      <c r="AD40">
        <v>10</v>
      </c>
      <c r="AE40">
        <v>2</v>
      </c>
      <c r="AF40">
        <v>10</v>
      </c>
      <c r="AG40">
        <v>3</v>
      </c>
      <c r="AH40">
        <v>4</v>
      </c>
      <c r="AI40">
        <v>0</v>
      </c>
      <c r="AJ40">
        <v>4</v>
      </c>
      <c r="AK40">
        <v>10</v>
      </c>
      <c r="AL40">
        <v>8</v>
      </c>
      <c r="AM40">
        <v>7</v>
      </c>
      <c r="AN40">
        <v>5</v>
      </c>
      <c r="AO40">
        <v>6</v>
      </c>
      <c r="AP40">
        <v>4</v>
      </c>
      <c r="AQ40">
        <v>6</v>
      </c>
      <c r="AR40">
        <v>4</v>
      </c>
      <c r="AS40">
        <v>6</v>
      </c>
      <c r="AT40">
        <v>9</v>
      </c>
      <c r="AU40">
        <v>2</v>
      </c>
      <c r="AV40">
        <v>8</v>
      </c>
      <c r="AW40">
        <v>0</v>
      </c>
      <c r="AX40">
        <v>7</v>
      </c>
      <c r="AY40">
        <v>8</v>
      </c>
      <c r="AZ40">
        <v>0</v>
      </c>
      <c r="BA40">
        <v>1</v>
      </c>
      <c r="BB40">
        <v>9</v>
      </c>
      <c r="BC40">
        <v>10</v>
      </c>
      <c r="BD40">
        <v>1</v>
      </c>
      <c r="BE40">
        <v>3</v>
      </c>
      <c r="BF40">
        <v>0</v>
      </c>
      <c r="BG40">
        <v>3</v>
      </c>
      <c r="BH40">
        <v>7</v>
      </c>
      <c r="BI40">
        <v>5</v>
      </c>
      <c r="BJ40">
        <v>9</v>
      </c>
      <c r="BK40">
        <v>4</v>
      </c>
      <c r="BL40">
        <v>10</v>
      </c>
      <c r="BM40">
        <v>0</v>
      </c>
      <c r="BN40">
        <v>7</v>
      </c>
      <c r="BO40">
        <v>1</v>
      </c>
      <c r="BP40">
        <v>3</v>
      </c>
      <c r="BQ40">
        <v>6</v>
      </c>
      <c r="BR40">
        <v>2</v>
      </c>
      <c r="BS40">
        <v>9</v>
      </c>
      <c r="BT40">
        <v>6</v>
      </c>
      <c r="BU40">
        <v>2</v>
      </c>
      <c r="BV40">
        <v>8</v>
      </c>
      <c r="BW40">
        <v>3</v>
      </c>
      <c r="BX40">
        <v>10</v>
      </c>
      <c r="BY40">
        <v>1</v>
      </c>
      <c r="BZ40">
        <v>3</v>
      </c>
      <c r="CA40">
        <v>10</v>
      </c>
      <c r="CB40">
        <v>4</v>
      </c>
      <c r="CC40">
        <v>8</v>
      </c>
      <c r="CD40">
        <v>10</v>
      </c>
      <c r="CE40">
        <v>0</v>
      </c>
      <c r="CF40">
        <v>0</v>
      </c>
      <c r="CG40">
        <v>6</v>
      </c>
      <c r="CH40">
        <v>1</v>
      </c>
      <c r="CI40">
        <v>5</v>
      </c>
      <c r="CJ40">
        <v>0</v>
      </c>
      <c r="CK40">
        <v>6</v>
      </c>
      <c r="CL40">
        <v>7</v>
      </c>
      <c r="CM40">
        <v>4</v>
      </c>
      <c r="CN40">
        <v>8</v>
      </c>
      <c r="CO40">
        <v>1</v>
      </c>
      <c r="CP40">
        <v>0</v>
      </c>
      <c r="CQ40">
        <v>1</v>
      </c>
      <c r="CR40">
        <v>7</v>
      </c>
      <c r="CS40">
        <v>8</v>
      </c>
      <c r="CT40">
        <v>6</v>
      </c>
      <c r="CU40">
        <v>1</v>
      </c>
      <c r="CV40">
        <v>0</v>
      </c>
      <c r="CW40">
        <v>0</v>
      </c>
      <c r="CX40">
        <v>9</v>
      </c>
      <c r="CY40">
        <v>9</v>
      </c>
      <c r="CZ40">
        <v>3</v>
      </c>
      <c r="DA40">
        <v>7</v>
      </c>
      <c r="DB40">
        <v>9</v>
      </c>
      <c r="DC40">
        <v>7</v>
      </c>
      <c r="DD40">
        <v>5</v>
      </c>
      <c r="DE40">
        <v>7</v>
      </c>
      <c r="DF40">
        <v>5</v>
      </c>
      <c r="DG40">
        <v>3</v>
      </c>
      <c r="DH40">
        <v>9</v>
      </c>
      <c r="DI40">
        <v>10</v>
      </c>
      <c r="DJ40">
        <v>2</v>
      </c>
      <c r="DK40">
        <v>10</v>
      </c>
    </row>
    <row r="41" spans="1:115">
      <c r="A41" s="172">
        <f>Calculations[[#This Row],[Sum t eCO2]]*IF(Calculations[[#This Row],[GHG Scope]]="BIOGENIC",0,1)</f>
        <v>1.2904086081915001</v>
      </c>
      <c r="B41" s="149"/>
      <c r="C41" s="150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O41">
        <f t="shared" si="0"/>
        <v>40</v>
      </c>
      <c r="P41">
        <v>5</v>
      </c>
      <c r="Q41">
        <v>6</v>
      </c>
      <c r="R41">
        <v>6</v>
      </c>
      <c r="S41">
        <v>5</v>
      </c>
      <c r="T41">
        <v>9</v>
      </c>
      <c r="U41">
        <v>0</v>
      </c>
      <c r="V41">
        <v>2</v>
      </c>
      <c r="W41">
        <v>6</v>
      </c>
      <c r="X41">
        <v>9</v>
      </c>
      <c r="Y41">
        <v>2</v>
      </c>
      <c r="Z41">
        <v>6</v>
      </c>
      <c r="AA41">
        <v>2</v>
      </c>
      <c r="AB41">
        <v>10</v>
      </c>
      <c r="AC41">
        <v>0</v>
      </c>
      <c r="AD41">
        <v>6</v>
      </c>
      <c r="AE41">
        <v>2</v>
      </c>
      <c r="AF41">
        <v>1</v>
      </c>
      <c r="AG41">
        <v>3</v>
      </c>
      <c r="AH41">
        <v>0</v>
      </c>
      <c r="AI41">
        <v>2</v>
      </c>
      <c r="AJ41">
        <v>7</v>
      </c>
      <c r="AK41">
        <v>9</v>
      </c>
      <c r="AL41">
        <v>1</v>
      </c>
      <c r="AM41">
        <v>7</v>
      </c>
      <c r="AN41">
        <v>9</v>
      </c>
      <c r="AO41">
        <v>9</v>
      </c>
      <c r="AP41">
        <v>2</v>
      </c>
      <c r="AQ41">
        <v>5</v>
      </c>
      <c r="AR41">
        <v>1</v>
      </c>
      <c r="AS41">
        <v>1</v>
      </c>
      <c r="AT41">
        <v>8</v>
      </c>
      <c r="AU41">
        <v>9</v>
      </c>
      <c r="AV41">
        <v>10</v>
      </c>
      <c r="AW41">
        <v>3</v>
      </c>
      <c r="AX41">
        <v>1</v>
      </c>
      <c r="AY41">
        <v>5</v>
      </c>
      <c r="AZ41">
        <v>5</v>
      </c>
      <c r="BA41">
        <v>6</v>
      </c>
      <c r="BB41">
        <v>1</v>
      </c>
      <c r="BC41">
        <v>4</v>
      </c>
      <c r="BD41">
        <v>10</v>
      </c>
      <c r="BE41">
        <v>1</v>
      </c>
      <c r="BF41">
        <v>4</v>
      </c>
      <c r="BG41">
        <v>1</v>
      </c>
      <c r="BH41">
        <v>9</v>
      </c>
      <c r="BI41">
        <v>3</v>
      </c>
      <c r="BJ41">
        <v>1</v>
      </c>
      <c r="BK41">
        <v>5</v>
      </c>
      <c r="BL41">
        <v>7</v>
      </c>
      <c r="BM41">
        <v>9</v>
      </c>
      <c r="BN41">
        <v>2</v>
      </c>
      <c r="BO41">
        <v>5</v>
      </c>
      <c r="BP41">
        <v>5</v>
      </c>
      <c r="BQ41">
        <v>9</v>
      </c>
      <c r="BR41">
        <v>10</v>
      </c>
      <c r="BS41">
        <v>5</v>
      </c>
      <c r="BT41">
        <v>3</v>
      </c>
      <c r="BU41">
        <v>9</v>
      </c>
      <c r="BV41">
        <v>9</v>
      </c>
      <c r="BW41">
        <v>5</v>
      </c>
      <c r="BX41">
        <v>10</v>
      </c>
      <c r="BY41">
        <v>8</v>
      </c>
      <c r="BZ41">
        <v>5</v>
      </c>
      <c r="CA41">
        <v>3</v>
      </c>
      <c r="CB41">
        <v>9</v>
      </c>
      <c r="CC41">
        <v>8</v>
      </c>
      <c r="CD41">
        <v>9</v>
      </c>
      <c r="CE41">
        <v>10</v>
      </c>
      <c r="CF41">
        <v>6</v>
      </c>
      <c r="CG41">
        <v>10</v>
      </c>
      <c r="CH41">
        <v>8</v>
      </c>
      <c r="CI41">
        <v>7</v>
      </c>
      <c r="CJ41">
        <v>8</v>
      </c>
      <c r="CK41">
        <v>1</v>
      </c>
      <c r="CL41">
        <v>1</v>
      </c>
      <c r="CM41">
        <v>6</v>
      </c>
      <c r="CN41">
        <v>9</v>
      </c>
      <c r="CO41">
        <v>5</v>
      </c>
      <c r="CP41">
        <v>5</v>
      </c>
      <c r="CQ41">
        <v>10</v>
      </c>
      <c r="CR41">
        <v>7</v>
      </c>
      <c r="CS41">
        <v>6</v>
      </c>
      <c r="CT41">
        <v>8</v>
      </c>
      <c r="CU41">
        <v>2</v>
      </c>
      <c r="CV41">
        <v>8</v>
      </c>
      <c r="CW41">
        <v>9</v>
      </c>
      <c r="CX41">
        <v>1</v>
      </c>
      <c r="CY41">
        <v>2</v>
      </c>
      <c r="CZ41">
        <v>5</v>
      </c>
      <c r="DA41">
        <v>3</v>
      </c>
      <c r="DB41">
        <v>10</v>
      </c>
      <c r="DC41">
        <v>2</v>
      </c>
      <c r="DD41">
        <v>7</v>
      </c>
      <c r="DE41">
        <v>2</v>
      </c>
      <c r="DF41">
        <v>1</v>
      </c>
      <c r="DG41">
        <v>1</v>
      </c>
      <c r="DH41">
        <v>1</v>
      </c>
      <c r="DI41">
        <v>7</v>
      </c>
      <c r="DJ41">
        <v>10</v>
      </c>
      <c r="DK41">
        <v>6</v>
      </c>
    </row>
    <row r="42" spans="1:115">
      <c r="A42" s="172">
        <f>Calculations[[#This Row],[Sum t eCO2]]*IF(Calculations[[#This Row],[GHG Scope]]="BIOGENIC",0,1)</f>
        <v>1.3800477560630931E-5</v>
      </c>
      <c r="B42" s="149"/>
      <c r="C42" s="150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O42">
        <f t="shared" si="0"/>
        <v>41</v>
      </c>
      <c r="P42">
        <v>3</v>
      </c>
      <c r="Q42">
        <v>1</v>
      </c>
      <c r="R42">
        <v>6</v>
      </c>
      <c r="S42">
        <v>2</v>
      </c>
      <c r="T42">
        <v>5</v>
      </c>
      <c r="U42">
        <v>10</v>
      </c>
      <c r="V42">
        <v>2</v>
      </c>
      <c r="W42">
        <v>1</v>
      </c>
      <c r="X42">
        <v>0</v>
      </c>
      <c r="Y42">
        <v>2</v>
      </c>
      <c r="Z42">
        <v>8</v>
      </c>
      <c r="AA42">
        <v>2</v>
      </c>
      <c r="AB42">
        <v>9</v>
      </c>
      <c r="AC42">
        <v>2</v>
      </c>
      <c r="AD42">
        <v>10</v>
      </c>
      <c r="AE42">
        <v>2</v>
      </c>
      <c r="AF42">
        <v>4</v>
      </c>
      <c r="AG42">
        <v>7</v>
      </c>
      <c r="AH42">
        <v>4</v>
      </c>
      <c r="AI42">
        <v>5</v>
      </c>
      <c r="AJ42">
        <v>6</v>
      </c>
      <c r="AK42">
        <v>4</v>
      </c>
      <c r="AL42">
        <v>1</v>
      </c>
      <c r="AM42">
        <v>1</v>
      </c>
      <c r="AN42">
        <v>2</v>
      </c>
      <c r="AO42">
        <v>7</v>
      </c>
      <c r="AP42">
        <v>10</v>
      </c>
      <c r="AQ42">
        <v>2</v>
      </c>
      <c r="AR42">
        <v>2</v>
      </c>
      <c r="AS42">
        <v>2</v>
      </c>
      <c r="AT42">
        <v>8</v>
      </c>
      <c r="AU42">
        <v>5</v>
      </c>
      <c r="AV42">
        <v>9</v>
      </c>
      <c r="AW42">
        <v>5</v>
      </c>
      <c r="AX42">
        <v>1</v>
      </c>
      <c r="AY42">
        <v>1</v>
      </c>
      <c r="AZ42">
        <v>3</v>
      </c>
      <c r="BA42">
        <v>5</v>
      </c>
      <c r="BB42">
        <v>2</v>
      </c>
      <c r="BC42">
        <v>8</v>
      </c>
      <c r="BD42">
        <v>6</v>
      </c>
      <c r="BE42">
        <v>5</v>
      </c>
      <c r="BF42">
        <v>2</v>
      </c>
      <c r="BG42">
        <v>7</v>
      </c>
      <c r="BH42">
        <v>8</v>
      </c>
      <c r="BI42">
        <v>4</v>
      </c>
      <c r="BJ42">
        <v>5</v>
      </c>
      <c r="BK42">
        <v>5</v>
      </c>
      <c r="BL42">
        <v>10</v>
      </c>
      <c r="BM42">
        <v>10</v>
      </c>
      <c r="BN42">
        <v>3</v>
      </c>
      <c r="BO42">
        <v>4</v>
      </c>
      <c r="BP42">
        <v>6</v>
      </c>
      <c r="BQ42">
        <v>9</v>
      </c>
      <c r="BR42">
        <v>1</v>
      </c>
      <c r="BS42">
        <v>2</v>
      </c>
      <c r="BT42">
        <v>10</v>
      </c>
      <c r="BU42">
        <v>1</v>
      </c>
      <c r="BV42">
        <v>7</v>
      </c>
      <c r="BW42">
        <v>7</v>
      </c>
      <c r="BX42">
        <v>6</v>
      </c>
      <c r="BY42">
        <v>3</v>
      </c>
      <c r="BZ42">
        <v>0</v>
      </c>
      <c r="CA42">
        <v>1</v>
      </c>
      <c r="CB42">
        <v>7</v>
      </c>
      <c r="CC42">
        <v>5</v>
      </c>
      <c r="CD42">
        <v>1</v>
      </c>
      <c r="CE42">
        <v>0</v>
      </c>
      <c r="CF42">
        <v>4</v>
      </c>
      <c r="CG42">
        <v>10</v>
      </c>
      <c r="CH42">
        <v>10</v>
      </c>
      <c r="CI42">
        <v>8</v>
      </c>
      <c r="CJ42">
        <v>4</v>
      </c>
      <c r="CK42">
        <v>5</v>
      </c>
      <c r="CL42">
        <v>7</v>
      </c>
      <c r="CM42">
        <v>1</v>
      </c>
      <c r="CN42">
        <v>2</v>
      </c>
      <c r="CO42">
        <v>0</v>
      </c>
      <c r="CP42">
        <v>5</v>
      </c>
      <c r="CQ42">
        <v>0</v>
      </c>
      <c r="CR42">
        <v>4</v>
      </c>
      <c r="CS42">
        <v>1</v>
      </c>
      <c r="CT42">
        <v>3</v>
      </c>
      <c r="CU42">
        <v>4</v>
      </c>
      <c r="CV42">
        <v>0</v>
      </c>
      <c r="CW42">
        <v>10</v>
      </c>
      <c r="CX42">
        <v>0</v>
      </c>
      <c r="CY42">
        <v>4</v>
      </c>
      <c r="CZ42">
        <v>6</v>
      </c>
      <c r="DA42">
        <v>5</v>
      </c>
      <c r="DB42">
        <v>7</v>
      </c>
      <c r="DC42">
        <v>6</v>
      </c>
      <c r="DD42">
        <v>2</v>
      </c>
      <c r="DE42">
        <v>1</v>
      </c>
      <c r="DF42">
        <v>10</v>
      </c>
      <c r="DG42">
        <v>8</v>
      </c>
      <c r="DH42">
        <v>0</v>
      </c>
      <c r="DI42">
        <v>8</v>
      </c>
      <c r="DJ42">
        <v>10</v>
      </c>
      <c r="DK42">
        <v>9</v>
      </c>
    </row>
    <row r="43" spans="1:115">
      <c r="A43" s="172">
        <f>Calculations[[#This Row],[Sum t eCO2]]*IF(Calculations[[#This Row],[GHG Scope]]="BIOGENIC",0,1)</f>
        <v>1.3718622156260947E-2</v>
      </c>
      <c r="B43" s="149"/>
      <c r="C43" s="150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O43">
        <f t="shared" si="0"/>
        <v>42</v>
      </c>
      <c r="P43">
        <v>0</v>
      </c>
      <c r="Q43">
        <v>10</v>
      </c>
      <c r="R43">
        <v>6</v>
      </c>
      <c r="S43">
        <v>6</v>
      </c>
      <c r="T43">
        <v>8</v>
      </c>
      <c r="U43">
        <v>5</v>
      </c>
      <c r="V43">
        <v>5</v>
      </c>
      <c r="W43">
        <v>2</v>
      </c>
      <c r="X43">
        <v>7</v>
      </c>
      <c r="Y43">
        <v>8</v>
      </c>
      <c r="Z43">
        <v>10</v>
      </c>
      <c r="AA43">
        <v>2</v>
      </c>
      <c r="AB43">
        <v>10</v>
      </c>
      <c r="AC43">
        <v>9</v>
      </c>
      <c r="AD43">
        <v>8</v>
      </c>
      <c r="AE43">
        <v>10</v>
      </c>
      <c r="AF43">
        <v>7</v>
      </c>
      <c r="AG43">
        <v>5</v>
      </c>
      <c r="AH43">
        <v>9</v>
      </c>
      <c r="AI43">
        <v>4</v>
      </c>
      <c r="AJ43">
        <v>9</v>
      </c>
      <c r="AK43">
        <v>2</v>
      </c>
      <c r="AL43">
        <v>0</v>
      </c>
      <c r="AM43">
        <v>8</v>
      </c>
      <c r="AN43">
        <v>8</v>
      </c>
      <c r="AO43">
        <v>0</v>
      </c>
      <c r="AP43">
        <v>4</v>
      </c>
      <c r="AQ43">
        <v>4</v>
      </c>
      <c r="AR43">
        <v>10</v>
      </c>
      <c r="AS43">
        <v>7</v>
      </c>
      <c r="AT43">
        <v>4</v>
      </c>
      <c r="AU43">
        <v>3</v>
      </c>
      <c r="AV43">
        <v>8</v>
      </c>
      <c r="AW43">
        <v>9</v>
      </c>
      <c r="AX43">
        <v>8</v>
      </c>
      <c r="AY43">
        <v>5</v>
      </c>
      <c r="AZ43">
        <v>9</v>
      </c>
      <c r="BA43">
        <v>9</v>
      </c>
      <c r="BB43">
        <v>3</v>
      </c>
      <c r="BC43">
        <v>9</v>
      </c>
      <c r="BD43">
        <v>5</v>
      </c>
      <c r="BE43">
        <v>5</v>
      </c>
      <c r="BF43">
        <v>7</v>
      </c>
      <c r="BG43">
        <v>5</v>
      </c>
      <c r="BH43">
        <v>7</v>
      </c>
      <c r="BI43">
        <v>4</v>
      </c>
      <c r="BJ43">
        <v>3</v>
      </c>
      <c r="BK43">
        <v>0</v>
      </c>
      <c r="BL43">
        <v>9</v>
      </c>
      <c r="BM43">
        <v>7</v>
      </c>
      <c r="BN43">
        <v>9</v>
      </c>
      <c r="BO43">
        <v>9</v>
      </c>
      <c r="BP43">
        <v>5</v>
      </c>
      <c r="BQ43">
        <v>10</v>
      </c>
      <c r="BR43">
        <v>4</v>
      </c>
      <c r="BS43">
        <v>10</v>
      </c>
      <c r="BT43">
        <v>3</v>
      </c>
      <c r="BU43">
        <v>2</v>
      </c>
      <c r="BV43">
        <v>2</v>
      </c>
      <c r="BW43">
        <v>1</v>
      </c>
      <c r="BX43">
        <v>8</v>
      </c>
      <c r="BY43">
        <v>1</v>
      </c>
      <c r="BZ43">
        <v>7</v>
      </c>
      <c r="CA43">
        <v>4</v>
      </c>
      <c r="CB43">
        <v>9</v>
      </c>
      <c r="CC43">
        <v>7</v>
      </c>
      <c r="CD43">
        <v>6</v>
      </c>
      <c r="CE43">
        <v>2</v>
      </c>
      <c r="CF43">
        <v>1</v>
      </c>
      <c r="CG43">
        <v>9</v>
      </c>
      <c r="CH43">
        <v>5</v>
      </c>
      <c r="CI43">
        <v>0</v>
      </c>
      <c r="CJ43">
        <v>9</v>
      </c>
      <c r="CK43">
        <v>2</v>
      </c>
      <c r="CL43">
        <v>4</v>
      </c>
      <c r="CM43">
        <v>5</v>
      </c>
      <c r="CN43">
        <v>0</v>
      </c>
      <c r="CO43">
        <v>1</v>
      </c>
      <c r="CP43">
        <v>6</v>
      </c>
      <c r="CQ43">
        <v>5</v>
      </c>
      <c r="CR43">
        <v>10</v>
      </c>
      <c r="CS43">
        <v>8</v>
      </c>
      <c r="CT43">
        <v>6</v>
      </c>
      <c r="CU43">
        <v>5</v>
      </c>
      <c r="CV43">
        <v>10</v>
      </c>
      <c r="CW43">
        <v>3</v>
      </c>
      <c r="CX43">
        <v>10</v>
      </c>
      <c r="CY43">
        <v>1</v>
      </c>
      <c r="CZ43">
        <v>9</v>
      </c>
      <c r="DA43">
        <v>5</v>
      </c>
      <c r="DB43">
        <v>1</v>
      </c>
      <c r="DC43">
        <v>3</v>
      </c>
      <c r="DD43">
        <v>0</v>
      </c>
      <c r="DE43">
        <v>3</v>
      </c>
      <c r="DF43">
        <v>1</v>
      </c>
      <c r="DG43">
        <v>3</v>
      </c>
      <c r="DH43">
        <v>4</v>
      </c>
      <c r="DI43">
        <v>8</v>
      </c>
      <c r="DJ43">
        <v>2</v>
      </c>
      <c r="DK43">
        <v>4</v>
      </c>
    </row>
    <row r="44" spans="1:115">
      <c r="A44" s="172">
        <f>Calculations[[#This Row],[Sum t eCO2]]*IF(Calculations[[#This Row],[GHG Scope]]="BIOGENIC",0,1)</f>
        <v>4.3559737999659003</v>
      </c>
      <c r="B44" s="149"/>
      <c r="C44" s="150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O44">
        <f t="shared" si="0"/>
        <v>43</v>
      </c>
      <c r="P44">
        <v>5</v>
      </c>
      <c r="Q44">
        <v>1</v>
      </c>
      <c r="R44">
        <v>4</v>
      </c>
      <c r="S44">
        <v>0</v>
      </c>
      <c r="T44">
        <v>0</v>
      </c>
      <c r="U44">
        <v>3</v>
      </c>
      <c r="V44">
        <v>7</v>
      </c>
      <c r="W44">
        <v>4</v>
      </c>
      <c r="X44">
        <v>5</v>
      </c>
      <c r="Y44">
        <v>3</v>
      </c>
      <c r="Z44">
        <v>6</v>
      </c>
      <c r="AA44">
        <v>0</v>
      </c>
      <c r="AB44">
        <v>6</v>
      </c>
      <c r="AC44">
        <v>1</v>
      </c>
      <c r="AD44">
        <v>6</v>
      </c>
      <c r="AE44">
        <v>5</v>
      </c>
      <c r="AF44">
        <v>10</v>
      </c>
      <c r="AG44">
        <v>5</v>
      </c>
      <c r="AH44">
        <v>9</v>
      </c>
      <c r="AI44">
        <v>5</v>
      </c>
      <c r="AJ44">
        <v>7</v>
      </c>
      <c r="AK44">
        <v>0</v>
      </c>
      <c r="AL44">
        <v>5</v>
      </c>
      <c r="AM44">
        <v>6</v>
      </c>
      <c r="AN44">
        <v>7</v>
      </c>
      <c r="AO44">
        <v>3</v>
      </c>
      <c r="AP44">
        <v>0</v>
      </c>
      <c r="AQ44">
        <v>6</v>
      </c>
      <c r="AR44">
        <v>8</v>
      </c>
      <c r="AS44">
        <v>3</v>
      </c>
      <c r="AT44">
        <v>9</v>
      </c>
      <c r="AU44">
        <v>2</v>
      </c>
      <c r="AV44">
        <v>3</v>
      </c>
      <c r="AW44">
        <v>2</v>
      </c>
      <c r="AX44">
        <v>9</v>
      </c>
      <c r="AY44">
        <v>0</v>
      </c>
      <c r="AZ44">
        <v>2</v>
      </c>
      <c r="BA44">
        <v>5</v>
      </c>
      <c r="BB44">
        <v>3</v>
      </c>
      <c r="BC44">
        <v>1</v>
      </c>
      <c r="BD44">
        <v>5</v>
      </c>
      <c r="BE44">
        <v>4</v>
      </c>
      <c r="BF44">
        <v>2</v>
      </c>
      <c r="BG44">
        <v>7</v>
      </c>
      <c r="BH44">
        <v>3</v>
      </c>
      <c r="BI44">
        <v>5</v>
      </c>
      <c r="BJ44">
        <v>9</v>
      </c>
      <c r="BK44">
        <v>8</v>
      </c>
      <c r="BL44">
        <v>8</v>
      </c>
      <c r="BM44">
        <v>8</v>
      </c>
      <c r="BN44">
        <v>5</v>
      </c>
      <c r="BO44">
        <v>0</v>
      </c>
      <c r="BP44">
        <v>2</v>
      </c>
      <c r="BQ44">
        <v>5</v>
      </c>
      <c r="BR44">
        <v>1</v>
      </c>
      <c r="BS44">
        <v>4</v>
      </c>
      <c r="BT44">
        <v>6</v>
      </c>
      <c r="BU44">
        <v>9</v>
      </c>
      <c r="BV44">
        <v>9</v>
      </c>
      <c r="BW44">
        <v>7</v>
      </c>
      <c r="BX44">
        <v>3</v>
      </c>
      <c r="BY44">
        <v>8</v>
      </c>
      <c r="BZ44">
        <v>5</v>
      </c>
      <c r="CA44">
        <v>6</v>
      </c>
      <c r="CB44">
        <v>0</v>
      </c>
      <c r="CC44">
        <v>2</v>
      </c>
      <c r="CD44">
        <v>1</v>
      </c>
      <c r="CE44">
        <v>0</v>
      </c>
      <c r="CF44">
        <v>6</v>
      </c>
      <c r="CG44">
        <v>5</v>
      </c>
      <c r="CH44">
        <v>8</v>
      </c>
      <c r="CI44">
        <v>7</v>
      </c>
      <c r="CJ44">
        <v>5</v>
      </c>
      <c r="CK44">
        <v>6</v>
      </c>
      <c r="CL44">
        <v>5</v>
      </c>
      <c r="CM44">
        <v>9</v>
      </c>
      <c r="CN44">
        <v>4</v>
      </c>
      <c r="CO44">
        <v>3</v>
      </c>
      <c r="CP44">
        <v>5</v>
      </c>
      <c r="CQ44">
        <v>6</v>
      </c>
      <c r="CR44">
        <v>6</v>
      </c>
      <c r="CS44">
        <v>7</v>
      </c>
      <c r="CT44">
        <v>1</v>
      </c>
      <c r="CU44">
        <v>7</v>
      </c>
      <c r="CV44">
        <v>8</v>
      </c>
      <c r="CW44">
        <v>3</v>
      </c>
      <c r="CX44">
        <v>5</v>
      </c>
      <c r="CY44">
        <v>8</v>
      </c>
      <c r="CZ44">
        <v>10</v>
      </c>
      <c r="DA44">
        <v>1</v>
      </c>
      <c r="DB44">
        <v>7</v>
      </c>
      <c r="DC44">
        <v>1</v>
      </c>
      <c r="DD44">
        <v>5</v>
      </c>
      <c r="DE44">
        <v>10</v>
      </c>
      <c r="DF44">
        <v>6</v>
      </c>
      <c r="DG44">
        <v>4</v>
      </c>
      <c r="DH44">
        <v>8</v>
      </c>
      <c r="DI44">
        <v>10</v>
      </c>
      <c r="DJ44">
        <v>9</v>
      </c>
      <c r="DK44">
        <v>8</v>
      </c>
    </row>
    <row r="45" spans="1:115">
      <c r="A45" s="172">
        <f>Calculations[[#This Row],[Sum t eCO2]]*IF(Calculations[[#This Row],[GHG Scope]]="BIOGENIC",0,1)</f>
        <v>4.6585646050033554E-5</v>
      </c>
      <c r="B45" s="149"/>
      <c r="C45" s="150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O45">
        <f t="shared" si="0"/>
        <v>44</v>
      </c>
      <c r="P45">
        <v>1</v>
      </c>
      <c r="Q45">
        <v>5</v>
      </c>
      <c r="R45">
        <v>9</v>
      </c>
      <c r="S45">
        <v>3</v>
      </c>
      <c r="T45">
        <v>7</v>
      </c>
      <c r="U45">
        <v>4</v>
      </c>
      <c r="V45">
        <v>6</v>
      </c>
      <c r="W45">
        <v>8</v>
      </c>
      <c r="X45">
        <v>4</v>
      </c>
      <c r="Y45">
        <v>1</v>
      </c>
      <c r="Z45">
        <v>6</v>
      </c>
      <c r="AA45">
        <v>6</v>
      </c>
      <c r="AB45">
        <v>2</v>
      </c>
      <c r="AC45">
        <v>10</v>
      </c>
      <c r="AD45">
        <v>5</v>
      </c>
      <c r="AE45">
        <v>9</v>
      </c>
      <c r="AF45">
        <v>2</v>
      </c>
      <c r="AG45">
        <v>4</v>
      </c>
      <c r="AH45">
        <v>7</v>
      </c>
      <c r="AI45">
        <v>5</v>
      </c>
      <c r="AJ45">
        <v>3</v>
      </c>
      <c r="AK45">
        <v>5</v>
      </c>
      <c r="AL45">
        <v>2</v>
      </c>
      <c r="AM45">
        <v>10</v>
      </c>
      <c r="AN45">
        <v>6</v>
      </c>
      <c r="AO45">
        <v>8</v>
      </c>
      <c r="AP45">
        <v>2</v>
      </c>
      <c r="AQ45">
        <v>5</v>
      </c>
      <c r="AR45">
        <v>10</v>
      </c>
      <c r="AS45">
        <v>3</v>
      </c>
      <c r="AT45">
        <v>5</v>
      </c>
      <c r="AU45">
        <v>4</v>
      </c>
      <c r="AV45">
        <v>4</v>
      </c>
      <c r="AW45">
        <v>4</v>
      </c>
      <c r="AX45">
        <v>1</v>
      </c>
      <c r="AY45">
        <v>3</v>
      </c>
      <c r="AZ45">
        <v>5</v>
      </c>
      <c r="BA45">
        <v>10</v>
      </c>
      <c r="BB45">
        <v>1</v>
      </c>
      <c r="BC45">
        <v>7</v>
      </c>
      <c r="BD45">
        <v>10</v>
      </c>
      <c r="BE45">
        <v>1</v>
      </c>
      <c r="BF45">
        <v>9</v>
      </c>
      <c r="BG45">
        <v>7</v>
      </c>
      <c r="BH45">
        <v>5</v>
      </c>
      <c r="BI45">
        <v>0</v>
      </c>
      <c r="BJ45">
        <v>10</v>
      </c>
      <c r="BK45">
        <v>2</v>
      </c>
      <c r="BL45">
        <v>4</v>
      </c>
      <c r="BM45">
        <v>4</v>
      </c>
      <c r="BN45">
        <v>5</v>
      </c>
      <c r="BO45">
        <v>1</v>
      </c>
      <c r="BP45">
        <v>1</v>
      </c>
      <c r="BQ45">
        <v>2</v>
      </c>
      <c r="BR45">
        <v>1</v>
      </c>
      <c r="BS45">
        <v>7</v>
      </c>
      <c r="BT45">
        <v>1</v>
      </c>
      <c r="BU45">
        <v>4</v>
      </c>
      <c r="BV45">
        <v>10</v>
      </c>
      <c r="BW45">
        <v>5</v>
      </c>
      <c r="BX45">
        <v>4</v>
      </c>
      <c r="BY45">
        <v>5</v>
      </c>
      <c r="BZ45">
        <v>8</v>
      </c>
      <c r="CA45">
        <v>10</v>
      </c>
      <c r="CB45">
        <v>9</v>
      </c>
      <c r="CC45">
        <v>3</v>
      </c>
      <c r="CD45">
        <v>9</v>
      </c>
      <c r="CE45">
        <v>6</v>
      </c>
      <c r="CF45">
        <v>0</v>
      </c>
      <c r="CG45">
        <v>6</v>
      </c>
      <c r="CH45">
        <v>1</v>
      </c>
      <c r="CI45">
        <v>5</v>
      </c>
      <c r="CJ45">
        <v>9</v>
      </c>
      <c r="CK45">
        <v>4</v>
      </c>
      <c r="CL45">
        <v>2</v>
      </c>
      <c r="CM45">
        <v>4</v>
      </c>
      <c r="CN45">
        <v>4</v>
      </c>
      <c r="CO45">
        <v>7</v>
      </c>
      <c r="CP45">
        <v>7</v>
      </c>
      <c r="CQ45">
        <v>1</v>
      </c>
      <c r="CR45">
        <v>0</v>
      </c>
      <c r="CS45">
        <v>2</v>
      </c>
      <c r="CT45">
        <v>6</v>
      </c>
      <c r="CU45">
        <v>0</v>
      </c>
      <c r="CV45">
        <v>8</v>
      </c>
      <c r="CW45">
        <v>1</v>
      </c>
      <c r="CX45">
        <v>10</v>
      </c>
      <c r="CY45">
        <v>10</v>
      </c>
      <c r="CZ45">
        <v>2</v>
      </c>
      <c r="DA45">
        <v>1</v>
      </c>
      <c r="DB45">
        <v>7</v>
      </c>
      <c r="DC45">
        <v>4</v>
      </c>
      <c r="DD45">
        <v>0</v>
      </c>
      <c r="DE45">
        <v>10</v>
      </c>
      <c r="DF45">
        <v>7</v>
      </c>
      <c r="DG45">
        <v>4</v>
      </c>
      <c r="DH45">
        <v>2</v>
      </c>
      <c r="DI45">
        <v>9</v>
      </c>
      <c r="DJ45">
        <v>7</v>
      </c>
      <c r="DK45">
        <v>5</v>
      </c>
    </row>
    <row r="46" spans="1:115">
      <c r="A46" s="172">
        <f>Calculations[[#This Row],[Sum t eCO2]]*IF(Calculations[[#This Row],[GHG Scope]]="BIOGENIC",0,1)</f>
        <v>4.6309330474829061E-2</v>
      </c>
      <c r="B46" s="149"/>
      <c r="C46" s="150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O46">
        <f t="shared" si="0"/>
        <v>45</v>
      </c>
      <c r="P46">
        <v>4</v>
      </c>
      <c r="Q46">
        <v>3</v>
      </c>
      <c r="R46">
        <v>2</v>
      </c>
      <c r="S46">
        <v>1</v>
      </c>
      <c r="T46">
        <v>8</v>
      </c>
      <c r="U46">
        <v>4</v>
      </c>
      <c r="V46">
        <v>7</v>
      </c>
      <c r="W46">
        <v>1</v>
      </c>
      <c r="X46">
        <v>1</v>
      </c>
      <c r="Y46">
        <v>6</v>
      </c>
      <c r="Z46">
        <v>6</v>
      </c>
      <c r="AA46">
        <v>9</v>
      </c>
      <c r="AB46">
        <v>1</v>
      </c>
      <c r="AC46">
        <v>10</v>
      </c>
      <c r="AD46">
        <v>6</v>
      </c>
      <c r="AE46">
        <v>5</v>
      </c>
      <c r="AF46">
        <v>1</v>
      </c>
      <c r="AG46">
        <v>8</v>
      </c>
      <c r="AH46">
        <v>1</v>
      </c>
      <c r="AI46">
        <v>1</v>
      </c>
      <c r="AJ46">
        <v>10</v>
      </c>
      <c r="AK46">
        <v>10</v>
      </c>
      <c r="AL46">
        <v>8</v>
      </c>
      <c r="AM46">
        <v>3</v>
      </c>
      <c r="AN46">
        <v>5</v>
      </c>
      <c r="AO46">
        <v>3</v>
      </c>
      <c r="AP46">
        <v>7</v>
      </c>
      <c r="AQ46">
        <v>0</v>
      </c>
      <c r="AR46">
        <v>2</v>
      </c>
      <c r="AS46">
        <v>9</v>
      </c>
      <c r="AT46">
        <v>4</v>
      </c>
      <c r="AU46">
        <v>4</v>
      </c>
      <c r="AV46">
        <v>0</v>
      </c>
      <c r="AW46">
        <v>0</v>
      </c>
      <c r="AX46">
        <v>0</v>
      </c>
      <c r="AY46">
        <v>8</v>
      </c>
      <c r="AZ46">
        <v>9</v>
      </c>
      <c r="BA46">
        <v>4</v>
      </c>
      <c r="BB46">
        <v>2</v>
      </c>
      <c r="BC46">
        <v>7</v>
      </c>
      <c r="BD46">
        <v>10</v>
      </c>
      <c r="BE46">
        <v>6</v>
      </c>
      <c r="BF46">
        <v>8</v>
      </c>
      <c r="BG46">
        <v>8</v>
      </c>
      <c r="BH46">
        <v>3</v>
      </c>
      <c r="BI46">
        <v>5</v>
      </c>
      <c r="BJ46">
        <v>9</v>
      </c>
      <c r="BK46">
        <v>2</v>
      </c>
      <c r="BL46">
        <v>6</v>
      </c>
      <c r="BM46">
        <v>7</v>
      </c>
      <c r="BN46">
        <v>5</v>
      </c>
      <c r="BO46">
        <v>3</v>
      </c>
      <c r="BP46">
        <v>5</v>
      </c>
      <c r="BQ46">
        <v>3</v>
      </c>
      <c r="BR46">
        <v>3</v>
      </c>
      <c r="BS46">
        <v>9</v>
      </c>
      <c r="BT46">
        <v>5</v>
      </c>
      <c r="BU46">
        <v>10</v>
      </c>
      <c r="BV46">
        <v>6</v>
      </c>
      <c r="BW46">
        <v>6</v>
      </c>
      <c r="BX46">
        <v>10</v>
      </c>
      <c r="BY46">
        <v>0</v>
      </c>
      <c r="BZ46">
        <v>5</v>
      </c>
      <c r="CA46">
        <v>7</v>
      </c>
      <c r="CB46">
        <v>5</v>
      </c>
      <c r="CC46">
        <v>5</v>
      </c>
      <c r="CD46">
        <v>9</v>
      </c>
      <c r="CE46">
        <v>9</v>
      </c>
      <c r="CF46">
        <v>6</v>
      </c>
      <c r="CG46">
        <v>4</v>
      </c>
      <c r="CH46">
        <v>8</v>
      </c>
      <c r="CI46">
        <v>4</v>
      </c>
      <c r="CJ46">
        <v>10</v>
      </c>
      <c r="CK46">
        <v>6</v>
      </c>
      <c r="CL46">
        <v>3</v>
      </c>
      <c r="CM46">
        <v>4</v>
      </c>
      <c r="CN46">
        <v>2</v>
      </c>
      <c r="CO46">
        <v>7</v>
      </c>
      <c r="CP46">
        <v>9</v>
      </c>
      <c r="CQ46">
        <v>8</v>
      </c>
      <c r="CR46">
        <v>7</v>
      </c>
      <c r="CS46">
        <v>1</v>
      </c>
      <c r="CT46">
        <v>6</v>
      </c>
      <c r="CU46">
        <v>6</v>
      </c>
      <c r="CV46">
        <v>2</v>
      </c>
      <c r="CW46">
        <v>8</v>
      </c>
      <c r="CX46">
        <v>7</v>
      </c>
      <c r="CY46">
        <v>8</v>
      </c>
      <c r="CZ46">
        <v>7</v>
      </c>
      <c r="DA46">
        <v>1</v>
      </c>
      <c r="DB46">
        <v>1</v>
      </c>
      <c r="DC46">
        <v>4</v>
      </c>
      <c r="DD46">
        <v>8</v>
      </c>
      <c r="DE46">
        <v>0</v>
      </c>
      <c r="DF46">
        <v>10</v>
      </c>
      <c r="DG46">
        <v>10</v>
      </c>
      <c r="DH46">
        <v>7</v>
      </c>
      <c r="DI46">
        <v>2</v>
      </c>
      <c r="DJ46">
        <v>0</v>
      </c>
      <c r="DK46">
        <v>10</v>
      </c>
    </row>
    <row r="47" spans="1:115">
      <c r="A47" s="172">
        <f>Calculations[[#This Row],[Sum t eCO2]]*IF(Calculations[[#This Row],[GHG Scope]]="BIOGENIC",0,1)</f>
        <v>1.0747012385843999</v>
      </c>
      <c r="B47" s="149"/>
      <c r="C47" s="150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O47">
        <f t="shared" si="0"/>
        <v>46</v>
      </c>
      <c r="P47">
        <v>6</v>
      </c>
      <c r="Q47">
        <v>5</v>
      </c>
      <c r="R47">
        <v>2</v>
      </c>
      <c r="S47">
        <v>1</v>
      </c>
      <c r="T47">
        <v>8</v>
      </c>
      <c r="U47">
        <v>1</v>
      </c>
      <c r="V47">
        <v>4</v>
      </c>
      <c r="W47">
        <v>4</v>
      </c>
      <c r="X47">
        <v>4</v>
      </c>
      <c r="Y47">
        <v>1</v>
      </c>
      <c r="Z47">
        <v>2</v>
      </c>
      <c r="AA47">
        <v>1</v>
      </c>
      <c r="AB47">
        <v>9</v>
      </c>
      <c r="AC47">
        <v>4</v>
      </c>
      <c r="AD47">
        <v>9</v>
      </c>
      <c r="AE47">
        <v>0</v>
      </c>
      <c r="AF47">
        <v>4</v>
      </c>
      <c r="AG47">
        <v>9</v>
      </c>
      <c r="AH47">
        <v>9</v>
      </c>
      <c r="AI47">
        <v>4</v>
      </c>
      <c r="AJ47">
        <v>8</v>
      </c>
      <c r="AK47">
        <v>6</v>
      </c>
      <c r="AL47">
        <v>5</v>
      </c>
      <c r="AM47">
        <v>7</v>
      </c>
      <c r="AN47">
        <v>4</v>
      </c>
      <c r="AO47">
        <v>9</v>
      </c>
      <c r="AP47">
        <v>1</v>
      </c>
      <c r="AQ47">
        <v>0</v>
      </c>
      <c r="AR47">
        <v>6</v>
      </c>
      <c r="AS47">
        <v>4</v>
      </c>
      <c r="AT47">
        <v>0</v>
      </c>
      <c r="AU47">
        <v>2</v>
      </c>
      <c r="AV47">
        <v>8</v>
      </c>
      <c r="AW47">
        <v>10</v>
      </c>
      <c r="AX47">
        <v>7</v>
      </c>
      <c r="AY47">
        <v>0</v>
      </c>
      <c r="AZ47">
        <v>5</v>
      </c>
      <c r="BA47">
        <v>9</v>
      </c>
      <c r="BB47">
        <v>1</v>
      </c>
      <c r="BC47">
        <v>9</v>
      </c>
      <c r="BD47">
        <v>5</v>
      </c>
      <c r="BE47">
        <v>8</v>
      </c>
      <c r="BF47">
        <v>5</v>
      </c>
      <c r="BG47">
        <v>4</v>
      </c>
      <c r="BH47">
        <v>0</v>
      </c>
      <c r="BI47">
        <v>8</v>
      </c>
      <c r="BJ47">
        <v>0</v>
      </c>
      <c r="BK47">
        <v>3</v>
      </c>
      <c r="BL47">
        <v>3</v>
      </c>
      <c r="BM47">
        <v>10</v>
      </c>
      <c r="BN47">
        <v>4</v>
      </c>
      <c r="BO47">
        <v>2</v>
      </c>
      <c r="BP47">
        <v>4</v>
      </c>
      <c r="BQ47">
        <v>4</v>
      </c>
      <c r="BR47">
        <v>8</v>
      </c>
      <c r="BS47">
        <v>4</v>
      </c>
      <c r="BT47">
        <v>10</v>
      </c>
      <c r="BU47">
        <v>1</v>
      </c>
      <c r="BV47">
        <v>8</v>
      </c>
      <c r="BW47">
        <v>8</v>
      </c>
      <c r="BX47">
        <v>9</v>
      </c>
      <c r="BY47">
        <v>7</v>
      </c>
      <c r="BZ47">
        <v>1</v>
      </c>
      <c r="CA47">
        <v>3</v>
      </c>
      <c r="CB47">
        <v>6</v>
      </c>
      <c r="CC47">
        <v>10</v>
      </c>
      <c r="CD47">
        <v>5</v>
      </c>
      <c r="CE47">
        <v>7</v>
      </c>
      <c r="CF47">
        <v>4</v>
      </c>
      <c r="CG47">
        <v>1</v>
      </c>
      <c r="CH47">
        <v>6</v>
      </c>
      <c r="CI47">
        <v>6</v>
      </c>
      <c r="CJ47">
        <v>9</v>
      </c>
      <c r="CK47">
        <v>1</v>
      </c>
      <c r="CL47">
        <v>10</v>
      </c>
      <c r="CM47">
        <v>7</v>
      </c>
      <c r="CN47">
        <v>7</v>
      </c>
      <c r="CO47">
        <v>4</v>
      </c>
      <c r="CP47">
        <v>3</v>
      </c>
      <c r="CQ47">
        <v>1</v>
      </c>
      <c r="CR47">
        <v>9</v>
      </c>
      <c r="CS47">
        <v>8</v>
      </c>
      <c r="CT47">
        <v>7</v>
      </c>
      <c r="CU47">
        <v>10</v>
      </c>
      <c r="CV47">
        <v>4</v>
      </c>
      <c r="CW47">
        <v>6</v>
      </c>
      <c r="CX47">
        <v>7</v>
      </c>
      <c r="CY47">
        <v>1</v>
      </c>
      <c r="CZ47">
        <v>8</v>
      </c>
      <c r="DA47">
        <v>8</v>
      </c>
      <c r="DB47">
        <v>3</v>
      </c>
      <c r="DC47">
        <v>2</v>
      </c>
      <c r="DD47">
        <v>7</v>
      </c>
      <c r="DE47">
        <v>7</v>
      </c>
      <c r="DF47">
        <v>10</v>
      </c>
      <c r="DG47">
        <v>0</v>
      </c>
      <c r="DH47">
        <v>10</v>
      </c>
      <c r="DI47">
        <v>0</v>
      </c>
      <c r="DJ47">
        <v>7</v>
      </c>
      <c r="DK47">
        <v>5</v>
      </c>
    </row>
    <row r="48" spans="1:115">
      <c r="A48" s="172">
        <f>Calculations[[#This Row],[Sum t eCO2]]*IF(Calculations[[#This Row],[GHG Scope]]="BIOGENIC",0,1)</f>
        <v>1.1493561212562262E-5</v>
      </c>
      <c r="B48" s="149"/>
      <c r="C48" s="150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O48">
        <f t="shared" si="0"/>
        <v>47</v>
      </c>
      <c r="P48">
        <v>0</v>
      </c>
      <c r="Q48">
        <v>2</v>
      </c>
      <c r="R48">
        <v>0</v>
      </c>
      <c r="S48">
        <v>3</v>
      </c>
      <c r="T48">
        <v>7</v>
      </c>
      <c r="U48">
        <v>6</v>
      </c>
      <c r="V48">
        <v>6</v>
      </c>
      <c r="W48">
        <v>1</v>
      </c>
      <c r="X48">
        <v>0</v>
      </c>
      <c r="Y48">
        <v>3</v>
      </c>
      <c r="Z48">
        <v>8</v>
      </c>
      <c r="AA48">
        <v>1</v>
      </c>
      <c r="AB48">
        <v>7</v>
      </c>
      <c r="AC48">
        <v>3</v>
      </c>
      <c r="AD48">
        <v>6</v>
      </c>
      <c r="AE48">
        <v>2</v>
      </c>
      <c r="AF48">
        <v>2</v>
      </c>
      <c r="AG48">
        <v>2</v>
      </c>
      <c r="AH48">
        <v>4</v>
      </c>
      <c r="AI48">
        <v>0</v>
      </c>
      <c r="AJ48">
        <v>6</v>
      </c>
      <c r="AK48">
        <v>7</v>
      </c>
      <c r="AL48">
        <v>0</v>
      </c>
      <c r="AM48">
        <v>3</v>
      </c>
      <c r="AN48">
        <v>4</v>
      </c>
      <c r="AO48">
        <v>9</v>
      </c>
      <c r="AP48">
        <v>2</v>
      </c>
      <c r="AQ48">
        <v>3</v>
      </c>
      <c r="AR48">
        <v>6</v>
      </c>
      <c r="AS48">
        <v>3</v>
      </c>
      <c r="AT48">
        <v>5</v>
      </c>
      <c r="AU48">
        <v>4</v>
      </c>
      <c r="AV48">
        <v>10</v>
      </c>
      <c r="AW48">
        <v>4</v>
      </c>
      <c r="AX48">
        <v>9</v>
      </c>
      <c r="AY48">
        <v>7</v>
      </c>
      <c r="AZ48">
        <v>1</v>
      </c>
      <c r="BA48">
        <v>10</v>
      </c>
      <c r="BB48">
        <v>0</v>
      </c>
      <c r="BC48">
        <v>7</v>
      </c>
      <c r="BD48">
        <v>1</v>
      </c>
      <c r="BE48">
        <v>5</v>
      </c>
      <c r="BF48">
        <v>0</v>
      </c>
      <c r="BG48">
        <v>3</v>
      </c>
      <c r="BH48">
        <v>6</v>
      </c>
      <c r="BI48">
        <v>6</v>
      </c>
      <c r="BJ48">
        <v>4</v>
      </c>
      <c r="BK48">
        <v>2</v>
      </c>
      <c r="BL48">
        <v>2</v>
      </c>
      <c r="BM48">
        <v>3</v>
      </c>
      <c r="BN48">
        <v>1</v>
      </c>
      <c r="BO48">
        <v>6</v>
      </c>
      <c r="BP48">
        <v>0</v>
      </c>
      <c r="BQ48">
        <v>5</v>
      </c>
      <c r="BR48">
        <v>5</v>
      </c>
      <c r="BS48">
        <v>10</v>
      </c>
      <c r="BT48">
        <v>6</v>
      </c>
      <c r="BU48">
        <v>9</v>
      </c>
      <c r="BV48">
        <v>0</v>
      </c>
      <c r="BW48">
        <v>1</v>
      </c>
      <c r="BX48">
        <v>5</v>
      </c>
      <c r="BY48">
        <v>2</v>
      </c>
      <c r="BZ48">
        <v>1</v>
      </c>
      <c r="CA48">
        <v>0</v>
      </c>
      <c r="CB48">
        <v>4</v>
      </c>
      <c r="CC48">
        <v>1</v>
      </c>
      <c r="CD48">
        <v>8</v>
      </c>
      <c r="CE48">
        <v>1</v>
      </c>
      <c r="CF48">
        <v>6</v>
      </c>
      <c r="CG48">
        <v>8</v>
      </c>
      <c r="CH48">
        <v>7</v>
      </c>
      <c r="CI48">
        <v>0</v>
      </c>
      <c r="CJ48">
        <v>5</v>
      </c>
      <c r="CK48">
        <v>5</v>
      </c>
      <c r="CL48">
        <v>3</v>
      </c>
      <c r="CM48">
        <v>9</v>
      </c>
      <c r="CN48">
        <v>5</v>
      </c>
      <c r="CO48">
        <v>9</v>
      </c>
      <c r="CP48">
        <v>5</v>
      </c>
      <c r="CQ48">
        <v>3</v>
      </c>
      <c r="CR48">
        <v>10</v>
      </c>
      <c r="CS48">
        <v>4</v>
      </c>
      <c r="CT48">
        <v>6</v>
      </c>
      <c r="CU48">
        <v>1</v>
      </c>
      <c r="CV48">
        <v>2</v>
      </c>
      <c r="CW48">
        <v>8</v>
      </c>
      <c r="CX48">
        <v>3</v>
      </c>
      <c r="CY48">
        <v>4</v>
      </c>
      <c r="CZ48">
        <v>9</v>
      </c>
      <c r="DA48">
        <v>1</v>
      </c>
      <c r="DB48">
        <v>4</v>
      </c>
      <c r="DC48">
        <v>10</v>
      </c>
      <c r="DD48">
        <v>9</v>
      </c>
      <c r="DE48">
        <v>1</v>
      </c>
      <c r="DF48">
        <v>0</v>
      </c>
      <c r="DG48">
        <v>5</v>
      </c>
      <c r="DH48">
        <v>0</v>
      </c>
      <c r="DI48">
        <v>0</v>
      </c>
      <c r="DJ48">
        <v>5</v>
      </c>
      <c r="DK48">
        <v>2</v>
      </c>
    </row>
    <row r="49" spans="1:115">
      <c r="A49" s="172">
        <f>Calculations[[#This Row],[Sum t eCO2]]*IF(Calculations[[#This Row],[GHG Scope]]="BIOGENIC",0,1)</f>
        <v>1.1425388926743016E-2</v>
      </c>
      <c r="B49" s="149"/>
      <c r="C49" s="150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O49">
        <f t="shared" si="0"/>
        <v>48</v>
      </c>
      <c r="P49">
        <v>10</v>
      </c>
      <c r="Q49">
        <v>3</v>
      </c>
      <c r="R49">
        <v>8</v>
      </c>
      <c r="S49">
        <v>0</v>
      </c>
      <c r="T49">
        <v>1</v>
      </c>
      <c r="U49">
        <v>1</v>
      </c>
      <c r="V49">
        <v>10</v>
      </c>
      <c r="W49">
        <v>9</v>
      </c>
      <c r="X49">
        <v>5</v>
      </c>
      <c r="Y49">
        <v>5</v>
      </c>
      <c r="Z49">
        <v>0</v>
      </c>
      <c r="AA49">
        <v>5</v>
      </c>
      <c r="AB49">
        <v>8</v>
      </c>
      <c r="AC49">
        <v>5</v>
      </c>
      <c r="AD49">
        <v>3</v>
      </c>
      <c r="AE49">
        <v>2</v>
      </c>
      <c r="AF49">
        <v>10</v>
      </c>
      <c r="AG49">
        <v>7</v>
      </c>
      <c r="AH49">
        <v>5</v>
      </c>
      <c r="AI49">
        <v>7</v>
      </c>
      <c r="AJ49">
        <v>10</v>
      </c>
      <c r="AK49">
        <v>2</v>
      </c>
      <c r="AL49">
        <v>8</v>
      </c>
      <c r="AM49">
        <v>10</v>
      </c>
      <c r="AN49">
        <v>1</v>
      </c>
      <c r="AO49">
        <v>4</v>
      </c>
      <c r="AP49">
        <v>6</v>
      </c>
      <c r="AQ49">
        <v>3</v>
      </c>
      <c r="AR49">
        <v>7</v>
      </c>
      <c r="AS49">
        <v>8</v>
      </c>
      <c r="AT49">
        <v>9</v>
      </c>
      <c r="AU49">
        <v>6</v>
      </c>
      <c r="AV49">
        <v>5</v>
      </c>
      <c r="AW49">
        <v>3</v>
      </c>
      <c r="AX49">
        <v>8</v>
      </c>
      <c r="AY49">
        <v>9</v>
      </c>
      <c r="AZ49">
        <v>5</v>
      </c>
      <c r="BA49">
        <v>8</v>
      </c>
      <c r="BB49">
        <v>7</v>
      </c>
      <c r="BC49">
        <v>3</v>
      </c>
      <c r="BD49">
        <v>1</v>
      </c>
      <c r="BE49">
        <v>4</v>
      </c>
      <c r="BF49">
        <v>8</v>
      </c>
      <c r="BG49">
        <v>9</v>
      </c>
      <c r="BH49">
        <v>10</v>
      </c>
      <c r="BI49">
        <v>7</v>
      </c>
      <c r="BJ49">
        <v>3</v>
      </c>
      <c r="BK49">
        <v>0</v>
      </c>
      <c r="BL49">
        <v>9</v>
      </c>
      <c r="BM49">
        <v>6</v>
      </c>
      <c r="BN49">
        <v>1</v>
      </c>
      <c r="BO49">
        <v>5</v>
      </c>
      <c r="BP49">
        <v>9</v>
      </c>
      <c r="BQ49">
        <v>3</v>
      </c>
      <c r="BR49">
        <v>1</v>
      </c>
      <c r="BS49">
        <v>9</v>
      </c>
      <c r="BT49">
        <v>4</v>
      </c>
      <c r="BU49">
        <v>0</v>
      </c>
      <c r="BV49">
        <v>7</v>
      </c>
      <c r="BW49">
        <v>10</v>
      </c>
      <c r="BX49">
        <v>5</v>
      </c>
      <c r="BY49">
        <v>6</v>
      </c>
      <c r="BZ49">
        <v>8</v>
      </c>
      <c r="CA49">
        <v>6</v>
      </c>
      <c r="CB49">
        <v>5</v>
      </c>
      <c r="CC49">
        <v>2</v>
      </c>
      <c r="CD49">
        <v>0</v>
      </c>
      <c r="CE49">
        <v>9</v>
      </c>
      <c r="CF49">
        <v>0</v>
      </c>
      <c r="CG49">
        <v>10</v>
      </c>
      <c r="CH49">
        <v>1</v>
      </c>
      <c r="CI49">
        <v>9</v>
      </c>
      <c r="CJ49">
        <v>8</v>
      </c>
      <c r="CK49">
        <v>2</v>
      </c>
      <c r="CL49">
        <v>10</v>
      </c>
      <c r="CM49">
        <v>0</v>
      </c>
      <c r="CN49">
        <v>4</v>
      </c>
      <c r="CO49">
        <v>7</v>
      </c>
      <c r="CP49">
        <v>5</v>
      </c>
      <c r="CQ49">
        <v>1</v>
      </c>
      <c r="CR49">
        <v>6</v>
      </c>
      <c r="CS49">
        <v>0</v>
      </c>
      <c r="CT49">
        <v>3</v>
      </c>
      <c r="CU49">
        <v>9</v>
      </c>
      <c r="CV49">
        <v>7</v>
      </c>
      <c r="CW49">
        <v>7</v>
      </c>
      <c r="CX49">
        <v>2</v>
      </c>
      <c r="CY49">
        <v>1</v>
      </c>
      <c r="CZ49">
        <v>10</v>
      </c>
      <c r="DA49">
        <v>8</v>
      </c>
      <c r="DB49">
        <v>6</v>
      </c>
      <c r="DC49">
        <v>4</v>
      </c>
      <c r="DD49">
        <v>5</v>
      </c>
      <c r="DE49">
        <v>10</v>
      </c>
      <c r="DF49">
        <v>9</v>
      </c>
      <c r="DG49">
        <v>7</v>
      </c>
      <c r="DH49">
        <v>7</v>
      </c>
      <c r="DI49">
        <v>1</v>
      </c>
      <c r="DJ49">
        <v>1</v>
      </c>
      <c r="DK49">
        <v>6</v>
      </c>
    </row>
    <row r="50" spans="1:115">
      <c r="A50" s="172">
        <f>Calculations[[#This Row],[Sum t eCO2]]*IF(Calculations[[#This Row],[GHG Scope]]="BIOGENIC",0,1)</f>
        <v>7.7551065510795008</v>
      </c>
      <c r="B50" s="149"/>
      <c r="C50" s="150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O50">
        <f t="shared" si="0"/>
        <v>49</v>
      </c>
      <c r="P50">
        <v>4</v>
      </c>
      <c r="Q50">
        <v>5</v>
      </c>
      <c r="R50">
        <v>3</v>
      </c>
      <c r="S50">
        <v>0</v>
      </c>
      <c r="T50">
        <v>0</v>
      </c>
      <c r="U50">
        <v>1</v>
      </c>
      <c r="V50">
        <v>10</v>
      </c>
      <c r="W50">
        <v>2</v>
      </c>
      <c r="X50">
        <v>1</v>
      </c>
      <c r="Y50">
        <v>6</v>
      </c>
      <c r="Z50">
        <v>7</v>
      </c>
      <c r="AA50">
        <v>4</v>
      </c>
      <c r="AB50">
        <v>9</v>
      </c>
      <c r="AC50">
        <v>7</v>
      </c>
      <c r="AD50">
        <v>1</v>
      </c>
      <c r="AE50">
        <v>3</v>
      </c>
      <c r="AF50">
        <v>9</v>
      </c>
      <c r="AG50">
        <v>0</v>
      </c>
      <c r="AH50">
        <v>1</v>
      </c>
      <c r="AI50">
        <v>8</v>
      </c>
      <c r="AJ50">
        <v>8</v>
      </c>
      <c r="AK50">
        <v>8</v>
      </c>
      <c r="AL50">
        <v>7</v>
      </c>
      <c r="AM50">
        <v>4</v>
      </c>
      <c r="AN50">
        <v>4</v>
      </c>
      <c r="AO50">
        <v>5</v>
      </c>
      <c r="AP50">
        <v>3</v>
      </c>
      <c r="AQ50">
        <v>2</v>
      </c>
      <c r="AR50">
        <v>2</v>
      </c>
      <c r="AS50">
        <v>2</v>
      </c>
      <c r="AT50">
        <v>7</v>
      </c>
      <c r="AU50">
        <v>6</v>
      </c>
      <c r="AV50">
        <v>4</v>
      </c>
      <c r="AW50">
        <v>6</v>
      </c>
      <c r="AX50">
        <v>7</v>
      </c>
      <c r="AY50">
        <v>3</v>
      </c>
      <c r="AZ50">
        <v>0</v>
      </c>
      <c r="BA50">
        <v>2</v>
      </c>
      <c r="BB50">
        <v>9</v>
      </c>
      <c r="BC50">
        <v>9</v>
      </c>
      <c r="BD50">
        <v>4</v>
      </c>
      <c r="BE50">
        <v>0</v>
      </c>
      <c r="BF50">
        <v>0</v>
      </c>
      <c r="BG50">
        <v>7</v>
      </c>
      <c r="BH50">
        <v>4</v>
      </c>
      <c r="BI50">
        <v>8</v>
      </c>
      <c r="BJ50">
        <v>1</v>
      </c>
      <c r="BK50">
        <v>7</v>
      </c>
      <c r="BL50">
        <v>2</v>
      </c>
      <c r="BM50">
        <v>3</v>
      </c>
      <c r="BN50">
        <v>8</v>
      </c>
      <c r="BO50">
        <v>6</v>
      </c>
      <c r="BP50">
        <v>4</v>
      </c>
      <c r="BQ50">
        <v>0</v>
      </c>
      <c r="BR50">
        <v>1</v>
      </c>
      <c r="BS50">
        <v>2</v>
      </c>
      <c r="BT50">
        <v>10</v>
      </c>
      <c r="BU50">
        <v>4</v>
      </c>
      <c r="BV50">
        <v>10</v>
      </c>
      <c r="BW50">
        <v>2</v>
      </c>
      <c r="BX50">
        <v>8</v>
      </c>
      <c r="BY50">
        <v>0</v>
      </c>
      <c r="BZ50">
        <v>8</v>
      </c>
      <c r="CA50">
        <v>6</v>
      </c>
      <c r="CB50">
        <v>9</v>
      </c>
      <c r="CC50">
        <v>0</v>
      </c>
      <c r="CD50">
        <v>4</v>
      </c>
      <c r="CE50">
        <v>6</v>
      </c>
      <c r="CF50">
        <v>7</v>
      </c>
      <c r="CG50">
        <v>4</v>
      </c>
      <c r="CH50">
        <v>3</v>
      </c>
      <c r="CI50">
        <v>5</v>
      </c>
      <c r="CJ50">
        <v>4</v>
      </c>
      <c r="CK50">
        <v>0</v>
      </c>
      <c r="CL50">
        <v>6</v>
      </c>
      <c r="CM50">
        <v>3</v>
      </c>
      <c r="CN50">
        <v>9</v>
      </c>
      <c r="CO50">
        <v>3</v>
      </c>
      <c r="CP50">
        <v>10</v>
      </c>
      <c r="CQ50">
        <v>4</v>
      </c>
      <c r="CR50">
        <v>8</v>
      </c>
      <c r="CS50">
        <v>1</v>
      </c>
      <c r="CT50">
        <v>2</v>
      </c>
      <c r="CU50">
        <v>5</v>
      </c>
      <c r="CV50">
        <v>4</v>
      </c>
      <c r="CW50">
        <v>8</v>
      </c>
      <c r="CX50">
        <v>6</v>
      </c>
      <c r="CY50">
        <v>5</v>
      </c>
      <c r="CZ50">
        <v>3</v>
      </c>
      <c r="DA50">
        <v>1</v>
      </c>
      <c r="DB50">
        <v>7</v>
      </c>
      <c r="DC50">
        <v>6</v>
      </c>
      <c r="DD50">
        <v>1</v>
      </c>
      <c r="DE50">
        <v>1</v>
      </c>
      <c r="DF50">
        <v>9</v>
      </c>
      <c r="DG50">
        <v>3</v>
      </c>
      <c r="DH50">
        <v>9</v>
      </c>
      <c r="DI50">
        <v>3</v>
      </c>
      <c r="DJ50">
        <v>7</v>
      </c>
      <c r="DK50">
        <v>1</v>
      </c>
    </row>
    <row r="51" spans="1:115">
      <c r="A51" s="172">
        <f>Calculations[[#This Row],[Sum t eCO2]]*IF(Calculations[[#This Row],[GHG Scope]]="BIOGENIC",0,1)</f>
        <v>8.2938205200342162E-5</v>
      </c>
      <c r="B51" s="149"/>
      <c r="C51" s="150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O51">
        <f t="shared" si="0"/>
        <v>50</v>
      </c>
      <c r="P51">
        <v>7</v>
      </c>
      <c r="Q51">
        <v>0</v>
      </c>
      <c r="R51">
        <v>6</v>
      </c>
      <c r="S51">
        <v>9</v>
      </c>
      <c r="T51">
        <v>1</v>
      </c>
      <c r="U51">
        <v>1</v>
      </c>
      <c r="V51">
        <v>8</v>
      </c>
      <c r="W51">
        <v>6</v>
      </c>
      <c r="X51">
        <v>6</v>
      </c>
      <c r="Y51">
        <v>10</v>
      </c>
      <c r="Z51">
        <v>6</v>
      </c>
      <c r="AA51">
        <v>2</v>
      </c>
      <c r="AB51">
        <v>6</v>
      </c>
      <c r="AC51">
        <v>10</v>
      </c>
      <c r="AD51">
        <v>8</v>
      </c>
      <c r="AE51">
        <v>2</v>
      </c>
      <c r="AF51">
        <v>7</v>
      </c>
      <c r="AG51">
        <v>5</v>
      </c>
      <c r="AH51">
        <v>6</v>
      </c>
      <c r="AI51">
        <v>9</v>
      </c>
      <c r="AJ51">
        <v>3</v>
      </c>
      <c r="AK51">
        <v>6</v>
      </c>
      <c r="AL51">
        <v>1</v>
      </c>
      <c r="AM51">
        <v>4</v>
      </c>
      <c r="AN51">
        <v>5</v>
      </c>
      <c r="AO51">
        <v>4</v>
      </c>
      <c r="AP51">
        <v>2</v>
      </c>
      <c r="AQ51">
        <v>5</v>
      </c>
      <c r="AR51">
        <v>0</v>
      </c>
      <c r="AS51">
        <v>1</v>
      </c>
      <c r="AT51">
        <v>0</v>
      </c>
      <c r="AU51">
        <v>0</v>
      </c>
      <c r="AV51">
        <v>3</v>
      </c>
      <c r="AW51">
        <v>3</v>
      </c>
      <c r="AX51">
        <v>9</v>
      </c>
      <c r="AY51">
        <v>5</v>
      </c>
      <c r="AZ51">
        <v>9</v>
      </c>
      <c r="BA51">
        <v>6</v>
      </c>
      <c r="BB51">
        <v>3</v>
      </c>
      <c r="BC51">
        <v>9</v>
      </c>
      <c r="BD51">
        <v>10</v>
      </c>
      <c r="BE51">
        <v>8</v>
      </c>
      <c r="BF51">
        <v>10</v>
      </c>
      <c r="BG51">
        <v>9</v>
      </c>
      <c r="BH51">
        <v>9</v>
      </c>
      <c r="BI51">
        <v>5</v>
      </c>
      <c r="BJ51">
        <v>5</v>
      </c>
      <c r="BK51">
        <v>5</v>
      </c>
      <c r="BL51">
        <v>3</v>
      </c>
      <c r="BM51">
        <v>5</v>
      </c>
      <c r="BN51">
        <v>4</v>
      </c>
      <c r="BO51">
        <v>10</v>
      </c>
      <c r="BP51">
        <v>3</v>
      </c>
      <c r="BQ51">
        <v>1</v>
      </c>
      <c r="BR51">
        <v>6</v>
      </c>
      <c r="BS51">
        <v>6</v>
      </c>
      <c r="BT51">
        <v>9</v>
      </c>
      <c r="BU51">
        <v>7</v>
      </c>
      <c r="BV51">
        <v>0</v>
      </c>
      <c r="BW51">
        <v>4</v>
      </c>
      <c r="BX51">
        <v>6</v>
      </c>
      <c r="BY51">
        <v>4</v>
      </c>
      <c r="BZ51">
        <v>10</v>
      </c>
      <c r="CA51">
        <v>5</v>
      </c>
      <c r="CB51">
        <v>2</v>
      </c>
      <c r="CC51">
        <v>10</v>
      </c>
      <c r="CD51">
        <v>8</v>
      </c>
      <c r="CE51">
        <v>10</v>
      </c>
      <c r="CF51">
        <v>3</v>
      </c>
      <c r="CG51">
        <v>6</v>
      </c>
      <c r="CH51">
        <v>0</v>
      </c>
      <c r="CI51">
        <v>6</v>
      </c>
      <c r="CJ51">
        <v>2</v>
      </c>
      <c r="CK51">
        <v>7</v>
      </c>
      <c r="CL51">
        <v>6</v>
      </c>
      <c r="CM51">
        <v>3</v>
      </c>
      <c r="CN51">
        <v>6</v>
      </c>
      <c r="CO51">
        <v>1</v>
      </c>
      <c r="CP51">
        <v>0</v>
      </c>
      <c r="CQ51">
        <v>4</v>
      </c>
      <c r="CR51">
        <v>5</v>
      </c>
      <c r="CS51">
        <v>1</v>
      </c>
      <c r="CT51">
        <v>8</v>
      </c>
      <c r="CU51">
        <v>0</v>
      </c>
      <c r="CV51">
        <v>2</v>
      </c>
      <c r="CW51">
        <v>10</v>
      </c>
      <c r="CX51">
        <v>10</v>
      </c>
      <c r="CY51">
        <v>8</v>
      </c>
      <c r="CZ51">
        <v>9</v>
      </c>
      <c r="DA51">
        <v>8</v>
      </c>
      <c r="DB51">
        <v>1</v>
      </c>
      <c r="DC51">
        <v>5</v>
      </c>
      <c r="DD51">
        <v>2</v>
      </c>
      <c r="DE51">
        <v>0</v>
      </c>
      <c r="DF51">
        <v>3</v>
      </c>
      <c r="DG51">
        <v>2</v>
      </c>
      <c r="DH51">
        <v>4</v>
      </c>
      <c r="DI51">
        <v>4</v>
      </c>
      <c r="DJ51">
        <v>1</v>
      </c>
      <c r="DK51">
        <v>0</v>
      </c>
    </row>
    <row r="52" spans="1:115">
      <c r="A52" s="172">
        <f>Calculations[[#This Row],[Sum t eCO2]]*IF(Calculations[[#This Row],[GHG Scope]]="BIOGENIC",0,1)</f>
        <v>8.244627002675356E-2</v>
      </c>
      <c r="B52" s="149"/>
      <c r="C52" s="150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O52">
        <f t="shared" si="0"/>
        <v>51</v>
      </c>
      <c r="P52">
        <v>2</v>
      </c>
      <c r="Q52">
        <v>1</v>
      </c>
      <c r="R52">
        <v>10</v>
      </c>
      <c r="S52">
        <v>5</v>
      </c>
      <c r="T52">
        <v>3</v>
      </c>
      <c r="U52">
        <v>9</v>
      </c>
      <c r="V52">
        <v>0</v>
      </c>
      <c r="W52">
        <v>3</v>
      </c>
      <c r="X52">
        <v>0</v>
      </c>
      <c r="Y52">
        <v>6</v>
      </c>
      <c r="Z52">
        <v>9</v>
      </c>
      <c r="AA52">
        <v>10</v>
      </c>
      <c r="AB52">
        <v>3</v>
      </c>
      <c r="AC52">
        <v>7</v>
      </c>
      <c r="AD52">
        <v>3</v>
      </c>
      <c r="AE52">
        <v>6</v>
      </c>
      <c r="AF52">
        <v>10</v>
      </c>
      <c r="AG52">
        <v>7</v>
      </c>
      <c r="AH52">
        <v>3</v>
      </c>
      <c r="AI52">
        <v>6</v>
      </c>
      <c r="AJ52">
        <v>2</v>
      </c>
      <c r="AK52">
        <v>1</v>
      </c>
      <c r="AL52">
        <v>6</v>
      </c>
      <c r="AM52">
        <v>4</v>
      </c>
      <c r="AN52">
        <v>6</v>
      </c>
      <c r="AO52">
        <v>6</v>
      </c>
      <c r="AP52">
        <v>4</v>
      </c>
      <c r="AQ52">
        <v>0</v>
      </c>
      <c r="AR52">
        <v>0</v>
      </c>
      <c r="AS52">
        <v>3</v>
      </c>
      <c r="AT52">
        <v>10</v>
      </c>
      <c r="AU52">
        <v>1</v>
      </c>
      <c r="AV52">
        <v>1</v>
      </c>
      <c r="AW52">
        <v>1</v>
      </c>
      <c r="AX52">
        <v>10</v>
      </c>
      <c r="AY52">
        <v>3</v>
      </c>
      <c r="AZ52">
        <v>1</v>
      </c>
      <c r="BA52">
        <v>0</v>
      </c>
      <c r="BB52">
        <v>9</v>
      </c>
      <c r="BC52">
        <v>9</v>
      </c>
      <c r="BD52">
        <v>9</v>
      </c>
      <c r="BE52">
        <v>2</v>
      </c>
      <c r="BF52">
        <v>3</v>
      </c>
      <c r="BG52">
        <v>0</v>
      </c>
      <c r="BH52">
        <v>9</v>
      </c>
      <c r="BI52">
        <v>8</v>
      </c>
      <c r="BJ52">
        <v>7</v>
      </c>
      <c r="BK52">
        <v>7</v>
      </c>
      <c r="BL52">
        <v>4</v>
      </c>
      <c r="BM52">
        <v>1</v>
      </c>
      <c r="BN52">
        <v>8</v>
      </c>
      <c r="BO52">
        <v>5</v>
      </c>
      <c r="BP52">
        <v>7</v>
      </c>
      <c r="BQ52">
        <v>2</v>
      </c>
      <c r="BR52">
        <v>3</v>
      </c>
      <c r="BS52">
        <v>7</v>
      </c>
      <c r="BT52">
        <v>9</v>
      </c>
      <c r="BU52">
        <v>8</v>
      </c>
      <c r="BV52">
        <v>8</v>
      </c>
      <c r="BW52">
        <v>5</v>
      </c>
      <c r="BX52">
        <v>1</v>
      </c>
      <c r="BY52">
        <v>6</v>
      </c>
      <c r="BZ52">
        <v>4</v>
      </c>
      <c r="CA52">
        <v>2</v>
      </c>
      <c r="CB52">
        <v>5</v>
      </c>
      <c r="CC52">
        <v>4</v>
      </c>
      <c r="CD52">
        <v>10</v>
      </c>
      <c r="CE52">
        <v>1</v>
      </c>
      <c r="CF52">
        <v>8</v>
      </c>
      <c r="CG52">
        <v>9</v>
      </c>
      <c r="CH52">
        <v>3</v>
      </c>
      <c r="CI52">
        <v>1</v>
      </c>
      <c r="CJ52">
        <v>8</v>
      </c>
      <c r="CK52">
        <v>5</v>
      </c>
      <c r="CL52">
        <v>1</v>
      </c>
      <c r="CM52">
        <v>1</v>
      </c>
      <c r="CN52">
        <v>2</v>
      </c>
      <c r="CO52">
        <v>10</v>
      </c>
      <c r="CP52">
        <v>1</v>
      </c>
      <c r="CQ52">
        <v>7</v>
      </c>
      <c r="CR52">
        <v>3</v>
      </c>
      <c r="CS52">
        <v>5</v>
      </c>
      <c r="CT52">
        <v>5</v>
      </c>
      <c r="CU52">
        <v>9</v>
      </c>
      <c r="CV52">
        <v>1</v>
      </c>
      <c r="CW52">
        <v>8</v>
      </c>
      <c r="CX52">
        <v>2</v>
      </c>
      <c r="CY52">
        <v>1</v>
      </c>
      <c r="CZ52">
        <v>9</v>
      </c>
      <c r="DA52">
        <v>5</v>
      </c>
      <c r="DB52">
        <v>2</v>
      </c>
      <c r="DC52">
        <v>5</v>
      </c>
      <c r="DD52">
        <v>2</v>
      </c>
      <c r="DE52">
        <v>2</v>
      </c>
      <c r="DF52">
        <v>3</v>
      </c>
      <c r="DG52">
        <v>9</v>
      </c>
      <c r="DH52">
        <v>6</v>
      </c>
      <c r="DI52">
        <v>3</v>
      </c>
      <c r="DJ52">
        <v>7</v>
      </c>
      <c r="DK52">
        <v>0</v>
      </c>
    </row>
    <row r="53" spans="1:115">
      <c r="A53" s="172">
        <f>Calculations[[#This Row],[Sum t eCO2]]*IF(Calculations[[#This Row],[GHG Scope]]="BIOGENIC",0,1)</f>
        <v>68.870577743877192</v>
      </c>
      <c r="B53" s="149"/>
      <c r="C53" s="150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O53">
        <f t="shared" si="0"/>
        <v>52</v>
      </c>
      <c r="P53">
        <v>1</v>
      </c>
      <c r="Q53">
        <v>5</v>
      </c>
      <c r="R53">
        <v>10</v>
      </c>
      <c r="S53">
        <v>5</v>
      </c>
      <c r="T53">
        <v>10</v>
      </c>
      <c r="U53">
        <v>7</v>
      </c>
      <c r="V53">
        <v>10</v>
      </c>
      <c r="W53">
        <v>3</v>
      </c>
      <c r="X53">
        <v>3</v>
      </c>
      <c r="Y53">
        <v>6</v>
      </c>
      <c r="Z53">
        <v>3</v>
      </c>
      <c r="AA53">
        <v>4</v>
      </c>
      <c r="AB53">
        <v>5</v>
      </c>
      <c r="AC53">
        <v>9</v>
      </c>
      <c r="AD53">
        <v>3</v>
      </c>
      <c r="AE53">
        <v>7</v>
      </c>
      <c r="AF53">
        <v>5</v>
      </c>
      <c r="AG53">
        <v>7</v>
      </c>
      <c r="AH53">
        <v>7</v>
      </c>
      <c r="AI53">
        <v>4</v>
      </c>
      <c r="AJ53">
        <v>6</v>
      </c>
      <c r="AK53">
        <v>1</v>
      </c>
      <c r="AL53">
        <v>1</v>
      </c>
      <c r="AM53">
        <v>0</v>
      </c>
      <c r="AN53">
        <v>4</v>
      </c>
      <c r="AO53">
        <v>8</v>
      </c>
      <c r="AP53">
        <v>4</v>
      </c>
      <c r="AQ53">
        <v>5</v>
      </c>
      <c r="AR53">
        <v>3</v>
      </c>
      <c r="AS53">
        <v>4</v>
      </c>
      <c r="AT53">
        <v>10</v>
      </c>
      <c r="AU53">
        <v>0</v>
      </c>
      <c r="AV53">
        <v>4</v>
      </c>
      <c r="AW53">
        <v>0</v>
      </c>
      <c r="AX53">
        <v>9</v>
      </c>
      <c r="AY53">
        <v>6</v>
      </c>
      <c r="AZ53">
        <v>10</v>
      </c>
      <c r="BA53">
        <v>6</v>
      </c>
      <c r="BB53">
        <v>3</v>
      </c>
      <c r="BC53">
        <v>9</v>
      </c>
      <c r="BD53">
        <v>6</v>
      </c>
      <c r="BE53">
        <v>3</v>
      </c>
      <c r="BF53">
        <v>0</v>
      </c>
      <c r="BG53">
        <v>7</v>
      </c>
      <c r="BH53">
        <v>2</v>
      </c>
      <c r="BI53">
        <v>4</v>
      </c>
      <c r="BJ53">
        <v>3</v>
      </c>
      <c r="BK53">
        <v>4</v>
      </c>
      <c r="BL53">
        <v>6</v>
      </c>
      <c r="BM53">
        <v>9</v>
      </c>
      <c r="BN53">
        <v>3</v>
      </c>
      <c r="BO53">
        <v>9</v>
      </c>
      <c r="BP53">
        <v>3</v>
      </c>
      <c r="BQ53">
        <v>5</v>
      </c>
      <c r="BR53">
        <v>2</v>
      </c>
      <c r="BS53">
        <v>1</v>
      </c>
      <c r="BT53">
        <v>8</v>
      </c>
      <c r="BU53">
        <v>8</v>
      </c>
      <c r="BV53">
        <v>2</v>
      </c>
      <c r="BW53">
        <v>1</v>
      </c>
      <c r="BX53">
        <v>9</v>
      </c>
      <c r="BY53">
        <v>2</v>
      </c>
      <c r="BZ53">
        <v>10</v>
      </c>
      <c r="CA53">
        <v>8</v>
      </c>
      <c r="CB53">
        <v>0</v>
      </c>
      <c r="CC53">
        <v>1</v>
      </c>
      <c r="CD53">
        <v>2</v>
      </c>
      <c r="CE53">
        <v>7</v>
      </c>
      <c r="CF53">
        <v>0</v>
      </c>
      <c r="CG53">
        <v>6</v>
      </c>
      <c r="CH53">
        <v>4</v>
      </c>
      <c r="CI53">
        <v>3</v>
      </c>
      <c r="CJ53">
        <v>1</v>
      </c>
      <c r="CK53">
        <v>7</v>
      </c>
      <c r="CL53">
        <v>9</v>
      </c>
      <c r="CM53">
        <v>0</v>
      </c>
      <c r="CN53">
        <v>8</v>
      </c>
      <c r="CO53">
        <v>3</v>
      </c>
      <c r="CP53">
        <v>6</v>
      </c>
      <c r="CQ53">
        <v>0</v>
      </c>
      <c r="CR53">
        <v>6</v>
      </c>
      <c r="CS53">
        <v>6</v>
      </c>
      <c r="CT53">
        <v>1</v>
      </c>
      <c r="CU53">
        <v>10</v>
      </c>
      <c r="CV53">
        <v>1</v>
      </c>
      <c r="CW53">
        <v>0</v>
      </c>
      <c r="CX53">
        <v>0</v>
      </c>
      <c r="CY53">
        <v>7</v>
      </c>
      <c r="CZ53">
        <v>6</v>
      </c>
      <c r="DA53">
        <v>2</v>
      </c>
      <c r="DB53">
        <v>10</v>
      </c>
      <c r="DC53">
        <v>10</v>
      </c>
      <c r="DD53">
        <v>0</v>
      </c>
      <c r="DE53">
        <v>9</v>
      </c>
      <c r="DF53">
        <v>5</v>
      </c>
      <c r="DG53">
        <v>0</v>
      </c>
      <c r="DH53">
        <v>9</v>
      </c>
      <c r="DI53">
        <v>8</v>
      </c>
      <c r="DJ53">
        <v>4</v>
      </c>
      <c r="DK53">
        <v>4</v>
      </c>
    </row>
    <row r="54" spans="1:115">
      <c r="A54" s="172">
        <f>Calculations[[#This Row],[Sum t eCO2]]*IF(Calculations[[#This Row],[GHG Scope]]="BIOGENIC",0,1)</f>
        <v>0.24575317476666242</v>
      </c>
      <c r="B54" s="149"/>
      <c r="C54" s="150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O54">
        <f t="shared" si="0"/>
        <v>53</v>
      </c>
      <c r="P54">
        <v>10</v>
      </c>
      <c r="Q54">
        <v>8</v>
      </c>
      <c r="R54">
        <v>2</v>
      </c>
      <c r="S54">
        <v>5</v>
      </c>
      <c r="T54">
        <v>9</v>
      </c>
      <c r="U54">
        <v>1</v>
      </c>
      <c r="V54">
        <v>0</v>
      </c>
      <c r="W54">
        <v>10</v>
      </c>
      <c r="X54">
        <v>2</v>
      </c>
      <c r="Y54">
        <v>4</v>
      </c>
      <c r="Z54">
        <v>10</v>
      </c>
      <c r="AA54">
        <v>10</v>
      </c>
      <c r="AB54">
        <v>3</v>
      </c>
      <c r="AC54">
        <v>2</v>
      </c>
      <c r="AD54">
        <v>0</v>
      </c>
      <c r="AE54">
        <v>9</v>
      </c>
      <c r="AF54">
        <v>5</v>
      </c>
      <c r="AG54">
        <v>4</v>
      </c>
      <c r="AH54">
        <v>4</v>
      </c>
      <c r="AI54">
        <v>4</v>
      </c>
      <c r="AJ54">
        <v>4</v>
      </c>
      <c r="AK54">
        <v>3</v>
      </c>
      <c r="AL54">
        <v>6</v>
      </c>
      <c r="AM54">
        <v>2</v>
      </c>
      <c r="AN54">
        <v>9</v>
      </c>
      <c r="AO54">
        <v>4</v>
      </c>
      <c r="AP54">
        <v>2</v>
      </c>
      <c r="AQ54">
        <v>3</v>
      </c>
      <c r="AR54">
        <v>6</v>
      </c>
      <c r="AS54">
        <v>4</v>
      </c>
      <c r="AT54">
        <v>8</v>
      </c>
      <c r="AU54">
        <v>6</v>
      </c>
      <c r="AV54">
        <v>1</v>
      </c>
      <c r="AW54">
        <v>1</v>
      </c>
      <c r="AX54">
        <v>2</v>
      </c>
      <c r="AY54">
        <v>3</v>
      </c>
      <c r="AZ54">
        <v>3</v>
      </c>
      <c r="BA54">
        <v>5</v>
      </c>
      <c r="BB54">
        <v>9</v>
      </c>
      <c r="BC54">
        <v>10</v>
      </c>
      <c r="BD54">
        <v>0</v>
      </c>
      <c r="BE54">
        <v>5</v>
      </c>
      <c r="BF54">
        <v>2</v>
      </c>
      <c r="BG54">
        <v>3</v>
      </c>
      <c r="BH54">
        <v>0</v>
      </c>
      <c r="BI54">
        <v>3</v>
      </c>
      <c r="BJ54">
        <v>1</v>
      </c>
      <c r="BK54">
        <v>7</v>
      </c>
      <c r="BL54">
        <v>4</v>
      </c>
      <c r="BM54">
        <v>1</v>
      </c>
      <c r="BN54">
        <v>10</v>
      </c>
      <c r="BO54">
        <v>9</v>
      </c>
      <c r="BP54">
        <v>1</v>
      </c>
      <c r="BQ54">
        <v>3</v>
      </c>
      <c r="BR54">
        <v>8</v>
      </c>
      <c r="BS54">
        <v>4</v>
      </c>
      <c r="BT54">
        <v>8</v>
      </c>
      <c r="BU54">
        <v>5</v>
      </c>
      <c r="BV54">
        <v>10</v>
      </c>
      <c r="BW54">
        <v>5</v>
      </c>
      <c r="BX54">
        <v>8</v>
      </c>
      <c r="BY54">
        <v>7</v>
      </c>
      <c r="BZ54">
        <v>1</v>
      </c>
      <c r="CA54">
        <v>8</v>
      </c>
      <c r="CB54">
        <v>3</v>
      </c>
      <c r="CC54">
        <v>7</v>
      </c>
      <c r="CD54">
        <v>8</v>
      </c>
      <c r="CE54">
        <v>10</v>
      </c>
      <c r="CF54">
        <v>9</v>
      </c>
      <c r="CG54">
        <v>8</v>
      </c>
      <c r="CH54">
        <v>9</v>
      </c>
      <c r="CI54">
        <v>0</v>
      </c>
      <c r="CJ54">
        <v>3</v>
      </c>
      <c r="CK54">
        <v>6</v>
      </c>
      <c r="CL54">
        <v>9</v>
      </c>
      <c r="CM54">
        <v>10</v>
      </c>
      <c r="CN54">
        <v>0</v>
      </c>
      <c r="CO54">
        <v>4</v>
      </c>
      <c r="CP54">
        <v>8</v>
      </c>
      <c r="CQ54">
        <v>6</v>
      </c>
      <c r="CR54">
        <v>4</v>
      </c>
      <c r="CS54">
        <v>3</v>
      </c>
      <c r="CT54">
        <v>9</v>
      </c>
      <c r="CU54">
        <v>1</v>
      </c>
      <c r="CV54">
        <v>2</v>
      </c>
      <c r="CW54">
        <v>0</v>
      </c>
      <c r="CX54">
        <v>0</v>
      </c>
      <c r="CY54">
        <v>7</v>
      </c>
      <c r="CZ54">
        <v>8</v>
      </c>
      <c r="DA54">
        <v>8</v>
      </c>
      <c r="DB54">
        <v>3</v>
      </c>
      <c r="DC54">
        <v>1</v>
      </c>
      <c r="DD54">
        <v>5</v>
      </c>
      <c r="DE54">
        <v>5</v>
      </c>
      <c r="DF54">
        <v>4</v>
      </c>
      <c r="DG54">
        <v>5</v>
      </c>
      <c r="DH54">
        <v>9</v>
      </c>
      <c r="DI54">
        <v>7</v>
      </c>
      <c r="DJ54">
        <v>4</v>
      </c>
      <c r="DK54">
        <v>7</v>
      </c>
    </row>
    <row r="55" spans="1:115">
      <c r="A55" s="172">
        <f>Calculations[[#This Row],[Sum t eCO2]]*IF(Calculations[[#This Row],[GHG Scope]]="BIOGENIC",0,1)</f>
        <v>0.33764132975004868</v>
      </c>
      <c r="B55" s="149"/>
      <c r="C55" s="150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O55">
        <f t="shared" si="0"/>
        <v>54</v>
      </c>
      <c r="P55">
        <v>5</v>
      </c>
      <c r="Q55">
        <v>10</v>
      </c>
      <c r="R55">
        <v>10</v>
      </c>
      <c r="S55">
        <v>4</v>
      </c>
      <c r="T55">
        <v>6</v>
      </c>
      <c r="U55">
        <v>9</v>
      </c>
      <c r="V55">
        <v>1</v>
      </c>
      <c r="W55">
        <v>10</v>
      </c>
      <c r="X55">
        <v>10</v>
      </c>
      <c r="Y55">
        <v>2</v>
      </c>
      <c r="Z55">
        <v>5</v>
      </c>
      <c r="AA55">
        <v>8</v>
      </c>
      <c r="AB55">
        <v>10</v>
      </c>
      <c r="AC55">
        <v>0</v>
      </c>
      <c r="AD55">
        <v>3</v>
      </c>
      <c r="AE55">
        <v>6</v>
      </c>
      <c r="AF55">
        <v>6</v>
      </c>
      <c r="AG55">
        <v>5</v>
      </c>
      <c r="AH55">
        <v>8</v>
      </c>
      <c r="AI55">
        <v>2</v>
      </c>
      <c r="AJ55">
        <v>2</v>
      </c>
      <c r="AK55">
        <v>8</v>
      </c>
      <c r="AL55">
        <v>0</v>
      </c>
      <c r="AM55">
        <v>2</v>
      </c>
      <c r="AN55">
        <v>9</v>
      </c>
      <c r="AO55">
        <v>2</v>
      </c>
      <c r="AP55">
        <v>3</v>
      </c>
      <c r="AQ55">
        <v>4</v>
      </c>
      <c r="AR55">
        <v>2</v>
      </c>
      <c r="AS55">
        <v>5</v>
      </c>
      <c r="AT55">
        <v>7</v>
      </c>
      <c r="AU55">
        <v>5</v>
      </c>
      <c r="AV55">
        <v>3</v>
      </c>
      <c r="AW55">
        <v>4</v>
      </c>
      <c r="AX55">
        <v>5</v>
      </c>
      <c r="AY55">
        <v>9</v>
      </c>
      <c r="AZ55">
        <v>10</v>
      </c>
      <c r="BA55">
        <v>5</v>
      </c>
      <c r="BB55">
        <v>5</v>
      </c>
      <c r="BC55">
        <v>0</v>
      </c>
      <c r="BD55">
        <v>7</v>
      </c>
      <c r="BE55">
        <v>5</v>
      </c>
      <c r="BF55">
        <v>6</v>
      </c>
      <c r="BG55">
        <v>10</v>
      </c>
      <c r="BH55">
        <v>2</v>
      </c>
      <c r="BI55">
        <v>7</v>
      </c>
      <c r="BJ55">
        <v>1</v>
      </c>
      <c r="BK55">
        <v>2</v>
      </c>
      <c r="BL55">
        <v>8</v>
      </c>
      <c r="BM55">
        <v>7</v>
      </c>
      <c r="BN55">
        <v>10</v>
      </c>
      <c r="BO55">
        <v>4</v>
      </c>
      <c r="BP55">
        <v>3</v>
      </c>
      <c r="BQ55">
        <v>2</v>
      </c>
      <c r="BR55">
        <v>2</v>
      </c>
      <c r="BS55">
        <v>5</v>
      </c>
      <c r="BT55">
        <v>8</v>
      </c>
      <c r="BU55">
        <v>1</v>
      </c>
      <c r="BV55">
        <v>8</v>
      </c>
      <c r="BW55">
        <v>9</v>
      </c>
      <c r="BX55">
        <v>4</v>
      </c>
      <c r="BY55">
        <v>2</v>
      </c>
      <c r="BZ55">
        <v>4</v>
      </c>
      <c r="CA55">
        <v>10</v>
      </c>
      <c r="CB55">
        <v>8</v>
      </c>
      <c r="CC55">
        <v>4</v>
      </c>
      <c r="CD55">
        <v>3</v>
      </c>
      <c r="CE55">
        <v>10</v>
      </c>
      <c r="CF55">
        <v>5</v>
      </c>
      <c r="CG55">
        <v>9</v>
      </c>
      <c r="CH55">
        <v>8</v>
      </c>
      <c r="CI55">
        <v>9</v>
      </c>
      <c r="CJ55">
        <v>1</v>
      </c>
      <c r="CK55">
        <v>1</v>
      </c>
      <c r="CL55">
        <v>10</v>
      </c>
      <c r="CM55">
        <v>3</v>
      </c>
      <c r="CN55">
        <v>3</v>
      </c>
      <c r="CO55">
        <v>0</v>
      </c>
      <c r="CP55">
        <v>8</v>
      </c>
      <c r="CQ55">
        <v>10</v>
      </c>
      <c r="CR55">
        <v>9</v>
      </c>
      <c r="CS55">
        <v>7</v>
      </c>
      <c r="CT55">
        <v>10</v>
      </c>
      <c r="CU55">
        <v>4</v>
      </c>
      <c r="CV55">
        <v>0</v>
      </c>
      <c r="CW55">
        <v>3</v>
      </c>
      <c r="CX55">
        <v>0</v>
      </c>
      <c r="CY55">
        <v>5</v>
      </c>
      <c r="CZ55">
        <v>2</v>
      </c>
      <c r="DA55">
        <v>5</v>
      </c>
      <c r="DB55">
        <v>5</v>
      </c>
      <c r="DC55">
        <v>2</v>
      </c>
      <c r="DD55">
        <v>4</v>
      </c>
      <c r="DE55">
        <v>9</v>
      </c>
      <c r="DF55">
        <v>3</v>
      </c>
      <c r="DG55">
        <v>3</v>
      </c>
      <c r="DH55">
        <v>1</v>
      </c>
      <c r="DI55">
        <v>7</v>
      </c>
      <c r="DJ55">
        <v>5</v>
      </c>
      <c r="DK55">
        <v>8</v>
      </c>
    </row>
    <row r="56" spans="1:115">
      <c r="A56" s="172">
        <f>Calculations[[#This Row],[Sum t eCO2]]*IF(Calculations[[#This Row],[GHG Scope]]="BIOGENIC",0,1)</f>
        <v>98.791073269780327</v>
      </c>
      <c r="B56" s="149"/>
      <c r="C56" s="150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O56">
        <f t="shared" si="0"/>
        <v>55</v>
      </c>
      <c r="P56">
        <v>0</v>
      </c>
      <c r="Q56">
        <v>7</v>
      </c>
      <c r="R56">
        <v>9</v>
      </c>
      <c r="S56">
        <v>5</v>
      </c>
      <c r="T56">
        <v>3</v>
      </c>
      <c r="U56">
        <v>2</v>
      </c>
      <c r="V56">
        <v>4</v>
      </c>
      <c r="W56">
        <v>10</v>
      </c>
      <c r="X56">
        <v>0</v>
      </c>
      <c r="Y56">
        <v>4</v>
      </c>
      <c r="Z56">
        <v>7</v>
      </c>
      <c r="AA56">
        <v>2</v>
      </c>
      <c r="AB56">
        <v>7</v>
      </c>
      <c r="AC56">
        <v>9</v>
      </c>
      <c r="AD56">
        <v>9</v>
      </c>
      <c r="AE56">
        <v>10</v>
      </c>
      <c r="AF56">
        <v>5</v>
      </c>
      <c r="AG56">
        <v>10</v>
      </c>
      <c r="AH56">
        <v>1</v>
      </c>
      <c r="AI56">
        <v>3</v>
      </c>
      <c r="AJ56">
        <v>10</v>
      </c>
      <c r="AK56">
        <v>3</v>
      </c>
      <c r="AL56">
        <v>6</v>
      </c>
      <c r="AM56">
        <v>2</v>
      </c>
      <c r="AN56">
        <v>5</v>
      </c>
      <c r="AO56">
        <v>2</v>
      </c>
      <c r="AP56">
        <v>2</v>
      </c>
      <c r="AQ56">
        <v>10</v>
      </c>
      <c r="AR56">
        <v>6</v>
      </c>
      <c r="AS56">
        <v>6</v>
      </c>
      <c r="AT56">
        <v>9</v>
      </c>
      <c r="AU56">
        <v>3</v>
      </c>
      <c r="AV56">
        <v>7</v>
      </c>
      <c r="AW56">
        <v>4</v>
      </c>
      <c r="AX56">
        <v>2</v>
      </c>
      <c r="AY56">
        <v>3</v>
      </c>
      <c r="AZ56">
        <v>3</v>
      </c>
      <c r="BA56">
        <v>3</v>
      </c>
      <c r="BB56">
        <v>0</v>
      </c>
      <c r="BC56">
        <v>4</v>
      </c>
      <c r="BD56">
        <v>10</v>
      </c>
      <c r="BE56">
        <v>2</v>
      </c>
      <c r="BF56">
        <v>3</v>
      </c>
      <c r="BG56">
        <v>2</v>
      </c>
      <c r="BH56">
        <v>5</v>
      </c>
      <c r="BI56">
        <v>3</v>
      </c>
      <c r="BJ56">
        <v>0</v>
      </c>
      <c r="BK56">
        <v>10</v>
      </c>
      <c r="BL56">
        <v>2</v>
      </c>
      <c r="BM56">
        <v>6</v>
      </c>
      <c r="BN56">
        <v>7</v>
      </c>
      <c r="BO56">
        <v>1</v>
      </c>
      <c r="BP56">
        <v>3</v>
      </c>
      <c r="BQ56">
        <v>0</v>
      </c>
      <c r="BR56">
        <v>0</v>
      </c>
      <c r="BS56">
        <v>7</v>
      </c>
      <c r="BT56">
        <v>2</v>
      </c>
      <c r="BU56">
        <v>2</v>
      </c>
      <c r="BV56">
        <v>0</v>
      </c>
      <c r="BW56">
        <v>10</v>
      </c>
      <c r="BX56">
        <v>7</v>
      </c>
      <c r="BY56">
        <v>6</v>
      </c>
      <c r="BZ56">
        <v>10</v>
      </c>
      <c r="CA56">
        <v>7</v>
      </c>
      <c r="CB56">
        <v>7</v>
      </c>
      <c r="CC56">
        <v>6</v>
      </c>
      <c r="CD56">
        <v>6</v>
      </c>
      <c r="CE56">
        <v>8</v>
      </c>
      <c r="CF56">
        <v>10</v>
      </c>
      <c r="CG56">
        <v>4</v>
      </c>
      <c r="CH56">
        <v>4</v>
      </c>
      <c r="CI56">
        <v>9</v>
      </c>
      <c r="CJ56">
        <v>1</v>
      </c>
      <c r="CK56">
        <v>2</v>
      </c>
      <c r="CL56">
        <v>5</v>
      </c>
      <c r="CM56">
        <v>1</v>
      </c>
      <c r="CN56">
        <v>1</v>
      </c>
      <c r="CO56">
        <v>7</v>
      </c>
      <c r="CP56">
        <v>1</v>
      </c>
      <c r="CQ56">
        <v>9</v>
      </c>
      <c r="CR56">
        <v>1</v>
      </c>
      <c r="CS56">
        <v>3</v>
      </c>
      <c r="CT56">
        <v>2</v>
      </c>
      <c r="CU56">
        <v>5</v>
      </c>
      <c r="CV56">
        <v>10</v>
      </c>
      <c r="CW56">
        <v>8</v>
      </c>
      <c r="CX56">
        <v>8</v>
      </c>
      <c r="CY56">
        <v>3</v>
      </c>
      <c r="CZ56">
        <v>4</v>
      </c>
      <c r="DA56">
        <v>8</v>
      </c>
      <c r="DB56">
        <v>6</v>
      </c>
      <c r="DC56">
        <v>6</v>
      </c>
      <c r="DD56">
        <v>10</v>
      </c>
      <c r="DE56">
        <v>8</v>
      </c>
      <c r="DF56">
        <v>3</v>
      </c>
      <c r="DG56">
        <v>2</v>
      </c>
      <c r="DH56">
        <v>6</v>
      </c>
      <c r="DI56">
        <v>2</v>
      </c>
      <c r="DJ56">
        <v>5</v>
      </c>
      <c r="DK56">
        <v>8</v>
      </c>
    </row>
    <row r="57" spans="1:115">
      <c r="A57" s="172">
        <f>Calculations[[#This Row],[Sum t eCO2]]*IF(Calculations[[#This Row],[GHG Scope]]="BIOGENIC",0,1)</f>
        <v>0.35251947478853385</v>
      </c>
      <c r="B57" s="149"/>
      <c r="C57" s="150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O57">
        <f t="shared" si="0"/>
        <v>56</v>
      </c>
      <c r="P57">
        <v>5</v>
      </c>
      <c r="Q57">
        <v>0</v>
      </c>
      <c r="R57">
        <v>5</v>
      </c>
      <c r="S57">
        <v>10</v>
      </c>
      <c r="T57">
        <v>0</v>
      </c>
      <c r="U57">
        <v>7</v>
      </c>
      <c r="V57">
        <v>1</v>
      </c>
      <c r="W57">
        <v>6</v>
      </c>
      <c r="X57">
        <v>8</v>
      </c>
      <c r="Y57">
        <v>0</v>
      </c>
      <c r="Z57">
        <v>7</v>
      </c>
      <c r="AA57">
        <v>0</v>
      </c>
      <c r="AB57">
        <v>0</v>
      </c>
      <c r="AC57">
        <v>10</v>
      </c>
      <c r="AD57">
        <v>4</v>
      </c>
      <c r="AE57">
        <v>3</v>
      </c>
      <c r="AF57">
        <v>8</v>
      </c>
      <c r="AG57">
        <v>8</v>
      </c>
      <c r="AH57">
        <v>10</v>
      </c>
      <c r="AI57">
        <v>2</v>
      </c>
      <c r="AJ57">
        <v>10</v>
      </c>
      <c r="AK57">
        <v>0</v>
      </c>
      <c r="AL57">
        <v>5</v>
      </c>
      <c r="AM57">
        <v>1</v>
      </c>
      <c r="AN57">
        <v>4</v>
      </c>
      <c r="AO57">
        <v>4</v>
      </c>
      <c r="AP57">
        <v>3</v>
      </c>
      <c r="AQ57">
        <v>5</v>
      </c>
      <c r="AR57">
        <v>6</v>
      </c>
      <c r="AS57">
        <v>10</v>
      </c>
      <c r="AT57">
        <v>1</v>
      </c>
      <c r="AU57">
        <v>5</v>
      </c>
      <c r="AV57">
        <v>5</v>
      </c>
      <c r="AW57">
        <v>10</v>
      </c>
      <c r="AX57">
        <v>5</v>
      </c>
      <c r="AY57">
        <v>3</v>
      </c>
      <c r="AZ57">
        <v>0</v>
      </c>
      <c r="BA57">
        <v>3</v>
      </c>
      <c r="BB57">
        <v>4</v>
      </c>
      <c r="BC57">
        <v>0</v>
      </c>
      <c r="BD57">
        <v>9</v>
      </c>
      <c r="BE57">
        <v>6</v>
      </c>
      <c r="BF57">
        <v>6</v>
      </c>
      <c r="BG57">
        <v>4</v>
      </c>
      <c r="BH57">
        <v>5</v>
      </c>
      <c r="BI57">
        <v>5</v>
      </c>
      <c r="BJ57">
        <v>8</v>
      </c>
      <c r="BK57">
        <v>4</v>
      </c>
      <c r="BL57">
        <v>2</v>
      </c>
      <c r="BM57">
        <v>2</v>
      </c>
      <c r="BN57">
        <v>10</v>
      </c>
      <c r="BO57">
        <v>6</v>
      </c>
      <c r="BP57">
        <v>3</v>
      </c>
      <c r="BQ57">
        <v>9</v>
      </c>
      <c r="BR57">
        <v>0</v>
      </c>
      <c r="BS57">
        <v>7</v>
      </c>
      <c r="BT57">
        <v>6</v>
      </c>
      <c r="BU57">
        <v>2</v>
      </c>
      <c r="BV57">
        <v>2</v>
      </c>
      <c r="BW57">
        <v>3</v>
      </c>
      <c r="BX57">
        <v>0</v>
      </c>
      <c r="BY57">
        <v>7</v>
      </c>
      <c r="BZ57">
        <v>1</v>
      </c>
      <c r="CA57">
        <v>7</v>
      </c>
      <c r="CB57">
        <v>9</v>
      </c>
      <c r="CC57">
        <v>1</v>
      </c>
      <c r="CD57">
        <v>9</v>
      </c>
      <c r="CE57">
        <v>10</v>
      </c>
      <c r="CF57">
        <v>0</v>
      </c>
      <c r="CG57">
        <v>1</v>
      </c>
      <c r="CH57">
        <v>2</v>
      </c>
      <c r="CI57">
        <v>3</v>
      </c>
      <c r="CJ57">
        <v>0</v>
      </c>
      <c r="CK57">
        <v>10</v>
      </c>
      <c r="CL57">
        <v>6</v>
      </c>
      <c r="CM57">
        <v>3</v>
      </c>
      <c r="CN57">
        <v>0</v>
      </c>
      <c r="CO57">
        <v>4</v>
      </c>
      <c r="CP57">
        <v>3</v>
      </c>
      <c r="CQ57">
        <v>4</v>
      </c>
      <c r="CR57">
        <v>10</v>
      </c>
      <c r="CS57">
        <v>6</v>
      </c>
      <c r="CT57">
        <v>8</v>
      </c>
      <c r="CU57">
        <v>4</v>
      </c>
      <c r="CV57">
        <v>0</v>
      </c>
      <c r="CW57">
        <v>8</v>
      </c>
      <c r="CX57">
        <v>9</v>
      </c>
      <c r="CY57">
        <v>10</v>
      </c>
      <c r="CZ57">
        <v>2</v>
      </c>
      <c r="DA57">
        <v>7</v>
      </c>
      <c r="DB57">
        <v>3</v>
      </c>
      <c r="DC57">
        <v>4</v>
      </c>
      <c r="DD57">
        <v>2</v>
      </c>
      <c r="DE57">
        <v>8</v>
      </c>
      <c r="DF57">
        <v>1</v>
      </c>
      <c r="DG57">
        <v>2</v>
      </c>
      <c r="DH57">
        <v>7</v>
      </c>
      <c r="DI57">
        <v>4</v>
      </c>
      <c r="DJ57">
        <v>6</v>
      </c>
      <c r="DK57">
        <v>3</v>
      </c>
    </row>
    <row r="58" spans="1:115">
      <c r="A58" s="172">
        <f>Calculations[[#This Row],[Sum t eCO2]]*IF(Calculations[[#This Row],[GHG Scope]]="BIOGENIC",0,1)</f>
        <v>0.48432800244961738</v>
      </c>
      <c r="B58" s="149"/>
      <c r="C58" s="150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O58">
        <f t="shared" si="0"/>
        <v>57</v>
      </c>
      <c r="P58">
        <v>5</v>
      </c>
      <c r="Q58">
        <v>10</v>
      </c>
      <c r="R58">
        <v>2</v>
      </c>
      <c r="S58">
        <v>3</v>
      </c>
      <c r="T58">
        <v>2</v>
      </c>
      <c r="U58">
        <v>0</v>
      </c>
      <c r="V58">
        <v>6</v>
      </c>
      <c r="W58">
        <v>7</v>
      </c>
      <c r="X58">
        <v>4</v>
      </c>
      <c r="Y58">
        <v>6</v>
      </c>
      <c r="Z58">
        <v>9</v>
      </c>
      <c r="AA58">
        <v>4</v>
      </c>
      <c r="AB58">
        <v>1</v>
      </c>
      <c r="AC58">
        <v>6</v>
      </c>
      <c r="AD58">
        <v>5</v>
      </c>
      <c r="AE58">
        <v>10</v>
      </c>
      <c r="AF58">
        <v>8</v>
      </c>
      <c r="AG58">
        <v>5</v>
      </c>
      <c r="AH58">
        <v>4</v>
      </c>
      <c r="AI58">
        <v>7</v>
      </c>
      <c r="AJ58">
        <v>8</v>
      </c>
      <c r="AK58">
        <v>3</v>
      </c>
      <c r="AL58">
        <v>5</v>
      </c>
      <c r="AM58">
        <v>3</v>
      </c>
      <c r="AN58">
        <v>9</v>
      </c>
      <c r="AO58">
        <v>10</v>
      </c>
      <c r="AP58">
        <v>1</v>
      </c>
      <c r="AQ58">
        <v>1</v>
      </c>
      <c r="AR58">
        <v>10</v>
      </c>
      <c r="AS58">
        <v>2</v>
      </c>
      <c r="AT58">
        <v>7</v>
      </c>
      <c r="AU58">
        <v>3</v>
      </c>
      <c r="AV58">
        <v>5</v>
      </c>
      <c r="AW58">
        <v>3</v>
      </c>
      <c r="AX58">
        <v>9</v>
      </c>
      <c r="AY58">
        <v>2</v>
      </c>
      <c r="AZ58">
        <v>3</v>
      </c>
      <c r="BA58">
        <v>0</v>
      </c>
      <c r="BB58">
        <v>0</v>
      </c>
      <c r="BC58">
        <v>2</v>
      </c>
      <c r="BD58">
        <v>6</v>
      </c>
      <c r="BE58">
        <v>4</v>
      </c>
      <c r="BF58">
        <v>9</v>
      </c>
      <c r="BG58">
        <v>6</v>
      </c>
      <c r="BH58">
        <v>8</v>
      </c>
      <c r="BI58">
        <v>9</v>
      </c>
      <c r="BJ58">
        <v>2</v>
      </c>
      <c r="BK58">
        <v>2</v>
      </c>
      <c r="BL58">
        <v>5</v>
      </c>
      <c r="BM58">
        <v>3</v>
      </c>
      <c r="BN58">
        <v>7</v>
      </c>
      <c r="BO58">
        <v>7</v>
      </c>
      <c r="BP58">
        <v>10</v>
      </c>
      <c r="BQ58">
        <v>1</v>
      </c>
      <c r="BR58">
        <v>10</v>
      </c>
      <c r="BS58">
        <v>7</v>
      </c>
      <c r="BT58">
        <v>3</v>
      </c>
      <c r="BU58">
        <v>9</v>
      </c>
      <c r="BV58">
        <v>10</v>
      </c>
      <c r="BW58">
        <v>5</v>
      </c>
      <c r="BX58">
        <v>10</v>
      </c>
      <c r="BY58">
        <v>7</v>
      </c>
      <c r="BZ58">
        <v>1</v>
      </c>
      <c r="CA58">
        <v>5</v>
      </c>
      <c r="CB58">
        <v>9</v>
      </c>
      <c r="CC58">
        <v>7</v>
      </c>
      <c r="CD58">
        <v>10</v>
      </c>
      <c r="CE58">
        <v>7</v>
      </c>
      <c r="CF58">
        <v>1</v>
      </c>
      <c r="CG58">
        <v>3</v>
      </c>
      <c r="CH58">
        <v>10</v>
      </c>
      <c r="CI58">
        <v>7</v>
      </c>
      <c r="CJ58">
        <v>7</v>
      </c>
      <c r="CK58">
        <v>8</v>
      </c>
      <c r="CL58">
        <v>8</v>
      </c>
      <c r="CM58">
        <v>8</v>
      </c>
      <c r="CN58">
        <v>2</v>
      </c>
      <c r="CO58">
        <v>5</v>
      </c>
      <c r="CP58">
        <v>0</v>
      </c>
      <c r="CQ58">
        <v>1</v>
      </c>
      <c r="CR58">
        <v>9</v>
      </c>
      <c r="CS58">
        <v>7</v>
      </c>
      <c r="CT58">
        <v>2</v>
      </c>
      <c r="CU58">
        <v>3</v>
      </c>
      <c r="CV58">
        <v>10</v>
      </c>
      <c r="CW58">
        <v>9</v>
      </c>
      <c r="CX58">
        <v>3</v>
      </c>
      <c r="CY58">
        <v>7</v>
      </c>
      <c r="CZ58">
        <v>7</v>
      </c>
      <c r="DA58">
        <v>5</v>
      </c>
      <c r="DB58">
        <v>8</v>
      </c>
      <c r="DC58">
        <v>1</v>
      </c>
      <c r="DD58">
        <v>9</v>
      </c>
      <c r="DE58">
        <v>8</v>
      </c>
      <c r="DF58">
        <v>10</v>
      </c>
      <c r="DG58">
        <v>2</v>
      </c>
      <c r="DH58">
        <v>8</v>
      </c>
      <c r="DI58">
        <v>6</v>
      </c>
      <c r="DJ58">
        <v>1</v>
      </c>
      <c r="DK58">
        <v>9</v>
      </c>
    </row>
    <row r="59" spans="1:115">
      <c r="A59" s="172">
        <f>Calculations[[#This Row],[Sum t eCO2]]*IF(Calculations[[#This Row],[GHG Scope]]="BIOGENIC",0,1)</f>
        <v>42.283883326740145</v>
      </c>
      <c r="B59" s="149"/>
      <c r="C59" s="150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O59">
        <f t="shared" si="0"/>
        <v>58</v>
      </c>
      <c r="P59">
        <v>5</v>
      </c>
      <c r="Q59">
        <v>8</v>
      </c>
      <c r="R59">
        <v>4</v>
      </c>
      <c r="S59">
        <v>9</v>
      </c>
      <c r="T59">
        <v>0</v>
      </c>
      <c r="U59">
        <v>8</v>
      </c>
      <c r="V59">
        <v>7</v>
      </c>
      <c r="W59">
        <v>7</v>
      </c>
      <c r="X59">
        <v>4</v>
      </c>
      <c r="Y59">
        <v>4</v>
      </c>
      <c r="Z59">
        <v>4</v>
      </c>
      <c r="AA59">
        <v>4</v>
      </c>
      <c r="AB59">
        <v>9</v>
      </c>
      <c r="AC59">
        <v>7</v>
      </c>
      <c r="AD59">
        <v>9</v>
      </c>
      <c r="AE59">
        <v>9</v>
      </c>
      <c r="AF59">
        <v>4</v>
      </c>
      <c r="AG59">
        <v>7</v>
      </c>
      <c r="AH59">
        <v>7</v>
      </c>
      <c r="AI59">
        <v>10</v>
      </c>
      <c r="AJ59">
        <v>5</v>
      </c>
      <c r="AK59">
        <v>5</v>
      </c>
      <c r="AL59">
        <v>1</v>
      </c>
      <c r="AM59">
        <v>10</v>
      </c>
      <c r="AN59">
        <v>4</v>
      </c>
      <c r="AO59">
        <v>3</v>
      </c>
      <c r="AP59">
        <v>8</v>
      </c>
      <c r="AQ59">
        <v>0</v>
      </c>
      <c r="AR59">
        <v>0</v>
      </c>
      <c r="AS59">
        <v>10</v>
      </c>
      <c r="AT59">
        <v>8</v>
      </c>
      <c r="AU59">
        <v>0</v>
      </c>
      <c r="AV59">
        <v>0</v>
      </c>
      <c r="AW59">
        <v>10</v>
      </c>
      <c r="AX59">
        <v>6</v>
      </c>
      <c r="AY59">
        <v>3</v>
      </c>
      <c r="AZ59">
        <v>0</v>
      </c>
      <c r="BA59">
        <v>0</v>
      </c>
      <c r="BB59">
        <v>7</v>
      </c>
      <c r="BC59">
        <v>1</v>
      </c>
      <c r="BD59">
        <v>10</v>
      </c>
      <c r="BE59">
        <v>2</v>
      </c>
      <c r="BF59">
        <v>1</v>
      </c>
      <c r="BG59">
        <v>3</v>
      </c>
      <c r="BH59">
        <v>2</v>
      </c>
      <c r="BI59">
        <v>7</v>
      </c>
      <c r="BJ59">
        <v>9</v>
      </c>
      <c r="BK59">
        <v>8</v>
      </c>
      <c r="BL59">
        <v>5</v>
      </c>
      <c r="BM59">
        <v>1</v>
      </c>
      <c r="BN59">
        <v>3</v>
      </c>
      <c r="BO59">
        <v>0</v>
      </c>
      <c r="BP59">
        <v>9</v>
      </c>
      <c r="BQ59">
        <v>3</v>
      </c>
      <c r="BR59">
        <v>8</v>
      </c>
      <c r="BS59">
        <v>5</v>
      </c>
      <c r="BT59">
        <v>4</v>
      </c>
      <c r="BU59">
        <v>5</v>
      </c>
      <c r="BV59">
        <v>6</v>
      </c>
      <c r="BW59">
        <v>8</v>
      </c>
      <c r="BX59">
        <v>4</v>
      </c>
      <c r="BY59">
        <v>2</v>
      </c>
      <c r="BZ59">
        <v>5</v>
      </c>
      <c r="CA59">
        <v>6</v>
      </c>
      <c r="CB59">
        <v>7</v>
      </c>
      <c r="CC59">
        <v>1</v>
      </c>
      <c r="CD59">
        <v>7</v>
      </c>
      <c r="CE59">
        <v>7</v>
      </c>
      <c r="CF59">
        <v>0</v>
      </c>
      <c r="CG59">
        <v>10</v>
      </c>
      <c r="CH59">
        <v>2</v>
      </c>
      <c r="CI59">
        <v>8</v>
      </c>
      <c r="CJ59">
        <v>1</v>
      </c>
      <c r="CK59">
        <v>2</v>
      </c>
      <c r="CL59">
        <v>7</v>
      </c>
      <c r="CM59">
        <v>10</v>
      </c>
      <c r="CN59">
        <v>1</v>
      </c>
      <c r="CO59">
        <v>6</v>
      </c>
      <c r="CP59">
        <v>1</v>
      </c>
      <c r="CQ59">
        <v>9</v>
      </c>
      <c r="CR59">
        <v>2</v>
      </c>
      <c r="CS59">
        <v>2</v>
      </c>
      <c r="CT59">
        <v>0</v>
      </c>
      <c r="CU59">
        <v>6</v>
      </c>
      <c r="CV59">
        <v>0</v>
      </c>
      <c r="CW59">
        <v>8</v>
      </c>
      <c r="CX59">
        <v>8</v>
      </c>
      <c r="CY59">
        <v>4</v>
      </c>
      <c r="CZ59">
        <v>0</v>
      </c>
      <c r="DA59">
        <v>0</v>
      </c>
      <c r="DB59">
        <v>4</v>
      </c>
      <c r="DC59">
        <v>5</v>
      </c>
      <c r="DD59">
        <v>10</v>
      </c>
      <c r="DE59">
        <v>8</v>
      </c>
      <c r="DF59">
        <v>0</v>
      </c>
      <c r="DG59">
        <v>4</v>
      </c>
      <c r="DH59">
        <v>0</v>
      </c>
      <c r="DI59">
        <v>5</v>
      </c>
      <c r="DJ59">
        <v>6</v>
      </c>
      <c r="DK59">
        <v>9</v>
      </c>
    </row>
    <row r="60" spans="1:115">
      <c r="A60" s="172">
        <f>Calculations[[#This Row],[Sum t eCO2]]*IF(Calculations[[#This Row],[GHG Scope]]="BIOGENIC",0,1)</f>
        <v>0.10037950660132527</v>
      </c>
      <c r="B60" s="149"/>
      <c r="C60" s="150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O60">
        <f t="shared" si="0"/>
        <v>59</v>
      </c>
      <c r="P60">
        <v>0</v>
      </c>
      <c r="Q60">
        <v>0</v>
      </c>
      <c r="R60">
        <v>5</v>
      </c>
      <c r="S60">
        <v>5</v>
      </c>
      <c r="T60">
        <v>2</v>
      </c>
      <c r="U60">
        <v>4</v>
      </c>
      <c r="V60">
        <v>6</v>
      </c>
      <c r="W60">
        <v>4</v>
      </c>
      <c r="X60">
        <v>4</v>
      </c>
      <c r="Y60">
        <v>0</v>
      </c>
      <c r="Z60">
        <v>9</v>
      </c>
      <c r="AA60">
        <v>1</v>
      </c>
      <c r="AB60">
        <v>1</v>
      </c>
      <c r="AC60">
        <v>0</v>
      </c>
      <c r="AD60">
        <v>5</v>
      </c>
      <c r="AE60">
        <v>0</v>
      </c>
      <c r="AF60">
        <v>1</v>
      </c>
      <c r="AG60">
        <v>10</v>
      </c>
      <c r="AH60">
        <v>9</v>
      </c>
      <c r="AI60">
        <v>8</v>
      </c>
      <c r="AJ60">
        <v>6</v>
      </c>
      <c r="AK60">
        <v>5</v>
      </c>
      <c r="AL60">
        <v>4</v>
      </c>
      <c r="AM60">
        <v>0</v>
      </c>
      <c r="AN60">
        <v>7</v>
      </c>
      <c r="AO60">
        <v>7</v>
      </c>
      <c r="AP60">
        <v>5</v>
      </c>
      <c r="AQ60">
        <v>3</v>
      </c>
      <c r="AR60">
        <v>8</v>
      </c>
      <c r="AS60">
        <v>2</v>
      </c>
      <c r="AT60">
        <v>5</v>
      </c>
      <c r="AU60">
        <v>7</v>
      </c>
      <c r="AV60">
        <v>5</v>
      </c>
      <c r="AW60">
        <v>6</v>
      </c>
      <c r="AX60">
        <v>4</v>
      </c>
      <c r="AY60">
        <v>2</v>
      </c>
      <c r="AZ60">
        <v>2</v>
      </c>
      <c r="BA60">
        <v>3</v>
      </c>
      <c r="BB60">
        <v>6</v>
      </c>
      <c r="BC60">
        <v>5</v>
      </c>
      <c r="BD60">
        <v>3</v>
      </c>
      <c r="BE60">
        <v>8</v>
      </c>
      <c r="BF60">
        <v>6</v>
      </c>
      <c r="BG60">
        <v>0</v>
      </c>
      <c r="BH60">
        <v>2</v>
      </c>
      <c r="BI60">
        <v>9</v>
      </c>
      <c r="BJ60">
        <v>8</v>
      </c>
      <c r="BK60">
        <v>6</v>
      </c>
      <c r="BL60">
        <v>9</v>
      </c>
      <c r="BM60">
        <v>8</v>
      </c>
      <c r="BN60">
        <v>9</v>
      </c>
      <c r="BO60">
        <v>3</v>
      </c>
      <c r="BP60">
        <v>10</v>
      </c>
      <c r="BQ60">
        <v>3</v>
      </c>
      <c r="BR60">
        <v>10</v>
      </c>
      <c r="BS60">
        <v>0</v>
      </c>
      <c r="BT60">
        <v>0</v>
      </c>
      <c r="BU60">
        <v>2</v>
      </c>
      <c r="BV60">
        <v>10</v>
      </c>
      <c r="BW60">
        <v>3</v>
      </c>
      <c r="BX60">
        <v>7</v>
      </c>
      <c r="BY60">
        <v>0</v>
      </c>
      <c r="BZ60">
        <v>7</v>
      </c>
      <c r="CA60">
        <v>6</v>
      </c>
      <c r="CB60">
        <v>5</v>
      </c>
      <c r="CC60">
        <v>0</v>
      </c>
      <c r="CD60">
        <v>5</v>
      </c>
      <c r="CE60">
        <v>8</v>
      </c>
      <c r="CF60">
        <v>7</v>
      </c>
      <c r="CG60">
        <v>3</v>
      </c>
      <c r="CH60">
        <v>2</v>
      </c>
      <c r="CI60">
        <v>7</v>
      </c>
      <c r="CJ60">
        <v>10</v>
      </c>
      <c r="CK60">
        <v>7</v>
      </c>
      <c r="CL60">
        <v>6</v>
      </c>
      <c r="CM60">
        <v>0</v>
      </c>
      <c r="CN60">
        <v>6</v>
      </c>
      <c r="CO60">
        <v>7</v>
      </c>
      <c r="CP60">
        <v>9</v>
      </c>
      <c r="CQ60">
        <v>7</v>
      </c>
      <c r="CR60">
        <v>0</v>
      </c>
      <c r="CS60">
        <v>10</v>
      </c>
      <c r="CT60">
        <v>10</v>
      </c>
      <c r="CU60">
        <v>10</v>
      </c>
      <c r="CV60">
        <v>9</v>
      </c>
      <c r="CW60">
        <v>0</v>
      </c>
      <c r="CX60">
        <v>6</v>
      </c>
      <c r="CY60">
        <v>5</v>
      </c>
      <c r="CZ60">
        <v>10</v>
      </c>
      <c r="DA60">
        <v>7</v>
      </c>
      <c r="DB60">
        <v>4</v>
      </c>
      <c r="DC60">
        <v>9</v>
      </c>
      <c r="DD60">
        <v>3</v>
      </c>
      <c r="DE60">
        <v>1</v>
      </c>
      <c r="DF60">
        <v>10</v>
      </c>
      <c r="DG60">
        <v>10</v>
      </c>
      <c r="DH60">
        <v>0</v>
      </c>
      <c r="DI60">
        <v>1</v>
      </c>
      <c r="DJ60">
        <v>10</v>
      </c>
      <c r="DK60">
        <v>4</v>
      </c>
    </row>
    <row r="61" spans="1:115">
      <c r="A61" s="172">
        <f>Calculations[[#This Row],[Sum t eCO2]]*IF(Calculations[[#This Row],[GHG Scope]]="BIOGENIC",0,1)</f>
        <v>8.7291576237958607E-2</v>
      </c>
      <c r="B61" s="149"/>
      <c r="C61" s="150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O61">
        <f t="shared" si="0"/>
        <v>60</v>
      </c>
      <c r="P61">
        <v>1</v>
      </c>
      <c r="Q61">
        <v>3</v>
      </c>
      <c r="R61">
        <v>7</v>
      </c>
      <c r="S61">
        <v>8</v>
      </c>
      <c r="T61">
        <v>2</v>
      </c>
      <c r="U61">
        <v>8</v>
      </c>
      <c r="V61">
        <v>7</v>
      </c>
      <c r="W61">
        <v>1</v>
      </c>
      <c r="X61">
        <v>9</v>
      </c>
      <c r="Y61">
        <v>10</v>
      </c>
      <c r="Z61">
        <v>2</v>
      </c>
      <c r="AA61">
        <v>8</v>
      </c>
      <c r="AB61">
        <v>10</v>
      </c>
      <c r="AC61">
        <v>9</v>
      </c>
      <c r="AD61">
        <v>2</v>
      </c>
      <c r="AE61">
        <v>6</v>
      </c>
      <c r="AF61">
        <v>1</v>
      </c>
      <c r="AG61">
        <v>6</v>
      </c>
      <c r="AH61">
        <v>6</v>
      </c>
      <c r="AI61">
        <v>2</v>
      </c>
      <c r="AJ61">
        <v>8</v>
      </c>
      <c r="AK61">
        <v>10</v>
      </c>
      <c r="AL61">
        <v>3</v>
      </c>
      <c r="AM61">
        <v>1</v>
      </c>
      <c r="AN61">
        <v>10</v>
      </c>
      <c r="AO61">
        <v>2</v>
      </c>
      <c r="AP61">
        <v>2</v>
      </c>
      <c r="AQ61">
        <v>8</v>
      </c>
      <c r="AR61">
        <v>7</v>
      </c>
      <c r="AS61">
        <v>8</v>
      </c>
      <c r="AT61">
        <v>7</v>
      </c>
      <c r="AU61">
        <v>8</v>
      </c>
      <c r="AV61">
        <v>0</v>
      </c>
      <c r="AW61">
        <v>10</v>
      </c>
      <c r="AX61">
        <v>7</v>
      </c>
      <c r="AY61">
        <v>3</v>
      </c>
      <c r="AZ61">
        <v>9</v>
      </c>
      <c r="BA61">
        <v>0</v>
      </c>
      <c r="BB61">
        <v>6</v>
      </c>
      <c r="BC61">
        <v>9</v>
      </c>
      <c r="BD61">
        <v>1</v>
      </c>
      <c r="BE61">
        <v>9</v>
      </c>
      <c r="BF61">
        <v>3</v>
      </c>
      <c r="BG61">
        <v>7</v>
      </c>
      <c r="BH61">
        <v>8</v>
      </c>
      <c r="BI61">
        <v>9</v>
      </c>
      <c r="BJ61">
        <v>3</v>
      </c>
      <c r="BK61">
        <v>6</v>
      </c>
      <c r="BL61">
        <v>2</v>
      </c>
      <c r="BM61">
        <v>10</v>
      </c>
      <c r="BN61">
        <v>5</v>
      </c>
      <c r="BO61">
        <v>1</v>
      </c>
      <c r="BP61">
        <v>3</v>
      </c>
      <c r="BQ61">
        <v>4</v>
      </c>
      <c r="BR61">
        <v>10</v>
      </c>
      <c r="BS61">
        <v>5</v>
      </c>
      <c r="BT61">
        <v>3</v>
      </c>
      <c r="BU61">
        <v>7</v>
      </c>
      <c r="BV61">
        <v>9</v>
      </c>
      <c r="BW61">
        <v>3</v>
      </c>
      <c r="BX61">
        <v>10</v>
      </c>
      <c r="BY61">
        <v>5</v>
      </c>
      <c r="BZ61">
        <v>3</v>
      </c>
      <c r="CA61">
        <v>0</v>
      </c>
      <c r="CB61">
        <v>6</v>
      </c>
      <c r="CC61">
        <v>7</v>
      </c>
      <c r="CD61">
        <v>2</v>
      </c>
      <c r="CE61">
        <v>6</v>
      </c>
      <c r="CF61">
        <v>1</v>
      </c>
      <c r="CG61">
        <v>4</v>
      </c>
      <c r="CH61">
        <v>3</v>
      </c>
      <c r="CI61">
        <v>0</v>
      </c>
      <c r="CJ61">
        <v>3</v>
      </c>
      <c r="CK61">
        <v>7</v>
      </c>
      <c r="CL61">
        <v>1</v>
      </c>
      <c r="CM61">
        <v>9</v>
      </c>
      <c r="CN61">
        <v>1</v>
      </c>
      <c r="CO61">
        <v>9</v>
      </c>
      <c r="CP61">
        <v>5</v>
      </c>
      <c r="CQ61">
        <v>0</v>
      </c>
      <c r="CR61">
        <v>3</v>
      </c>
      <c r="CS61">
        <v>0</v>
      </c>
      <c r="CT61">
        <v>3</v>
      </c>
      <c r="CU61">
        <v>8</v>
      </c>
      <c r="CV61">
        <v>8</v>
      </c>
      <c r="CW61">
        <v>2</v>
      </c>
      <c r="CX61">
        <v>10</v>
      </c>
      <c r="CY61">
        <v>3</v>
      </c>
      <c r="CZ61">
        <v>3</v>
      </c>
      <c r="DA61">
        <v>1</v>
      </c>
      <c r="DB61">
        <v>3</v>
      </c>
      <c r="DC61">
        <v>5</v>
      </c>
      <c r="DD61">
        <v>3</v>
      </c>
      <c r="DE61">
        <v>4</v>
      </c>
      <c r="DF61">
        <v>8</v>
      </c>
      <c r="DG61">
        <v>9</v>
      </c>
      <c r="DH61">
        <v>1</v>
      </c>
      <c r="DI61">
        <v>2</v>
      </c>
      <c r="DJ61">
        <v>1</v>
      </c>
      <c r="DK61">
        <v>10</v>
      </c>
    </row>
    <row r="62" spans="1:115">
      <c r="A62" s="172">
        <f>Calculations[[#This Row],[Sum t eCO2]]*IF(Calculations[[#This Row],[GHG Scope]]="BIOGENIC",0,1)</f>
        <v>10.683600955238903</v>
      </c>
      <c r="D62" s="149"/>
      <c r="E62" s="149"/>
      <c r="F62" s="149"/>
      <c r="O62">
        <f t="shared" si="0"/>
        <v>61</v>
      </c>
      <c r="P62">
        <v>1</v>
      </c>
      <c r="Q62">
        <v>1</v>
      </c>
      <c r="R62">
        <v>1</v>
      </c>
      <c r="S62">
        <v>3</v>
      </c>
      <c r="T62">
        <v>6</v>
      </c>
      <c r="U62">
        <v>2</v>
      </c>
      <c r="V62">
        <v>4</v>
      </c>
      <c r="W62">
        <v>10</v>
      </c>
      <c r="X62">
        <v>0</v>
      </c>
      <c r="Y62">
        <v>10</v>
      </c>
      <c r="Z62">
        <v>4</v>
      </c>
      <c r="AA62">
        <v>6</v>
      </c>
      <c r="AB62">
        <v>0</v>
      </c>
      <c r="AC62">
        <v>10</v>
      </c>
      <c r="AD62">
        <v>2</v>
      </c>
      <c r="AE62">
        <v>6</v>
      </c>
      <c r="AF62">
        <v>9</v>
      </c>
      <c r="AG62">
        <v>0</v>
      </c>
      <c r="AH62">
        <v>8</v>
      </c>
      <c r="AI62">
        <v>7</v>
      </c>
      <c r="AJ62">
        <v>3</v>
      </c>
      <c r="AK62">
        <v>9</v>
      </c>
      <c r="AL62">
        <v>5</v>
      </c>
      <c r="AM62">
        <v>8</v>
      </c>
      <c r="AN62">
        <v>10</v>
      </c>
      <c r="AO62">
        <v>1</v>
      </c>
      <c r="AP62">
        <v>0</v>
      </c>
      <c r="AQ62">
        <v>5</v>
      </c>
      <c r="AR62">
        <v>9</v>
      </c>
      <c r="AS62">
        <v>8</v>
      </c>
      <c r="AT62">
        <v>4</v>
      </c>
      <c r="AU62">
        <v>2</v>
      </c>
      <c r="AV62">
        <v>2</v>
      </c>
      <c r="AW62">
        <v>3</v>
      </c>
      <c r="AX62">
        <v>0</v>
      </c>
      <c r="AY62">
        <v>5</v>
      </c>
      <c r="AZ62">
        <v>10</v>
      </c>
      <c r="BA62">
        <v>5</v>
      </c>
      <c r="BB62">
        <v>4</v>
      </c>
      <c r="BC62">
        <v>3</v>
      </c>
      <c r="BD62">
        <v>7</v>
      </c>
      <c r="BE62">
        <v>8</v>
      </c>
      <c r="BF62">
        <v>1</v>
      </c>
      <c r="BG62">
        <v>1</v>
      </c>
      <c r="BH62">
        <v>8</v>
      </c>
      <c r="BI62">
        <v>9</v>
      </c>
      <c r="BJ62">
        <v>3</v>
      </c>
      <c r="BK62">
        <v>4</v>
      </c>
      <c r="BL62">
        <v>1</v>
      </c>
      <c r="BM62">
        <v>4</v>
      </c>
      <c r="BN62">
        <v>0</v>
      </c>
      <c r="BO62">
        <v>1</v>
      </c>
      <c r="BP62">
        <v>4</v>
      </c>
      <c r="BQ62">
        <v>6</v>
      </c>
      <c r="BR62">
        <v>2</v>
      </c>
      <c r="BS62">
        <v>1</v>
      </c>
      <c r="BT62">
        <v>10</v>
      </c>
      <c r="BU62">
        <v>2</v>
      </c>
      <c r="BV62">
        <v>2</v>
      </c>
      <c r="BW62">
        <v>3</v>
      </c>
      <c r="BX62">
        <v>1</v>
      </c>
      <c r="BY62">
        <v>10</v>
      </c>
      <c r="BZ62">
        <v>4</v>
      </c>
      <c r="CA62">
        <v>8</v>
      </c>
      <c r="CB62">
        <v>6</v>
      </c>
      <c r="CC62">
        <v>8</v>
      </c>
      <c r="CD62">
        <v>1</v>
      </c>
      <c r="CE62">
        <v>0</v>
      </c>
      <c r="CF62">
        <v>9</v>
      </c>
      <c r="CG62">
        <v>2</v>
      </c>
      <c r="CH62">
        <v>1</v>
      </c>
      <c r="CI62">
        <v>9</v>
      </c>
      <c r="CJ62">
        <v>3</v>
      </c>
      <c r="CK62">
        <v>6</v>
      </c>
      <c r="CL62">
        <v>9</v>
      </c>
      <c r="CM62">
        <v>7</v>
      </c>
      <c r="CN62">
        <v>0</v>
      </c>
      <c r="CO62">
        <v>9</v>
      </c>
      <c r="CP62">
        <v>3</v>
      </c>
      <c r="CQ62">
        <v>5</v>
      </c>
      <c r="CR62">
        <v>3</v>
      </c>
      <c r="CS62">
        <v>10</v>
      </c>
      <c r="CT62">
        <v>9</v>
      </c>
      <c r="CU62">
        <v>1</v>
      </c>
      <c r="CV62">
        <v>5</v>
      </c>
      <c r="CW62">
        <v>2</v>
      </c>
      <c r="CX62">
        <v>6</v>
      </c>
      <c r="CY62">
        <v>1</v>
      </c>
      <c r="CZ62">
        <v>10</v>
      </c>
      <c r="DA62">
        <v>6</v>
      </c>
      <c r="DB62">
        <v>3</v>
      </c>
      <c r="DC62">
        <v>4</v>
      </c>
      <c r="DD62">
        <v>9</v>
      </c>
      <c r="DE62">
        <v>0</v>
      </c>
      <c r="DF62">
        <v>0</v>
      </c>
      <c r="DG62">
        <v>5</v>
      </c>
      <c r="DH62">
        <v>9</v>
      </c>
      <c r="DI62">
        <v>3</v>
      </c>
      <c r="DJ62">
        <v>3</v>
      </c>
      <c r="DK62">
        <v>4</v>
      </c>
    </row>
    <row r="63" spans="1:115">
      <c r="A63" s="172">
        <f>Calculations[[#This Row],[Sum t eCO2]]*IF(Calculations[[#This Row],[GHG Scope]]="BIOGENIC",0,1)</f>
        <v>1.9068737959948324E-2</v>
      </c>
      <c r="O63">
        <f t="shared" si="0"/>
        <v>62</v>
      </c>
      <c r="P63">
        <v>6</v>
      </c>
      <c r="Q63">
        <v>4</v>
      </c>
      <c r="R63">
        <v>9</v>
      </c>
      <c r="S63">
        <v>7</v>
      </c>
      <c r="T63">
        <v>3</v>
      </c>
      <c r="U63">
        <v>8</v>
      </c>
      <c r="V63">
        <v>1</v>
      </c>
      <c r="W63">
        <v>10</v>
      </c>
      <c r="X63">
        <v>5</v>
      </c>
      <c r="Y63">
        <v>9</v>
      </c>
      <c r="Z63">
        <v>10</v>
      </c>
      <c r="AA63">
        <v>10</v>
      </c>
      <c r="AB63">
        <v>0</v>
      </c>
      <c r="AC63">
        <v>7</v>
      </c>
      <c r="AD63">
        <v>8</v>
      </c>
      <c r="AE63">
        <v>4</v>
      </c>
      <c r="AF63">
        <v>0</v>
      </c>
      <c r="AG63">
        <v>6</v>
      </c>
      <c r="AH63">
        <v>0</v>
      </c>
      <c r="AI63">
        <v>0</v>
      </c>
      <c r="AJ63">
        <v>4</v>
      </c>
      <c r="AK63">
        <v>3</v>
      </c>
      <c r="AL63">
        <v>4</v>
      </c>
      <c r="AM63">
        <v>8</v>
      </c>
      <c r="AN63">
        <v>6</v>
      </c>
      <c r="AO63">
        <v>9</v>
      </c>
      <c r="AP63">
        <v>2</v>
      </c>
      <c r="AQ63">
        <v>6</v>
      </c>
      <c r="AR63">
        <v>4</v>
      </c>
      <c r="AS63">
        <v>7</v>
      </c>
      <c r="AT63">
        <v>6</v>
      </c>
      <c r="AU63">
        <v>4</v>
      </c>
      <c r="AV63">
        <v>3</v>
      </c>
      <c r="AW63">
        <v>0</v>
      </c>
      <c r="AX63">
        <v>1</v>
      </c>
      <c r="AY63">
        <v>9</v>
      </c>
      <c r="AZ63">
        <v>6</v>
      </c>
      <c r="BA63">
        <v>5</v>
      </c>
      <c r="BB63">
        <v>1</v>
      </c>
      <c r="BC63">
        <v>9</v>
      </c>
      <c r="BD63">
        <v>10</v>
      </c>
      <c r="BE63">
        <v>10</v>
      </c>
      <c r="BF63">
        <v>5</v>
      </c>
      <c r="BG63">
        <v>1</v>
      </c>
      <c r="BH63">
        <v>5</v>
      </c>
      <c r="BI63">
        <v>5</v>
      </c>
      <c r="BJ63">
        <v>2</v>
      </c>
      <c r="BK63">
        <v>5</v>
      </c>
      <c r="BL63">
        <v>3</v>
      </c>
      <c r="BM63">
        <v>1</v>
      </c>
      <c r="BN63">
        <v>10</v>
      </c>
      <c r="BO63">
        <v>5</v>
      </c>
      <c r="BP63">
        <v>1</v>
      </c>
      <c r="BQ63">
        <v>9</v>
      </c>
      <c r="BR63">
        <v>5</v>
      </c>
      <c r="BS63">
        <v>6</v>
      </c>
      <c r="BT63">
        <v>5</v>
      </c>
      <c r="BU63">
        <v>9</v>
      </c>
      <c r="BV63">
        <v>3</v>
      </c>
      <c r="BW63">
        <v>1</v>
      </c>
      <c r="BX63">
        <v>5</v>
      </c>
      <c r="BY63">
        <v>10</v>
      </c>
      <c r="BZ63">
        <v>2</v>
      </c>
      <c r="CA63">
        <v>3</v>
      </c>
      <c r="CB63">
        <v>9</v>
      </c>
      <c r="CC63">
        <v>5</v>
      </c>
      <c r="CD63">
        <v>5</v>
      </c>
      <c r="CE63">
        <v>1</v>
      </c>
      <c r="CF63">
        <v>4</v>
      </c>
      <c r="CG63">
        <v>3</v>
      </c>
      <c r="CH63">
        <v>9</v>
      </c>
      <c r="CI63">
        <v>1</v>
      </c>
      <c r="CJ63">
        <v>1</v>
      </c>
      <c r="CK63">
        <v>7</v>
      </c>
      <c r="CL63">
        <v>5</v>
      </c>
      <c r="CM63">
        <v>3</v>
      </c>
      <c r="CN63">
        <v>7</v>
      </c>
      <c r="CO63">
        <v>2</v>
      </c>
      <c r="CP63">
        <v>9</v>
      </c>
      <c r="CQ63">
        <v>1</v>
      </c>
      <c r="CR63">
        <v>9</v>
      </c>
      <c r="CS63">
        <v>8</v>
      </c>
      <c r="CT63">
        <v>3</v>
      </c>
      <c r="CU63">
        <v>2</v>
      </c>
      <c r="CV63">
        <v>6</v>
      </c>
      <c r="CW63">
        <v>7</v>
      </c>
      <c r="CX63">
        <v>10</v>
      </c>
      <c r="CY63">
        <v>2</v>
      </c>
      <c r="CZ63">
        <v>0</v>
      </c>
      <c r="DA63">
        <v>5</v>
      </c>
      <c r="DB63">
        <v>3</v>
      </c>
      <c r="DC63">
        <v>3</v>
      </c>
      <c r="DD63">
        <v>9</v>
      </c>
      <c r="DE63">
        <v>1</v>
      </c>
      <c r="DF63">
        <v>9</v>
      </c>
      <c r="DG63">
        <v>4</v>
      </c>
      <c r="DH63">
        <v>5</v>
      </c>
      <c r="DI63">
        <v>9</v>
      </c>
      <c r="DJ63">
        <v>0</v>
      </c>
      <c r="DK63">
        <v>3</v>
      </c>
    </row>
    <row r="64" spans="1:115">
      <c r="A64" s="172">
        <f>Calculations[[#This Row],[Sum t eCO2]]*IF(Calculations[[#This Row],[GHG Scope]]="BIOGENIC",0,1)</f>
        <v>1.1279499016487289E-2</v>
      </c>
      <c r="O64">
        <f t="shared" si="0"/>
        <v>63</v>
      </c>
      <c r="P64">
        <v>2</v>
      </c>
      <c r="Q64">
        <v>0</v>
      </c>
      <c r="R64">
        <v>1</v>
      </c>
      <c r="S64">
        <v>10</v>
      </c>
      <c r="T64">
        <v>7</v>
      </c>
      <c r="U64">
        <v>3</v>
      </c>
      <c r="V64">
        <v>1</v>
      </c>
      <c r="W64">
        <v>5</v>
      </c>
      <c r="X64">
        <v>0</v>
      </c>
      <c r="Y64">
        <v>9</v>
      </c>
      <c r="Z64">
        <v>8</v>
      </c>
      <c r="AA64">
        <v>9</v>
      </c>
      <c r="AB64">
        <v>5</v>
      </c>
      <c r="AC64">
        <v>4</v>
      </c>
      <c r="AD64">
        <v>6</v>
      </c>
      <c r="AE64">
        <v>9</v>
      </c>
      <c r="AF64">
        <v>4</v>
      </c>
      <c r="AG64">
        <v>3</v>
      </c>
      <c r="AH64">
        <v>4</v>
      </c>
      <c r="AI64">
        <v>4</v>
      </c>
      <c r="AJ64">
        <v>1</v>
      </c>
      <c r="AK64">
        <v>6</v>
      </c>
      <c r="AL64">
        <v>9</v>
      </c>
      <c r="AM64">
        <v>1</v>
      </c>
      <c r="AN64">
        <v>10</v>
      </c>
      <c r="AO64">
        <v>8</v>
      </c>
      <c r="AP64">
        <v>2</v>
      </c>
      <c r="AQ64">
        <v>1</v>
      </c>
      <c r="AR64">
        <v>8</v>
      </c>
      <c r="AS64">
        <v>7</v>
      </c>
      <c r="AT64">
        <v>9</v>
      </c>
      <c r="AU64">
        <v>2</v>
      </c>
      <c r="AV64">
        <v>8</v>
      </c>
      <c r="AW64">
        <v>0</v>
      </c>
      <c r="AX64">
        <v>3</v>
      </c>
      <c r="AY64">
        <v>6</v>
      </c>
      <c r="AZ64">
        <v>5</v>
      </c>
      <c r="BA64">
        <v>8</v>
      </c>
      <c r="BB64">
        <v>6</v>
      </c>
      <c r="BC64">
        <v>1</v>
      </c>
      <c r="BD64">
        <v>7</v>
      </c>
      <c r="BE64">
        <v>3</v>
      </c>
      <c r="BF64">
        <v>3</v>
      </c>
      <c r="BG64">
        <v>9</v>
      </c>
      <c r="BH64">
        <v>0</v>
      </c>
      <c r="BI64">
        <v>4</v>
      </c>
      <c r="BJ64">
        <v>10</v>
      </c>
      <c r="BK64">
        <v>0</v>
      </c>
      <c r="BL64">
        <v>3</v>
      </c>
      <c r="BM64">
        <v>4</v>
      </c>
      <c r="BN64">
        <v>2</v>
      </c>
      <c r="BO64">
        <v>5</v>
      </c>
      <c r="BP64">
        <v>6</v>
      </c>
      <c r="BQ64">
        <v>7</v>
      </c>
      <c r="BR64">
        <v>7</v>
      </c>
      <c r="BS64">
        <v>4</v>
      </c>
      <c r="BT64">
        <v>10</v>
      </c>
      <c r="BU64">
        <v>0</v>
      </c>
      <c r="BV64">
        <v>10</v>
      </c>
      <c r="BW64">
        <v>4</v>
      </c>
      <c r="BX64">
        <v>10</v>
      </c>
      <c r="BY64">
        <v>6</v>
      </c>
      <c r="BZ64">
        <v>8</v>
      </c>
      <c r="CA64">
        <v>4</v>
      </c>
      <c r="CB64">
        <v>10</v>
      </c>
      <c r="CC64">
        <v>2</v>
      </c>
      <c r="CD64">
        <v>1</v>
      </c>
      <c r="CE64">
        <v>6</v>
      </c>
      <c r="CF64">
        <v>4</v>
      </c>
      <c r="CG64">
        <v>2</v>
      </c>
      <c r="CH64">
        <v>7</v>
      </c>
      <c r="CI64">
        <v>2</v>
      </c>
      <c r="CJ64">
        <v>9</v>
      </c>
      <c r="CK64">
        <v>5</v>
      </c>
      <c r="CL64">
        <v>3</v>
      </c>
      <c r="CM64">
        <v>2</v>
      </c>
      <c r="CN64">
        <v>9</v>
      </c>
      <c r="CO64">
        <v>0</v>
      </c>
      <c r="CP64">
        <v>4</v>
      </c>
      <c r="CQ64">
        <v>2</v>
      </c>
      <c r="CR64">
        <v>4</v>
      </c>
      <c r="CS64">
        <v>2</v>
      </c>
      <c r="CT64">
        <v>1</v>
      </c>
      <c r="CU64">
        <v>3</v>
      </c>
      <c r="CV64">
        <v>4</v>
      </c>
      <c r="CW64">
        <v>2</v>
      </c>
      <c r="CX64">
        <v>5</v>
      </c>
      <c r="CY64">
        <v>0</v>
      </c>
      <c r="CZ64">
        <v>5</v>
      </c>
      <c r="DA64">
        <v>2</v>
      </c>
      <c r="DB64">
        <v>10</v>
      </c>
      <c r="DC64">
        <v>1</v>
      </c>
      <c r="DD64">
        <v>5</v>
      </c>
      <c r="DE64">
        <v>2</v>
      </c>
      <c r="DF64">
        <v>1</v>
      </c>
      <c r="DG64">
        <v>3</v>
      </c>
      <c r="DH64">
        <v>6</v>
      </c>
      <c r="DI64">
        <v>3</v>
      </c>
      <c r="DJ64">
        <v>10</v>
      </c>
      <c r="DK64">
        <v>4</v>
      </c>
    </row>
    <row r="65" spans="1:115">
      <c r="A65" s="172">
        <f>Calculations[[#This Row],[Sum t eCO2]]*IF(Calculations[[#This Row],[GHG Scope]]="BIOGENIC",0,1)</f>
        <v>3.114168524637885</v>
      </c>
      <c r="O65">
        <f t="shared" si="0"/>
        <v>64</v>
      </c>
      <c r="P65">
        <v>6</v>
      </c>
      <c r="Q65">
        <v>9</v>
      </c>
      <c r="R65">
        <v>5</v>
      </c>
      <c r="S65">
        <v>9</v>
      </c>
      <c r="T65">
        <v>0</v>
      </c>
      <c r="U65">
        <v>9</v>
      </c>
      <c r="V65">
        <v>3</v>
      </c>
      <c r="W65">
        <v>1</v>
      </c>
      <c r="X65">
        <v>2</v>
      </c>
      <c r="Y65">
        <v>0</v>
      </c>
      <c r="Z65">
        <v>7</v>
      </c>
      <c r="AA65">
        <v>4</v>
      </c>
      <c r="AB65">
        <v>9</v>
      </c>
      <c r="AC65">
        <v>2</v>
      </c>
      <c r="AD65">
        <v>1</v>
      </c>
      <c r="AE65">
        <v>1</v>
      </c>
      <c r="AF65">
        <v>2</v>
      </c>
      <c r="AG65">
        <v>5</v>
      </c>
      <c r="AH65">
        <v>1</v>
      </c>
      <c r="AI65">
        <v>9</v>
      </c>
      <c r="AJ65">
        <v>2</v>
      </c>
      <c r="AK65">
        <v>6</v>
      </c>
      <c r="AL65">
        <v>5</v>
      </c>
      <c r="AM65">
        <v>8</v>
      </c>
      <c r="AN65">
        <v>4</v>
      </c>
      <c r="AO65">
        <v>8</v>
      </c>
      <c r="AP65">
        <v>8</v>
      </c>
      <c r="AQ65">
        <v>10</v>
      </c>
      <c r="AR65">
        <v>7</v>
      </c>
      <c r="AS65">
        <v>8</v>
      </c>
      <c r="AT65">
        <v>2</v>
      </c>
      <c r="AU65">
        <v>6</v>
      </c>
      <c r="AV65">
        <v>2</v>
      </c>
      <c r="AW65">
        <v>5</v>
      </c>
      <c r="AX65">
        <v>10</v>
      </c>
      <c r="AY65">
        <v>10</v>
      </c>
      <c r="AZ65">
        <v>3</v>
      </c>
      <c r="BA65">
        <v>10</v>
      </c>
      <c r="BB65">
        <v>4</v>
      </c>
      <c r="BC65">
        <v>4</v>
      </c>
      <c r="BD65">
        <v>3</v>
      </c>
      <c r="BE65">
        <v>3</v>
      </c>
      <c r="BF65">
        <v>8</v>
      </c>
      <c r="BG65">
        <v>10</v>
      </c>
      <c r="BH65">
        <v>3</v>
      </c>
      <c r="BI65">
        <v>3</v>
      </c>
      <c r="BJ65">
        <v>7</v>
      </c>
      <c r="BK65">
        <v>10</v>
      </c>
      <c r="BL65">
        <v>4</v>
      </c>
      <c r="BM65">
        <v>8</v>
      </c>
      <c r="BN65">
        <v>8</v>
      </c>
      <c r="BO65">
        <v>4</v>
      </c>
      <c r="BP65">
        <v>6</v>
      </c>
      <c r="BQ65">
        <v>3</v>
      </c>
      <c r="BR65">
        <v>4</v>
      </c>
      <c r="BS65">
        <v>10</v>
      </c>
      <c r="BT65">
        <v>1</v>
      </c>
      <c r="BU65">
        <v>8</v>
      </c>
      <c r="BV65">
        <v>8</v>
      </c>
      <c r="BW65">
        <v>9</v>
      </c>
      <c r="BX65">
        <v>4</v>
      </c>
      <c r="BY65">
        <v>6</v>
      </c>
      <c r="BZ65">
        <v>6</v>
      </c>
      <c r="CA65">
        <v>5</v>
      </c>
      <c r="CB65">
        <v>0</v>
      </c>
      <c r="CC65">
        <v>2</v>
      </c>
      <c r="CD65">
        <v>7</v>
      </c>
      <c r="CE65">
        <v>5</v>
      </c>
      <c r="CF65">
        <v>4</v>
      </c>
      <c r="CG65">
        <v>8</v>
      </c>
      <c r="CH65">
        <v>7</v>
      </c>
      <c r="CI65">
        <v>9</v>
      </c>
      <c r="CJ65">
        <v>6</v>
      </c>
      <c r="CK65">
        <v>9</v>
      </c>
      <c r="CL65">
        <v>9</v>
      </c>
      <c r="CM65">
        <v>4</v>
      </c>
      <c r="CN65">
        <v>4</v>
      </c>
      <c r="CO65">
        <v>4</v>
      </c>
      <c r="CP65">
        <v>1</v>
      </c>
      <c r="CQ65">
        <v>1</v>
      </c>
      <c r="CR65">
        <v>7</v>
      </c>
      <c r="CS65">
        <v>1</v>
      </c>
      <c r="CT65">
        <v>9</v>
      </c>
      <c r="CU65">
        <v>10</v>
      </c>
      <c r="CV65">
        <v>5</v>
      </c>
      <c r="CW65">
        <v>0</v>
      </c>
      <c r="CX65">
        <v>6</v>
      </c>
      <c r="CY65">
        <v>6</v>
      </c>
      <c r="CZ65">
        <v>1</v>
      </c>
      <c r="DA65">
        <v>10</v>
      </c>
      <c r="DB65">
        <v>2</v>
      </c>
      <c r="DC65">
        <v>9</v>
      </c>
      <c r="DD65">
        <v>3</v>
      </c>
      <c r="DE65">
        <v>0</v>
      </c>
      <c r="DF65">
        <v>8</v>
      </c>
      <c r="DG65">
        <v>9</v>
      </c>
      <c r="DH65">
        <v>5</v>
      </c>
      <c r="DI65">
        <v>6</v>
      </c>
      <c r="DJ65">
        <v>5</v>
      </c>
      <c r="DK65">
        <v>5</v>
      </c>
    </row>
    <row r="66" spans="1:115">
      <c r="A66" s="172">
        <f>Calculations[[#This Row],[Sum t eCO2]]*IF(Calculations[[#This Row],[GHG Scope]]="BIOGENIC",0,1)</f>
        <v>1.1112391194601419E-2</v>
      </c>
      <c r="O66">
        <f t="shared" si="0"/>
        <v>65</v>
      </c>
      <c r="P66">
        <v>4</v>
      </c>
      <c r="Q66">
        <v>1</v>
      </c>
      <c r="R66">
        <v>5</v>
      </c>
      <c r="S66">
        <v>7</v>
      </c>
      <c r="T66">
        <v>2</v>
      </c>
      <c r="U66">
        <v>8</v>
      </c>
      <c r="V66">
        <v>2</v>
      </c>
      <c r="W66">
        <v>0</v>
      </c>
      <c r="X66">
        <v>4</v>
      </c>
      <c r="Y66">
        <v>8</v>
      </c>
      <c r="Z66">
        <v>5</v>
      </c>
      <c r="AA66">
        <v>1</v>
      </c>
      <c r="AB66">
        <v>9</v>
      </c>
      <c r="AC66">
        <v>6</v>
      </c>
      <c r="AD66">
        <v>0</v>
      </c>
      <c r="AE66">
        <v>5</v>
      </c>
      <c r="AF66">
        <v>9</v>
      </c>
      <c r="AG66">
        <v>2</v>
      </c>
      <c r="AH66">
        <v>0</v>
      </c>
      <c r="AI66">
        <v>1</v>
      </c>
      <c r="AJ66">
        <v>9</v>
      </c>
      <c r="AK66">
        <v>7</v>
      </c>
      <c r="AL66">
        <v>10</v>
      </c>
      <c r="AM66">
        <v>4</v>
      </c>
      <c r="AN66">
        <v>2</v>
      </c>
      <c r="AO66">
        <v>0</v>
      </c>
      <c r="AP66">
        <v>10</v>
      </c>
      <c r="AQ66">
        <v>0</v>
      </c>
      <c r="AR66">
        <v>2</v>
      </c>
      <c r="AS66">
        <v>10</v>
      </c>
      <c r="AT66">
        <v>0</v>
      </c>
      <c r="AU66">
        <v>5</v>
      </c>
      <c r="AV66">
        <v>8</v>
      </c>
      <c r="AW66">
        <v>1</v>
      </c>
      <c r="AX66">
        <v>2</v>
      </c>
      <c r="AY66">
        <v>7</v>
      </c>
      <c r="AZ66">
        <v>10</v>
      </c>
      <c r="BA66">
        <v>3</v>
      </c>
      <c r="BB66">
        <v>6</v>
      </c>
      <c r="BC66">
        <v>4</v>
      </c>
      <c r="BD66">
        <v>0</v>
      </c>
      <c r="BE66">
        <v>0</v>
      </c>
      <c r="BF66">
        <v>9</v>
      </c>
      <c r="BG66">
        <v>5</v>
      </c>
      <c r="BH66">
        <v>2</v>
      </c>
      <c r="BI66">
        <v>8</v>
      </c>
      <c r="BJ66">
        <v>7</v>
      </c>
      <c r="BK66">
        <v>1</v>
      </c>
      <c r="BL66">
        <v>0</v>
      </c>
      <c r="BM66">
        <v>2</v>
      </c>
      <c r="BN66">
        <v>0</v>
      </c>
      <c r="BO66">
        <v>7</v>
      </c>
      <c r="BP66">
        <v>10</v>
      </c>
      <c r="BQ66">
        <v>2</v>
      </c>
      <c r="BR66">
        <v>0</v>
      </c>
      <c r="BS66">
        <v>1</v>
      </c>
      <c r="BT66">
        <v>0</v>
      </c>
      <c r="BU66">
        <v>10</v>
      </c>
      <c r="BV66">
        <v>0</v>
      </c>
      <c r="BW66">
        <v>1</v>
      </c>
      <c r="BX66">
        <v>10</v>
      </c>
      <c r="BY66">
        <v>5</v>
      </c>
      <c r="BZ66">
        <v>1</v>
      </c>
      <c r="CA66">
        <v>1</v>
      </c>
      <c r="CB66">
        <v>8</v>
      </c>
      <c r="CC66">
        <v>10</v>
      </c>
      <c r="CD66">
        <v>6</v>
      </c>
      <c r="CE66">
        <v>8</v>
      </c>
      <c r="CF66">
        <v>3</v>
      </c>
      <c r="CG66">
        <v>0</v>
      </c>
      <c r="CH66">
        <v>9</v>
      </c>
      <c r="CI66">
        <v>6</v>
      </c>
      <c r="CJ66">
        <v>8</v>
      </c>
      <c r="CK66">
        <v>3</v>
      </c>
      <c r="CL66">
        <v>6</v>
      </c>
      <c r="CM66">
        <v>10</v>
      </c>
      <c r="CN66">
        <v>3</v>
      </c>
      <c r="CO66">
        <v>10</v>
      </c>
      <c r="CP66">
        <v>5</v>
      </c>
      <c r="CQ66">
        <v>4</v>
      </c>
      <c r="CR66">
        <v>2</v>
      </c>
      <c r="CS66">
        <v>4</v>
      </c>
      <c r="CT66">
        <v>2</v>
      </c>
      <c r="CU66">
        <v>6</v>
      </c>
      <c r="CV66">
        <v>6</v>
      </c>
      <c r="CW66">
        <v>0</v>
      </c>
      <c r="CX66">
        <v>2</v>
      </c>
      <c r="CY66">
        <v>5</v>
      </c>
      <c r="CZ66">
        <v>9</v>
      </c>
      <c r="DA66">
        <v>7</v>
      </c>
      <c r="DB66">
        <v>9</v>
      </c>
      <c r="DC66">
        <v>7</v>
      </c>
      <c r="DD66">
        <v>4</v>
      </c>
      <c r="DE66">
        <v>2</v>
      </c>
      <c r="DF66">
        <v>5</v>
      </c>
      <c r="DG66">
        <v>3</v>
      </c>
      <c r="DH66">
        <v>10</v>
      </c>
      <c r="DI66">
        <v>2</v>
      </c>
      <c r="DJ66">
        <v>2</v>
      </c>
      <c r="DK66">
        <v>4</v>
      </c>
    </row>
    <row r="67" spans="1:115">
      <c r="A67" s="172">
        <f>Calculations[[#This Row],[Sum t eCO2]]*IF(Calculations[[#This Row],[GHG Scope]]="BIOGENIC",0,1)</f>
        <v>1.5267361421517359E-2</v>
      </c>
      <c r="O67">
        <f t="shared" si="0"/>
        <v>66</v>
      </c>
      <c r="P67">
        <v>3</v>
      </c>
      <c r="Q67">
        <v>5</v>
      </c>
      <c r="R67">
        <v>4</v>
      </c>
      <c r="S67">
        <v>2</v>
      </c>
      <c r="T67">
        <v>3</v>
      </c>
      <c r="U67">
        <v>2</v>
      </c>
      <c r="V67">
        <v>6</v>
      </c>
      <c r="W67">
        <v>4</v>
      </c>
      <c r="X67">
        <v>1</v>
      </c>
      <c r="Y67">
        <v>9</v>
      </c>
      <c r="Z67">
        <v>8</v>
      </c>
      <c r="AA67">
        <v>3</v>
      </c>
      <c r="AB67">
        <v>7</v>
      </c>
      <c r="AC67">
        <v>0</v>
      </c>
      <c r="AD67">
        <v>5</v>
      </c>
      <c r="AE67">
        <v>3</v>
      </c>
      <c r="AF67">
        <v>5</v>
      </c>
      <c r="AG67">
        <v>8</v>
      </c>
      <c r="AH67">
        <v>10</v>
      </c>
      <c r="AI67">
        <v>7</v>
      </c>
      <c r="AJ67">
        <v>8</v>
      </c>
      <c r="AK67">
        <v>0</v>
      </c>
      <c r="AL67">
        <v>4</v>
      </c>
      <c r="AM67">
        <v>0</v>
      </c>
      <c r="AN67">
        <v>9</v>
      </c>
      <c r="AO67">
        <v>3</v>
      </c>
      <c r="AP67">
        <v>5</v>
      </c>
      <c r="AQ67">
        <v>6</v>
      </c>
      <c r="AR67">
        <v>8</v>
      </c>
      <c r="AS67">
        <v>8</v>
      </c>
      <c r="AT67">
        <v>6</v>
      </c>
      <c r="AU67">
        <v>4</v>
      </c>
      <c r="AV67">
        <v>0</v>
      </c>
      <c r="AW67">
        <v>6</v>
      </c>
      <c r="AX67">
        <v>1</v>
      </c>
      <c r="AY67">
        <v>7</v>
      </c>
      <c r="AZ67">
        <v>4</v>
      </c>
      <c r="BA67">
        <v>8</v>
      </c>
      <c r="BB67">
        <v>3</v>
      </c>
      <c r="BC67">
        <v>9</v>
      </c>
      <c r="BD67">
        <v>6</v>
      </c>
      <c r="BE67">
        <v>3</v>
      </c>
      <c r="BF67">
        <v>8</v>
      </c>
      <c r="BG67">
        <v>5</v>
      </c>
      <c r="BH67">
        <v>1</v>
      </c>
      <c r="BI67">
        <v>2</v>
      </c>
      <c r="BJ67">
        <v>10</v>
      </c>
      <c r="BK67">
        <v>10</v>
      </c>
      <c r="BL67">
        <v>5</v>
      </c>
      <c r="BM67">
        <v>4</v>
      </c>
      <c r="BN67">
        <v>1</v>
      </c>
      <c r="BO67">
        <v>8</v>
      </c>
      <c r="BP67">
        <v>0</v>
      </c>
      <c r="BQ67">
        <v>7</v>
      </c>
      <c r="BR67">
        <v>0</v>
      </c>
      <c r="BS67">
        <v>8</v>
      </c>
      <c r="BT67">
        <v>0</v>
      </c>
      <c r="BU67">
        <v>10</v>
      </c>
      <c r="BV67">
        <v>0</v>
      </c>
      <c r="BW67">
        <v>7</v>
      </c>
      <c r="BX67">
        <v>9</v>
      </c>
      <c r="BY67">
        <v>5</v>
      </c>
      <c r="BZ67">
        <v>1</v>
      </c>
      <c r="CA67">
        <v>8</v>
      </c>
      <c r="CB67">
        <v>0</v>
      </c>
      <c r="CC67">
        <v>2</v>
      </c>
      <c r="CD67">
        <v>6</v>
      </c>
      <c r="CE67">
        <v>3</v>
      </c>
      <c r="CF67">
        <v>9</v>
      </c>
      <c r="CG67">
        <v>1</v>
      </c>
      <c r="CH67">
        <v>4</v>
      </c>
      <c r="CI67">
        <v>8</v>
      </c>
      <c r="CJ67">
        <v>9</v>
      </c>
      <c r="CK67">
        <v>4</v>
      </c>
      <c r="CL67">
        <v>3</v>
      </c>
      <c r="CM67">
        <v>8</v>
      </c>
      <c r="CN67">
        <v>10</v>
      </c>
      <c r="CO67">
        <v>3</v>
      </c>
      <c r="CP67">
        <v>8</v>
      </c>
      <c r="CQ67">
        <v>3</v>
      </c>
      <c r="CR67">
        <v>5</v>
      </c>
      <c r="CS67">
        <v>3</v>
      </c>
      <c r="CT67">
        <v>2</v>
      </c>
      <c r="CU67">
        <v>5</v>
      </c>
      <c r="CV67">
        <v>3</v>
      </c>
      <c r="CW67">
        <v>7</v>
      </c>
      <c r="CX67">
        <v>4</v>
      </c>
      <c r="CY67">
        <v>8</v>
      </c>
      <c r="CZ67">
        <v>1</v>
      </c>
      <c r="DA67">
        <v>3</v>
      </c>
      <c r="DB67">
        <v>6</v>
      </c>
      <c r="DC67">
        <v>3</v>
      </c>
      <c r="DD67">
        <v>7</v>
      </c>
      <c r="DE67">
        <v>5</v>
      </c>
      <c r="DF67">
        <v>4</v>
      </c>
      <c r="DG67">
        <v>10</v>
      </c>
      <c r="DH67">
        <v>3</v>
      </c>
      <c r="DI67">
        <v>5</v>
      </c>
      <c r="DJ67">
        <v>2</v>
      </c>
      <c r="DK67">
        <v>1</v>
      </c>
    </row>
    <row r="68" spans="1:115">
      <c r="A68" s="172">
        <f>Calculations[[#This Row],[Sum t eCO2]]*IF(Calculations[[#This Row],[GHG Scope]]="BIOGENIC",0,1)</f>
        <v>49.044422622195</v>
      </c>
      <c r="O68">
        <f t="shared" ref="O68:O131" si="1">O67+1</f>
        <v>67</v>
      </c>
      <c r="P68">
        <v>1</v>
      </c>
      <c r="Q68">
        <v>5</v>
      </c>
      <c r="R68">
        <v>0</v>
      </c>
      <c r="S68">
        <v>7</v>
      </c>
      <c r="T68">
        <v>0</v>
      </c>
      <c r="U68">
        <v>0</v>
      </c>
      <c r="V68">
        <v>6</v>
      </c>
      <c r="W68">
        <v>5</v>
      </c>
      <c r="X68">
        <v>0</v>
      </c>
      <c r="Y68">
        <v>5</v>
      </c>
      <c r="Z68">
        <v>4</v>
      </c>
      <c r="AA68">
        <v>1</v>
      </c>
      <c r="AB68">
        <v>0</v>
      </c>
      <c r="AC68">
        <v>3</v>
      </c>
      <c r="AD68">
        <v>10</v>
      </c>
      <c r="AE68">
        <v>8</v>
      </c>
      <c r="AF68">
        <v>5</v>
      </c>
      <c r="AG68">
        <v>6</v>
      </c>
      <c r="AH68">
        <v>1</v>
      </c>
      <c r="AI68">
        <v>10</v>
      </c>
      <c r="AJ68">
        <v>4</v>
      </c>
      <c r="AK68">
        <v>8</v>
      </c>
      <c r="AL68">
        <v>2</v>
      </c>
      <c r="AM68">
        <v>10</v>
      </c>
      <c r="AN68">
        <v>6</v>
      </c>
      <c r="AO68">
        <v>0</v>
      </c>
      <c r="AP68">
        <v>4</v>
      </c>
      <c r="AQ68">
        <v>5</v>
      </c>
      <c r="AR68">
        <v>10</v>
      </c>
      <c r="AS68">
        <v>0</v>
      </c>
      <c r="AT68">
        <v>4</v>
      </c>
      <c r="AU68">
        <v>7</v>
      </c>
      <c r="AV68">
        <v>3</v>
      </c>
      <c r="AW68">
        <v>0</v>
      </c>
      <c r="AX68">
        <v>7</v>
      </c>
      <c r="AY68">
        <v>8</v>
      </c>
      <c r="AZ68">
        <v>8</v>
      </c>
      <c r="BA68">
        <v>4</v>
      </c>
      <c r="BB68">
        <v>8</v>
      </c>
      <c r="BC68">
        <v>3</v>
      </c>
      <c r="BD68">
        <v>7</v>
      </c>
      <c r="BE68">
        <v>5</v>
      </c>
      <c r="BF68">
        <v>9</v>
      </c>
      <c r="BG68">
        <v>0</v>
      </c>
      <c r="BH68">
        <v>9</v>
      </c>
      <c r="BI68">
        <v>3</v>
      </c>
      <c r="BJ68">
        <v>2</v>
      </c>
      <c r="BK68">
        <v>10</v>
      </c>
      <c r="BL68">
        <v>10</v>
      </c>
      <c r="BM68">
        <v>10</v>
      </c>
      <c r="BN68">
        <v>0</v>
      </c>
      <c r="BO68">
        <v>1</v>
      </c>
      <c r="BP68">
        <v>3</v>
      </c>
      <c r="BQ68">
        <v>6</v>
      </c>
      <c r="BR68">
        <v>5</v>
      </c>
      <c r="BS68">
        <v>9</v>
      </c>
      <c r="BT68">
        <v>10</v>
      </c>
      <c r="BU68">
        <v>4</v>
      </c>
      <c r="BV68">
        <v>8</v>
      </c>
      <c r="BW68">
        <v>10</v>
      </c>
      <c r="BX68">
        <v>10</v>
      </c>
      <c r="BY68">
        <v>4</v>
      </c>
      <c r="BZ68">
        <v>8</v>
      </c>
      <c r="CA68">
        <v>9</v>
      </c>
      <c r="CB68">
        <v>5</v>
      </c>
      <c r="CC68">
        <v>1</v>
      </c>
      <c r="CD68">
        <v>2</v>
      </c>
      <c r="CE68">
        <v>1</v>
      </c>
      <c r="CF68">
        <v>9</v>
      </c>
      <c r="CG68">
        <v>5</v>
      </c>
      <c r="CH68">
        <v>2</v>
      </c>
      <c r="CI68">
        <v>4</v>
      </c>
      <c r="CJ68">
        <v>5</v>
      </c>
      <c r="CK68">
        <v>5</v>
      </c>
      <c r="CL68">
        <v>5</v>
      </c>
      <c r="CM68">
        <v>6</v>
      </c>
      <c r="CN68">
        <v>6</v>
      </c>
      <c r="CO68">
        <v>4</v>
      </c>
      <c r="CP68">
        <v>8</v>
      </c>
      <c r="CQ68">
        <v>2</v>
      </c>
      <c r="CR68">
        <v>4</v>
      </c>
      <c r="CS68">
        <v>1</v>
      </c>
      <c r="CT68">
        <v>6</v>
      </c>
      <c r="CU68">
        <v>6</v>
      </c>
      <c r="CV68">
        <v>8</v>
      </c>
      <c r="CW68">
        <v>2</v>
      </c>
      <c r="CX68">
        <v>10</v>
      </c>
      <c r="CY68">
        <v>0</v>
      </c>
      <c r="CZ68">
        <v>5</v>
      </c>
      <c r="DA68">
        <v>4</v>
      </c>
      <c r="DB68">
        <v>2</v>
      </c>
      <c r="DC68">
        <v>2</v>
      </c>
      <c r="DD68">
        <v>7</v>
      </c>
      <c r="DE68">
        <v>3</v>
      </c>
      <c r="DF68">
        <v>2</v>
      </c>
      <c r="DG68">
        <v>2</v>
      </c>
      <c r="DH68">
        <v>3</v>
      </c>
      <c r="DI68">
        <v>4</v>
      </c>
      <c r="DJ68">
        <v>0</v>
      </c>
      <c r="DK68">
        <v>9</v>
      </c>
    </row>
    <row r="69" spans="1:115">
      <c r="A69" s="172">
        <f>Calculations[[#This Row],[Sum t eCO2]]*IF(Calculations[[#This Row],[GHG Scope]]="BIOGENIC",0,1)</f>
        <v>0.17500684557672194</v>
      </c>
      <c r="O69">
        <f t="shared" si="1"/>
        <v>68</v>
      </c>
      <c r="P69">
        <v>0</v>
      </c>
      <c r="Q69">
        <v>7</v>
      </c>
      <c r="R69">
        <v>7</v>
      </c>
      <c r="S69">
        <v>6</v>
      </c>
      <c r="T69">
        <v>10</v>
      </c>
      <c r="U69">
        <v>0</v>
      </c>
      <c r="V69">
        <v>6</v>
      </c>
      <c r="W69">
        <v>4</v>
      </c>
      <c r="X69">
        <v>2</v>
      </c>
      <c r="Y69">
        <v>7</v>
      </c>
      <c r="Z69">
        <v>4</v>
      </c>
      <c r="AA69">
        <v>10</v>
      </c>
      <c r="AB69">
        <v>6</v>
      </c>
      <c r="AC69">
        <v>9</v>
      </c>
      <c r="AD69">
        <v>0</v>
      </c>
      <c r="AE69">
        <v>8</v>
      </c>
      <c r="AF69">
        <v>1</v>
      </c>
      <c r="AG69">
        <v>5</v>
      </c>
      <c r="AH69">
        <v>3</v>
      </c>
      <c r="AI69">
        <v>2</v>
      </c>
      <c r="AJ69">
        <v>6</v>
      </c>
      <c r="AK69">
        <v>2</v>
      </c>
      <c r="AL69">
        <v>4</v>
      </c>
      <c r="AM69">
        <v>8</v>
      </c>
      <c r="AN69">
        <v>4</v>
      </c>
      <c r="AO69">
        <v>0</v>
      </c>
      <c r="AP69">
        <v>0</v>
      </c>
      <c r="AQ69">
        <v>9</v>
      </c>
      <c r="AR69">
        <v>7</v>
      </c>
      <c r="AS69">
        <v>8</v>
      </c>
      <c r="AT69">
        <v>0</v>
      </c>
      <c r="AU69">
        <v>7</v>
      </c>
      <c r="AV69">
        <v>5</v>
      </c>
      <c r="AW69">
        <v>3</v>
      </c>
      <c r="AX69">
        <v>10</v>
      </c>
      <c r="AY69">
        <v>0</v>
      </c>
      <c r="AZ69">
        <v>0</v>
      </c>
      <c r="BA69">
        <v>0</v>
      </c>
      <c r="BB69">
        <v>1</v>
      </c>
      <c r="BC69">
        <v>10</v>
      </c>
      <c r="BD69">
        <v>4</v>
      </c>
      <c r="BE69">
        <v>1</v>
      </c>
      <c r="BF69">
        <v>3</v>
      </c>
      <c r="BG69">
        <v>0</v>
      </c>
      <c r="BH69">
        <v>7</v>
      </c>
      <c r="BI69">
        <v>3</v>
      </c>
      <c r="BJ69">
        <v>4</v>
      </c>
      <c r="BK69">
        <v>9</v>
      </c>
      <c r="BL69">
        <v>8</v>
      </c>
      <c r="BM69">
        <v>6</v>
      </c>
      <c r="BN69">
        <v>3</v>
      </c>
      <c r="BO69">
        <v>2</v>
      </c>
      <c r="BP69">
        <v>9</v>
      </c>
      <c r="BQ69">
        <v>2</v>
      </c>
      <c r="BR69">
        <v>4</v>
      </c>
      <c r="BS69">
        <v>4</v>
      </c>
      <c r="BT69">
        <v>3</v>
      </c>
      <c r="BU69">
        <v>4</v>
      </c>
      <c r="BV69">
        <v>0</v>
      </c>
      <c r="BW69">
        <v>10</v>
      </c>
      <c r="BX69">
        <v>3</v>
      </c>
      <c r="BY69">
        <v>9</v>
      </c>
      <c r="BZ69">
        <v>5</v>
      </c>
      <c r="CA69">
        <v>1</v>
      </c>
      <c r="CB69">
        <v>6</v>
      </c>
      <c r="CC69">
        <v>5</v>
      </c>
      <c r="CD69">
        <v>5</v>
      </c>
      <c r="CE69">
        <v>9</v>
      </c>
      <c r="CF69">
        <v>7</v>
      </c>
      <c r="CG69">
        <v>0</v>
      </c>
      <c r="CH69">
        <v>8</v>
      </c>
      <c r="CI69">
        <v>0</v>
      </c>
      <c r="CJ69">
        <v>2</v>
      </c>
      <c r="CK69">
        <v>4</v>
      </c>
      <c r="CL69">
        <v>2</v>
      </c>
      <c r="CM69">
        <v>8</v>
      </c>
      <c r="CN69">
        <v>8</v>
      </c>
      <c r="CO69">
        <v>10</v>
      </c>
      <c r="CP69">
        <v>3</v>
      </c>
      <c r="CQ69">
        <v>1</v>
      </c>
      <c r="CR69">
        <v>5</v>
      </c>
      <c r="CS69">
        <v>0</v>
      </c>
      <c r="CT69">
        <v>9</v>
      </c>
      <c r="CU69">
        <v>8</v>
      </c>
      <c r="CV69">
        <v>6</v>
      </c>
      <c r="CW69">
        <v>9</v>
      </c>
      <c r="CX69">
        <v>3</v>
      </c>
      <c r="CY69">
        <v>5</v>
      </c>
      <c r="CZ69">
        <v>8</v>
      </c>
      <c r="DA69">
        <v>2</v>
      </c>
      <c r="DB69">
        <v>6</v>
      </c>
      <c r="DC69">
        <v>5</v>
      </c>
      <c r="DD69">
        <v>4</v>
      </c>
      <c r="DE69">
        <v>3</v>
      </c>
      <c r="DF69">
        <v>0</v>
      </c>
      <c r="DG69">
        <v>4</v>
      </c>
      <c r="DH69">
        <v>5</v>
      </c>
      <c r="DI69">
        <v>3</v>
      </c>
      <c r="DJ69">
        <v>3</v>
      </c>
      <c r="DK69">
        <v>5</v>
      </c>
    </row>
    <row r="70" spans="1:115">
      <c r="A70" s="172">
        <f>Calculations[[#This Row],[Sum t eCO2]]*IF(Calculations[[#This Row],[GHG Scope]]="BIOGENIC",0,1)</f>
        <v>0.24044264783960628</v>
      </c>
      <c r="O70">
        <f t="shared" si="1"/>
        <v>69</v>
      </c>
      <c r="P70">
        <v>3</v>
      </c>
      <c r="Q70">
        <v>2</v>
      </c>
      <c r="R70">
        <v>4</v>
      </c>
      <c r="S70">
        <v>8</v>
      </c>
      <c r="T70">
        <v>7</v>
      </c>
      <c r="U70">
        <v>4</v>
      </c>
      <c r="V70">
        <v>9</v>
      </c>
      <c r="W70">
        <v>7</v>
      </c>
      <c r="X70">
        <v>6</v>
      </c>
      <c r="Y70">
        <v>0</v>
      </c>
      <c r="Z70">
        <v>9</v>
      </c>
      <c r="AA70">
        <v>6</v>
      </c>
      <c r="AB70">
        <v>10</v>
      </c>
      <c r="AC70">
        <v>10</v>
      </c>
      <c r="AD70">
        <v>9</v>
      </c>
      <c r="AE70">
        <v>2</v>
      </c>
      <c r="AF70">
        <v>2</v>
      </c>
      <c r="AG70">
        <v>4</v>
      </c>
      <c r="AH70">
        <v>8</v>
      </c>
      <c r="AI70">
        <v>4</v>
      </c>
      <c r="AJ70">
        <v>1</v>
      </c>
      <c r="AK70">
        <v>9</v>
      </c>
      <c r="AL70">
        <v>1</v>
      </c>
      <c r="AM70">
        <v>2</v>
      </c>
      <c r="AN70">
        <v>8</v>
      </c>
      <c r="AO70">
        <v>4</v>
      </c>
      <c r="AP70">
        <v>9</v>
      </c>
      <c r="AQ70">
        <v>3</v>
      </c>
      <c r="AR70">
        <v>3</v>
      </c>
      <c r="AS70">
        <v>6</v>
      </c>
      <c r="AT70">
        <v>1</v>
      </c>
      <c r="AU70">
        <v>0</v>
      </c>
      <c r="AV70">
        <v>8</v>
      </c>
      <c r="AW70">
        <v>2</v>
      </c>
      <c r="AX70">
        <v>9</v>
      </c>
      <c r="AY70">
        <v>5</v>
      </c>
      <c r="AZ70">
        <v>2</v>
      </c>
      <c r="BA70">
        <v>10</v>
      </c>
      <c r="BB70">
        <v>9</v>
      </c>
      <c r="BC70">
        <v>4</v>
      </c>
      <c r="BD70">
        <v>7</v>
      </c>
      <c r="BE70">
        <v>1</v>
      </c>
      <c r="BF70">
        <v>5</v>
      </c>
      <c r="BG70">
        <v>0</v>
      </c>
      <c r="BH70">
        <v>3</v>
      </c>
      <c r="BI70">
        <v>10</v>
      </c>
      <c r="BJ70">
        <v>10</v>
      </c>
      <c r="BK70">
        <v>4</v>
      </c>
      <c r="BL70">
        <v>4</v>
      </c>
      <c r="BM70">
        <v>9</v>
      </c>
      <c r="BN70">
        <v>7</v>
      </c>
      <c r="BO70">
        <v>3</v>
      </c>
      <c r="BP70">
        <v>9</v>
      </c>
      <c r="BQ70">
        <v>6</v>
      </c>
      <c r="BR70">
        <v>10</v>
      </c>
      <c r="BS70">
        <v>4</v>
      </c>
      <c r="BT70">
        <v>5</v>
      </c>
      <c r="BU70">
        <v>8</v>
      </c>
      <c r="BV70">
        <v>5</v>
      </c>
      <c r="BW70">
        <v>8</v>
      </c>
      <c r="BX70">
        <v>3</v>
      </c>
      <c r="BY70">
        <v>5</v>
      </c>
      <c r="BZ70">
        <v>2</v>
      </c>
      <c r="CA70">
        <v>10</v>
      </c>
      <c r="CB70">
        <v>4</v>
      </c>
      <c r="CC70">
        <v>9</v>
      </c>
      <c r="CD70">
        <v>3</v>
      </c>
      <c r="CE70">
        <v>1</v>
      </c>
      <c r="CF70">
        <v>4</v>
      </c>
      <c r="CG70">
        <v>5</v>
      </c>
      <c r="CH70">
        <v>9</v>
      </c>
      <c r="CI70">
        <v>1</v>
      </c>
      <c r="CJ70">
        <v>0</v>
      </c>
      <c r="CK70">
        <v>1</v>
      </c>
      <c r="CL70">
        <v>5</v>
      </c>
      <c r="CM70">
        <v>4</v>
      </c>
      <c r="CN70">
        <v>4</v>
      </c>
      <c r="CO70">
        <v>5</v>
      </c>
      <c r="CP70">
        <v>4</v>
      </c>
      <c r="CQ70">
        <v>3</v>
      </c>
      <c r="CR70">
        <v>0</v>
      </c>
      <c r="CS70">
        <v>8</v>
      </c>
      <c r="CT70">
        <v>10</v>
      </c>
      <c r="CU70">
        <v>0</v>
      </c>
      <c r="CV70">
        <v>2</v>
      </c>
      <c r="CW70">
        <v>0</v>
      </c>
      <c r="CX70">
        <v>10</v>
      </c>
      <c r="CY70">
        <v>0</v>
      </c>
      <c r="CZ70">
        <v>1</v>
      </c>
      <c r="DA70">
        <v>8</v>
      </c>
      <c r="DB70">
        <v>8</v>
      </c>
      <c r="DC70">
        <v>4</v>
      </c>
      <c r="DD70">
        <v>9</v>
      </c>
      <c r="DE70">
        <v>7</v>
      </c>
      <c r="DF70">
        <v>7</v>
      </c>
      <c r="DG70">
        <v>4</v>
      </c>
      <c r="DH70">
        <v>3</v>
      </c>
      <c r="DI70">
        <v>7</v>
      </c>
      <c r="DJ70">
        <v>3</v>
      </c>
      <c r="DK70">
        <v>10</v>
      </c>
    </row>
    <row r="71" spans="1:115">
      <c r="A71" s="172">
        <f>Calculations[[#This Row],[Sum t eCO2]]*IF(Calculations[[#This Row],[GHG Scope]]="BIOGENIC",0,1)</f>
        <v>45.074776896844696</v>
      </c>
      <c r="O71">
        <f t="shared" si="1"/>
        <v>70</v>
      </c>
      <c r="P71">
        <v>6</v>
      </c>
      <c r="Q71">
        <v>6</v>
      </c>
      <c r="R71">
        <v>2</v>
      </c>
      <c r="S71">
        <v>0</v>
      </c>
      <c r="T71">
        <v>10</v>
      </c>
      <c r="U71">
        <v>7</v>
      </c>
      <c r="V71">
        <v>0</v>
      </c>
      <c r="W71">
        <v>2</v>
      </c>
      <c r="X71">
        <v>9</v>
      </c>
      <c r="Y71">
        <v>0</v>
      </c>
      <c r="Z71">
        <v>1</v>
      </c>
      <c r="AA71">
        <v>7</v>
      </c>
      <c r="AB71">
        <v>5</v>
      </c>
      <c r="AC71">
        <v>2</v>
      </c>
      <c r="AD71">
        <v>2</v>
      </c>
      <c r="AE71">
        <v>8</v>
      </c>
      <c r="AF71">
        <v>2</v>
      </c>
      <c r="AG71">
        <v>0</v>
      </c>
      <c r="AH71">
        <v>7</v>
      </c>
      <c r="AI71">
        <v>9</v>
      </c>
      <c r="AJ71">
        <v>4</v>
      </c>
      <c r="AK71">
        <v>1</v>
      </c>
      <c r="AL71">
        <v>10</v>
      </c>
      <c r="AM71">
        <v>4</v>
      </c>
      <c r="AN71">
        <v>8</v>
      </c>
      <c r="AO71">
        <v>5</v>
      </c>
      <c r="AP71">
        <v>1</v>
      </c>
      <c r="AQ71">
        <v>0</v>
      </c>
      <c r="AR71">
        <v>0</v>
      </c>
      <c r="AS71">
        <v>10</v>
      </c>
      <c r="AT71">
        <v>9</v>
      </c>
      <c r="AU71">
        <v>1</v>
      </c>
      <c r="AV71">
        <v>9</v>
      </c>
      <c r="AW71">
        <v>0</v>
      </c>
      <c r="AX71">
        <v>0</v>
      </c>
      <c r="AY71">
        <v>10</v>
      </c>
      <c r="AZ71">
        <v>5</v>
      </c>
      <c r="BA71">
        <v>8</v>
      </c>
      <c r="BB71">
        <v>3</v>
      </c>
      <c r="BC71">
        <v>6</v>
      </c>
      <c r="BD71">
        <v>2</v>
      </c>
      <c r="BE71">
        <v>3</v>
      </c>
      <c r="BF71">
        <v>7</v>
      </c>
      <c r="BG71">
        <v>6</v>
      </c>
      <c r="BH71">
        <v>2</v>
      </c>
      <c r="BI71">
        <v>8</v>
      </c>
      <c r="BJ71">
        <v>1</v>
      </c>
      <c r="BK71">
        <v>4</v>
      </c>
      <c r="BL71">
        <v>1</v>
      </c>
      <c r="BM71">
        <v>2</v>
      </c>
      <c r="BN71">
        <v>4</v>
      </c>
      <c r="BO71">
        <v>0</v>
      </c>
      <c r="BP71">
        <v>8</v>
      </c>
      <c r="BQ71">
        <v>4</v>
      </c>
      <c r="BR71">
        <v>2</v>
      </c>
      <c r="BS71">
        <v>10</v>
      </c>
      <c r="BT71">
        <v>6</v>
      </c>
      <c r="BU71">
        <v>10</v>
      </c>
      <c r="BV71">
        <v>8</v>
      </c>
      <c r="BW71">
        <v>10</v>
      </c>
      <c r="BX71">
        <v>2</v>
      </c>
      <c r="BY71">
        <v>8</v>
      </c>
      <c r="BZ71">
        <v>6</v>
      </c>
      <c r="CA71">
        <v>4</v>
      </c>
      <c r="CB71">
        <v>3</v>
      </c>
      <c r="CC71">
        <v>2</v>
      </c>
      <c r="CD71">
        <v>10</v>
      </c>
      <c r="CE71">
        <v>4</v>
      </c>
      <c r="CF71">
        <v>6</v>
      </c>
      <c r="CG71">
        <v>2</v>
      </c>
      <c r="CH71">
        <v>1</v>
      </c>
      <c r="CI71">
        <v>9</v>
      </c>
      <c r="CJ71">
        <v>7</v>
      </c>
      <c r="CK71">
        <v>6</v>
      </c>
      <c r="CL71">
        <v>9</v>
      </c>
      <c r="CM71">
        <v>1</v>
      </c>
      <c r="CN71">
        <v>2</v>
      </c>
      <c r="CO71">
        <v>4</v>
      </c>
      <c r="CP71">
        <v>7</v>
      </c>
      <c r="CQ71">
        <v>7</v>
      </c>
      <c r="CR71">
        <v>1</v>
      </c>
      <c r="CS71">
        <v>0</v>
      </c>
      <c r="CT71">
        <v>4</v>
      </c>
      <c r="CU71">
        <v>9</v>
      </c>
      <c r="CV71">
        <v>6</v>
      </c>
      <c r="CW71">
        <v>7</v>
      </c>
      <c r="CX71">
        <v>9</v>
      </c>
      <c r="CY71">
        <v>9</v>
      </c>
      <c r="CZ71">
        <v>1</v>
      </c>
      <c r="DA71">
        <v>10</v>
      </c>
      <c r="DB71">
        <v>0</v>
      </c>
      <c r="DC71">
        <v>0</v>
      </c>
      <c r="DD71">
        <v>3</v>
      </c>
      <c r="DE71">
        <v>2</v>
      </c>
      <c r="DF71">
        <v>1</v>
      </c>
      <c r="DG71">
        <v>10</v>
      </c>
      <c r="DH71">
        <v>1</v>
      </c>
      <c r="DI71">
        <v>2</v>
      </c>
      <c r="DJ71">
        <v>5</v>
      </c>
      <c r="DK71">
        <v>3</v>
      </c>
    </row>
    <row r="72" spans="1:115">
      <c r="A72" s="172">
        <f>Calculations[[#This Row],[Sum t eCO2]]*IF(Calculations[[#This Row],[GHG Scope]]="BIOGENIC",0,1)</f>
        <v>0.16084182661417262</v>
      </c>
      <c r="O72">
        <f t="shared" si="1"/>
        <v>71</v>
      </c>
      <c r="P72">
        <v>0</v>
      </c>
      <c r="Q72">
        <v>1</v>
      </c>
      <c r="R72">
        <v>6</v>
      </c>
      <c r="S72">
        <v>10</v>
      </c>
      <c r="T72">
        <v>9</v>
      </c>
      <c r="U72">
        <v>7</v>
      </c>
      <c r="V72">
        <v>9</v>
      </c>
      <c r="W72">
        <v>8</v>
      </c>
      <c r="X72">
        <v>3</v>
      </c>
      <c r="Y72">
        <v>8</v>
      </c>
      <c r="Z72">
        <v>5</v>
      </c>
      <c r="AA72">
        <v>4</v>
      </c>
      <c r="AB72">
        <v>0</v>
      </c>
      <c r="AC72">
        <v>6</v>
      </c>
      <c r="AD72">
        <v>5</v>
      </c>
      <c r="AE72">
        <v>7</v>
      </c>
      <c r="AF72">
        <v>10</v>
      </c>
      <c r="AG72">
        <v>9</v>
      </c>
      <c r="AH72">
        <v>3</v>
      </c>
      <c r="AI72">
        <v>6</v>
      </c>
      <c r="AJ72">
        <v>8</v>
      </c>
      <c r="AK72">
        <v>9</v>
      </c>
      <c r="AL72">
        <v>3</v>
      </c>
      <c r="AM72">
        <v>8</v>
      </c>
      <c r="AN72">
        <v>6</v>
      </c>
      <c r="AO72">
        <v>3</v>
      </c>
      <c r="AP72">
        <v>2</v>
      </c>
      <c r="AQ72">
        <v>8</v>
      </c>
      <c r="AR72">
        <v>3</v>
      </c>
      <c r="AS72">
        <v>0</v>
      </c>
      <c r="AT72">
        <v>9</v>
      </c>
      <c r="AU72">
        <v>5</v>
      </c>
      <c r="AV72">
        <v>9</v>
      </c>
      <c r="AW72">
        <v>9</v>
      </c>
      <c r="AX72">
        <v>10</v>
      </c>
      <c r="AY72">
        <v>5</v>
      </c>
      <c r="AZ72">
        <v>10</v>
      </c>
      <c r="BA72">
        <v>6</v>
      </c>
      <c r="BB72">
        <v>0</v>
      </c>
      <c r="BC72">
        <v>1</v>
      </c>
      <c r="BD72">
        <v>5</v>
      </c>
      <c r="BE72">
        <v>2</v>
      </c>
      <c r="BF72">
        <v>5</v>
      </c>
      <c r="BG72">
        <v>0</v>
      </c>
      <c r="BH72">
        <v>6</v>
      </c>
      <c r="BI72">
        <v>2</v>
      </c>
      <c r="BJ72">
        <v>6</v>
      </c>
      <c r="BK72">
        <v>5</v>
      </c>
      <c r="BL72">
        <v>10</v>
      </c>
      <c r="BM72">
        <v>10</v>
      </c>
      <c r="BN72">
        <v>9</v>
      </c>
      <c r="BO72">
        <v>9</v>
      </c>
      <c r="BP72">
        <v>0</v>
      </c>
      <c r="BQ72">
        <v>5</v>
      </c>
      <c r="BR72">
        <v>9</v>
      </c>
      <c r="BS72">
        <v>10</v>
      </c>
      <c r="BT72">
        <v>4</v>
      </c>
      <c r="BU72">
        <v>9</v>
      </c>
      <c r="BV72">
        <v>5</v>
      </c>
      <c r="BW72">
        <v>0</v>
      </c>
      <c r="BX72">
        <v>3</v>
      </c>
      <c r="BY72">
        <v>10</v>
      </c>
      <c r="BZ72">
        <v>10</v>
      </c>
      <c r="CA72">
        <v>10</v>
      </c>
      <c r="CB72">
        <v>0</v>
      </c>
      <c r="CC72">
        <v>3</v>
      </c>
      <c r="CD72">
        <v>8</v>
      </c>
      <c r="CE72">
        <v>6</v>
      </c>
      <c r="CF72">
        <v>1</v>
      </c>
      <c r="CG72">
        <v>4</v>
      </c>
      <c r="CH72">
        <v>9</v>
      </c>
      <c r="CI72">
        <v>3</v>
      </c>
      <c r="CJ72">
        <v>4</v>
      </c>
      <c r="CK72">
        <v>9</v>
      </c>
      <c r="CL72">
        <v>10</v>
      </c>
      <c r="CM72">
        <v>10</v>
      </c>
      <c r="CN72">
        <v>7</v>
      </c>
      <c r="CO72">
        <v>6</v>
      </c>
      <c r="CP72">
        <v>9</v>
      </c>
      <c r="CQ72">
        <v>7</v>
      </c>
      <c r="CR72">
        <v>2</v>
      </c>
      <c r="CS72">
        <v>6</v>
      </c>
      <c r="CT72">
        <v>0</v>
      </c>
      <c r="CU72">
        <v>3</v>
      </c>
      <c r="CV72">
        <v>2</v>
      </c>
      <c r="CW72">
        <v>1</v>
      </c>
      <c r="CX72">
        <v>0</v>
      </c>
      <c r="CY72">
        <v>5</v>
      </c>
      <c r="CZ72">
        <v>6</v>
      </c>
      <c r="DA72">
        <v>9</v>
      </c>
      <c r="DB72">
        <v>9</v>
      </c>
      <c r="DC72">
        <v>2</v>
      </c>
      <c r="DD72">
        <v>0</v>
      </c>
      <c r="DE72">
        <v>1</v>
      </c>
      <c r="DF72">
        <v>9</v>
      </c>
      <c r="DG72">
        <v>5</v>
      </c>
      <c r="DH72">
        <v>0</v>
      </c>
      <c r="DI72">
        <v>0</v>
      </c>
      <c r="DJ72">
        <v>0</v>
      </c>
      <c r="DK72">
        <v>3</v>
      </c>
    </row>
    <row r="73" spans="1:115">
      <c r="A73" s="172">
        <f>Calculations[[#This Row],[Sum t eCO2]]*IF(Calculations[[#This Row],[GHG Scope]]="BIOGENIC",0,1)</f>
        <v>0.22098126817282931</v>
      </c>
      <c r="O73">
        <f t="shared" si="1"/>
        <v>72</v>
      </c>
      <c r="P73">
        <v>10</v>
      </c>
      <c r="Q73">
        <v>0</v>
      </c>
      <c r="R73">
        <v>4</v>
      </c>
      <c r="S73">
        <v>7</v>
      </c>
      <c r="T73">
        <v>7</v>
      </c>
      <c r="U73">
        <v>9</v>
      </c>
      <c r="V73">
        <v>1</v>
      </c>
      <c r="W73">
        <v>0</v>
      </c>
      <c r="X73">
        <v>7</v>
      </c>
      <c r="Y73">
        <v>1</v>
      </c>
      <c r="Z73">
        <v>4</v>
      </c>
      <c r="AA73">
        <v>9</v>
      </c>
      <c r="AB73">
        <v>10</v>
      </c>
      <c r="AC73">
        <v>3</v>
      </c>
      <c r="AD73">
        <v>7</v>
      </c>
      <c r="AE73">
        <v>2</v>
      </c>
      <c r="AF73">
        <v>4</v>
      </c>
      <c r="AG73">
        <v>0</v>
      </c>
      <c r="AH73">
        <v>4</v>
      </c>
      <c r="AI73">
        <v>6</v>
      </c>
      <c r="AJ73">
        <v>4</v>
      </c>
      <c r="AK73">
        <v>2</v>
      </c>
      <c r="AL73">
        <v>3</v>
      </c>
      <c r="AM73">
        <v>7</v>
      </c>
      <c r="AN73">
        <v>0</v>
      </c>
      <c r="AO73">
        <v>7</v>
      </c>
      <c r="AP73">
        <v>9</v>
      </c>
      <c r="AQ73">
        <v>10</v>
      </c>
      <c r="AR73">
        <v>3</v>
      </c>
      <c r="AS73">
        <v>4</v>
      </c>
      <c r="AT73">
        <v>7</v>
      </c>
      <c r="AU73">
        <v>3</v>
      </c>
      <c r="AV73">
        <v>2</v>
      </c>
      <c r="AW73">
        <v>6</v>
      </c>
      <c r="AX73">
        <v>5</v>
      </c>
      <c r="AY73">
        <v>7</v>
      </c>
      <c r="AZ73">
        <v>1</v>
      </c>
      <c r="BA73">
        <v>2</v>
      </c>
      <c r="BB73">
        <v>4</v>
      </c>
      <c r="BC73">
        <v>8</v>
      </c>
      <c r="BD73">
        <v>0</v>
      </c>
      <c r="BE73">
        <v>2</v>
      </c>
      <c r="BF73">
        <v>10</v>
      </c>
      <c r="BG73">
        <v>4</v>
      </c>
      <c r="BH73">
        <v>0</v>
      </c>
      <c r="BI73">
        <v>0</v>
      </c>
      <c r="BJ73">
        <v>3</v>
      </c>
      <c r="BK73">
        <v>2</v>
      </c>
      <c r="BL73">
        <v>2</v>
      </c>
      <c r="BM73">
        <v>1</v>
      </c>
      <c r="BN73">
        <v>3</v>
      </c>
      <c r="BO73">
        <v>5</v>
      </c>
      <c r="BP73">
        <v>9</v>
      </c>
      <c r="BQ73">
        <v>8</v>
      </c>
      <c r="BR73">
        <v>6</v>
      </c>
      <c r="BS73">
        <v>8</v>
      </c>
      <c r="BT73">
        <v>10</v>
      </c>
      <c r="BU73">
        <v>4</v>
      </c>
      <c r="BV73">
        <v>7</v>
      </c>
      <c r="BW73">
        <v>5</v>
      </c>
      <c r="BX73">
        <v>6</v>
      </c>
      <c r="BY73">
        <v>6</v>
      </c>
      <c r="BZ73">
        <v>10</v>
      </c>
      <c r="CA73">
        <v>1</v>
      </c>
      <c r="CB73">
        <v>7</v>
      </c>
      <c r="CC73">
        <v>6</v>
      </c>
      <c r="CD73">
        <v>1</v>
      </c>
      <c r="CE73">
        <v>3</v>
      </c>
      <c r="CF73">
        <v>2</v>
      </c>
      <c r="CG73">
        <v>3</v>
      </c>
      <c r="CH73">
        <v>3</v>
      </c>
      <c r="CI73">
        <v>4</v>
      </c>
      <c r="CJ73">
        <v>3</v>
      </c>
      <c r="CK73">
        <v>7</v>
      </c>
      <c r="CL73">
        <v>9</v>
      </c>
      <c r="CM73">
        <v>9</v>
      </c>
      <c r="CN73">
        <v>3</v>
      </c>
      <c r="CO73">
        <v>10</v>
      </c>
      <c r="CP73">
        <v>9</v>
      </c>
      <c r="CQ73">
        <v>5</v>
      </c>
      <c r="CR73">
        <v>2</v>
      </c>
      <c r="CS73">
        <v>1</v>
      </c>
      <c r="CT73">
        <v>0</v>
      </c>
      <c r="CU73">
        <v>7</v>
      </c>
      <c r="CV73">
        <v>3</v>
      </c>
      <c r="CW73">
        <v>9</v>
      </c>
      <c r="CX73">
        <v>5</v>
      </c>
      <c r="CY73">
        <v>7</v>
      </c>
      <c r="CZ73">
        <v>5</v>
      </c>
      <c r="DA73">
        <v>7</v>
      </c>
      <c r="DB73">
        <v>8</v>
      </c>
      <c r="DC73">
        <v>1</v>
      </c>
      <c r="DD73">
        <v>3</v>
      </c>
      <c r="DE73">
        <v>9</v>
      </c>
      <c r="DF73">
        <v>4</v>
      </c>
      <c r="DG73">
        <v>6</v>
      </c>
      <c r="DH73">
        <v>8</v>
      </c>
      <c r="DI73">
        <v>9</v>
      </c>
      <c r="DJ73">
        <v>9</v>
      </c>
      <c r="DK73">
        <v>3</v>
      </c>
    </row>
    <row r="74" spans="1:115">
      <c r="A74" s="172">
        <f>Calculations[[#This Row],[Sum t eCO2]]*IF(Calculations[[#This Row],[GHG Scope]]="BIOGENIC",0,1)</f>
        <v>3.769718819563125</v>
      </c>
      <c r="O74">
        <f t="shared" si="1"/>
        <v>73</v>
      </c>
      <c r="P74">
        <v>8</v>
      </c>
      <c r="Q74">
        <v>2</v>
      </c>
      <c r="R74">
        <v>5</v>
      </c>
      <c r="S74">
        <v>6</v>
      </c>
      <c r="T74">
        <v>7</v>
      </c>
      <c r="U74">
        <v>1</v>
      </c>
      <c r="V74">
        <v>5</v>
      </c>
      <c r="W74">
        <v>2</v>
      </c>
      <c r="X74">
        <v>10</v>
      </c>
      <c r="Y74">
        <v>4</v>
      </c>
      <c r="Z74">
        <v>9</v>
      </c>
      <c r="AA74">
        <v>10</v>
      </c>
      <c r="AB74">
        <v>1</v>
      </c>
      <c r="AC74">
        <v>10</v>
      </c>
      <c r="AD74">
        <v>8</v>
      </c>
      <c r="AE74">
        <v>9</v>
      </c>
      <c r="AF74">
        <v>3</v>
      </c>
      <c r="AG74">
        <v>0</v>
      </c>
      <c r="AH74">
        <v>1</v>
      </c>
      <c r="AI74">
        <v>10</v>
      </c>
      <c r="AJ74">
        <v>7</v>
      </c>
      <c r="AK74">
        <v>6</v>
      </c>
      <c r="AL74">
        <v>2</v>
      </c>
      <c r="AM74">
        <v>2</v>
      </c>
      <c r="AN74">
        <v>7</v>
      </c>
      <c r="AO74">
        <v>8</v>
      </c>
      <c r="AP74">
        <v>5</v>
      </c>
      <c r="AQ74">
        <v>9</v>
      </c>
      <c r="AR74">
        <v>0</v>
      </c>
      <c r="AS74">
        <v>0</v>
      </c>
      <c r="AT74">
        <v>4</v>
      </c>
      <c r="AU74">
        <v>8</v>
      </c>
      <c r="AV74">
        <v>0</v>
      </c>
      <c r="AW74">
        <v>5</v>
      </c>
      <c r="AX74">
        <v>9</v>
      </c>
      <c r="AY74">
        <v>10</v>
      </c>
      <c r="AZ74">
        <v>4</v>
      </c>
      <c r="BA74">
        <v>3</v>
      </c>
      <c r="BB74">
        <v>4</v>
      </c>
      <c r="BC74">
        <v>7</v>
      </c>
      <c r="BD74">
        <v>4</v>
      </c>
      <c r="BE74">
        <v>9</v>
      </c>
      <c r="BF74">
        <v>4</v>
      </c>
      <c r="BG74">
        <v>1</v>
      </c>
      <c r="BH74">
        <v>1</v>
      </c>
      <c r="BI74">
        <v>4</v>
      </c>
      <c r="BJ74">
        <v>2</v>
      </c>
      <c r="BK74">
        <v>2</v>
      </c>
      <c r="BL74">
        <v>4</v>
      </c>
      <c r="BM74">
        <v>9</v>
      </c>
      <c r="BN74">
        <v>2</v>
      </c>
      <c r="BO74">
        <v>5</v>
      </c>
      <c r="BP74">
        <v>1</v>
      </c>
      <c r="BQ74">
        <v>10</v>
      </c>
      <c r="BR74">
        <v>3</v>
      </c>
      <c r="BS74">
        <v>7</v>
      </c>
      <c r="BT74">
        <v>3</v>
      </c>
      <c r="BU74">
        <v>6</v>
      </c>
      <c r="BV74">
        <v>7</v>
      </c>
      <c r="BW74">
        <v>5</v>
      </c>
      <c r="BX74">
        <v>10</v>
      </c>
      <c r="BY74">
        <v>1</v>
      </c>
      <c r="BZ74">
        <v>3</v>
      </c>
      <c r="CA74">
        <v>7</v>
      </c>
      <c r="CB74">
        <v>1</v>
      </c>
      <c r="CC74">
        <v>8</v>
      </c>
      <c r="CD74">
        <v>5</v>
      </c>
      <c r="CE74">
        <v>8</v>
      </c>
      <c r="CF74">
        <v>2</v>
      </c>
      <c r="CG74">
        <v>5</v>
      </c>
      <c r="CH74">
        <v>4</v>
      </c>
      <c r="CI74">
        <v>7</v>
      </c>
      <c r="CJ74">
        <v>0</v>
      </c>
      <c r="CK74">
        <v>1</v>
      </c>
      <c r="CL74">
        <v>3</v>
      </c>
      <c r="CM74">
        <v>3</v>
      </c>
      <c r="CN74">
        <v>10</v>
      </c>
      <c r="CO74">
        <v>0</v>
      </c>
      <c r="CP74">
        <v>10</v>
      </c>
      <c r="CQ74">
        <v>9</v>
      </c>
      <c r="CR74">
        <v>7</v>
      </c>
      <c r="CS74">
        <v>1</v>
      </c>
      <c r="CT74">
        <v>3</v>
      </c>
      <c r="CU74">
        <v>10</v>
      </c>
      <c r="CV74">
        <v>5</v>
      </c>
      <c r="CW74">
        <v>5</v>
      </c>
      <c r="CX74">
        <v>0</v>
      </c>
      <c r="CY74">
        <v>0</v>
      </c>
      <c r="CZ74">
        <v>8</v>
      </c>
      <c r="DA74">
        <v>6</v>
      </c>
      <c r="DB74">
        <v>9</v>
      </c>
      <c r="DC74">
        <v>2</v>
      </c>
      <c r="DD74">
        <v>0</v>
      </c>
      <c r="DE74">
        <v>7</v>
      </c>
      <c r="DF74">
        <v>9</v>
      </c>
      <c r="DG74">
        <v>3</v>
      </c>
      <c r="DH74">
        <v>0</v>
      </c>
      <c r="DI74">
        <v>2</v>
      </c>
      <c r="DJ74">
        <v>3</v>
      </c>
      <c r="DK74">
        <v>3</v>
      </c>
    </row>
    <row r="75" spans="1:115">
      <c r="A75" s="172">
        <f>Calculations[[#This Row],[Sum t eCO2]]*IF(Calculations[[#This Row],[GHG Scope]]="BIOGENIC",0,1)</f>
        <v>1.3451613130508907E-2</v>
      </c>
      <c r="O75">
        <f t="shared" si="1"/>
        <v>74</v>
      </c>
      <c r="P75">
        <v>6</v>
      </c>
      <c r="Q75">
        <v>1</v>
      </c>
      <c r="R75">
        <v>8</v>
      </c>
      <c r="S75">
        <v>8</v>
      </c>
      <c r="T75">
        <v>9</v>
      </c>
      <c r="U75">
        <v>1</v>
      </c>
      <c r="V75">
        <v>9</v>
      </c>
      <c r="W75">
        <v>7</v>
      </c>
      <c r="X75">
        <v>6</v>
      </c>
      <c r="Y75">
        <v>0</v>
      </c>
      <c r="Z75">
        <v>6</v>
      </c>
      <c r="AA75">
        <v>7</v>
      </c>
      <c r="AB75">
        <v>9</v>
      </c>
      <c r="AC75">
        <v>8</v>
      </c>
      <c r="AD75">
        <v>3</v>
      </c>
      <c r="AE75">
        <v>10</v>
      </c>
      <c r="AF75">
        <v>4</v>
      </c>
      <c r="AG75">
        <v>10</v>
      </c>
      <c r="AH75">
        <v>3</v>
      </c>
      <c r="AI75">
        <v>2</v>
      </c>
      <c r="AJ75">
        <v>4</v>
      </c>
      <c r="AK75">
        <v>5</v>
      </c>
      <c r="AL75">
        <v>9</v>
      </c>
      <c r="AM75">
        <v>6</v>
      </c>
      <c r="AN75">
        <v>0</v>
      </c>
      <c r="AO75">
        <v>3</v>
      </c>
      <c r="AP75">
        <v>8</v>
      </c>
      <c r="AQ75">
        <v>1</v>
      </c>
      <c r="AR75">
        <v>5</v>
      </c>
      <c r="AS75">
        <v>7</v>
      </c>
      <c r="AT75">
        <v>7</v>
      </c>
      <c r="AU75">
        <v>0</v>
      </c>
      <c r="AV75">
        <v>5</v>
      </c>
      <c r="AW75">
        <v>2</v>
      </c>
      <c r="AX75">
        <v>5</v>
      </c>
      <c r="AY75">
        <v>6</v>
      </c>
      <c r="AZ75">
        <v>0</v>
      </c>
      <c r="BA75">
        <v>10</v>
      </c>
      <c r="BB75">
        <v>10</v>
      </c>
      <c r="BC75">
        <v>8</v>
      </c>
      <c r="BD75">
        <v>4</v>
      </c>
      <c r="BE75">
        <v>9</v>
      </c>
      <c r="BF75">
        <v>8</v>
      </c>
      <c r="BG75">
        <v>7</v>
      </c>
      <c r="BH75">
        <v>2</v>
      </c>
      <c r="BI75">
        <v>5</v>
      </c>
      <c r="BJ75">
        <v>2</v>
      </c>
      <c r="BK75">
        <v>1</v>
      </c>
      <c r="BL75">
        <v>6</v>
      </c>
      <c r="BM75">
        <v>1</v>
      </c>
      <c r="BN75">
        <v>6</v>
      </c>
      <c r="BO75">
        <v>8</v>
      </c>
      <c r="BP75">
        <v>6</v>
      </c>
      <c r="BQ75">
        <v>2</v>
      </c>
      <c r="BR75">
        <v>9</v>
      </c>
      <c r="BS75">
        <v>1</v>
      </c>
      <c r="BT75">
        <v>9</v>
      </c>
      <c r="BU75">
        <v>1</v>
      </c>
      <c r="BV75">
        <v>8</v>
      </c>
      <c r="BW75">
        <v>10</v>
      </c>
      <c r="BX75">
        <v>3</v>
      </c>
      <c r="BY75">
        <v>2</v>
      </c>
      <c r="BZ75">
        <v>0</v>
      </c>
      <c r="CA75">
        <v>5</v>
      </c>
      <c r="CB75">
        <v>4</v>
      </c>
      <c r="CC75">
        <v>10</v>
      </c>
      <c r="CD75">
        <v>1</v>
      </c>
      <c r="CE75">
        <v>0</v>
      </c>
      <c r="CF75">
        <v>10</v>
      </c>
      <c r="CG75">
        <v>4</v>
      </c>
      <c r="CH75">
        <v>4</v>
      </c>
      <c r="CI75">
        <v>4</v>
      </c>
      <c r="CJ75">
        <v>8</v>
      </c>
      <c r="CK75">
        <v>4</v>
      </c>
      <c r="CL75">
        <v>9</v>
      </c>
      <c r="CM75">
        <v>4</v>
      </c>
      <c r="CN75">
        <v>1</v>
      </c>
      <c r="CO75">
        <v>10</v>
      </c>
      <c r="CP75">
        <v>4</v>
      </c>
      <c r="CQ75">
        <v>6</v>
      </c>
      <c r="CR75">
        <v>5</v>
      </c>
      <c r="CS75">
        <v>6</v>
      </c>
      <c r="CT75">
        <v>9</v>
      </c>
      <c r="CU75">
        <v>2</v>
      </c>
      <c r="CV75">
        <v>0</v>
      </c>
      <c r="CW75">
        <v>9</v>
      </c>
      <c r="CX75">
        <v>8</v>
      </c>
      <c r="CY75">
        <v>10</v>
      </c>
      <c r="CZ75">
        <v>5</v>
      </c>
      <c r="DA75">
        <v>8</v>
      </c>
      <c r="DB75">
        <v>1</v>
      </c>
      <c r="DC75">
        <v>2</v>
      </c>
      <c r="DD75">
        <v>7</v>
      </c>
      <c r="DE75">
        <v>5</v>
      </c>
      <c r="DF75">
        <v>7</v>
      </c>
      <c r="DG75">
        <v>1</v>
      </c>
      <c r="DH75">
        <v>1</v>
      </c>
      <c r="DI75">
        <v>4</v>
      </c>
      <c r="DJ75">
        <v>10</v>
      </c>
      <c r="DK75">
        <v>0</v>
      </c>
    </row>
    <row r="76" spans="1:115">
      <c r="A76" s="172">
        <f>Calculations[[#This Row],[Sum t eCO2]]*IF(Calculations[[#This Row],[GHG Scope]]="BIOGENIC",0,1)</f>
        <v>1.8481228366553585E-2</v>
      </c>
      <c r="O76">
        <f t="shared" si="1"/>
        <v>75</v>
      </c>
      <c r="P76">
        <v>1</v>
      </c>
      <c r="Q76">
        <v>9</v>
      </c>
      <c r="R76">
        <v>0</v>
      </c>
      <c r="S76">
        <v>3</v>
      </c>
      <c r="T76">
        <v>2</v>
      </c>
      <c r="U76">
        <v>5</v>
      </c>
      <c r="V76">
        <v>5</v>
      </c>
      <c r="W76">
        <v>8</v>
      </c>
      <c r="X76">
        <v>7</v>
      </c>
      <c r="Y76">
        <v>6</v>
      </c>
      <c r="Z76">
        <v>4</v>
      </c>
      <c r="AA76">
        <v>8</v>
      </c>
      <c r="AB76">
        <v>0</v>
      </c>
      <c r="AC76">
        <v>10</v>
      </c>
      <c r="AD76">
        <v>7</v>
      </c>
      <c r="AE76">
        <v>5</v>
      </c>
      <c r="AF76">
        <v>8</v>
      </c>
      <c r="AG76">
        <v>8</v>
      </c>
      <c r="AH76">
        <v>6</v>
      </c>
      <c r="AI76">
        <v>7</v>
      </c>
      <c r="AJ76">
        <v>1</v>
      </c>
      <c r="AK76">
        <v>4</v>
      </c>
      <c r="AL76">
        <v>5</v>
      </c>
      <c r="AM76">
        <v>8</v>
      </c>
      <c r="AN76">
        <v>4</v>
      </c>
      <c r="AO76">
        <v>1</v>
      </c>
      <c r="AP76">
        <v>3</v>
      </c>
      <c r="AQ76">
        <v>4</v>
      </c>
      <c r="AR76">
        <v>10</v>
      </c>
      <c r="AS76">
        <v>3</v>
      </c>
      <c r="AT76">
        <v>7</v>
      </c>
      <c r="AU76">
        <v>6</v>
      </c>
      <c r="AV76">
        <v>10</v>
      </c>
      <c r="AW76">
        <v>1</v>
      </c>
      <c r="AX76">
        <v>0</v>
      </c>
      <c r="AY76">
        <v>9</v>
      </c>
      <c r="AZ76">
        <v>4</v>
      </c>
      <c r="BA76">
        <v>2</v>
      </c>
      <c r="BB76">
        <v>0</v>
      </c>
      <c r="BC76">
        <v>3</v>
      </c>
      <c r="BD76">
        <v>2</v>
      </c>
      <c r="BE76">
        <v>7</v>
      </c>
      <c r="BF76">
        <v>5</v>
      </c>
      <c r="BG76">
        <v>1</v>
      </c>
      <c r="BH76">
        <v>7</v>
      </c>
      <c r="BI76">
        <v>7</v>
      </c>
      <c r="BJ76">
        <v>10</v>
      </c>
      <c r="BK76">
        <v>9</v>
      </c>
      <c r="BL76">
        <v>10</v>
      </c>
      <c r="BM76">
        <v>10</v>
      </c>
      <c r="BN76">
        <v>2</v>
      </c>
      <c r="BO76">
        <v>10</v>
      </c>
      <c r="BP76">
        <v>8</v>
      </c>
      <c r="BQ76">
        <v>8</v>
      </c>
      <c r="BR76">
        <v>2</v>
      </c>
      <c r="BS76">
        <v>6</v>
      </c>
      <c r="BT76">
        <v>6</v>
      </c>
      <c r="BU76">
        <v>5</v>
      </c>
      <c r="BV76">
        <v>8</v>
      </c>
      <c r="BW76">
        <v>7</v>
      </c>
      <c r="BX76">
        <v>4</v>
      </c>
      <c r="BY76">
        <v>8</v>
      </c>
      <c r="BZ76">
        <v>10</v>
      </c>
      <c r="CA76">
        <v>6</v>
      </c>
      <c r="CB76">
        <v>6</v>
      </c>
      <c r="CC76">
        <v>0</v>
      </c>
      <c r="CD76">
        <v>2</v>
      </c>
      <c r="CE76">
        <v>3</v>
      </c>
      <c r="CF76">
        <v>4</v>
      </c>
      <c r="CG76">
        <v>10</v>
      </c>
      <c r="CH76">
        <v>0</v>
      </c>
      <c r="CI76">
        <v>8</v>
      </c>
      <c r="CJ76">
        <v>0</v>
      </c>
      <c r="CK76">
        <v>1</v>
      </c>
      <c r="CL76">
        <v>9</v>
      </c>
      <c r="CM76">
        <v>1</v>
      </c>
      <c r="CN76">
        <v>3</v>
      </c>
      <c r="CO76">
        <v>10</v>
      </c>
      <c r="CP76">
        <v>7</v>
      </c>
      <c r="CQ76">
        <v>2</v>
      </c>
      <c r="CR76">
        <v>9</v>
      </c>
      <c r="CS76">
        <v>2</v>
      </c>
      <c r="CT76">
        <v>7</v>
      </c>
      <c r="CU76">
        <v>3</v>
      </c>
      <c r="CV76">
        <v>7</v>
      </c>
      <c r="CW76">
        <v>9</v>
      </c>
      <c r="CX76">
        <v>1</v>
      </c>
      <c r="CY76">
        <v>1</v>
      </c>
      <c r="CZ76">
        <v>2</v>
      </c>
      <c r="DA76">
        <v>9</v>
      </c>
      <c r="DB76">
        <v>8</v>
      </c>
      <c r="DC76">
        <v>1</v>
      </c>
      <c r="DD76">
        <v>1</v>
      </c>
      <c r="DE76">
        <v>7</v>
      </c>
      <c r="DF76">
        <v>1</v>
      </c>
      <c r="DG76">
        <v>7</v>
      </c>
      <c r="DH76">
        <v>9</v>
      </c>
      <c r="DI76">
        <v>1</v>
      </c>
      <c r="DJ76">
        <v>2</v>
      </c>
      <c r="DK76">
        <v>1</v>
      </c>
    </row>
    <row r="77" spans="1:115">
      <c r="A77" s="172">
        <f>Calculations[[#This Row],[Sum t eCO2]]*IF(Calculations[[#This Row],[GHG Scope]]="BIOGENIC",0,1)</f>
        <v>7.3957489628150697</v>
      </c>
      <c r="O77">
        <f t="shared" si="1"/>
        <v>76</v>
      </c>
      <c r="P77">
        <v>7</v>
      </c>
      <c r="Q77">
        <v>3</v>
      </c>
      <c r="R77">
        <v>7</v>
      </c>
      <c r="S77">
        <v>9</v>
      </c>
      <c r="T77">
        <v>4</v>
      </c>
      <c r="U77">
        <v>9</v>
      </c>
      <c r="V77">
        <v>10</v>
      </c>
      <c r="W77">
        <v>0</v>
      </c>
      <c r="X77">
        <v>10</v>
      </c>
      <c r="Y77">
        <v>7</v>
      </c>
      <c r="Z77">
        <v>10</v>
      </c>
      <c r="AA77">
        <v>9</v>
      </c>
      <c r="AB77">
        <v>7</v>
      </c>
      <c r="AC77">
        <v>8</v>
      </c>
      <c r="AD77">
        <v>8</v>
      </c>
      <c r="AE77">
        <v>9</v>
      </c>
      <c r="AF77">
        <v>7</v>
      </c>
      <c r="AG77">
        <v>3</v>
      </c>
      <c r="AH77">
        <v>7</v>
      </c>
      <c r="AI77">
        <v>4</v>
      </c>
      <c r="AJ77">
        <v>7</v>
      </c>
      <c r="AK77">
        <v>9</v>
      </c>
      <c r="AL77">
        <v>10</v>
      </c>
      <c r="AM77">
        <v>7</v>
      </c>
      <c r="AN77">
        <v>6</v>
      </c>
      <c r="AO77">
        <v>1</v>
      </c>
      <c r="AP77">
        <v>2</v>
      </c>
      <c r="AQ77">
        <v>0</v>
      </c>
      <c r="AR77">
        <v>0</v>
      </c>
      <c r="AS77">
        <v>4</v>
      </c>
      <c r="AT77">
        <v>10</v>
      </c>
      <c r="AU77">
        <v>8</v>
      </c>
      <c r="AV77">
        <v>9</v>
      </c>
      <c r="AW77">
        <v>3</v>
      </c>
      <c r="AX77">
        <v>1</v>
      </c>
      <c r="AY77">
        <v>6</v>
      </c>
      <c r="AZ77">
        <v>5</v>
      </c>
      <c r="BA77">
        <v>0</v>
      </c>
      <c r="BB77">
        <v>10</v>
      </c>
      <c r="BC77">
        <v>8</v>
      </c>
      <c r="BD77">
        <v>4</v>
      </c>
      <c r="BE77">
        <v>7</v>
      </c>
      <c r="BF77">
        <v>7</v>
      </c>
      <c r="BG77">
        <v>9</v>
      </c>
      <c r="BH77">
        <v>3</v>
      </c>
      <c r="BI77">
        <v>9</v>
      </c>
      <c r="BJ77">
        <v>6</v>
      </c>
      <c r="BK77">
        <v>2</v>
      </c>
      <c r="BL77">
        <v>9</v>
      </c>
      <c r="BM77">
        <v>1</v>
      </c>
      <c r="BN77">
        <v>9</v>
      </c>
      <c r="BO77">
        <v>2</v>
      </c>
      <c r="BP77">
        <v>10</v>
      </c>
      <c r="BQ77">
        <v>6</v>
      </c>
      <c r="BR77">
        <v>1</v>
      </c>
      <c r="BS77">
        <v>8</v>
      </c>
      <c r="BT77">
        <v>5</v>
      </c>
      <c r="BU77">
        <v>0</v>
      </c>
      <c r="BV77">
        <v>6</v>
      </c>
      <c r="BW77">
        <v>5</v>
      </c>
      <c r="BX77">
        <v>9</v>
      </c>
      <c r="BY77">
        <v>10</v>
      </c>
      <c r="BZ77">
        <v>7</v>
      </c>
      <c r="CA77">
        <v>6</v>
      </c>
      <c r="CB77">
        <v>6</v>
      </c>
      <c r="CC77">
        <v>4</v>
      </c>
      <c r="CD77">
        <v>6</v>
      </c>
      <c r="CE77">
        <v>6</v>
      </c>
      <c r="CF77">
        <v>9</v>
      </c>
      <c r="CG77">
        <v>7</v>
      </c>
      <c r="CH77">
        <v>9</v>
      </c>
      <c r="CI77">
        <v>0</v>
      </c>
      <c r="CJ77">
        <v>10</v>
      </c>
      <c r="CK77">
        <v>1</v>
      </c>
      <c r="CL77">
        <v>4</v>
      </c>
      <c r="CM77">
        <v>0</v>
      </c>
      <c r="CN77">
        <v>4</v>
      </c>
      <c r="CO77">
        <v>2</v>
      </c>
      <c r="CP77">
        <v>8</v>
      </c>
      <c r="CQ77">
        <v>3</v>
      </c>
      <c r="CR77">
        <v>2</v>
      </c>
      <c r="CS77">
        <v>2</v>
      </c>
      <c r="CT77">
        <v>5</v>
      </c>
      <c r="CU77">
        <v>6</v>
      </c>
      <c r="CV77">
        <v>8</v>
      </c>
      <c r="CW77">
        <v>0</v>
      </c>
      <c r="CX77">
        <v>1</v>
      </c>
      <c r="CY77">
        <v>5</v>
      </c>
      <c r="CZ77">
        <v>5</v>
      </c>
      <c r="DA77">
        <v>2</v>
      </c>
      <c r="DB77">
        <v>8</v>
      </c>
      <c r="DC77">
        <v>2</v>
      </c>
      <c r="DD77">
        <v>2</v>
      </c>
      <c r="DE77">
        <v>1</v>
      </c>
      <c r="DF77">
        <v>9</v>
      </c>
      <c r="DG77">
        <v>6</v>
      </c>
      <c r="DH77">
        <v>8</v>
      </c>
      <c r="DI77">
        <v>4</v>
      </c>
      <c r="DJ77">
        <v>4</v>
      </c>
      <c r="DK77">
        <v>2</v>
      </c>
    </row>
    <row r="78" spans="1:115">
      <c r="A78" s="172">
        <f>Calculations[[#This Row],[Sum t eCO2]]*IF(Calculations[[#This Row],[GHG Scope]]="BIOGENIC",0,1)</f>
        <v>2.6390497174980328E-2</v>
      </c>
      <c r="O78">
        <f t="shared" si="1"/>
        <v>77</v>
      </c>
      <c r="P78">
        <v>2</v>
      </c>
      <c r="Q78">
        <v>4</v>
      </c>
      <c r="R78">
        <v>0</v>
      </c>
      <c r="S78">
        <v>2</v>
      </c>
      <c r="T78">
        <v>4</v>
      </c>
      <c r="U78">
        <v>6</v>
      </c>
      <c r="V78">
        <v>6</v>
      </c>
      <c r="W78">
        <v>9</v>
      </c>
      <c r="X78">
        <v>4</v>
      </c>
      <c r="Y78">
        <v>0</v>
      </c>
      <c r="Z78">
        <v>9</v>
      </c>
      <c r="AA78">
        <v>5</v>
      </c>
      <c r="AB78">
        <v>7</v>
      </c>
      <c r="AC78">
        <v>2</v>
      </c>
      <c r="AD78">
        <v>8</v>
      </c>
      <c r="AE78">
        <v>9</v>
      </c>
      <c r="AF78">
        <v>1</v>
      </c>
      <c r="AG78">
        <v>2</v>
      </c>
      <c r="AH78">
        <v>3</v>
      </c>
      <c r="AI78">
        <v>1</v>
      </c>
      <c r="AJ78">
        <v>6</v>
      </c>
      <c r="AK78">
        <v>5</v>
      </c>
      <c r="AL78">
        <v>2</v>
      </c>
      <c r="AM78">
        <v>6</v>
      </c>
      <c r="AN78">
        <v>9</v>
      </c>
      <c r="AO78">
        <v>9</v>
      </c>
      <c r="AP78">
        <v>3</v>
      </c>
      <c r="AQ78">
        <v>1</v>
      </c>
      <c r="AR78">
        <v>10</v>
      </c>
      <c r="AS78">
        <v>5</v>
      </c>
      <c r="AT78">
        <v>4</v>
      </c>
      <c r="AU78">
        <v>2</v>
      </c>
      <c r="AV78">
        <v>5</v>
      </c>
      <c r="AW78">
        <v>9</v>
      </c>
      <c r="AX78">
        <v>1</v>
      </c>
      <c r="AY78">
        <v>2</v>
      </c>
      <c r="AZ78">
        <v>5</v>
      </c>
      <c r="BA78">
        <v>9</v>
      </c>
      <c r="BB78">
        <v>5</v>
      </c>
      <c r="BC78">
        <v>1</v>
      </c>
      <c r="BD78">
        <v>3</v>
      </c>
      <c r="BE78">
        <v>5</v>
      </c>
      <c r="BF78">
        <v>3</v>
      </c>
      <c r="BG78">
        <v>3</v>
      </c>
      <c r="BH78">
        <v>10</v>
      </c>
      <c r="BI78">
        <v>4</v>
      </c>
      <c r="BJ78">
        <v>7</v>
      </c>
      <c r="BK78">
        <v>3</v>
      </c>
      <c r="BL78">
        <v>2</v>
      </c>
      <c r="BM78">
        <v>5</v>
      </c>
      <c r="BN78">
        <v>8</v>
      </c>
      <c r="BO78">
        <v>3</v>
      </c>
      <c r="BP78">
        <v>9</v>
      </c>
      <c r="BQ78">
        <v>3</v>
      </c>
      <c r="BR78">
        <v>4</v>
      </c>
      <c r="BS78">
        <v>5</v>
      </c>
      <c r="BT78">
        <v>2</v>
      </c>
      <c r="BU78">
        <v>4</v>
      </c>
      <c r="BV78">
        <v>1</v>
      </c>
      <c r="BW78">
        <v>2</v>
      </c>
      <c r="BX78">
        <v>5</v>
      </c>
      <c r="BY78">
        <v>3</v>
      </c>
      <c r="BZ78">
        <v>9</v>
      </c>
      <c r="CA78">
        <v>0</v>
      </c>
      <c r="CB78">
        <v>3</v>
      </c>
      <c r="CC78">
        <v>7</v>
      </c>
      <c r="CD78">
        <v>0</v>
      </c>
      <c r="CE78">
        <v>8</v>
      </c>
      <c r="CF78">
        <v>0</v>
      </c>
      <c r="CG78">
        <v>4</v>
      </c>
      <c r="CH78">
        <v>1</v>
      </c>
      <c r="CI78">
        <v>8</v>
      </c>
      <c r="CJ78">
        <v>8</v>
      </c>
      <c r="CK78">
        <v>9</v>
      </c>
      <c r="CL78">
        <v>0</v>
      </c>
      <c r="CM78">
        <v>6</v>
      </c>
      <c r="CN78">
        <v>0</v>
      </c>
      <c r="CO78">
        <v>4</v>
      </c>
      <c r="CP78">
        <v>5</v>
      </c>
      <c r="CQ78">
        <v>8</v>
      </c>
      <c r="CR78">
        <v>6</v>
      </c>
      <c r="CS78">
        <v>8</v>
      </c>
      <c r="CT78">
        <v>3</v>
      </c>
      <c r="CU78">
        <v>7</v>
      </c>
      <c r="CV78">
        <v>7</v>
      </c>
      <c r="CW78">
        <v>0</v>
      </c>
      <c r="CX78">
        <v>9</v>
      </c>
      <c r="CY78">
        <v>7</v>
      </c>
      <c r="CZ78">
        <v>10</v>
      </c>
      <c r="DA78">
        <v>8</v>
      </c>
      <c r="DB78">
        <v>2</v>
      </c>
      <c r="DC78">
        <v>9</v>
      </c>
      <c r="DD78">
        <v>3</v>
      </c>
      <c r="DE78">
        <v>10</v>
      </c>
      <c r="DF78">
        <v>0</v>
      </c>
      <c r="DG78">
        <v>4</v>
      </c>
      <c r="DH78">
        <v>8</v>
      </c>
      <c r="DI78">
        <v>1</v>
      </c>
      <c r="DJ78">
        <v>9</v>
      </c>
      <c r="DK78">
        <v>9</v>
      </c>
    </row>
    <row r="79" spans="1:115">
      <c r="A79" s="172">
        <f>Calculations[[#This Row],[Sum t eCO2]]*IF(Calculations[[#This Row],[GHG Scope]]="BIOGENIC",0,1)</f>
        <v>3.6258016065858024E-2</v>
      </c>
      <c r="O79">
        <f t="shared" si="1"/>
        <v>78</v>
      </c>
      <c r="P79">
        <v>0</v>
      </c>
      <c r="Q79">
        <v>7</v>
      </c>
      <c r="R79">
        <v>10</v>
      </c>
      <c r="S79">
        <v>0</v>
      </c>
      <c r="T79">
        <v>4</v>
      </c>
      <c r="U79">
        <v>2</v>
      </c>
      <c r="V79">
        <v>9</v>
      </c>
      <c r="W79">
        <v>0</v>
      </c>
      <c r="X79">
        <v>4</v>
      </c>
      <c r="Y79">
        <v>6</v>
      </c>
      <c r="Z79">
        <v>1</v>
      </c>
      <c r="AA79">
        <v>8</v>
      </c>
      <c r="AB79">
        <v>3</v>
      </c>
      <c r="AC79">
        <v>9</v>
      </c>
      <c r="AD79">
        <v>9</v>
      </c>
      <c r="AE79">
        <v>6</v>
      </c>
      <c r="AF79">
        <v>5</v>
      </c>
      <c r="AG79">
        <v>2</v>
      </c>
      <c r="AH79">
        <v>0</v>
      </c>
      <c r="AI79">
        <v>4</v>
      </c>
      <c r="AJ79">
        <v>0</v>
      </c>
      <c r="AK79">
        <v>2</v>
      </c>
      <c r="AL79">
        <v>8</v>
      </c>
      <c r="AM79">
        <v>1</v>
      </c>
      <c r="AN79">
        <v>8</v>
      </c>
      <c r="AO79">
        <v>2</v>
      </c>
      <c r="AP79">
        <v>9</v>
      </c>
      <c r="AQ79">
        <v>5</v>
      </c>
      <c r="AR79">
        <v>5</v>
      </c>
      <c r="AS79">
        <v>7</v>
      </c>
      <c r="AT79">
        <v>4</v>
      </c>
      <c r="AU79">
        <v>2</v>
      </c>
      <c r="AV79">
        <v>5</v>
      </c>
      <c r="AW79">
        <v>0</v>
      </c>
      <c r="AX79">
        <v>9</v>
      </c>
      <c r="AY79">
        <v>6</v>
      </c>
      <c r="AZ79">
        <v>4</v>
      </c>
      <c r="BA79">
        <v>0</v>
      </c>
      <c r="BB79">
        <v>6</v>
      </c>
      <c r="BC79">
        <v>0</v>
      </c>
      <c r="BD79">
        <v>4</v>
      </c>
      <c r="BE79">
        <v>5</v>
      </c>
      <c r="BF79">
        <v>6</v>
      </c>
      <c r="BG79">
        <v>5</v>
      </c>
      <c r="BH79">
        <v>7</v>
      </c>
      <c r="BI79">
        <v>2</v>
      </c>
      <c r="BJ79">
        <v>7</v>
      </c>
      <c r="BK79">
        <v>2</v>
      </c>
      <c r="BL79">
        <v>9</v>
      </c>
      <c r="BM79">
        <v>1</v>
      </c>
      <c r="BN79">
        <v>0</v>
      </c>
      <c r="BO79">
        <v>8</v>
      </c>
      <c r="BP79">
        <v>1</v>
      </c>
      <c r="BQ79">
        <v>2</v>
      </c>
      <c r="BR79">
        <v>9</v>
      </c>
      <c r="BS79">
        <v>3</v>
      </c>
      <c r="BT79">
        <v>10</v>
      </c>
      <c r="BU79">
        <v>0</v>
      </c>
      <c r="BV79">
        <v>1</v>
      </c>
      <c r="BW79">
        <v>2</v>
      </c>
      <c r="BX79">
        <v>2</v>
      </c>
      <c r="BY79">
        <v>0</v>
      </c>
      <c r="BZ79">
        <v>4</v>
      </c>
      <c r="CA79">
        <v>9</v>
      </c>
      <c r="CB79">
        <v>6</v>
      </c>
      <c r="CC79">
        <v>7</v>
      </c>
      <c r="CD79">
        <v>10</v>
      </c>
      <c r="CE79">
        <v>10</v>
      </c>
      <c r="CF79">
        <v>3</v>
      </c>
      <c r="CG79">
        <v>6</v>
      </c>
      <c r="CH79">
        <v>4</v>
      </c>
      <c r="CI79">
        <v>7</v>
      </c>
      <c r="CJ79">
        <v>1</v>
      </c>
      <c r="CK79">
        <v>0</v>
      </c>
      <c r="CL79">
        <v>6</v>
      </c>
      <c r="CM79">
        <v>1</v>
      </c>
      <c r="CN79">
        <v>2</v>
      </c>
      <c r="CO79">
        <v>0</v>
      </c>
      <c r="CP79">
        <v>1</v>
      </c>
      <c r="CQ79">
        <v>6</v>
      </c>
      <c r="CR79">
        <v>10</v>
      </c>
      <c r="CS79">
        <v>5</v>
      </c>
      <c r="CT79">
        <v>3</v>
      </c>
      <c r="CU79">
        <v>9</v>
      </c>
      <c r="CV79">
        <v>10</v>
      </c>
      <c r="CW79">
        <v>5</v>
      </c>
      <c r="CX79">
        <v>10</v>
      </c>
      <c r="CY79">
        <v>5</v>
      </c>
      <c r="CZ79">
        <v>2</v>
      </c>
      <c r="DA79">
        <v>2</v>
      </c>
      <c r="DB79">
        <v>0</v>
      </c>
      <c r="DC79">
        <v>9</v>
      </c>
      <c r="DD79">
        <v>4</v>
      </c>
      <c r="DE79">
        <v>8</v>
      </c>
      <c r="DF79">
        <v>3</v>
      </c>
      <c r="DG79">
        <v>10</v>
      </c>
      <c r="DH79">
        <v>3</v>
      </c>
      <c r="DI79">
        <v>1</v>
      </c>
      <c r="DJ79">
        <v>4</v>
      </c>
      <c r="DK79">
        <v>10</v>
      </c>
    </row>
    <row r="80" spans="1:115">
      <c r="A80" s="172">
        <f>Calculations[[#This Row],[Sum t eCO2]]*IF(Calculations[[#This Row],[GHG Scope]]="BIOGENIC",0,1)</f>
        <v>2.395772008273215</v>
      </c>
      <c r="O80">
        <f t="shared" si="1"/>
        <v>79</v>
      </c>
      <c r="P80">
        <v>6</v>
      </c>
      <c r="Q80">
        <v>0</v>
      </c>
      <c r="R80">
        <v>4</v>
      </c>
      <c r="S80">
        <v>9</v>
      </c>
      <c r="T80">
        <v>8</v>
      </c>
      <c r="U80">
        <v>7</v>
      </c>
      <c r="V80">
        <v>5</v>
      </c>
      <c r="W80">
        <v>1</v>
      </c>
      <c r="X80">
        <v>3</v>
      </c>
      <c r="Y80">
        <v>1</v>
      </c>
      <c r="Z80">
        <v>4</v>
      </c>
      <c r="AA80">
        <v>10</v>
      </c>
      <c r="AB80">
        <v>9</v>
      </c>
      <c r="AC80">
        <v>1</v>
      </c>
      <c r="AD80">
        <v>0</v>
      </c>
      <c r="AE80">
        <v>6</v>
      </c>
      <c r="AF80">
        <v>0</v>
      </c>
      <c r="AG80">
        <v>10</v>
      </c>
      <c r="AH80">
        <v>10</v>
      </c>
      <c r="AI80">
        <v>10</v>
      </c>
      <c r="AJ80">
        <v>5</v>
      </c>
      <c r="AK80">
        <v>9</v>
      </c>
      <c r="AL80">
        <v>6</v>
      </c>
      <c r="AM80">
        <v>5</v>
      </c>
      <c r="AN80">
        <v>10</v>
      </c>
      <c r="AO80">
        <v>1</v>
      </c>
      <c r="AP80">
        <v>8</v>
      </c>
      <c r="AQ80">
        <v>9</v>
      </c>
      <c r="AR80">
        <v>2</v>
      </c>
      <c r="AS80">
        <v>2</v>
      </c>
      <c r="AT80">
        <v>1</v>
      </c>
      <c r="AU80">
        <v>6</v>
      </c>
      <c r="AV80">
        <v>1</v>
      </c>
      <c r="AW80">
        <v>9</v>
      </c>
      <c r="AX80">
        <v>0</v>
      </c>
      <c r="AY80">
        <v>10</v>
      </c>
      <c r="AZ80">
        <v>5</v>
      </c>
      <c r="BA80">
        <v>4</v>
      </c>
      <c r="BB80">
        <v>5</v>
      </c>
      <c r="BC80">
        <v>7</v>
      </c>
      <c r="BD80">
        <v>3</v>
      </c>
      <c r="BE80">
        <v>8</v>
      </c>
      <c r="BF80">
        <v>0</v>
      </c>
      <c r="BG80">
        <v>7</v>
      </c>
      <c r="BH80">
        <v>2</v>
      </c>
      <c r="BI80">
        <v>8</v>
      </c>
      <c r="BJ80">
        <v>6</v>
      </c>
      <c r="BK80">
        <v>3</v>
      </c>
      <c r="BL80">
        <v>4</v>
      </c>
      <c r="BM80">
        <v>10</v>
      </c>
      <c r="BN80">
        <v>8</v>
      </c>
      <c r="BO80">
        <v>5</v>
      </c>
      <c r="BP80">
        <v>0</v>
      </c>
      <c r="BQ80">
        <v>6</v>
      </c>
      <c r="BR80">
        <v>8</v>
      </c>
      <c r="BS80">
        <v>0</v>
      </c>
      <c r="BT80">
        <v>4</v>
      </c>
      <c r="BU80">
        <v>10</v>
      </c>
      <c r="BV80">
        <v>2</v>
      </c>
      <c r="BW80">
        <v>8</v>
      </c>
      <c r="BX80">
        <v>4</v>
      </c>
      <c r="BY80">
        <v>3</v>
      </c>
      <c r="BZ80">
        <v>7</v>
      </c>
      <c r="CA80">
        <v>10</v>
      </c>
      <c r="CB80">
        <v>6</v>
      </c>
      <c r="CC80">
        <v>2</v>
      </c>
      <c r="CD80">
        <v>1</v>
      </c>
      <c r="CE80">
        <v>9</v>
      </c>
      <c r="CF80">
        <v>9</v>
      </c>
      <c r="CG80">
        <v>8</v>
      </c>
      <c r="CH80">
        <v>2</v>
      </c>
      <c r="CI80">
        <v>8</v>
      </c>
      <c r="CJ80">
        <v>2</v>
      </c>
      <c r="CK80">
        <v>6</v>
      </c>
      <c r="CL80">
        <v>2</v>
      </c>
      <c r="CM80">
        <v>3</v>
      </c>
      <c r="CN80">
        <v>1</v>
      </c>
      <c r="CO80">
        <v>8</v>
      </c>
      <c r="CP80">
        <v>9</v>
      </c>
      <c r="CQ80">
        <v>2</v>
      </c>
      <c r="CR80">
        <v>9</v>
      </c>
      <c r="CS80">
        <v>4</v>
      </c>
      <c r="CT80">
        <v>5</v>
      </c>
      <c r="CU80">
        <v>3</v>
      </c>
      <c r="CV80">
        <v>1</v>
      </c>
      <c r="CW80">
        <v>6</v>
      </c>
      <c r="CX80">
        <v>1</v>
      </c>
      <c r="CY80">
        <v>7</v>
      </c>
      <c r="CZ80">
        <v>9</v>
      </c>
      <c r="DA80">
        <v>4</v>
      </c>
      <c r="DB80">
        <v>5</v>
      </c>
      <c r="DC80">
        <v>4</v>
      </c>
      <c r="DD80">
        <v>2</v>
      </c>
      <c r="DE80">
        <v>10</v>
      </c>
      <c r="DF80">
        <v>9</v>
      </c>
      <c r="DG80">
        <v>0</v>
      </c>
      <c r="DH80">
        <v>7</v>
      </c>
      <c r="DI80">
        <v>5</v>
      </c>
      <c r="DJ80">
        <v>3</v>
      </c>
      <c r="DK80">
        <v>4</v>
      </c>
    </row>
    <row r="81" spans="1:115">
      <c r="A81" s="172">
        <f>Calculations[[#This Row],[Sum t eCO2]]*IF(Calculations[[#This Row],[GHG Scope]]="BIOGENIC",0,1)</f>
        <v>8.5489129950356551E-3</v>
      </c>
      <c r="O81">
        <f t="shared" si="1"/>
        <v>80</v>
      </c>
      <c r="P81">
        <v>3</v>
      </c>
      <c r="Q81">
        <v>7</v>
      </c>
      <c r="R81">
        <v>8</v>
      </c>
      <c r="S81">
        <v>10</v>
      </c>
      <c r="T81">
        <v>7</v>
      </c>
      <c r="U81">
        <v>6</v>
      </c>
      <c r="V81">
        <v>0</v>
      </c>
      <c r="W81">
        <v>10</v>
      </c>
      <c r="X81">
        <v>10</v>
      </c>
      <c r="Y81">
        <v>7</v>
      </c>
      <c r="Z81">
        <v>6</v>
      </c>
      <c r="AA81">
        <v>4</v>
      </c>
      <c r="AB81">
        <v>7</v>
      </c>
      <c r="AC81">
        <v>6</v>
      </c>
      <c r="AD81">
        <v>2</v>
      </c>
      <c r="AE81">
        <v>9</v>
      </c>
      <c r="AF81">
        <v>3</v>
      </c>
      <c r="AG81">
        <v>0</v>
      </c>
      <c r="AH81">
        <v>9</v>
      </c>
      <c r="AI81">
        <v>4</v>
      </c>
      <c r="AJ81">
        <v>4</v>
      </c>
      <c r="AK81">
        <v>7</v>
      </c>
      <c r="AL81">
        <v>10</v>
      </c>
      <c r="AM81">
        <v>1</v>
      </c>
      <c r="AN81">
        <v>3</v>
      </c>
      <c r="AO81">
        <v>9</v>
      </c>
      <c r="AP81">
        <v>10</v>
      </c>
      <c r="AQ81">
        <v>0</v>
      </c>
      <c r="AR81">
        <v>8</v>
      </c>
      <c r="AS81">
        <v>10</v>
      </c>
      <c r="AT81">
        <v>9</v>
      </c>
      <c r="AU81">
        <v>2</v>
      </c>
      <c r="AV81">
        <v>6</v>
      </c>
      <c r="AW81">
        <v>4</v>
      </c>
      <c r="AX81">
        <v>10</v>
      </c>
      <c r="AY81">
        <v>5</v>
      </c>
      <c r="AZ81">
        <v>7</v>
      </c>
      <c r="BA81">
        <v>9</v>
      </c>
      <c r="BB81">
        <v>0</v>
      </c>
      <c r="BC81">
        <v>0</v>
      </c>
      <c r="BD81">
        <v>8</v>
      </c>
      <c r="BE81">
        <v>2</v>
      </c>
      <c r="BF81">
        <v>3</v>
      </c>
      <c r="BG81">
        <v>8</v>
      </c>
      <c r="BH81">
        <v>2</v>
      </c>
      <c r="BI81">
        <v>6</v>
      </c>
      <c r="BJ81">
        <v>7</v>
      </c>
      <c r="BK81">
        <v>10</v>
      </c>
      <c r="BL81">
        <v>7</v>
      </c>
      <c r="BM81">
        <v>7</v>
      </c>
      <c r="BN81">
        <v>2</v>
      </c>
      <c r="BO81">
        <v>8</v>
      </c>
      <c r="BP81">
        <v>3</v>
      </c>
      <c r="BQ81">
        <v>4</v>
      </c>
      <c r="BR81">
        <v>8</v>
      </c>
      <c r="BS81">
        <v>10</v>
      </c>
      <c r="BT81">
        <v>0</v>
      </c>
      <c r="BU81">
        <v>8</v>
      </c>
      <c r="BV81">
        <v>2</v>
      </c>
      <c r="BW81">
        <v>10</v>
      </c>
      <c r="BX81">
        <v>10</v>
      </c>
      <c r="BY81">
        <v>10</v>
      </c>
      <c r="BZ81">
        <v>1</v>
      </c>
      <c r="CA81">
        <v>5</v>
      </c>
      <c r="CB81">
        <v>2</v>
      </c>
      <c r="CC81">
        <v>7</v>
      </c>
      <c r="CD81">
        <v>6</v>
      </c>
      <c r="CE81">
        <v>8</v>
      </c>
      <c r="CF81">
        <v>5</v>
      </c>
      <c r="CG81">
        <v>8</v>
      </c>
      <c r="CH81">
        <v>9</v>
      </c>
      <c r="CI81">
        <v>6</v>
      </c>
      <c r="CJ81">
        <v>10</v>
      </c>
      <c r="CK81">
        <v>6</v>
      </c>
      <c r="CL81">
        <v>9</v>
      </c>
      <c r="CM81">
        <v>5</v>
      </c>
      <c r="CN81">
        <v>0</v>
      </c>
      <c r="CO81">
        <v>7</v>
      </c>
      <c r="CP81">
        <v>9</v>
      </c>
      <c r="CQ81">
        <v>6</v>
      </c>
      <c r="CR81">
        <v>3</v>
      </c>
      <c r="CS81">
        <v>5</v>
      </c>
      <c r="CT81">
        <v>8</v>
      </c>
      <c r="CU81">
        <v>8</v>
      </c>
      <c r="CV81">
        <v>5</v>
      </c>
      <c r="CW81">
        <v>3</v>
      </c>
      <c r="CX81">
        <v>5</v>
      </c>
      <c r="CY81">
        <v>8</v>
      </c>
      <c r="CZ81">
        <v>6</v>
      </c>
      <c r="DA81">
        <v>3</v>
      </c>
      <c r="DB81">
        <v>1</v>
      </c>
      <c r="DC81">
        <v>1</v>
      </c>
      <c r="DD81">
        <v>0</v>
      </c>
      <c r="DE81">
        <v>8</v>
      </c>
      <c r="DF81">
        <v>0</v>
      </c>
      <c r="DG81">
        <v>5</v>
      </c>
      <c r="DH81">
        <v>3</v>
      </c>
      <c r="DI81">
        <v>1</v>
      </c>
      <c r="DJ81">
        <v>6</v>
      </c>
      <c r="DK81">
        <v>2</v>
      </c>
    </row>
    <row r="82" spans="1:115">
      <c r="A82" s="172">
        <f>Calculations[[#This Row],[Sum t eCO2]]*IF(Calculations[[#This Row],[GHG Scope]]="BIOGENIC",0,1)</f>
        <v>1.1745387844132434E-2</v>
      </c>
      <c r="O82">
        <f t="shared" si="1"/>
        <v>81</v>
      </c>
      <c r="P82">
        <v>7</v>
      </c>
      <c r="Q82">
        <v>1</v>
      </c>
      <c r="R82">
        <v>5</v>
      </c>
      <c r="S82">
        <v>6</v>
      </c>
      <c r="T82">
        <v>4</v>
      </c>
      <c r="U82">
        <v>9</v>
      </c>
      <c r="V82">
        <v>1</v>
      </c>
      <c r="W82">
        <v>7</v>
      </c>
      <c r="X82">
        <v>0</v>
      </c>
      <c r="Y82">
        <v>0</v>
      </c>
      <c r="Z82">
        <v>9</v>
      </c>
      <c r="AA82">
        <v>5</v>
      </c>
      <c r="AB82">
        <v>10</v>
      </c>
      <c r="AC82">
        <v>0</v>
      </c>
      <c r="AD82">
        <v>10</v>
      </c>
      <c r="AE82">
        <v>8</v>
      </c>
      <c r="AF82">
        <v>9</v>
      </c>
      <c r="AG82">
        <v>8</v>
      </c>
      <c r="AH82">
        <v>6</v>
      </c>
      <c r="AI82">
        <v>8</v>
      </c>
      <c r="AJ82">
        <v>5</v>
      </c>
      <c r="AK82">
        <v>7</v>
      </c>
      <c r="AL82">
        <v>4</v>
      </c>
      <c r="AM82">
        <v>6</v>
      </c>
      <c r="AN82">
        <v>9</v>
      </c>
      <c r="AO82">
        <v>2</v>
      </c>
      <c r="AP82">
        <v>7</v>
      </c>
      <c r="AQ82">
        <v>2</v>
      </c>
      <c r="AR82">
        <v>3</v>
      </c>
      <c r="AS82">
        <v>5</v>
      </c>
      <c r="AT82">
        <v>10</v>
      </c>
      <c r="AU82">
        <v>10</v>
      </c>
      <c r="AV82">
        <v>1</v>
      </c>
      <c r="AW82">
        <v>10</v>
      </c>
      <c r="AX82">
        <v>7</v>
      </c>
      <c r="AY82">
        <v>3</v>
      </c>
      <c r="AZ82">
        <v>0</v>
      </c>
      <c r="BA82">
        <v>5</v>
      </c>
      <c r="BB82">
        <v>2</v>
      </c>
      <c r="BC82">
        <v>1</v>
      </c>
      <c r="BD82">
        <v>10</v>
      </c>
      <c r="BE82">
        <v>1</v>
      </c>
      <c r="BF82">
        <v>3</v>
      </c>
      <c r="BG82">
        <v>9</v>
      </c>
      <c r="BH82">
        <v>9</v>
      </c>
      <c r="BI82">
        <v>3</v>
      </c>
      <c r="BJ82">
        <v>7</v>
      </c>
      <c r="BK82">
        <v>8</v>
      </c>
      <c r="BL82">
        <v>4</v>
      </c>
      <c r="BM82">
        <v>7</v>
      </c>
      <c r="BN82">
        <v>4</v>
      </c>
      <c r="BO82">
        <v>4</v>
      </c>
      <c r="BP82">
        <v>4</v>
      </c>
      <c r="BQ82">
        <v>4</v>
      </c>
      <c r="BR82">
        <v>8</v>
      </c>
      <c r="BS82">
        <v>7</v>
      </c>
      <c r="BT82">
        <v>10</v>
      </c>
      <c r="BU82">
        <v>8</v>
      </c>
      <c r="BV82">
        <v>1</v>
      </c>
      <c r="BW82">
        <v>5</v>
      </c>
      <c r="BX82">
        <v>8</v>
      </c>
      <c r="BY82">
        <v>9</v>
      </c>
      <c r="BZ82">
        <v>5</v>
      </c>
      <c r="CA82">
        <v>10</v>
      </c>
      <c r="CB82">
        <v>2</v>
      </c>
      <c r="CC82">
        <v>7</v>
      </c>
      <c r="CD82">
        <v>7</v>
      </c>
      <c r="CE82">
        <v>8</v>
      </c>
      <c r="CF82">
        <v>6</v>
      </c>
      <c r="CG82">
        <v>6</v>
      </c>
      <c r="CH82">
        <v>1</v>
      </c>
      <c r="CI82">
        <v>10</v>
      </c>
      <c r="CJ82">
        <v>8</v>
      </c>
      <c r="CK82">
        <v>4</v>
      </c>
      <c r="CL82">
        <v>10</v>
      </c>
      <c r="CM82">
        <v>2</v>
      </c>
      <c r="CN82">
        <v>6</v>
      </c>
      <c r="CO82">
        <v>9</v>
      </c>
      <c r="CP82">
        <v>4</v>
      </c>
      <c r="CQ82">
        <v>7</v>
      </c>
      <c r="CR82">
        <v>1</v>
      </c>
      <c r="CS82">
        <v>8</v>
      </c>
      <c r="CT82">
        <v>8</v>
      </c>
      <c r="CU82">
        <v>10</v>
      </c>
      <c r="CV82">
        <v>6</v>
      </c>
      <c r="CW82">
        <v>10</v>
      </c>
      <c r="CX82">
        <v>8</v>
      </c>
      <c r="CY82">
        <v>1</v>
      </c>
      <c r="CZ82">
        <v>8</v>
      </c>
      <c r="DA82">
        <v>9</v>
      </c>
      <c r="DB82">
        <v>10</v>
      </c>
      <c r="DC82">
        <v>5</v>
      </c>
      <c r="DD82">
        <v>3</v>
      </c>
      <c r="DE82">
        <v>8</v>
      </c>
      <c r="DF82">
        <v>0</v>
      </c>
      <c r="DG82">
        <v>3</v>
      </c>
      <c r="DH82">
        <v>3</v>
      </c>
      <c r="DI82">
        <v>9</v>
      </c>
      <c r="DJ82">
        <v>5</v>
      </c>
      <c r="DK82">
        <v>3</v>
      </c>
    </row>
    <row r="83" spans="1:115">
      <c r="A83" s="172">
        <f>Calculations[[#This Row],[Sum t eCO2]]*IF(Calculations[[#This Row],[GHG Scope]]="BIOGENIC",0,1)</f>
        <v>110.60133798476518</v>
      </c>
      <c r="O83">
        <f t="shared" si="1"/>
        <v>82</v>
      </c>
      <c r="P83">
        <v>2</v>
      </c>
      <c r="Q83">
        <v>1</v>
      </c>
      <c r="R83">
        <v>0</v>
      </c>
      <c r="S83">
        <v>10</v>
      </c>
      <c r="T83">
        <v>0</v>
      </c>
      <c r="U83">
        <v>4</v>
      </c>
      <c r="V83">
        <v>10</v>
      </c>
      <c r="W83">
        <v>10</v>
      </c>
      <c r="X83">
        <v>9</v>
      </c>
      <c r="Y83">
        <v>1</v>
      </c>
      <c r="Z83">
        <v>8</v>
      </c>
      <c r="AA83">
        <v>5</v>
      </c>
      <c r="AB83">
        <v>6</v>
      </c>
      <c r="AC83">
        <v>9</v>
      </c>
      <c r="AD83">
        <v>6</v>
      </c>
      <c r="AE83">
        <v>9</v>
      </c>
      <c r="AF83">
        <v>0</v>
      </c>
      <c r="AG83">
        <v>7</v>
      </c>
      <c r="AH83">
        <v>10</v>
      </c>
      <c r="AI83">
        <v>7</v>
      </c>
      <c r="AJ83">
        <v>5</v>
      </c>
      <c r="AK83">
        <v>1</v>
      </c>
      <c r="AL83">
        <v>1</v>
      </c>
      <c r="AM83">
        <v>10</v>
      </c>
      <c r="AN83">
        <v>5</v>
      </c>
      <c r="AO83">
        <v>10</v>
      </c>
      <c r="AP83">
        <v>4</v>
      </c>
      <c r="AQ83">
        <v>1</v>
      </c>
      <c r="AR83">
        <v>5</v>
      </c>
      <c r="AS83">
        <v>2</v>
      </c>
      <c r="AT83">
        <v>5</v>
      </c>
      <c r="AU83">
        <v>6</v>
      </c>
      <c r="AV83">
        <v>2</v>
      </c>
      <c r="AW83">
        <v>5</v>
      </c>
      <c r="AX83">
        <v>5</v>
      </c>
      <c r="AY83">
        <v>0</v>
      </c>
      <c r="AZ83">
        <v>4</v>
      </c>
      <c r="BA83">
        <v>2</v>
      </c>
      <c r="BB83">
        <v>9</v>
      </c>
      <c r="BC83">
        <v>2</v>
      </c>
      <c r="BD83">
        <v>7</v>
      </c>
      <c r="BE83">
        <v>10</v>
      </c>
      <c r="BF83">
        <v>10</v>
      </c>
      <c r="BG83">
        <v>1</v>
      </c>
      <c r="BH83">
        <v>8</v>
      </c>
      <c r="BI83">
        <v>10</v>
      </c>
      <c r="BJ83">
        <v>9</v>
      </c>
      <c r="BK83">
        <v>8</v>
      </c>
      <c r="BL83">
        <v>2</v>
      </c>
      <c r="BM83">
        <v>1</v>
      </c>
      <c r="BN83">
        <v>1</v>
      </c>
      <c r="BO83">
        <v>7</v>
      </c>
      <c r="BP83">
        <v>5</v>
      </c>
      <c r="BQ83">
        <v>10</v>
      </c>
      <c r="BR83">
        <v>10</v>
      </c>
      <c r="BS83">
        <v>6</v>
      </c>
      <c r="BT83">
        <v>1</v>
      </c>
      <c r="BU83">
        <v>10</v>
      </c>
      <c r="BV83">
        <v>4</v>
      </c>
      <c r="BW83">
        <v>2</v>
      </c>
      <c r="BX83">
        <v>5</v>
      </c>
      <c r="BY83">
        <v>10</v>
      </c>
      <c r="BZ83">
        <v>6</v>
      </c>
      <c r="CA83">
        <v>7</v>
      </c>
      <c r="CB83">
        <v>10</v>
      </c>
      <c r="CC83">
        <v>6</v>
      </c>
      <c r="CD83">
        <v>7</v>
      </c>
      <c r="CE83">
        <v>6</v>
      </c>
      <c r="CF83">
        <v>4</v>
      </c>
      <c r="CG83">
        <v>7</v>
      </c>
      <c r="CH83">
        <v>3</v>
      </c>
      <c r="CI83">
        <v>4</v>
      </c>
      <c r="CJ83">
        <v>5</v>
      </c>
      <c r="CK83">
        <v>7</v>
      </c>
      <c r="CL83">
        <v>8</v>
      </c>
      <c r="CM83">
        <v>3</v>
      </c>
      <c r="CN83">
        <v>8</v>
      </c>
      <c r="CO83">
        <v>2</v>
      </c>
      <c r="CP83">
        <v>7</v>
      </c>
      <c r="CQ83">
        <v>1</v>
      </c>
      <c r="CR83">
        <v>3</v>
      </c>
      <c r="CS83">
        <v>2</v>
      </c>
      <c r="CT83">
        <v>4</v>
      </c>
      <c r="CU83">
        <v>4</v>
      </c>
      <c r="CV83">
        <v>1</v>
      </c>
      <c r="CW83">
        <v>6</v>
      </c>
      <c r="CX83">
        <v>6</v>
      </c>
      <c r="CY83">
        <v>9</v>
      </c>
      <c r="CZ83">
        <v>9</v>
      </c>
      <c r="DA83">
        <v>4</v>
      </c>
      <c r="DB83">
        <v>3</v>
      </c>
      <c r="DC83">
        <v>2</v>
      </c>
      <c r="DD83">
        <v>3</v>
      </c>
      <c r="DE83">
        <v>7</v>
      </c>
      <c r="DF83">
        <v>1</v>
      </c>
      <c r="DG83">
        <v>8</v>
      </c>
      <c r="DH83">
        <v>0</v>
      </c>
      <c r="DI83">
        <v>4</v>
      </c>
      <c r="DJ83">
        <v>5</v>
      </c>
      <c r="DK83">
        <v>2</v>
      </c>
    </row>
    <row r="84" spans="1:115">
      <c r="A84" s="172">
        <f>Calculations[[#This Row],[Sum t eCO2]]*IF(Calculations[[#This Row],[GHG Scope]]="BIOGENIC",0,1)</f>
        <v>2.0619386784314901E-2</v>
      </c>
      <c r="O84">
        <f t="shared" si="1"/>
        <v>83</v>
      </c>
      <c r="P84">
        <v>7</v>
      </c>
      <c r="Q84">
        <v>2</v>
      </c>
      <c r="R84">
        <v>5</v>
      </c>
      <c r="S84">
        <v>9</v>
      </c>
      <c r="T84">
        <v>9</v>
      </c>
      <c r="U84">
        <v>1</v>
      </c>
      <c r="V84">
        <v>8</v>
      </c>
      <c r="W84">
        <v>5</v>
      </c>
      <c r="X84">
        <v>6</v>
      </c>
      <c r="Y84">
        <v>9</v>
      </c>
      <c r="Z84">
        <v>4</v>
      </c>
      <c r="AA84">
        <v>7</v>
      </c>
      <c r="AB84">
        <v>0</v>
      </c>
      <c r="AC84">
        <v>0</v>
      </c>
      <c r="AD84">
        <v>8</v>
      </c>
      <c r="AE84">
        <v>7</v>
      </c>
      <c r="AF84">
        <v>3</v>
      </c>
      <c r="AG84">
        <v>2</v>
      </c>
      <c r="AH84">
        <v>6</v>
      </c>
      <c r="AI84">
        <v>8</v>
      </c>
      <c r="AJ84">
        <v>7</v>
      </c>
      <c r="AK84">
        <v>0</v>
      </c>
      <c r="AL84">
        <v>6</v>
      </c>
      <c r="AM84">
        <v>0</v>
      </c>
      <c r="AN84">
        <v>8</v>
      </c>
      <c r="AO84">
        <v>6</v>
      </c>
      <c r="AP84">
        <v>4</v>
      </c>
      <c r="AQ84">
        <v>4</v>
      </c>
      <c r="AR84">
        <v>1</v>
      </c>
      <c r="AS84">
        <v>1</v>
      </c>
      <c r="AT84">
        <v>10</v>
      </c>
      <c r="AU84">
        <v>5</v>
      </c>
      <c r="AV84">
        <v>10</v>
      </c>
      <c r="AW84">
        <v>1</v>
      </c>
      <c r="AX84">
        <v>10</v>
      </c>
      <c r="AY84">
        <v>0</v>
      </c>
      <c r="AZ84">
        <v>8</v>
      </c>
      <c r="BA84">
        <v>1</v>
      </c>
      <c r="BB84">
        <v>8</v>
      </c>
      <c r="BC84">
        <v>9</v>
      </c>
      <c r="BD84">
        <v>4</v>
      </c>
      <c r="BE84">
        <v>8</v>
      </c>
      <c r="BF84">
        <v>1</v>
      </c>
      <c r="BG84">
        <v>5</v>
      </c>
      <c r="BH84">
        <v>8</v>
      </c>
      <c r="BI84">
        <v>8</v>
      </c>
      <c r="BJ84">
        <v>10</v>
      </c>
      <c r="BK84">
        <v>10</v>
      </c>
      <c r="BL84">
        <v>7</v>
      </c>
      <c r="BM84">
        <v>6</v>
      </c>
      <c r="BN84">
        <v>3</v>
      </c>
      <c r="BO84">
        <v>7</v>
      </c>
      <c r="BP84">
        <v>9</v>
      </c>
      <c r="BQ84">
        <v>7</v>
      </c>
      <c r="BR84">
        <v>4</v>
      </c>
      <c r="BS84">
        <v>5</v>
      </c>
      <c r="BT84">
        <v>6</v>
      </c>
      <c r="BU84">
        <v>9</v>
      </c>
      <c r="BV84">
        <v>10</v>
      </c>
      <c r="BW84">
        <v>4</v>
      </c>
      <c r="BX84">
        <v>2</v>
      </c>
      <c r="BY84">
        <v>5</v>
      </c>
      <c r="BZ84">
        <v>10</v>
      </c>
      <c r="CA84">
        <v>1</v>
      </c>
      <c r="CB84">
        <v>6</v>
      </c>
      <c r="CC84">
        <v>4</v>
      </c>
      <c r="CD84">
        <v>8</v>
      </c>
      <c r="CE84">
        <v>5</v>
      </c>
      <c r="CF84">
        <v>9</v>
      </c>
      <c r="CG84">
        <v>5</v>
      </c>
      <c r="CH84">
        <v>0</v>
      </c>
      <c r="CI84">
        <v>3</v>
      </c>
      <c r="CJ84">
        <v>7</v>
      </c>
      <c r="CK84">
        <v>7</v>
      </c>
      <c r="CL84">
        <v>3</v>
      </c>
      <c r="CM84">
        <v>9</v>
      </c>
      <c r="CN84">
        <v>9</v>
      </c>
      <c r="CO84">
        <v>6</v>
      </c>
      <c r="CP84">
        <v>5</v>
      </c>
      <c r="CQ84">
        <v>6</v>
      </c>
      <c r="CR84">
        <v>10</v>
      </c>
      <c r="CS84">
        <v>3</v>
      </c>
      <c r="CT84">
        <v>5</v>
      </c>
      <c r="CU84">
        <v>1</v>
      </c>
      <c r="CV84">
        <v>5</v>
      </c>
      <c r="CW84">
        <v>3</v>
      </c>
      <c r="CX84">
        <v>9</v>
      </c>
      <c r="CY84">
        <v>8</v>
      </c>
      <c r="CZ84">
        <v>10</v>
      </c>
      <c r="DA84">
        <v>5</v>
      </c>
      <c r="DB84">
        <v>9</v>
      </c>
      <c r="DC84">
        <v>4</v>
      </c>
      <c r="DD84">
        <v>9</v>
      </c>
      <c r="DE84">
        <v>7</v>
      </c>
      <c r="DF84">
        <v>2</v>
      </c>
      <c r="DG84">
        <v>4</v>
      </c>
      <c r="DH84">
        <v>6</v>
      </c>
      <c r="DI84">
        <v>0</v>
      </c>
      <c r="DJ84">
        <v>10</v>
      </c>
      <c r="DK84">
        <v>2</v>
      </c>
    </row>
    <row r="85" spans="1:115">
      <c r="A85" s="172">
        <f>Calculations[[#This Row],[Sum t eCO2]]*IF(Calculations[[#This Row],[GHG Scope]]="BIOGENIC",0,1)</f>
        <v>0.83900599936711173</v>
      </c>
      <c r="O85">
        <f t="shared" si="1"/>
        <v>84</v>
      </c>
      <c r="P85">
        <v>9</v>
      </c>
      <c r="Q85">
        <v>6</v>
      </c>
      <c r="R85">
        <v>6</v>
      </c>
      <c r="S85">
        <v>1</v>
      </c>
      <c r="T85">
        <v>0</v>
      </c>
      <c r="U85">
        <v>4</v>
      </c>
      <c r="V85">
        <v>7</v>
      </c>
      <c r="W85">
        <v>0</v>
      </c>
      <c r="X85">
        <v>7</v>
      </c>
      <c r="Y85">
        <v>7</v>
      </c>
      <c r="Z85">
        <v>4</v>
      </c>
      <c r="AA85">
        <v>8</v>
      </c>
      <c r="AB85">
        <v>2</v>
      </c>
      <c r="AC85">
        <v>6</v>
      </c>
      <c r="AD85">
        <v>10</v>
      </c>
      <c r="AE85">
        <v>6</v>
      </c>
      <c r="AF85">
        <v>7</v>
      </c>
      <c r="AG85">
        <v>0</v>
      </c>
      <c r="AH85">
        <v>7</v>
      </c>
      <c r="AI85">
        <v>6</v>
      </c>
      <c r="AJ85">
        <v>4</v>
      </c>
      <c r="AK85">
        <v>4</v>
      </c>
      <c r="AL85">
        <v>5</v>
      </c>
      <c r="AM85">
        <v>9</v>
      </c>
      <c r="AN85">
        <v>7</v>
      </c>
      <c r="AO85">
        <v>2</v>
      </c>
      <c r="AP85">
        <v>3</v>
      </c>
      <c r="AQ85">
        <v>3</v>
      </c>
      <c r="AR85">
        <v>4</v>
      </c>
      <c r="AS85">
        <v>5</v>
      </c>
      <c r="AT85">
        <v>3</v>
      </c>
      <c r="AU85">
        <v>1</v>
      </c>
      <c r="AV85">
        <v>6</v>
      </c>
      <c r="AW85">
        <v>6</v>
      </c>
      <c r="AX85">
        <v>10</v>
      </c>
      <c r="AY85">
        <v>1</v>
      </c>
      <c r="AZ85">
        <v>0</v>
      </c>
      <c r="BA85">
        <v>9</v>
      </c>
      <c r="BB85">
        <v>9</v>
      </c>
      <c r="BC85">
        <v>1</v>
      </c>
      <c r="BD85">
        <v>2</v>
      </c>
      <c r="BE85">
        <v>8</v>
      </c>
      <c r="BF85">
        <v>5</v>
      </c>
      <c r="BG85">
        <v>2</v>
      </c>
      <c r="BH85">
        <v>5</v>
      </c>
      <c r="BI85">
        <v>7</v>
      </c>
      <c r="BJ85">
        <v>0</v>
      </c>
      <c r="BK85">
        <v>6</v>
      </c>
      <c r="BL85">
        <v>8</v>
      </c>
      <c r="BM85">
        <v>2</v>
      </c>
      <c r="BN85">
        <v>5</v>
      </c>
      <c r="BO85">
        <v>6</v>
      </c>
      <c r="BP85">
        <v>9</v>
      </c>
      <c r="BQ85">
        <v>1</v>
      </c>
      <c r="BR85">
        <v>2</v>
      </c>
      <c r="BS85">
        <v>8</v>
      </c>
      <c r="BT85">
        <v>6</v>
      </c>
      <c r="BU85">
        <v>1</v>
      </c>
      <c r="BV85">
        <v>2</v>
      </c>
      <c r="BW85">
        <v>10</v>
      </c>
      <c r="BX85">
        <v>4</v>
      </c>
      <c r="BY85">
        <v>9</v>
      </c>
      <c r="BZ85">
        <v>4</v>
      </c>
      <c r="CA85">
        <v>0</v>
      </c>
      <c r="CB85">
        <v>7</v>
      </c>
      <c r="CC85">
        <v>5</v>
      </c>
      <c r="CD85">
        <v>3</v>
      </c>
      <c r="CE85">
        <v>8</v>
      </c>
      <c r="CF85">
        <v>2</v>
      </c>
      <c r="CG85">
        <v>7</v>
      </c>
      <c r="CH85">
        <v>5</v>
      </c>
      <c r="CI85">
        <v>6</v>
      </c>
      <c r="CJ85">
        <v>0</v>
      </c>
      <c r="CK85">
        <v>2</v>
      </c>
      <c r="CL85">
        <v>6</v>
      </c>
      <c r="CM85">
        <v>3</v>
      </c>
      <c r="CN85">
        <v>3</v>
      </c>
      <c r="CO85">
        <v>0</v>
      </c>
      <c r="CP85">
        <v>3</v>
      </c>
      <c r="CQ85">
        <v>1</v>
      </c>
      <c r="CR85">
        <v>8</v>
      </c>
      <c r="CS85">
        <v>6</v>
      </c>
      <c r="CT85">
        <v>1</v>
      </c>
      <c r="CU85">
        <v>4</v>
      </c>
      <c r="CV85">
        <v>3</v>
      </c>
      <c r="CW85">
        <v>3</v>
      </c>
      <c r="CX85">
        <v>9</v>
      </c>
      <c r="CY85">
        <v>9</v>
      </c>
      <c r="CZ85">
        <v>0</v>
      </c>
      <c r="DA85">
        <v>3</v>
      </c>
      <c r="DB85">
        <v>4</v>
      </c>
      <c r="DC85">
        <v>10</v>
      </c>
      <c r="DD85">
        <v>0</v>
      </c>
      <c r="DE85">
        <v>2</v>
      </c>
      <c r="DF85">
        <v>4</v>
      </c>
      <c r="DG85">
        <v>2</v>
      </c>
      <c r="DH85">
        <v>10</v>
      </c>
      <c r="DI85">
        <v>8</v>
      </c>
      <c r="DJ85">
        <v>5</v>
      </c>
      <c r="DK85">
        <v>8</v>
      </c>
    </row>
    <row r="86" spans="1:115">
      <c r="A86" s="172">
        <f>Calculations[[#This Row],[Sum t eCO2]]*IF(Calculations[[#This Row],[GHG Scope]]="BIOGENIC",0,1)</f>
        <v>735.35678174537998</v>
      </c>
      <c r="O86">
        <f t="shared" si="1"/>
        <v>85</v>
      </c>
      <c r="P86">
        <v>0</v>
      </c>
      <c r="Q86">
        <v>4</v>
      </c>
      <c r="R86">
        <v>3</v>
      </c>
      <c r="S86">
        <v>5</v>
      </c>
      <c r="T86">
        <v>4</v>
      </c>
      <c r="U86">
        <v>6</v>
      </c>
      <c r="V86">
        <v>9</v>
      </c>
      <c r="W86">
        <v>0</v>
      </c>
      <c r="X86">
        <v>8</v>
      </c>
      <c r="Y86">
        <v>5</v>
      </c>
      <c r="Z86">
        <v>6</v>
      </c>
      <c r="AA86">
        <v>7</v>
      </c>
      <c r="AB86">
        <v>4</v>
      </c>
      <c r="AC86">
        <v>5</v>
      </c>
      <c r="AD86">
        <v>6</v>
      </c>
      <c r="AE86">
        <v>7</v>
      </c>
      <c r="AF86">
        <v>6</v>
      </c>
      <c r="AG86">
        <v>2</v>
      </c>
      <c r="AH86">
        <v>2</v>
      </c>
      <c r="AI86">
        <v>4</v>
      </c>
      <c r="AJ86">
        <v>0</v>
      </c>
      <c r="AK86">
        <v>7</v>
      </c>
      <c r="AL86">
        <v>9</v>
      </c>
      <c r="AM86">
        <v>9</v>
      </c>
      <c r="AN86">
        <v>3</v>
      </c>
      <c r="AO86">
        <v>7</v>
      </c>
      <c r="AP86">
        <v>7</v>
      </c>
      <c r="AQ86">
        <v>8</v>
      </c>
      <c r="AR86">
        <v>5</v>
      </c>
      <c r="AS86">
        <v>0</v>
      </c>
      <c r="AT86">
        <v>10</v>
      </c>
      <c r="AU86">
        <v>2</v>
      </c>
      <c r="AV86">
        <v>3</v>
      </c>
      <c r="AW86">
        <v>5</v>
      </c>
      <c r="AX86">
        <v>9</v>
      </c>
      <c r="AY86">
        <v>6</v>
      </c>
      <c r="AZ86">
        <v>10</v>
      </c>
      <c r="BA86">
        <v>5</v>
      </c>
      <c r="BB86">
        <v>10</v>
      </c>
      <c r="BC86">
        <v>9</v>
      </c>
      <c r="BD86">
        <v>1</v>
      </c>
      <c r="BE86">
        <v>9</v>
      </c>
      <c r="BF86">
        <v>10</v>
      </c>
      <c r="BG86">
        <v>5</v>
      </c>
      <c r="BH86">
        <v>9</v>
      </c>
      <c r="BI86">
        <v>7</v>
      </c>
      <c r="BJ86">
        <v>8</v>
      </c>
      <c r="BK86">
        <v>4</v>
      </c>
      <c r="BL86">
        <v>4</v>
      </c>
      <c r="BM86">
        <v>9</v>
      </c>
      <c r="BN86">
        <v>10</v>
      </c>
      <c r="BO86">
        <v>7</v>
      </c>
      <c r="BP86">
        <v>2</v>
      </c>
      <c r="BQ86">
        <v>5</v>
      </c>
      <c r="BR86">
        <v>8</v>
      </c>
      <c r="BS86">
        <v>6</v>
      </c>
      <c r="BT86">
        <v>9</v>
      </c>
      <c r="BU86">
        <v>2</v>
      </c>
      <c r="BV86">
        <v>7</v>
      </c>
      <c r="BW86">
        <v>7</v>
      </c>
      <c r="BX86">
        <v>7</v>
      </c>
      <c r="BY86">
        <v>9</v>
      </c>
      <c r="BZ86">
        <v>8</v>
      </c>
      <c r="CA86">
        <v>8</v>
      </c>
      <c r="CB86">
        <v>0</v>
      </c>
      <c r="CC86">
        <v>7</v>
      </c>
      <c r="CD86">
        <v>6</v>
      </c>
      <c r="CE86">
        <v>4</v>
      </c>
      <c r="CF86">
        <v>6</v>
      </c>
      <c r="CG86">
        <v>8</v>
      </c>
      <c r="CH86">
        <v>9</v>
      </c>
      <c r="CI86">
        <v>7</v>
      </c>
      <c r="CJ86">
        <v>5</v>
      </c>
      <c r="CK86">
        <v>4</v>
      </c>
      <c r="CL86">
        <v>5</v>
      </c>
      <c r="CM86">
        <v>0</v>
      </c>
      <c r="CN86">
        <v>0</v>
      </c>
      <c r="CO86">
        <v>7</v>
      </c>
      <c r="CP86">
        <v>3</v>
      </c>
      <c r="CQ86">
        <v>7</v>
      </c>
      <c r="CR86">
        <v>5</v>
      </c>
      <c r="CS86">
        <v>5</v>
      </c>
      <c r="CT86">
        <v>9</v>
      </c>
      <c r="CU86">
        <v>0</v>
      </c>
      <c r="CV86">
        <v>7</v>
      </c>
      <c r="CW86">
        <v>6</v>
      </c>
      <c r="CX86">
        <v>4</v>
      </c>
      <c r="CY86">
        <v>6</v>
      </c>
      <c r="CZ86">
        <v>2</v>
      </c>
      <c r="DA86">
        <v>8</v>
      </c>
      <c r="DB86">
        <v>4</v>
      </c>
      <c r="DC86">
        <v>0</v>
      </c>
      <c r="DD86">
        <v>10</v>
      </c>
      <c r="DE86">
        <v>6</v>
      </c>
      <c r="DF86">
        <v>0</v>
      </c>
      <c r="DG86">
        <v>2</v>
      </c>
      <c r="DH86">
        <v>2</v>
      </c>
      <c r="DI86">
        <v>9</v>
      </c>
      <c r="DJ86">
        <v>7</v>
      </c>
      <c r="DK86">
        <v>3</v>
      </c>
    </row>
    <row r="87" spans="1:115">
      <c r="A87" s="172">
        <f>Calculations[[#This Row],[Sum t eCO2]]*IF(Calculations[[#This Row],[GHG Scope]]="BIOGENIC",0,1)</f>
        <v>0.13709242748370373</v>
      </c>
      <c r="O87">
        <f t="shared" si="1"/>
        <v>86</v>
      </c>
      <c r="P87">
        <v>7</v>
      </c>
      <c r="Q87">
        <v>4</v>
      </c>
      <c r="R87">
        <v>10</v>
      </c>
      <c r="S87">
        <v>5</v>
      </c>
      <c r="T87">
        <v>8</v>
      </c>
      <c r="U87">
        <v>4</v>
      </c>
      <c r="V87">
        <v>0</v>
      </c>
      <c r="W87">
        <v>4</v>
      </c>
      <c r="X87">
        <v>7</v>
      </c>
      <c r="Y87">
        <v>10</v>
      </c>
      <c r="Z87">
        <v>0</v>
      </c>
      <c r="AA87">
        <v>2</v>
      </c>
      <c r="AB87">
        <v>4</v>
      </c>
      <c r="AC87">
        <v>1</v>
      </c>
      <c r="AD87">
        <v>3</v>
      </c>
      <c r="AE87">
        <v>6</v>
      </c>
      <c r="AF87">
        <v>6</v>
      </c>
      <c r="AG87">
        <v>3</v>
      </c>
      <c r="AH87">
        <v>9</v>
      </c>
      <c r="AI87">
        <v>8</v>
      </c>
      <c r="AJ87">
        <v>5</v>
      </c>
      <c r="AK87">
        <v>0</v>
      </c>
      <c r="AL87">
        <v>8</v>
      </c>
      <c r="AM87">
        <v>3</v>
      </c>
      <c r="AN87">
        <v>1</v>
      </c>
      <c r="AO87">
        <v>10</v>
      </c>
      <c r="AP87">
        <v>0</v>
      </c>
      <c r="AQ87">
        <v>2</v>
      </c>
      <c r="AR87">
        <v>2</v>
      </c>
      <c r="AS87">
        <v>10</v>
      </c>
      <c r="AT87">
        <v>10</v>
      </c>
      <c r="AU87">
        <v>1</v>
      </c>
      <c r="AV87">
        <v>1</v>
      </c>
      <c r="AW87">
        <v>6</v>
      </c>
      <c r="AX87">
        <v>5</v>
      </c>
      <c r="AY87">
        <v>4</v>
      </c>
      <c r="AZ87">
        <v>9</v>
      </c>
      <c r="BA87">
        <v>10</v>
      </c>
      <c r="BB87">
        <v>10</v>
      </c>
      <c r="BC87">
        <v>8</v>
      </c>
      <c r="BD87">
        <v>5</v>
      </c>
      <c r="BE87">
        <v>4</v>
      </c>
      <c r="BF87">
        <v>5</v>
      </c>
      <c r="BG87">
        <v>8</v>
      </c>
      <c r="BH87">
        <v>10</v>
      </c>
      <c r="BI87">
        <v>6</v>
      </c>
      <c r="BJ87">
        <v>6</v>
      </c>
      <c r="BK87">
        <v>3</v>
      </c>
      <c r="BL87">
        <v>8</v>
      </c>
      <c r="BM87">
        <v>8</v>
      </c>
      <c r="BN87">
        <v>9</v>
      </c>
      <c r="BO87">
        <v>10</v>
      </c>
      <c r="BP87">
        <v>10</v>
      </c>
      <c r="BQ87">
        <v>2</v>
      </c>
      <c r="BR87">
        <v>10</v>
      </c>
      <c r="BS87">
        <v>7</v>
      </c>
      <c r="BT87">
        <v>1</v>
      </c>
      <c r="BU87">
        <v>9</v>
      </c>
      <c r="BV87">
        <v>0</v>
      </c>
      <c r="BW87">
        <v>9</v>
      </c>
      <c r="BX87">
        <v>4</v>
      </c>
      <c r="BY87">
        <v>8</v>
      </c>
      <c r="BZ87">
        <v>4</v>
      </c>
      <c r="CA87">
        <v>0</v>
      </c>
      <c r="CB87">
        <v>1</v>
      </c>
      <c r="CC87">
        <v>8</v>
      </c>
      <c r="CD87">
        <v>2</v>
      </c>
      <c r="CE87">
        <v>0</v>
      </c>
      <c r="CF87">
        <v>2</v>
      </c>
      <c r="CG87">
        <v>5</v>
      </c>
      <c r="CH87">
        <v>0</v>
      </c>
      <c r="CI87">
        <v>3</v>
      </c>
      <c r="CJ87">
        <v>4</v>
      </c>
      <c r="CK87">
        <v>5</v>
      </c>
      <c r="CL87">
        <v>6</v>
      </c>
      <c r="CM87">
        <v>1</v>
      </c>
      <c r="CN87">
        <v>2</v>
      </c>
      <c r="CO87">
        <v>8</v>
      </c>
      <c r="CP87">
        <v>5</v>
      </c>
      <c r="CQ87">
        <v>8</v>
      </c>
      <c r="CR87">
        <v>4</v>
      </c>
      <c r="CS87">
        <v>10</v>
      </c>
      <c r="CT87">
        <v>0</v>
      </c>
      <c r="CU87">
        <v>5</v>
      </c>
      <c r="CV87">
        <v>1</v>
      </c>
      <c r="CW87">
        <v>10</v>
      </c>
      <c r="CX87">
        <v>1</v>
      </c>
      <c r="CY87">
        <v>10</v>
      </c>
      <c r="CZ87">
        <v>0</v>
      </c>
      <c r="DA87">
        <v>10</v>
      </c>
      <c r="DB87">
        <v>1</v>
      </c>
      <c r="DC87">
        <v>5</v>
      </c>
      <c r="DD87">
        <v>10</v>
      </c>
      <c r="DE87">
        <v>7</v>
      </c>
      <c r="DF87">
        <v>4</v>
      </c>
      <c r="DG87">
        <v>8</v>
      </c>
      <c r="DH87">
        <v>0</v>
      </c>
      <c r="DI87">
        <v>9</v>
      </c>
      <c r="DJ87">
        <v>3</v>
      </c>
      <c r="DK87">
        <v>4</v>
      </c>
    </row>
    <row r="88" spans="1:115">
      <c r="A88" s="172">
        <f>Calculations[[#This Row],[Sum t eCO2]]*IF(Calculations[[#This Row],[GHG Scope]]="BIOGENIC",0,1)</f>
        <v>5.5783118251666197</v>
      </c>
      <c r="O88">
        <f t="shared" si="1"/>
        <v>87</v>
      </c>
      <c r="P88">
        <v>3</v>
      </c>
      <c r="Q88">
        <v>0</v>
      </c>
      <c r="R88">
        <v>10</v>
      </c>
      <c r="S88">
        <v>3</v>
      </c>
      <c r="T88">
        <v>8</v>
      </c>
      <c r="U88">
        <v>1</v>
      </c>
      <c r="V88">
        <v>7</v>
      </c>
      <c r="W88">
        <v>4</v>
      </c>
      <c r="X88">
        <v>9</v>
      </c>
      <c r="Y88">
        <v>3</v>
      </c>
      <c r="Z88">
        <v>1</v>
      </c>
      <c r="AA88">
        <v>1</v>
      </c>
      <c r="AB88">
        <v>10</v>
      </c>
      <c r="AC88">
        <v>1</v>
      </c>
      <c r="AD88">
        <v>8</v>
      </c>
      <c r="AE88">
        <v>4</v>
      </c>
      <c r="AF88">
        <v>8</v>
      </c>
      <c r="AG88">
        <v>1</v>
      </c>
      <c r="AH88">
        <v>1</v>
      </c>
      <c r="AI88">
        <v>7</v>
      </c>
      <c r="AJ88">
        <v>1</v>
      </c>
      <c r="AK88">
        <v>4</v>
      </c>
      <c r="AL88">
        <v>8</v>
      </c>
      <c r="AM88">
        <v>6</v>
      </c>
      <c r="AN88">
        <v>4</v>
      </c>
      <c r="AO88">
        <v>9</v>
      </c>
      <c r="AP88">
        <v>7</v>
      </c>
      <c r="AQ88">
        <v>2</v>
      </c>
      <c r="AR88">
        <v>5</v>
      </c>
      <c r="AS88">
        <v>3</v>
      </c>
      <c r="AT88">
        <v>3</v>
      </c>
      <c r="AU88">
        <v>4</v>
      </c>
      <c r="AV88">
        <v>3</v>
      </c>
      <c r="AW88">
        <v>2</v>
      </c>
      <c r="AX88">
        <v>7</v>
      </c>
      <c r="AY88">
        <v>1</v>
      </c>
      <c r="AZ88">
        <v>0</v>
      </c>
      <c r="BA88">
        <v>5</v>
      </c>
      <c r="BB88">
        <v>5</v>
      </c>
      <c r="BC88">
        <v>10</v>
      </c>
      <c r="BD88">
        <v>8</v>
      </c>
      <c r="BE88">
        <v>0</v>
      </c>
      <c r="BF88">
        <v>0</v>
      </c>
      <c r="BG88">
        <v>9</v>
      </c>
      <c r="BH88">
        <v>3</v>
      </c>
      <c r="BI88">
        <v>8</v>
      </c>
      <c r="BJ88">
        <v>5</v>
      </c>
      <c r="BK88">
        <v>0</v>
      </c>
      <c r="BL88">
        <v>8</v>
      </c>
      <c r="BM88">
        <v>8</v>
      </c>
      <c r="BN88">
        <v>3</v>
      </c>
      <c r="BO88">
        <v>5</v>
      </c>
      <c r="BP88">
        <v>6</v>
      </c>
      <c r="BQ88">
        <v>5</v>
      </c>
      <c r="BR88">
        <v>1</v>
      </c>
      <c r="BS88">
        <v>8</v>
      </c>
      <c r="BT88">
        <v>7</v>
      </c>
      <c r="BU88">
        <v>9</v>
      </c>
      <c r="BV88">
        <v>6</v>
      </c>
      <c r="BW88">
        <v>7</v>
      </c>
      <c r="BX88">
        <v>4</v>
      </c>
      <c r="BY88">
        <v>9</v>
      </c>
      <c r="BZ88">
        <v>3</v>
      </c>
      <c r="CA88">
        <v>2</v>
      </c>
      <c r="CB88">
        <v>1</v>
      </c>
      <c r="CC88">
        <v>8</v>
      </c>
      <c r="CD88">
        <v>3</v>
      </c>
      <c r="CE88">
        <v>4</v>
      </c>
      <c r="CF88">
        <v>8</v>
      </c>
      <c r="CG88">
        <v>5</v>
      </c>
      <c r="CH88">
        <v>7</v>
      </c>
      <c r="CI88">
        <v>2</v>
      </c>
      <c r="CJ88">
        <v>1</v>
      </c>
      <c r="CK88">
        <v>5</v>
      </c>
      <c r="CL88">
        <v>2</v>
      </c>
      <c r="CM88">
        <v>9</v>
      </c>
      <c r="CN88">
        <v>9</v>
      </c>
      <c r="CO88">
        <v>6</v>
      </c>
      <c r="CP88">
        <v>1</v>
      </c>
      <c r="CQ88">
        <v>4</v>
      </c>
      <c r="CR88">
        <v>1</v>
      </c>
      <c r="CS88">
        <v>9</v>
      </c>
      <c r="CT88">
        <v>6</v>
      </c>
      <c r="CU88">
        <v>1</v>
      </c>
      <c r="CV88">
        <v>4</v>
      </c>
      <c r="CW88">
        <v>10</v>
      </c>
      <c r="CX88">
        <v>1</v>
      </c>
      <c r="CY88">
        <v>8</v>
      </c>
      <c r="CZ88">
        <v>8</v>
      </c>
      <c r="DA88">
        <v>10</v>
      </c>
      <c r="DB88">
        <v>5</v>
      </c>
      <c r="DC88">
        <v>6</v>
      </c>
      <c r="DD88">
        <v>9</v>
      </c>
      <c r="DE88">
        <v>4</v>
      </c>
      <c r="DF88">
        <v>7</v>
      </c>
      <c r="DG88">
        <v>4</v>
      </c>
      <c r="DH88">
        <v>8</v>
      </c>
      <c r="DI88">
        <v>10</v>
      </c>
      <c r="DJ88">
        <v>3</v>
      </c>
      <c r="DK88">
        <v>3</v>
      </c>
    </row>
    <row r="89" spans="1:115">
      <c r="A89" s="172">
        <f>Calculations[[#This Row],[Sum t eCO2]]*IF(Calculations[[#This Row],[GHG Scope]]="BIOGENIC",0,1)</f>
        <v>779.47644044715571</v>
      </c>
      <c r="O89">
        <f t="shared" si="1"/>
        <v>88</v>
      </c>
      <c r="P89">
        <v>8</v>
      </c>
      <c r="Q89">
        <v>6</v>
      </c>
      <c r="R89">
        <v>3</v>
      </c>
      <c r="S89">
        <v>5</v>
      </c>
      <c r="T89">
        <v>6</v>
      </c>
      <c r="U89">
        <v>4</v>
      </c>
      <c r="V89">
        <v>6</v>
      </c>
      <c r="W89">
        <v>8</v>
      </c>
      <c r="X89">
        <v>7</v>
      </c>
      <c r="Y89">
        <v>10</v>
      </c>
      <c r="Z89">
        <v>5</v>
      </c>
      <c r="AA89">
        <v>9</v>
      </c>
      <c r="AB89">
        <v>10</v>
      </c>
      <c r="AC89">
        <v>6</v>
      </c>
      <c r="AD89">
        <v>7</v>
      </c>
      <c r="AE89">
        <v>6</v>
      </c>
      <c r="AF89">
        <v>8</v>
      </c>
      <c r="AG89">
        <v>8</v>
      </c>
      <c r="AH89">
        <v>3</v>
      </c>
      <c r="AI89">
        <v>3</v>
      </c>
      <c r="AJ89">
        <v>5</v>
      </c>
      <c r="AK89">
        <v>1</v>
      </c>
      <c r="AL89">
        <v>3</v>
      </c>
      <c r="AM89">
        <v>1</v>
      </c>
      <c r="AN89">
        <v>9</v>
      </c>
      <c r="AO89">
        <v>0</v>
      </c>
      <c r="AP89">
        <v>7</v>
      </c>
      <c r="AQ89">
        <v>8</v>
      </c>
      <c r="AR89">
        <v>8</v>
      </c>
      <c r="AS89">
        <v>7</v>
      </c>
      <c r="AT89">
        <v>3</v>
      </c>
      <c r="AU89">
        <v>4</v>
      </c>
      <c r="AV89">
        <v>10</v>
      </c>
      <c r="AW89">
        <v>10</v>
      </c>
      <c r="AX89">
        <v>6</v>
      </c>
      <c r="AY89">
        <v>5</v>
      </c>
      <c r="AZ89">
        <v>2</v>
      </c>
      <c r="BA89">
        <v>0</v>
      </c>
      <c r="BB89">
        <v>9</v>
      </c>
      <c r="BC89">
        <v>10</v>
      </c>
      <c r="BD89">
        <v>10</v>
      </c>
      <c r="BE89">
        <v>8</v>
      </c>
      <c r="BF89">
        <v>8</v>
      </c>
      <c r="BG89">
        <v>0</v>
      </c>
      <c r="BH89">
        <v>2</v>
      </c>
      <c r="BI89">
        <v>10</v>
      </c>
      <c r="BJ89">
        <v>7</v>
      </c>
      <c r="BK89">
        <v>5</v>
      </c>
      <c r="BL89">
        <v>0</v>
      </c>
      <c r="BM89">
        <v>8</v>
      </c>
      <c r="BN89">
        <v>3</v>
      </c>
      <c r="BO89">
        <v>7</v>
      </c>
      <c r="BP89">
        <v>2</v>
      </c>
      <c r="BQ89">
        <v>5</v>
      </c>
      <c r="BR89">
        <v>4</v>
      </c>
      <c r="BS89">
        <v>8</v>
      </c>
      <c r="BT89">
        <v>6</v>
      </c>
      <c r="BU89">
        <v>5</v>
      </c>
      <c r="BV89">
        <v>4</v>
      </c>
      <c r="BW89">
        <v>4</v>
      </c>
      <c r="BX89">
        <v>7</v>
      </c>
      <c r="BY89">
        <v>2</v>
      </c>
      <c r="BZ89">
        <v>10</v>
      </c>
      <c r="CA89">
        <v>7</v>
      </c>
      <c r="CB89">
        <v>3</v>
      </c>
      <c r="CC89">
        <v>2</v>
      </c>
      <c r="CD89">
        <v>3</v>
      </c>
      <c r="CE89">
        <v>8</v>
      </c>
      <c r="CF89">
        <v>8</v>
      </c>
      <c r="CG89">
        <v>5</v>
      </c>
      <c r="CH89">
        <v>3</v>
      </c>
      <c r="CI89">
        <v>1</v>
      </c>
      <c r="CJ89">
        <v>7</v>
      </c>
      <c r="CK89">
        <v>4</v>
      </c>
      <c r="CL89">
        <v>10</v>
      </c>
      <c r="CM89">
        <v>0</v>
      </c>
      <c r="CN89">
        <v>8</v>
      </c>
      <c r="CO89">
        <v>2</v>
      </c>
      <c r="CP89">
        <v>3</v>
      </c>
      <c r="CQ89">
        <v>4</v>
      </c>
      <c r="CR89">
        <v>9</v>
      </c>
      <c r="CS89">
        <v>5</v>
      </c>
      <c r="CT89">
        <v>9</v>
      </c>
      <c r="CU89">
        <v>3</v>
      </c>
      <c r="CV89">
        <v>0</v>
      </c>
      <c r="CW89">
        <v>5</v>
      </c>
      <c r="CX89">
        <v>10</v>
      </c>
      <c r="CY89">
        <v>7</v>
      </c>
      <c r="CZ89">
        <v>5</v>
      </c>
      <c r="DA89">
        <v>6</v>
      </c>
      <c r="DB89">
        <v>6</v>
      </c>
      <c r="DC89">
        <v>5</v>
      </c>
      <c r="DD89">
        <v>7</v>
      </c>
      <c r="DE89">
        <v>3</v>
      </c>
      <c r="DF89">
        <v>10</v>
      </c>
      <c r="DG89">
        <v>7</v>
      </c>
      <c r="DH89">
        <v>9</v>
      </c>
      <c r="DI89">
        <v>2</v>
      </c>
      <c r="DJ89">
        <v>2</v>
      </c>
      <c r="DK89">
        <v>2</v>
      </c>
    </row>
    <row r="90" spans="1:115">
      <c r="A90" s="172">
        <f>Calculations[[#This Row],[Sum t eCO2]]*IF(Calculations[[#This Row],[GHG Scope]]="BIOGENIC",0,1)</f>
        <v>0.14531764721557702</v>
      </c>
      <c r="O90">
        <f t="shared" si="1"/>
        <v>89</v>
      </c>
      <c r="P90">
        <v>3</v>
      </c>
      <c r="Q90">
        <v>5</v>
      </c>
      <c r="R90">
        <v>5</v>
      </c>
      <c r="S90">
        <v>2</v>
      </c>
      <c r="T90">
        <v>2</v>
      </c>
      <c r="U90">
        <v>3</v>
      </c>
      <c r="V90">
        <v>4</v>
      </c>
      <c r="W90">
        <v>6</v>
      </c>
      <c r="X90">
        <v>5</v>
      </c>
      <c r="Y90">
        <v>5</v>
      </c>
      <c r="Z90">
        <v>2</v>
      </c>
      <c r="AA90">
        <v>6</v>
      </c>
      <c r="AB90">
        <v>0</v>
      </c>
      <c r="AC90">
        <v>7</v>
      </c>
      <c r="AD90">
        <v>5</v>
      </c>
      <c r="AE90">
        <v>10</v>
      </c>
      <c r="AF90">
        <v>5</v>
      </c>
      <c r="AG90">
        <v>5</v>
      </c>
      <c r="AH90">
        <v>2</v>
      </c>
      <c r="AI90">
        <v>6</v>
      </c>
      <c r="AJ90">
        <v>8</v>
      </c>
      <c r="AK90">
        <v>5</v>
      </c>
      <c r="AL90">
        <v>5</v>
      </c>
      <c r="AM90">
        <v>4</v>
      </c>
      <c r="AN90">
        <v>1</v>
      </c>
      <c r="AO90">
        <v>10</v>
      </c>
      <c r="AP90">
        <v>3</v>
      </c>
      <c r="AQ90">
        <v>7</v>
      </c>
      <c r="AR90">
        <v>1</v>
      </c>
      <c r="AS90">
        <v>3</v>
      </c>
      <c r="AT90">
        <v>7</v>
      </c>
      <c r="AU90">
        <v>2</v>
      </c>
      <c r="AV90">
        <v>3</v>
      </c>
      <c r="AW90">
        <v>4</v>
      </c>
      <c r="AX90">
        <v>2</v>
      </c>
      <c r="AY90">
        <v>9</v>
      </c>
      <c r="AZ90">
        <v>10</v>
      </c>
      <c r="BA90">
        <v>2</v>
      </c>
      <c r="BB90">
        <v>3</v>
      </c>
      <c r="BC90">
        <v>7</v>
      </c>
      <c r="BD90">
        <v>3</v>
      </c>
      <c r="BE90">
        <v>6</v>
      </c>
      <c r="BF90">
        <v>5</v>
      </c>
      <c r="BG90">
        <v>5</v>
      </c>
      <c r="BH90">
        <v>10</v>
      </c>
      <c r="BI90">
        <v>7</v>
      </c>
      <c r="BJ90">
        <v>5</v>
      </c>
      <c r="BK90">
        <v>9</v>
      </c>
      <c r="BL90">
        <v>3</v>
      </c>
      <c r="BM90">
        <v>8</v>
      </c>
      <c r="BN90">
        <v>5</v>
      </c>
      <c r="BO90">
        <v>5</v>
      </c>
      <c r="BP90">
        <v>7</v>
      </c>
      <c r="BQ90">
        <v>0</v>
      </c>
      <c r="BR90">
        <v>8</v>
      </c>
      <c r="BS90">
        <v>10</v>
      </c>
      <c r="BT90">
        <v>4</v>
      </c>
      <c r="BU90">
        <v>0</v>
      </c>
      <c r="BV90">
        <v>9</v>
      </c>
      <c r="BW90">
        <v>10</v>
      </c>
      <c r="BX90">
        <v>9</v>
      </c>
      <c r="BY90">
        <v>8</v>
      </c>
      <c r="BZ90">
        <v>5</v>
      </c>
      <c r="CA90">
        <v>9</v>
      </c>
      <c r="CB90">
        <v>0</v>
      </c>
      <c r="CC90">
        <v>3</v>
      </c>
      <c r="CD90">
        <v>8</v>
      </c>
      <c r="CE90">
        <v>3</v>
      </c>
      <c r="CF90">
        <v>9</v>
      </c>
      <c r="CG90">
        <v>8</v>
      </c>
      <c r="CH90">
        <v>7</v>
      </c>
      <c r="CI90">
        <v>7</v>
      </c>
      <c r="CJ90">
        <v>2</v>
      </c>
      <c r="CK90">
        <v>10</v>
      </c>
      <c r="CL90">
        <v>3</v>
      </c>
      <c r="CM90">
        <v>8</v>
      </c>
      <c r="CN90">
        <v>0</v>
      </c>
      <c r="CO90">
        <v>7</v>
      </c>
      <c r="CP90">
        <v>4</v>
      </c>
      <c r="CQ90">
        <v>3</v>
      </c>
      <c r="CR90">
        <v>9</v>
      </c>
      <c r="CS90">
        <v>1</v>
      </c>
      <c r="CT90">
        <v>5</v>
      </c>
      <c r="CU90">
        <v>1</v>
      </c>
      <c r="CV90">
        <v>3</v>
      </c>
      <c r="CW90">
        <v>4</v>
      </c>
      <c r="CX90">
        <v>6</v>
      </c>
      <c r="CY90">
        <v>0</v>
      </c>
      <c r="CZ90">
        <v>3</v>
      </c>
      <c r="DA90">
        <v>0</v>
      </c>
      <c r="DB90">
        <v>6</v>
      </c>
      <c r="DC90">
        <v>3</v>
      </c>
      <c r="DD90">
        <v>1</v>
      </c>
      <c r="DE90">
        <v>3</v>
      </c>
      <c r="DF90">
        <v>1</v>
      </c>
      <c r="DG90">
        <v>0</v>
      </c>
      <c r="DH90">
        <v>5</v>
      </c>
      <c r="DI90">
        <v>8</v>
      </c>
      <c r="DJ90">
        <v>9</v>
      </c>
      <c r="DK90">
        <v>6</v>
      </c>
    </row>
    <row r="91" spans="1:115">
      <c r="A91" s="172">
        <f>Calculations[[#This Row],[Sum t eCO2]]*IF(Calculations[[#This Row],[GHG Scope]]="BIOGENIC",0,1)</f>
        <v>5.9129972730580196</v>
      </c>
      <c r="O91">
        <f t="shared" si="1"/>
        <v>90</v>
      </c>
      <c r="P91">
        <v>3</v>
      </c>
      <c r="Q91">
        <v>0</v>
      </c>
      <c r="R91">
        <v>7</v>
      </c>
      <c r="S91">
        <v>8</v>
      </c>
      <c r="T91">
        <v>1</v>
      </c>
      <c r="U91">
        <v>10</v>
      </c>
      <c r="V91">
        <v>6</v>
      </c>
      <c r="W91">
        <v>2</v>
      </c>
      <c r="X91">
        <v>6</v>
      </c>
      <c r="Y91">
        <v>0</v>
      </c>
      <c r="Z91">
        <v>3</v>
      </c>
      <c r="AA91">
        <v>0</v>
      </c>
      <c r="AB91">
        <v>3</v>
      </c>
      <c r="AC91">
        <v>7</v>
      </c>
      <c r="AD91">
        <v>5</v>
      </c>
      <c r="AE91">
        <v>8</v>
      </c>
      <c r="AF91">
        <v>0</v>
      </c>
      <c r="AG91">
        <v>2</v>
      </c>
      <c r="AH91">
        <v>4</v>
      </c>
      <c r="AI91">
        <v>9</v>
      </c>
      <c r="AJ91">
        <v>2</v>
      </c>
      <c r="AK91">
        <v>6</v>
      </c>
      <c r="AL91">
        <v>8</v>
      </c>
      <c r="AM91">
        <v>6</v>
      </c>
      <c r="AN91">
        <v>4</v>
      </c>
      <c r="AO91">
        <v>4</v>
      </c>
      <c r="AP91">
        <v>2</v>
      </c>
      <c r="AQ91">
        <v>6</v>
      </c>
      <c r="AR91">
        <v>3</v>
      </c>
      <c r="AS91">
        <v>1</v>
      </c>
      <c r="AT91">
        <v>2</v>
      </c>
      <c r="AU91">
        <v>8</v>
      </c>
      <c r="AV91">
        <v>1</v>
      </c>
      <c r="AW91">
        <v>3</v>
      </c>
      <c r="AX91">
        <v>0</v>
      </c>
      <c r="AY91">
        <v>6</v>
      </c>
      <c r="AZ91">
        <v>4</v>
      </c>
      <c r="BA91">
        <v>9</v>
      </c>
      <c r="BB91">
        <v>2</v>
      </c>
      <c r="BC91">
        <v>1</v>
      </c>
      <c r="BD91">
        <v>1</v>
      </c>
      <c r="BE91">
        <v>2</v>
      </c>
      <c r="BF91">
        <v>2</v>
      </c>
      <c r="BG91">
        <v>5</v>
      </c>
      <c r="BH91">
        <v>4</v>
      </c>
      <c r="BI91">
        <v>0</v>
      </c>
      <c r="BJ91">
        <v>8</v>
      </c>
      <c r="BK91">
        <v>5</v>
      </c>
      <c r="BL91">
        <v>10</v>
      </c>
      <c r="BM91">
        <v>7</v>
      </c>
      <c r="BN91">
        <v>4</v>
      </c>
      <c r="BO91">
        <v>0</v>
      </c>
      <c r="BP91">
        <v>9</v>
      </c>
      <c r="BQ91">
        <v>9</v>
      </c>
      <c r="BR91">
        <v>9</v>
      </c>
      <c r="BS91">
        <v>2</v>
      </c>
      <c r="BT91">
        <v>9</v>
      </c>
      <c r="BU91">
        <v>6</v>
      </c>
      <c r="BV91">
        <v>6</v>
      </c>
      <c r="BW91">
        <v>5</v>
      </c>
      <c r="BX91">
        <v>3</v>
      </c>
      <c r="BY91">
        <v>1</v>
      </c>
      <c r="BZ91">
        <v>1</v>
      </c>
      <c r="CA91">
        <v>8</v>
      </c>
      <c r="CB91">
        <v>0</v>
      </c>
      <c r="CC91">
        <v>1</v>
      </c>
      <c r="CD91">
        <v>2</v>
      </c>
      <c r="CE91">
        <v>1</v>
      </c>
      <c r="CF91">
        <v>8</v>
      </c>
      <c r="CG91">
        <v>7</v>
      </c>
      <c r="CH91">
        <v>9</v>
      </c>
      <c r="CI91">
        <v>9</v>
      </c>
      <c r="CJ91">
        <v>5</v>
      </c>
      <c r="CK91">
        <v>0</v>
      </c>
      <c r="CL91">
        <v>2</v>
      </c>
      <c r="CM91">
        <v>6</v>
      </c>
      <c r="CN91">
        <v>4</v>
      </c>
      <c r="CO91">
        <v>8</v>
      </c>
      <c r="CP91">
        <v>7</v>
      </c>
      <c r="CQ91">
        <v>3</v>
      </c>
      <c r="CR91">
        <v>4</v>
      </c>
      <c r="CS91">
        <v>10</v>
      </c>
      <c r="CT91">
        <v>7</v>
      </c>
      <c r="CU91">
        <v>0</v>
      </c>
      <c r="CV91">
        <v>9</v>
      </c>
      <c r="CW91">
        <v>4</v>
      </c>
      <c r="CX91">
        <v>1</v>
      </c>
      <c r="CY91">
        <v>3</v>
      </c>
      <c r="CZ91">
        <v>3</v>
      </c>
      <c r="DA91">
        <v>2</v>
      </c>
      <c r="DB91">
        <v>10</v>
      </c>
      <c r="DC91">
        <v>4</v>
      </c>
      <c r="DD91">
        <v>10</v>
      </c>
      <c r="DE91">
        <v>10</v>
      </c>
      <c r="DF91">
        <v>10</v>
      </c>
      <c r="DG91">
        <v>3</v>
      </c>
      <c r="DH91">
        <v>10</v>
      </c>
      <c r="DI91">
        <v>10</v>
      </c>
      <c r="DJ91">
        <v>5</v>
      </c>
      <c r="DK91">
        <v>10</v>
      </c>
    </row>
    <row r="92" spans="1:115">
      <c r="A92" s="172">
        <f>Calculations[[#This Row],[Sum t eCO2]]*IF(Calculations[[#This Row],[GHG Scope]]="BIOGENIC",0,1)</f>
        <v>10.575435024792496</v>
      </c>
      <c r="O92">
        <f t="shared" si="1"/>
        <v>91</v>
      </c>
      <c r="P92">
        <v>1</v>
      </c>
      <c r="Q92">
        <v>10</v>
      </c>
      <c r="R92">
        <v>2</v>
      </c>
      <c r="S92">
        <v>2</v>
      </c>
      <c r="T92">
        <v>4</v>
      </c>
      <c r="U92">
        <v>1</v>
      </c>
      <c r="V92">
        <v>1</v>
      </c>
      <c r="W92">
        <v>7</v>
      </c>
      <c r="X92">
        <v>1</v>
      </c>
      <c r="Y92">
        <v>10</v>
      </c>
      <c r="Z92">
        <v>1</v>
      </c>
      <c r="AA92">
        <v>6</v>
      </c>
      <c r="AB92">
        <v>3</v>
      </c>
      <c r="AC92">
        <v>0</v>
      </c>
      <c r="AD92">
        <v>1</v>
      </c>
      <c r="AE92">
        <v>10</v>
      </c>
      <c r="AF92">
        <v>1</v>
      </c>
      <c r="AG92">
        <v>2</v>
      </c>
      <c r="AH92">
        <v>4</v>
      </c>
      <c r="AI92">
        <v>3</v>
      </c>
      <c r="AJ92">
        <v>9</v>
      </c>
      <c r="AK92">
        <v>0</v>
      </c>
      <c r="AL92">
        <v>2</v>
      </c>
      <c r="AM92">
        <v>0</v>
      </c>
      <c r="AN92">
        <v>1</v>
      </c>
      <c r="AO92">
        <v>3</v>
      </c>
      <c r="AP92">
        <v>0</v>
      </c>
      <c r="AQ92">
        <v>8</v>
      </c>
      <c r="AR92">
        <v>10</v>
      </c>
      <c r="AS92">
        <v>4</v>
      </c>
      <c r="AT92">
        <v>9</v>
      </c>
      <c r="AU92">
        <v>5</v>
      </c>
      <c r="AV92">
        <v>3</v>
      </c>
      <c r="AW92">
        <v>2</v>
      </c>
      <c r="AX92">
        <v>9</v>
      </c>
      <c r="AY92">
        <v>5</v>
      </c>
      <c r="AZ92">
        <v>8</v>
      </c>
      <c r="BA92">
        <v>7</v>
      </c>
      <c r="BB92">
        <v>7</v>
      </c>
      <c r="BC92">
        <v>8</v>
      </c>
      <c r="BD92">
        <v>4</v>
      </c>
      <c r="BE92">
        <v>2</v>
      </c>
      <c r="BF92">
        <v>6</v>
      </c>
      <c r="BG92">
        <v>0</v>
      </c>
      <c r="BH92">
        <v>8</v>
      </c>
      <c r="BI92">
        <v>2</v>
      </c>
      <c r="BJ92">
        <v>7</v>
      </c>
      <c r="BK92">
        <v>9</v>
      </c>
      <c r="BL92">
        <v>4</v>
      </c>
      <c r="BM92">
        <v>4</v>
      </c>
      <c r="BN92">
        <v>7</v>
      </c>
      <c r="BO92">
        <v>4</v>
      </c>
      <c r="BP92">
        <v>8</v>
      </c>
      <c r="BQ92">
        <v>5</v>
      </c>
      <c r="BR92">
        <v>1</v>
      </c>
      <c r="BS92">
        <v>2</v>
      </c>
      <c r="BT92">
        <v>3</v>
      </c>
      <c r="BU92">
        <v>0</v>
      </c>
      <c r="BV92">
        <v>4</v>
      </c>
      <c r="BW92">
        <v>3</v>
      </c>
      <c r="BX92">
        <v>3</v>
      </c>
      <c r="BY92">
        <v>2</v>
      </c>
      <c r="BZ92">
        <v>2</v>
      </c>
      <c r="CA92">
        <v>3</v>
      </c>
      <c r="CB92">
        <v>4</v>
      </c>
      <c r="CC92">
        <v>5</v>
      </c>
      <c r="CD92">
        <v>6</v>
      </c>
      <c r="CE92">
        <v>10</v>
      </c>
      <c r="CF92">
        <v>3</v>
      </c>
      <c r="CG92">
        <v>10</v>
      </c>
      <c r="CH92">
        <v>4</v>
      </c>
      <c r="CI92">
        <v>9</v>
      </c>
      <c r="CJ92">
        <v>5</v>
      </c>
      <c r="CK92">
        <v>1</v>
      </c>
      <c r="CL92">
        <v>0</v>
      </c>
      <c r="CM92">
        <v>4</v>
      </c>
      <c r="CN92">
        <v>4</v>
      </c>
      <c r="CO92">
        <v>5</v>
      </c>
      <c r="CP92">
        <v>6</v>
      </c>
      <c r="CQ92">
        <v>1</v>
      </c>
      <c r="CR92">
        <v>0</v>
      </c>
      <c r="CS92">
        <v>6</v>
      </c>
      <c r="CT92">
        <v>10</v>
      </c>
      <c r="CU92">
        <v>7</v>
      </c>
      <c r="CV92">
        <v>4</v>
      </c>
      <c r="CW92">
        <v>0</v>
      </c>
      <c r="CX92">
        <v>4</v>
      </c>
      <c r="CY92">
        <v>4</v>
      </c>
      <c r="CZ92">
        <v>3</v>
      </c>
      <c r="DA92">
        <v>4</v>
      </c>
      <c r="DB92">
        <v>1</v>
      </c>
      <c r="DC92">
        <v>5</v>
      </c>
      <c r="DD92">
        <v>10</v>
      </c>
      <c r="DE92">
        <v>1</v>
      </c>
      <c r="DF92">
        <v>4</v>
      </c>
      <c r="DG92">
        <v>5</v>
      </c>
      <c r="DH92">
        <v>4</v>
      </c>
      <c r="DI92">
        <v>8</v>
      </c>
      <c r="DJ92">
        <v>4</v>
      </c>
      <c r="DK92">
        <v>0</v>
      </c>
    </row>
    <row r="93" spans="1:115">
      <c r="A93" s="172">
        <f>Calculations[[#This Row],[Sum t eCO2]]*IF(Calculations[[#This Row],[GHG Scope]]="BIOGENIC",0,1)</f>
        <v>6.7752948526851015E-2</v>
      </c>
      <c r="O93">
        <f t="shared" si="1"/>
        <v>92</v>
      </c>
      <c r="P93">
        <v>1</v>
      </c>
      <c r="Q93">
        <v>4</v>
      </c>
      <c r="R93">
        <v>5</v>
      </c>
      <c r="S93">
        <v>4</v>
      </c>
      <c r="T93">
        <v>3</v>
      </c>
      <c r="U93">
        <v>10</v>
      </c>
      <c r="V93">
        <v>5</v>
      </c>
      <c r="W93">
        <v>2</v>
      </c>
      <c r="X93">
        <v>1</v>
      </c>
      <c r="Y93">
        <v>6</v>
      </c>
      <c r="Z93">
        <v>6</v>
      </c>
      <c r="AA93">
        <v>10</v>
      </c>
      <c r="AB93">
        <v>4</v>
      </c>
      <c r="AC93">
        <v>8</v>
      </c>
      <c r="AD93">
        <v>3</v>
      </c>
      <c r="AE93">
        <v>4</v>
      </c>
      <c r="AF93">
        <v>3</v>
      </c>
      <c r="AG93">
        <v>2</v>
      </c>
      <c r="AH93">
        <v>7</v>
      </c>
      <c r="AI93">
        <v>1</v>
      </c>
      <c r="AJ93">
        <v>4</v>
      </c>
      <c r="AK93">
        <v>1</v>
      </c>
      <c r="AL93">
        <v>5</v>
      </c>
      <c r="AM93">
        <v>3</v>
      </c>
      <c r="AN93">
        <v>1</v>
      </c>
      <c r="AO93">
        <v>2</v>
      </c>
      <c r="AP93">
        <v>2</v>
      </c>
      <c r="AQ93">
        <v>5</v>
      </c>
      <c r="AR93">
        <v>1</v>
      </c>
      <c r="AS93">
        <v>10</v>
      </c>
      <c r="AT93">
        <v>3</v>
      </c>
      <c r="AU93">
        <v>1</v>
      </c>
      <c r="AV93">
        <v>10</v>
      </c>
      <c r="AW93">
        <v>5</v>
      </c>
      <c r="AX93">
        <v>1</v>
      </c>
      <c r="AY93">
        <v>2</v>
      </c>
      <c r="AZ93">
        <v>3</v>
      </c>
      <c r="BA93">
        <v>5</v>
      </c>
      <c r="BB93">
        <v>3</v>
      </c>
      <c r="BC93">
        <v>8</v>
      </c>
      <c r="BD93">
        <v>2</v>
      </c>
      <c r="BE93">
        <v>4</v>
      </c>
      <c r="BF93">
        <v>8</v>
      </c>
      <c r="BG93">
        <v>5</v>
      </c>
      <c r="BH93">
        <v>9</v>
      </c>
      <c r="BI93">
        <v>1</v>
      </c>
      <c r="BJ93">
        <v>8</v>
      </c>
      <c r="BK93">
        <v>6</v>
      </c>
      <c r="BL93">
        <v>0</v>
      </c>
      <c r="BM93">
        <v>7</v>
      </c>
      <c r="BN93">
        <v>9</v>
      </c>
      <c r="BO93">
        <v>3</v>
      </c>
      <c r="BP93">
        <v>1</v>
      </c>
      <c r="BQ93">
        <v>9</v>
      </c>
      <c r="BR93">
        <v>8</v>
      </c>
      <c r="BS93">
        <v>10</v>
      </c>
      <c r="BT93">
        <v>1</v>
      </c>
      <c r="BU93">
        <v>7</v>
      </c>
      <c r="BV93">
        <v>3</v>
      </c>
      <c r="BW93">
        <v>4</v>
      </c>
      <c r="BX93">
        <v>8</v>
      </c>
      <c r="BY93">
        <v>2</v>
      </c>
      <c r="BZ93">
        <v>1</v>
      </c>
      <c r="CA93">
        <v>1</v>
      </c>
      <c r="CB93">
        <v>4</v>
      </c>
      <c r="CC93">
        <v>5</v>
      </c>
      <c r="CD93">
        <v>9</v>
      </c>
      <c r="CE93">
        <v>7</v>
      </c>
      <c r="CF93">
        <v>0</v>
      </c>
      <c r="CG93">
        <v>1</v>
      </c>
      <c r="CH93">
        <v>4</v>
      </c>
      <c r="CI93">
        <v>10</v>
      </c>
      <c r="CJ93">
        <v>0</v>
      </c>
      <c r="CK93">
        <v>10</v>
      </c>
      <c r="CL93">
        <v>0</v>
      </c>
      <c r="CM93">
        <v>9</v>
      </c>
      <c r="CN93">
        <v>8</v>
      </c>
      <c r="CO93">
        <v>6</v>
      </c>
      <c r="CP93">
        <v>3</v>
      </c>
      <c r="CQ93">
        <v>3</v>
      </c>
      <c r="CR93">
        <v>6</v>
      </c>
      <c r="CS93">
        <v>7</v>
      </c>
      <c r="CT93">
        <v>1</v>
      </c>
      <c r="CU93">
        <v>3</v>
      </c>
      <c r="CV93">
        <v>0</v>
      </c>
      <c r="CW93">
        <v>0</v>
      </c>
      <c r="CX93">
        <v>0</v>
      </c>
      <c r="CY93">
        <v>5</v>
      </c>
      <c r="CZ93">
        <v>4</v>
      </c>
      <c r="DA93">
        <v>6</v>
      </c>
      <c r="DB93">
        <v>2</v>
      </c>
      <c r="DC93">
        <v>6</v>
      </c>
      <c r="DD93">
        <v>2</v>
      </c>
      <c r="DE93">
        <v>10</v>
      </c>
      <c r="DF93">
        <v>2</v>
      </c>
      <c r="DG93">
        <v>0</v>
      </c>
      <c r="DH93">
        <v>10</v>
      </c>
      <c r="DI93">
        <v>1</v>
      </c>
      <c r="DJ93">
        <v>6</v>
      </c>
      <c r="DK93">
        <v>3</v>
      </c>
    </row>
    <row r="94" spans="1:115">
      <c r="A94" s="172">
        <f>Calculations[[#This Row],[Sum t eCO2]]*IF(Calculations[[#This Row],[GHG Scope]]="BIOGENIC",0,1)</f>
        <v>0.10528092010043018</v>
      </c>
      <c r="O94">
        <f t="shared" si="1"/>
        <v>93</v>
      </c>
      <c r="P94">
        <v>0</v>
      </c>
      <c r="Q94">
        <v>6</v>
      </c>
      <c r="R94">
        <v>8</v>
      </c>
      <c r="S94">
        <v>1</v>
      </c>
      <c r="T94">
        <v>6</v>
      </c>
      <c r="U94">
        <v>3</v>
      </c>
      <c r="V94">
        <v>6</v>
      </c>
      <c r="W94">
        <v>1</v>
      </c>
      <c r="X94">
        <v>5</v>
      </c>
      <c r="Y94">
        <v>4</v>
      </c>
      <c r="Z94">
        <v>2</v>
      </c>
      <c r="AA94">
        <v>10</v>
      </c>
      <c r="AB94">
        <v>9</v>
      </c>
      <c r="AC94">
        <v>4</v>
      </c>
      <c r="AD94">
        <v>1</v>
      </c>
      <c r="AE94">
        <v>4</v>
      </c>
      <c r="AF94">
        <v>6</v>
      </c>
      <c r="AG94">
        <v>0</v>
      </c>
      <c r="AH94">
        <v>10</v>
      </c>
      <c r="AI94">
        <v>6</v>
      </c>
      <c r="AJ94">
        <v>10</v>
      </c>
      <c r="AK94">
        <v>4</v>
      </c>
      <c r="AL94">
        <v>4</v>
      </c>
      <c r="AM94">
        <v>8</v>
      </c>
      <c r="AN94">
        <v>5</v>
      </c>
      <c r="AO94">
        <v>3</v>
      </c>
      <c r="AP94">
        <v>8</v>
      </c>
      <c r="AQ94">
        <v>1</v>
      </c>
      <c r="AR94">
        <v>2</v>
      </c>
      <c r="AS94">
        <v>1</v>
      </c>
      <c r="AT94">
        <v>4</v>
      </c>
      <c r="AU94">
        <v>3</v>
      </c>
      <c r="AV94">
        <v>1</v>
      </c>
      <c r="AW94">
        <v>8</v>
      </c>
      <c r="AX94">
        <v>8</v>
      </c>
      <c r="AY94">
        <v>10</v>
      </c>
      <c r="AZ94">
        <v>2</v>
      </c>
      <c r="BA94">
        <v>6</v>
      </c>
      <c r="BB94">
        <v>9</v>
      </c>
      <c r="BC94">
        <v>10</v>
      </c>
      <c r="BD94">
        <v>7</v>
      </c>
      <c r="BE94">
        <v>6</v>
      </c>
      <c r="BF94">
        <v>5</v>
      </c>
      <c r="BG94">
        <v>4</v>
      </c>
      <c r="BH94">
        <v>10</v>
      </c>
      <c r="BI94">
        <v>2</v>
      </c>
      <c r="BJ94">
        <v>9</v>
      </c>
      <c r="BK94">
        <v>8</v>
      </c>
      <c r="BL94">
        <v>10</v>
      </c>
      <c r="BM94">
        <v>7</v>
      </c>
      <c r="BN94">
        <v>6</v>
      </c>
      <c r="BO94">
        <v>3</v>
      </c>
      <c r="BP94">
        <v>1</v>
      </c>
      <c r="BQ94">
        <v>6</v>
      </c>
      <c r="BR94">
        <v>3</v>
      </c>
      <c r="BS94">
        <v>9</v>
      </c>
      <c r="BT94">
        <v>2</v>
      </c>
      <c r="BU94">
        <v>10</v>
      </c>
      <c r="BV94">
        <v>2</v>
      </c>
      <c r="BW94">
        <v>0</v>
      </c>
      <c r="BX94">
        <v>4</v>
      </c>
      <c r="BY94">
        <v>0</v>
      </c>
      <c r="BZ94">
        <v>3</v>
      </c>
      <c r="CA94">
        <v>0</v>
      </c>
      <c r="CB94">
        <v>4</v>
      </c>
      <c r="CC94">
        <v>8</v>
      </c>
      <c r="CD94">
        <v>4</v>
      </c>
      <c r="CE94">
        <v>8</v>
      </c>
      <c r="CF94">
        <v>6</v>
      </c>
      <c r="CG94">
        <v>1</v>
      </c>
      <c r="CH94">
        <v>2</v>
      </c>
      <c r="CI94">
        <v>8</v>
      </c>
      <c r="CJ94">
        <v>1</v>
      </c>
      <c r="CK94">
        <v>5</v>
      </c>
      <c r="CL94">
        <v>9</v>
      </c>
      <c r="CM94">
        <v>10</v>
      </c>
      <c r="CN94">
        <v>10</v>
      </c>
      <c r="CO94">
        <v>8</v>
      </c>
      <c r="CP94">
        <v>1</v>
      </c>
      <c r="CQ94">
        <v>7</v>
      </c>
      <c r="CR94">
        <v>5</v>
      </c>
      <c r="CS94">
        <v>7</v>
      </c>
      <c r="CT94">
        <v>7</v>
      </c>
      <c r="CU94">
        <v>4</v>
      </c>
      <c r="CV94">
        <v>3</v>
      </c>
      <c r="CW94">
        <v>10</v>
      </c>
      <c r="CX94">
        <v>9</v>
      </c>
      <c r="CY94">
        <v>1</v>
      </c>
      <c r="CZ94">
        <v>9</v>
      </c>
      <c r="DA94">
        <v>1</v>
      </c>
      <c r="DB94">
        <v>2</v>
      </c>
      <c r="DC94">
        <v>5</v>
      </c>
      <c r="DD94">
        <v>6</v>
      </c>
      <c r="DE94">
        <v>3</v>
      </c>
      <c r="DF94">
        <v>0</v>
      </c>
      <c r="DG94">
        <v>6</v>
      </c>
      <c r="DH94">
        <v>4</v>
      </c>
      <c r="DI94">
        <v>4</v>
      </c>
      <c r="DJ94">
        <v>1</v>
      </c>
      <c r="DK94">
        <v>0</v>
      </c>
    </row>
    <row r="95" spans="1:115">
      <c r="A95" s="172">
        <f>Calculations[[#This Row],[Sum t eCO2]]*IF(Calculations[[#This Row],[GHG Scope]]="BIOGENIC",0,1)</f>
        <v>10.680577081317001</v>
      </c>
      <c r="O95">
        <f t="shared" si="1"/>
        <v>94</v>
      </c>
      <c r="P95">
        <v>2</v>
      </c>
      <c r="Q95">
        <v>9</v>
      </c>
      <c r="R95">
        <v>8</v>
      </c>
      <c r="S95">
        <v>1</v>
      </c>
      <c r="T95">
        <v>8</v>
      </c>
      <c r="U95">
        <v>2</v>
      </c>
      <c r="V95">
        <v>2</v>
      </c>
      <c r="W95">
        <v>0</v>
      </c>
      <c r="X95">
        <v>0</v>
      </c>
      <c r="Y95">
        <v>3</v>
      </c>
      <c r="Z95">
        <v>4</v>
      </c>
      <c r="AA95">
        <v>0</v>
      </c>
      <c r="AB95">
        <v>6</v>
      </c>
      <c r="AC95">
        <v>1</v>
      </c>
      <c r="AD95">
        <v>3</v>
      </c>
      <c r="AE95">
        <v>3</v>
      </c>
      <c r="AF95">
        <v>10</v>
      </c>
      <c r="AG95">
        <v>5</v>
      </c>
      <c r="AH95">
        <v>5</v>
      </c>
      <c r="AI95">
        <v>4</v>
      </c>
      <c r="AJ95">
        <v>6</v>
      </c>
      <c r="AK95">
        <v>9</v>
      </c>
      <c r="AL95">
        <v>8</v>
      </c>
      <c r="AM95">
        <v>5</v>
      </c>
      <c r="AN95">
        <v>0</v>
      </c>
      <c r="AO95">
        <v>0</v>
      </c>
      <c r="AP95">
        <v>8</v>
      </c>
      <c r="AQ95">
        <v>7</v>
      </c>
      <c r="AR95">
        <v>9</v>
      </c>
      <c r="AS95">
        <v>1</v>
      </c>
      <c r="AT95">
        <v>4</v>
      </c>
      <c r="AU95">
        <v>10</v>
      </c>
      <c r="AV95">
        <v>7</v>
      </c>
      <c r="AW95">
        <v>10</v>
      </c>
      <c r="AX95">
        <v>2</v>
      </c>
      <c r="AY95">
        <v>10</v>
      </c>
      <c r="AZ95">
        <v>1</v>
      </c>
      <c r="BA95">
        <v>5</v>
      </c>
      <c r="BB95">
        <v>6</v>
      </c>
      <c r="BC95">
        <v>5</v>
      </c>
      <c r="BD95">
        <v>10</v>
      </c>
      <c r="BE95">
        <v>7</v>
      </c>
      <c r="BF95">
        <v>5</v>
      </c>
      <c r="BG95">
        <v>6</v>
      </c>
      <c r="BH95">
        <v>3</v>
      </c>
      <c r="BI95">
        <v>1</v>
      </c>
      <c r="BJ95">
        <v>9</v>
      </c>
      <c r="BK95">
        <v>9</v>
      </c>
      <c r="BL95">
        <v>8</v>
      </c>
      <c r="BM95">
        <v>7</v>
      </c>
      <c r="BN95">
        <v>10</v>
      </c>
      <c r="BO95">
        <v>5</v>
      </c>
      <c r="BP95">
        <v>1</v>
      </c>
      <c r="BQ95">
        <v>7</v>
      </c>
      <c r="BR95">
        <v>10</v>
      </c>
      <c r="BS95">
        <v>0</v>
      </c>
      <c r="BT95">
        <v>7</v>
      </c>
      <c r="BU95">
        <v>4</v>
      </c>
      <c r="BV95">
        <v>5</v>
      </c>
      <c r="BW95">
        <v>4</v>
      </c>
      <c r="BX95">
        <v>8</v>
      </c>
      <c r="BY95">
        <v>1</v>
      </c>
      <c r="BZ95">
        <v>4</v>
      </c>
      <c r="CA95">
        <v>5</v>
      </c>
      <c r="CB95">
        <v>3</v>
      </c>
      <c r="CC95">
        <v>5</v>
      </c>
      <c r="CD95">
        <v>3</v>
      </c>
      <c r="CE95">
        <v>4</v>
      </c>
      <c r="CF95">
        <v>7</v>
      </c>
      <c r="CG95">
        <v>6</v>
      </c>
      <c r="CH95">
        <v>2</v>
      </c>
      <c r="CI95">
        <v>8</v>
      </c>
      <c r="CJ95">
        <v>2</v>
      </c>
      <c r="CK95">
        <v>9</v>
      </c>
      <c r="CL95">
        <v>1</v>
      </c>
      <c r="CM95">
        <v>0</v>
      </c>
      <c r="CN95">
        <v>8</v>
      </c>
      <c r="CO95">
        <v>6</v>
      </c>
      <c r="CP95">
        <v>2</v>
      </c>
      <c r="CQ95">
        <v>4</v>
      </c>
      <c r="CR95">
        <v>9</v>
      </c>
      <c r="CS95">
        <v>3</v>
      </c>
      <c r="CT95">
        <v>3</v>
      </c>
      <c r="CU95">
        <v>4</v>
      </c>
      <c r="CV95">
        <v>9</v>
      </c>
      <c r="CW95">
        <v>5</v>
      </c>
      <c r="CX95">
        <v>0</v>
      </c>
      <c r="CY95">
        <v>7</v>
      </c>
      <c r="CZ95">
        <v>10</v>
      </c>
      <c r="DA95">
        <v>2</v>
      </c>
      <c r="DB95">
        <v>6</v>
      </c>
      <c r="DC95">
        <v>3</v>
      </c>
      <c r="DD95">
        <v>1</v>
      </c>
      <c r="DE95">
        <v>1</v>
      </c>
      <c r="DF95">
        <v>3</v>
      </c>
      <c r="DG95">
        <v>0</v>
      </c>
      <c r="DH95">
        <v>1</v>
      </c>
      <c r="DI95">
        <v>0</v>
      </c>
      <c r="DJ95">
        <v>9</v>
      </c>
      <c r="DK95">
        <v>4</v>
      </c>
    </row>
    <row r="96" spans="1:115">
      <c r="A96" s="172">
        <f>Calculations[[#This Row],[Sum t eCO2]]*IF(Calculations[[#This Row],[GHG Scope]]="BIOGENIC",0,1)</f>
        <v>6.8426555269931716E-2</v>
      </c>
      <c r="O96">
        <f t="shared" si="1"/>
        <v>95</v>
      </c>
      <c r="P96">
        <v>1</v>
      </c>
      <c r="Q96">
        <v>4</v>
      </c>
      <c r="R96">
        <v>0</v>
      </c>
      <c r="S96">
        <v>0</v>
      </c>
      <c r="T96">
        <v>6</v>
      </c>
      <c r="U96">
        <v>6</v>
      </c>
      <c r="V96">
        <v>3</v>
      </c>
      <c r="W96">
        <v>0</v>
      </c>
      <c r="X96">
        <v>3</v>
      </c>
      <c r="Y96">
        <v>9</v>
      </c>
      <c r="Z96">
        <v>7</v>
      </c>
      <c r="AA96">
        <v>8</v>
      </c>
      <c r="AB96">
        <v>1</v>
      </c>
      <c r="AC96">
        <v>1</v>
      </c>
      <c r="AD96">
        <v>0</v>
      </c>
      <c r="AE96">
        <v>0</v>
      </c>
      <c r="AF96">
        <v>4</v>
      </c>
      <c r="AG96">
        <v>9</v>
      </c>
      <c r="AH96">
        <v>7</v>
      </c>
      <c r="AI96">
        <v>9</v>
      </c>
      <c r="AJ96">
        <v>8</v>
      </c>
      <c r="AK96">
        <v>7</v>
      </c>
      <c r="AL96">
        <v>8</v>
      </c>
      <c r="AM96">
        <v>0</v>
      </c>
      <c r="AN96">
        <v>3</v>
      </c>
      <c r="AO96">
        <v>5</v>
      </c>
      <c r="AP96">
        <v>7</v>
      </c>
      <c r="AQ96">
        <v>9</v>
      </c>
      <c r="AR96">
        <v>8</v>
      </c>
      <c r="AS96">
        <v>3</v>
      </c>
      <c r="AT96">
        <v>1</v>
      </c>
      <c r="AU96">
        <v>9</v>
      </c>
      <c r="AV96">
        <v>0</v>
      </c>
      <c r="AW96">
        <v>10</v>
      </c>
      <c r="AX96">
        <v>6</v>
      </c>
      <c r="AY96">
        <v>8</v>
      </c>
      <c r="AZ96">
        <v>7</v>
      </c>
      <c r="BA96">
        <v>3</v>
      </c>
      <c r="BB96">
        <v>7</v>
      </c>
      <c r="BC96">
        <v>0</v>
      </c>
      <c r="BD96">
        <v>6</v>
      </c>
      <c r="BE96">
        <v>5</v>
      </c>
      <c r="BF96">
        <v>2</v>
      </c>
      <c r="BG96">
        <v>8</v>
      </c>
      <c r="BH96">
        <v>0</v>
      </c>
      <c r="BI96">
        <v>7</v>
      </c>
      <c r="BJ96">
        <v>9</v>
      </c>
      <c r="BK96">
        <v>10</v>
      </c>
      <c r="BL96">
        <v>1</v>
      </c>
      <c r="BM96">
        <v>10</v>
      </c>
      <c r="BN96">
        <v>2</v>
      </c>
      <c r="BO96">
        <v>5</v>
      </c>
      <c r="BP96">
        <v>9</v>
      </c>
      <c r="BQ96">
        <v>3</v>
      </c>
      <c r="BR96">
        <v>1</v>
      </c>
      <c r="BS96">
        <v>3</v>
      </c>
      <c r="BT96">
        <v>9</v>
      </c>
      <c r="BU96">
        <v>3</v>
      </c>
      <c r="BV96">
        <v>8</v>
      </c>
      <c r="BW96">
        <v>1</v>
      </c>
      <c r="BX96">
        <v>6</v>
      </c>
      <c r="BY96">
        <v>9</v>
      </c>
      <c r="BZ96">
        <v>1</v>
      </c>
      <c r="CA96">
        <v>7</v>
      </c>
      <c r="CB96">
        <v>8</v>
      </c>
      <c r="CC96">
        <v>8</v>
      </c>
      <c r="CD96">
        <v>10</v>
      </c>
      <c r="CE96">
        <v>6</v>
      </c>
      <c r="CF96">
        <v>7</v>
      </c>
      <c r="CG96">
        <v>8</v>
      </c>
      <c r="CH96">
        <v>8</v>
      </c>
      <c r="CI96">
        <v>10</v>
      </c>
      <c r="CJ96">
        <v>4</v>
      </c>
      <c r="CK96">
        <v>3</v>
      </c>
      <c r="CL96">
        <v>6</v>
      </c>
      <c r="CM96">
        <v>9</v>
      </c>
      <c r="CN96">
        <v>6</v>
      </c>
      <c r="CO96">
        <v>5</v>
      </c>
      <c r="CP96">
        <v>7</v>
      </c>
      <c r="CQ96">
        <v>8</v>
      </c>
      <c r="CR96">
        <v>5</v>
      </c>
      <c r="CS96">
        <v>5</v>
      </c>
      <c r="CT96">
        <v>2</v>
      </c>
      <c r="CU96">
        <v>5</v>
      </c>
      <c r="CV96">
        <v>2</v>
      </c>
      <c r="CW96">
        <v>7</v>
      </c>
      <c r="CX96">
        <v>9</v>
      </c>
      <c r="CY96">
        <v>4</v>
      </c>
      <c r="CZ96">
        <v>5</v>
      </c>
      <c r="DA96">
        <v>1</v>
      </c>
      <c r="DB96">
        <v>1</v>
      </c>
      <c r="DC96">
        <v>7</v>
      </c>
      <c r="DD96">
        <v>7</v>
      </c>
      <c r="DE96">
        <v>8</v>
      </c>
      <c r="DF96">
        <v>8</v>
      </c>
      <c r="DG96">
        <v>10</v>
      </c>
      <c r="DH96">
        <v>1</v>
      </c>
      <c r="DI96">
        <v>9</v>
      </c>
      <c r="DJ96">
        <v>7</v>
      </c>
      <c r="DK96">
        <v>6</v>
      </c>
    </row>
    <row r="97" spans="1:115">
      <c r="A97" s="172">
        <f>Calculations[[#This Row],[Sum t eCO2]]*IF(Calculations[[#This Row],[GHG Scope]]="BIOGENIC",0,1)</f>
        <v>0.106327633774733</v>
      </c>
      <c r="O97">
        <f t="shared" si="1"/>
        <v>96</v>
      </c>
      <c r="P97">
        <v>7</v>
      </c>
      <c r="Q97">
        <v>4</v>
      </c>
      <c r="R97">
        <v>10</v>
      </c>
      <c r="S97">
        <v>6</v>
      </c>
      <c r="T97">
        <v>1</v>
      </c>
      <c r="U97">
        <v>10</v>
      </c>
      <c r="V97">
        <v>6</v>
      </c>
      <c r="W97">
        <v>7</v>
      </c>
      <c r="X97">
        <v>8</v>
      </c>
      <c r="Y97">
        <v>7</v>
      </c>
      <c r="Z97">
        <v>0</v>
      </c>
      <c r="AA97">
        <v>10</v>
      </c>
      <c r="AB97">
        <v>10</v>
      </c>
      <c r="AC97">
        <v>7</v>
      </c>
      <c r="AD97">
        <v>4</v>
      </c>
      <c r="AE97">
        <v>10</v>
      </c>
      <c r="AF97">
        <v>1</v>
      </c>
      <c r="AG97">
        <v>2</v>
      </c>
      <c r="AH97">
        <v>1</v>
      </c>
      <c r="AI97">
        <v>0</v>
      </c>
      <c r="AJ97">
        <v>9</v>
      </c>
      <c r="AK97">
        <v>4</v>
      </c>
      <c r="AL97">
        <v>6</v>
      </c>
      <c r="AM97">
        <v>5</v>
      </c>
      <c r="AN97">
        <v>6</v>
      </c>
      <c r="AO97">
        <v>9</v>
      </c>
      <c r="AP97">
        <v>0</v>
      </c>
      <c r="AQ97">
        <v>8</v>
      </c>
      <c r="AR97">
        <v>8</v>
      </c>
      <c r="AS97">
        <v>6</v>
      </c>
      <c r="AT97">
        <v>10</v>
      </c>
      <c r="AU97">
        <v>1</v>
      </c>
      <c r="AV97">
        <v>6</v>
      </c>
      <c r="AW97">
        <v>6</v>
      </c>
      <c r="AX97">
        <v>7</v>
      </c>
      <c r="AY97">
        <v>9</v>
      </c>
      <c r="AZ97">
        <v>5</v>
      </c>
      <c r="BA97">
        <v>0</v>
      </c>
      <c r="BB97">
        <v>10</v>
      </c>
      <c r="BC97">
        <v>5</v>
      </c>
      <c r="BD97">
        <v>9</v>
      </c>
      <c r="BE97">
        <v>8</v>
      </c>
      <c r="BF97">
        <v>3</v>
      </c>
      <c r="BG97">
        <v>9</v>
      </c>
      <c r="BH97">
        <v>7</v>
      </c>
      <c r="BI97">
        <v>1</v>
      </c>
      <c r="BJ97">
        <v>0</v>
      </c>
      <c r="BK97">
        <v>2</v>
      </c>
      <c r="BL97">
        <v>1</v>
      </c>
      <c r="BM97">
        <v>4</v>
      </c>
      <c r="BN97">
        <v>8</v>
      </c>
      <c r="BO97">
        <v>9</v>
      </c>
      <c r="BP97">
        <v>3</v>
      </c>
      <c r="BQ97">
        <v>3</v>
      </c>
      <c r="BR97">
        <v>6</v>
      </c>
      <c r="BS97">
        <v>0</v>
      </c>
      <c r="BT97">
        <v>6</v>
      </c>
      <c r="BU97">
        <v>10</v>
      </c>
      <c r="BV97">
        <v>6</v>
      </c>
      <c r="BW97">
        <v>1</v>
      </c>
      <c r="BX97">
        <v>2</v>
      </c>
      <c r="BY97">
        <v>1</v>
      </c>
      <c r="BZ97">
        <v>9</v>
      </c>
      <c r="CA97">
        <v>3</v>
      </c>
      <c r="CB97">
        <v>9</v>
      </c>
      <c r="CC97">
        <v>10</v>
      </c>
      <c r="CD97">
        <v>3</v>
      </c>
      <c r="CE97">
        <v>2</v>
      </c>
      <c r="CF97">
        <v>7</v>
      </c>
      <c r="CG97">
        <v>4</v>
      </c>
      <c r="CH97">
        <v>0</v>
      </c>
      <c r="CI97">
        <v>0</v>
      </c>
      <c r="CJ97">
        <v>6</v>
      </c>
      <c r="CK97">
        <v>9</v>
      </c>
      <c r="CL97">
        <v>2</v>
      </c>
      <c r="CM97">
        <v>4</v>
      </c>
      <c r="CN97">
        <v>1</v>
      </c>
      <c r="CO97">
        <v>10</v>
      </c>
      <c r="CP97">
        <v>2</v>
      </c>
      <c r="CQ97">
        <v>5</v>
      </c>
      <c r="CR97">
        <v>6</v>
      </c>
      <c r="CS97">
        <v>1</v>
      </c>
      <c r="CT97">
        <v>4</v>
      </c>
      <c r="CU97">
        <v>4</v>
      </c>
      <c r="CV97">
        <v>10</v>
      </c>
      <c r="CW97">
        <v>4</v>
      </c>
      <c r="CX97">
        <v>5</v>
      </c>
      <c r="CY97">
        <v>6</v>
      </c>
      <c r="CZ97">
        <v>10</v>
      </c>
      <c r="DA97">
        <v>2</v>
      </c>
      <c r="DB97">
        <v>0</v>
      </c>
      <c r="DC97">
        <v>1</v>
      </c>
      <c r="DD97">
        <v>8</v>
      </c>
      <c r="DE97">
        <v>5</v>
      </c>
      <c r="DF97">
        <v>1</v>
      </c>
      <c r="DG97">
        <v>9</v>
      </c>
      <c r="DH97">
        <v>5</v>
      </c>
      <c r="DI97">
        <v>0</v>
      </c>
      <c r="DJ97">
        <v>5</v>
      </c>
      <c r="DK97">
        <v>0</v>
      </c>
    </row>
    <row r="98" spans="1:115">
      <c r="A98" s="172">
        <f>Calculations[[#This Row],[Sum t eCO2]]*IF(Calculations[[#This Row],[GHG Scope]]="BIOGENIC",0,1)</f>
        <v>34.305179384786314</v>
      </c>
      <c r="O98">
        <f t="shared" si="1"/>
        <v>97</v>
      </c>
      <c r="P98">
        <v>1</v>
      </c>
      <c r="Q98">
        <v>10</v>
      </c>
      <c r="R98">
        <v>0</v>
      </c>
      <c r="S98">
        <v>2</v>
      </c>
      <c r="T98">
        <v>2</v>
      </c>
      <c r="U98">
        <v>6</v>
      </c>
      <c r="V98">
        <v>9</v>
      </c>
      <c r="W98">
        <v>7</v>
      </c>
      <c r="X98">
        <v>2</v>
      </c>
      <c r="Y98">
        <v>3</v>
      </c>
      <c r="Z98">
        <v>10</v>
      </c>
      <c r="AA98">
        <v>1</v>
      </c>
      <c r="AB98">
        <v>4</v>
      </c>
      <c r="AC98">
        <v>7</v>
      </c>
      <c r="AD98">
        <v>4</v>
      </c>
      <c r="AE98">
        <v>6</v>
      </c>
      <c r="AF98">
        <v>3</v>
      </c>
      <c r="AG98">
        <v>9</v>
      </c>
      <c r="AH98">
        <v>9</v>
      </c>
      <c r="AI98">
        <v>10</v>
      </c>
      <c r="AJ98">
        <v>8</v>
      </c>
      <c r="AK98">
        <v>4</v>
      </c>
      <c r="AL98">
        <v>4</v>
      </c>
      <c r="AM98">
        <v>0</v>
      </c>
      <c r="AN98">
        <v>10</v>
      </c>
      <c r="AO98">
        <v>7</v>
      </c>
      <c r="AP98">
        <v>5</v>
      </c>
      <c r="AQ98">
        <v>10</v>
      </c>
      <c r="AR98">
        <v>6</v>
      </c>
      <c r="AS98">
        <v>10</v>
      </c>
      <c r="AT98">
        <v>4</v>
      </c>
      <c r="AU98">
        <v>3</v>
      </c>
      <c r="AV98">
        <v>4</v>
      </c>
      <c r="AW98">
        <v>0</v>
      </c>
      <c r="AX98">
        <v>0</v>
      </c>
      <c r="AY98">
        <v>7</v>
      </c>
      <c r="AZ98">
        <v>8</v>
      </c>
      <c r="BA98">
        <v>4</v>
      </c>
      <c r="BB98">
        <v>9</v>
      </c>
      <c r="BC98">
        <v>4</v>
      </c>
      <c r="BD98">
        <v>8</v>
      </c>
      <c r="BE98">
        <v>9</v>
      </c>
      <c r="BF98">
        <v>9</v>
      </c>
      <c r="BG98">
        <v>0</v>
      </c>
      <c r="BH98">
        <v>1</v>
      </c>
      <c r="BI98">
        <v>6</v>
      </c>
      <c r="BJ98">
        <v>6</v>
      </c>
      <c r="BK98">
        <v>5</v>
      </c>
      <c r="BL98">
        <v>7</v>
      </c>
      <c r="BM98">
        <v>6</v>
      </c>
      <c r="BN98">
        <v>1</v>
      </c>
      <c r="BO98">
        <v>10</v>
      </c>
      <c r="BP98">
        <v>9</v>
      </c>
      <c r="BQ98">
        <v>7</v>
      </c>
      <c r="BR98">
        <v>5</v>
      </c>
      <c r="BS98">
        <v>2</v>
      </c>
      <c r="BT98">
        <v>2</v>
      </c>
      <c r="BU98">
        <v>7</v>
      </c>
      <c r="BV98">
        <v>7</v>
      </c>
      <c r="BW98">
        <v>10</v>
      </c>
      <c r="BX98">
        <v>0</v>
      </c>
      <c r="BY98">
        <v>5</v>
      </c>
      <c r="BZ98">
        <v>4</v>
      </c>
      <c r="CA98">
        <v>1</v>
      </c>
      <c r="CB98">
        <v>5</v>
      </c>
      <c r="CC98">
        <v>5</v>
      </c>
      <c r="CD98">
        <v>2</v>
      </c>
      <c r="CE98">
        <v>3</v>
      </c>
      <c r="CF98">
        <v>6</v>
      </c>
      <c r="CG98">
        <v>4</v>
      </c>
      <c r="CH98">
        <v>10</v>
      </c>
      <c r="CI98">
        <v>7</v>
      </c>
      <c r="CJ98">
        <v>5</v>
      </c>
      <c r="CK98">
        <v>7</v>
      </c>
      <c r="CL98">
        <v>6</v>
      </c>
      <c r="CM98">
        <v>8</v>
      </c>
      <c r="CN98">
        <v>8</v>
      </c>
      <c r="CO98">
        <v>1</v>
      </c>
      <c r="CP98">
        <v>0</v>
      </c>
      <c r="CQ98">
        <v>5</v>
      </c>
      <c r="CR98">
        <v>5</v>
      </c>
      <c r="CS98">
        <v>4</v>
      </c>
      <c r="CT98">
        <v>7</v>
      </c>
      <c r="CU98">
        <v>7</v>
      </c>
      <c r="CV98">
        <v>8</v>
      </c>
      <c r="CW98">
        <v>5</v>
      </c>
      <c r="CX98">
        <v>10</v>
      </c>
      <c r="CY98">
        <v>7</v>
      </c>
      <c r="CZ98">
        <v>1</v>
      </c>
      <c r="DA98">
        <v>7</v>
      </c>
      <c r="DB98">
        <v>2</v>
      </c>
      <c r="DC98">
        <v>0</v>
      </c>
      <c r="DD98">
        <v>10</v>
      </c>
      <c r="DE98">
        <v>1</v>
      </c>
      <c r="DF98">
        <v>7</v>
      </c>
      <c r="DG98">
        <v>3</v>
      </c>
      <c r="DH98">
        <v>8</v>
      </c>
      <c r="DI98">
        <v>2</v>
      </c>
      <c r="DJ98">
        <v>8</v>
      </c>
      <c r="DK98">
        <v>3</v>
      </c>
    </row>
    <row r="99" spans="1:115">
      <c r="A99" s="172">
        <f>Calculations[[#This Row],[Sum t eCO2]]*IF(Calculations[[#This Row],[GHG Scope]]="BIOGENIC",0,1)</f>
        <v>0.21978075110980344</v>
      </c>
      <c r="O99">
        <f t="shared" si="1"/>
        <v>98</v>
      </c>
      <c r="P99">
        <v>1</v>
      </c>
      <c r="Q99">
        <v>10</v>
      </c>
      <c r="R99">
        <v>9</v>
      </c>
      <c r="S99">
        <v>4</v>
      </c>
      <c r="T99">
        <v>4</v>
      </c>
      <c r="U99">
        <v>2</v>
      </c>
      <c r="V99">
        <v>4</v>
      </c>
      <c r="W99">
        <v>7</v>
      </c>
      <c r="X99">
        <v>5</v>
      </c>
      <c r="Y99">
        <v>3</v>
      </c>
      <c r="Z99">
        <v>10</v>
      </c>
      <c r="AA99">
        <v>3</v>
      </c>
      <c r="AB99">
        <v>1</v>
      </c>
      <c r="AC99">
        <v>3</v>
      </c>
      <c r="AD99">
        <v>5</v>
      </c>
      <c r="AE99">
        <v>5</v>
      </c>
      <c r="AF99">
        <v>2</v>
      </c>
      <c r="AG99">
        <v>9</v>
      </c>
      <c r="AH99">
        <v>6</v>
      </c>
      <c r="AI99">
        <v>6</v>
      </c>
      <c r="AJ99">
        <v>2</v>
      </c>
      <c r="AK99">
        <v>4</v>
      </c>
      <c r="AL99">
        <v>6</v>
      </c>
      <c r="AM99">
        <v>4</v>
      </c>
      <c r="AN99">
        <v>4</v>
      </c>
      <c r="AO99">
        <v>1</v>
      </c>
      <c r="AP99">
        <v>7</v>
      </c>
      <c r="AQ99">
        <v>8</v>
      </c>
      <c r="AR99">
        <v>4</v>
      </c>
      <c r="AS99">
        <v>6</v>
      </c>
      <c r="AT99">
        <v>2</v>
      </c>
      <c r="AU99">
        <v>8</v>
      </c>
      <c r="AV99">
        <v>2</v>
      </c>
      <c r="AW99">
        <v>3</v>
      </c>
      <c r="AX99">
        <v>6</v>
      </c>
      <c r="AY99">
        <v>0</v>
      </c>
      <c r="AZ99">
        <v>3</v>
      </c>
      <c r="BA99">
        <v>9</v>
      </c>
      <c r="BB99">
        <v>1</v>
      </c>
      <c r="BC99">
        <v>10</v>
      </c>
      <c r="BD99">
        <v>2</v>
      </c>
      <c r="BE99">
        <v>5</v>
      </c>
      <c r="BF99">
        <v>7</v>
      </c>
      <c r="BG99">
        <v>6</v>
      </c>
      <c r="BH99">
        <v>7</v>
      </c>
      <c r="BI99">
        <v>0</v>
      </c>
      <c r="BJ99">
        <v>1</v>
      </c>
      <c r="BK99">
        <v>9</v>
      </c>
      <c r="BL99">
        <v>8</v>
      </c>
      <c r="BM99">
        <v>7</v>
      </c>
      <c r="BN99">
        <v>4</v>
      </c>
      <c r="BO99">
        <v>3</v>
      </c>
      <c r="BP99">
        <v>10</v>
      </c>
      <c r="BQ99">
        <v>9</v>
      </c>
      <c r="BR99">
        <v>7</v>
      </c>
      <c r="BS99">
        <v>6</v>
      </c>
      <c r="BT99">
        <v>6</v>
      </c>
      <c r="BU99">
        <v>4</v>
      </c>
      <c r="BV99">
        <v>9</v>
      </c>
      <c r="BW99">
        <v>9</v>
      </c>
      <c r="BX99">
        <v>5</v>
      </c>
      <c r="BY99">
        <v>8</v>
      </c>
      <c r="BZ99">
        <v>6</v>
      </c>
      <c r="CA99">
        <v>10</v>
      </c>
      <c r="CB99">
        <v>2</v>
      </c>
      <c r="CC99">
        <v>6</v>
      </c>
      <c r="CD99">
        <v>8</v>
      </c>
      <c r="CE99">
        <v>4</v>
      </c>
      <c r="CF99">
        <v>6</v>
      </c>
      <c r="CG99">
        <v>2</v>
      </c>
      <c r="CH99">
        <v>9</v>
      </c>
      <c r="CI99">
        <v>1</v>
      </c>
      <c r="CJ99">
        <v>4</v>
      </c>
      <c r="CK99">
        <v>6</v>
      </c>
      <c r="CL99">
        <v>9</v>
      </c>
      <c r="CM99">
        <v>6</v>
      </c>
      <c r="CN99">
        <v>0</v>
      </c>
      <c r="CO99">
        <v>6</v>
      </c>
      <c r="CP99">
        <v>6</v>
      </c>
      <c r="CQ99">
        <v>3</v>
      </c>
      <c r="CR99">
        <v>7</v>
      </c>
      <c r="CS99">
        <v>8</v>
      </c>
      <c r="CT99">
        <v>9</v>
      </c>
      <c r="CU99">
        <v>6</v>
      </c>
      <c r="CV99">
        <v>2</v>
      </c>
      <c r="CW99">
        <v>6</v>
      </c>
      <c r="CX99">
        <v>4</v>
      </c>
      <c r="CY99">
        <v>4</v>
      </c>
      <c r="CZ99">
        <v>6</v>
      </c>
      <c r="DA99">
        <v>1</v>
      </c>
      <c r="DB99">
        <v>5</v>
      </c>
      <c r="DC99">
        <v>1</v>
      </c>
      <c r="DD99">
        <v>8</v>
      </c>
      <c r="DE99">
        <v>5</v>
      </c>
      <c r="DF99">
        <v>10</v>
      </c>
      <c r="DG99">
        <v>7</v>
      </c>
      <c r="DH99">
        <v>1</v>
      </c>
      <c r="DI99">
        <v>7</v>
      </c>
      <c r="DJ99">
        <v>0</v>
      </c>
      <c r="DK99">
        <v>7</v>
      </c>
    </row>
    <row r="100" spans="1:115">
      <c r="A100" s="172">
        <f>Calculations[[#This Row],[Sum t eCO2]]*IF(Calculations[[#This Row],[GHG Scope]]="BIOGENIC",0,1)</f>
        <v>0.34151605502502519</v>
      </c>
      <c r="O100">
        <f t="shared" si="1"/>
        <v>99</v>
      </c>
      <c r="P100">
        <v>7</v>
      </c>
      <c r="Q100">
        <v>8</v>
      </c>
      <c r="R100">
        <v>0</v>
      </c>
      <c r="S100">
        <v>10</v>
      </c>
      <c r="T100">
        <v>7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4</v>
      </c>
      <c r="AA100">
        <v>8</v>
      </c>
      <c r="AB100">
        <v>8</v>
      </c>
      <c r="AC100">
        <v>6</v>
      </c>
      <c r="AD100">
        <v>0</v>
      </c>
      <c r="AE100">
        <v>6</v>
      </c>
      <c r="AF100">
        <v>3</v>
      </c>
      <c r="AG100">
        <v>1</v>
      </c>
      <c r="AH100">
        <v>0</v>
      </c>
      <c r="AI100">
        <v>5</v>
      </c>
      <c r="AJ100">
        <v>1</v>
      </c>
      <c r="AK100">
        <v>9</v>
      </c>
      <c r="AL100">
        <v>7</v>
      </c>
      <c r="AM100">
        <v>0</v>
      </c>
      <c r="AN100">
        <v>5</v>
      </c>
      <c r="AO100">
        <v>9</v>
      </c>
      <c r="AP100">
        <v>8</v>
      </c>
      <c r="AQ100">
        <v>9</v>
      </c>
      <c r="AR100">
        <v>0</v>
      </c>
      <c r="AS100">
        <v>10</v>
      </c>
      <c r="AT100">
        <v>3</v>
      </c>
      <c r="AU100">
        <v>0</v>
      </c>
      <c r="AV100">
        <v>2</v>
      </c>
      <c r="AW100">
        <v>10</v>
      </c>
      <c r="AX100">
        <v>8</v>
      </c>
      <c r="AY100">
        <v>4</v>
      </c>
      <c r="AZ100">
        <v>7</v>
      </c>
      <c r="BA100">
        <v>6</v>
      </c>
      <c r="BB100">
        <v>8</v>
      </c>
      <c r="BC100">
        <v>1</v>
      </c>
      <c r="BD100">
        <v>7</v>
      </c>
      <c r="BE100">
        <v>4</v>
      </c>
      <c r="BF100">
        <v>7</v>
      </c>
      <c r="BG100">
        <v>1</v>
      </c>
      <c r="BH100">
        <v>4</v>
      </c>
      <c r="BI100">
        <v>6</v>
      </c>
      <c r="BJ100">
        <v>7</v>
      </c>
      <c r="BK100">
        <v>1</v>
      </c>
      <c r="BL100">
        <v>8</v>
      </c>
      <c r="BM100">
        <v>5</v>
      </c>
      <c r="BN100">
        <v>0</v>
      </c>
      <c r="BO100">
        <v>9</v>
      </c>
      <c r="BP100">
        <v>7</v>
      </c>
      <c r="BQ100">
        <v>5</v>
      </c>
      <c r="BR100">
        <v>9</v>
      </c>
      <c r="BS100">
        <v>1</v>
      </c>
      <c r="BT100">
        <v>10</v>
      </c>
      <c r="BU100">
        <v>9</v>
      </c>
      <c r="BV100">
        <v>1</v>
      </c>
      <c r="BW100">
        <v>2</v>
      </c>
      <c r="BX100">
        <v>7</v>
      </c>
      <c r="BY100">
        <v>7</v>
      </c>
      <c r="BZ100">
        <v>5</v>
      </c>
      <c r="CA100">
        <v>5</v>
      </c>
      <c r="CB100">
        <v>2</v>
      </c>
      <c r="CC100">
        <v>4</v>
      </c>
      <c r="CD100">
        <v>10</v>
      </c>
      <c r="CE100">
        <v>8</v>
      </c>
      <c r="CF100">
        <v>1</v>
      </c>
      <c r="CG100">
        <v>2</v>
      </c>
      <c r="CH100">
        <v>1</v>
      </c>
      <c r="CI100">
        <v>3</v>
      </c>
      <c r="CJ100">
        <v>9</v>
      </c>
      <c r="CK100">
        <v>5</v>
      </c>
      <c r="CL100">
        <v>8</v>
      </c>
      <c r="CM100">
        <v>7</v>
      </c>
      <c r="CN100">
        <v>3</v>
      </c>
      <c r="CO100">
        <v>10</v>
      </c>
      <c r="CP100">
        <v>5</v>
      </c>
      <c r="CQ100">
        <v>7</v>
      </c>
      <c r="CR100">
        <v>4</v>
      </c>
      <c r="CS100">
        <v>9</v>
      </c>
      <c r="CT100">
        <v>5</v>
      </c>
      <c r="CU100">
        <v>2</v>
      </c>
      <c r="CV100">
        <v>8</v>
      </c>
      <c r="CW100">
        <v>3</v>
      </c>
      <c r="CX100">
        <v>0</v>
      </c>
      <c r="CY100">
        <v>2</v>
      </c>
      <c r="CZ100">
        <v>1</v>
      </c>
      <c r="DA100">
        <v>6</v>
      </c>
      <c r="DB100">
        <v>5</v>
      </c>
      <c r="DC100">
        <v>8</v>
      </c>
      <c r="DD100">
        <v>2</v>
      </c>
      <c r="DE100">
        <v>9</v>
      </c>
      <c r="DF100">
        <v>4</v>
      </c>
      <c r="DG100">
        <v>10</v>
      </c>
      <c r="DH100">
        <v>7</v>
      </c>
      <c r="DI100">
        <v>8</v>
      </c>
      <c r="DJ100">
        <v>8</v>
      </c>
      <c r="DK100">
        <v>4</v>
      </c>
    </row>
    <row r="101" spans="1:115">
      <c r="A101" s="172">
        <f>Calculations[[#This Row],[Sum t eCO2]]*IF(Calculations[[#This Row],[GHG Scope]]="BIOGENIC",0,1)</f>
        <v>0.28283142907305003</v>
      </c>
      <c r="O101">
        <f t="shared" si="1"/>
        <v>100</v>
      </c>
      <c r="P101">
        <v>8</v>
      </c>
      <c r="Q101">
        <v>0</v>
      </c>
      <c r="R101">
        <v>0</v>
      </c>
      <c r="S101">
        <v>8</v>
      </c>
      <c r="T101">
        <v>0</v>
      </c>
      <c r="U101">
        <v>1</v>
      </c>
      <c r="V101">
        <v>1</v>
      </c>
      <c r="W101">
        <v>3</v>
      </c>
      <c r="X101">
        <v>8</v>
      </c>
      <c r="Y101">
        <v>6</v>
      </c>
      <c r="Z101">
        <v>9</v>
      </c>
      <c r="AA101">
        <v>3</v>
      </c>
      <c r="AB101">
        <v>6</v>
      </c>
      <c r="AC101">
        <v>3</v>
      </c>
      <c r="AD101">
        <v>3</v>
      </c>
      <c r="AE101">
        <v>5</v>
      </c>
      <c r="AF101">
        <v>1</v>
      </c>
      <c r="AG101">
        <v>5</v>
      </c>
      <c r="AH101">
        <v>9</v>
      </c>
      <c r="AI101">
        <v>8</v>
      </c>
      <c r="AJ101">
        <v>0</v>
      </c>
      <c r="AK101">
        <v>10</v>
      </c>
      <c r="AL101">
        <v>0</v>
      </c>
      <c r="AM101">
        <v>2</v>
      </c>
      <c r="AN101">
        <v>7</v>
      </c>
      <c r="AO101">
        <v>4</v>
      </c>
      <c r="AP101">
        <v>3</v>
      </c>
      <c r="AQ101">
        <v>10</v>
      </c>
      <c r="AR101">
        <v>8</v>
      </c>
      <c r="AS101">
        <v>7</v>
      </c>
      <c r="AT101">
        <v>10</v>
      </c>
      <c r="AU101">
        <v>0</v>
      </c>
      <c r="AV101">
        <v>6</v>
      </c>
      <c r="AW101">
        <v>1</v>
      </c>
      <c r="AX101">
        <v>3</v>
      </c>
      <c r="AY101">
        <v>1</v>
      </c>
      <c r="AZ101">
        <v>9</v>
      </c>
      <c r="BA101">
        <v>4</v>
      </c>
      <c r="BB101">
        <v>3</v>
      </c>
      <c r="BC101">
        <v>7</v>
      </c>
      <c r="BD101">
        <v>6</v>
      </c>
      <c r="BE101">
        <v>2</v>
      </c>
      <c r="BF101">
        <v>4</v>
      </c>
      <c r="BG101">
        <v>1</v>
      </c>
      <c r="BH101">
        <v>8</v>
      </c>
      <c r="BI101">
        <v>9</v>
      </c>
      <c r="BJ101">
        <v>0</v>
      </c>
      <c r="BK101">
        <v>0</v>
      </c>
      <c r="BL101">
        <v>10</v>
      </c>
      <c r="BM101">
        <v>3</v>
      </c>
      <c r="BN101">
        <v>4</v>
      </c>
      <c r="BO101">
        <v>7</v>
      </c>
      <c r="BP101">
        <v>7</v>
      </c>
      <c r="BQ101">
        <v>8</v>
      </c>
      <c r="BR101">
        <v>7</v>
      </c>
      <c r="BS101">
        <v>10</v>
      </c>
      <c r="BT101">
        <v>9</v>
      </c>
      <c r="BU101">
        <v>3</v>
      </c>
      <c r="BV101">
        <v>9</v>
      </c>
      <c r="BW101">
        <v>4</v>
      </c>
      <c r="BX101">
        <v>4</v>
      </c>
      <c r="BY101">
        <v>10</v>
      </c>
      <c r="BZ101">
        <v>3</v>
      </c>
      <c r="CA101">
        <v>5</v>
      </c>
      <c r="CB101">
        <v>0</v>
      </c>
      <c r="CC101">
        <v>0</v>
      </c>
      <c r="CD101">
        <v>0</v>
      </c>
      <c r="CE101">
        <v>5</v>
      </c>
      <c r="CF101">
        <v>9</v>
      </c>
      <c r="CG101">
        <v>3</v>
      </c>
      <c r="CH101">
        <v>10</v>
      </c>
      <c r="CI101">
        <v>5</v>
      </c>
      <c r="CJ101">
        <v>7</v>
      </c>
      <c r="CK101">
        <v>9</v>
      </c>
      <c r="CL101">
        <v>7</v>
      </c>
      <c r="CM101">
        <v>9</v>
      </c>
      <c r="CN101">
        <v>10</v>
      </c>
      <c r="CO101">
        <v>1</v>
      </c>
      <c r="CP101">
        <v>6</v>
      </c>
      <c r="CQ101">
        <v>0</v>
      </c>
      <c r="CR101">
        <v>1</v>
      </c>
      <c r="CS101">
        <v>9</v>
      </c>
      <c r="CT101">
        <v>10</v>
      </c>
      <c r="CU101">
        <v>2</v>
      </c>
      <c r="CV101">
        <v>4</v>
      </c>
      <c r="CW101">
        <v>3</v>
      </c>
      <c r="CX101">
        <v>7</v>
      </c>
      <c r="CY101">
        <v>5</v>
      </c>
      <c r="CZ101">
        <v>10</v>
      </c>
      <c r="DA101">
        <v>2</v>
      </c>
      <c r="DB101">
        <v>9</v>
      </c>
      <c r="DC101">
        <v>1</v>
      </c>
      <c r="DD101">
        <v>1</v>
      </c>
      <c r="DE101">
        <v>6</v>
      </c>
      <c r="DF101">
        <v>9</v>
      </c>
      <c r="DG101">
        <v>1</v>
      </c>
      <c r="DH101">
        <v>3</v>
      </c>
      <c r="DI101">
        <v>8</v>
      </c>
      <c r="DJ101">
        <v>10</v>
      </c>
      <c r="DK101">
        <v>8</v>
      </c>
    </row>
    <row r="102" spans="1:115">
      <c r="A102" s="172">
        <f>Calculations[[#This Row],[Sum t eCO2]]*IF(Calculations[[#This Row],[GHG Scope]]="BIOGENIC",0,1)</f>
        <v>1.8119976351647119E-3</v>
      </c>
      <c r="O102">
        <f t="shared" si="1"/>
        <v>101</v>
      </c>
      <c r="P102">
        <v>3</v>
      </c>
      <c r="Q102">
        <v>6</v>
      </c>
      <c r="R102">
        <v>4</v>
      </c>
      <c r="S102">
        <v>10</v>
      </c>
      <c r="T102">
        <v>9</v>
      </c>
      <c r="U102">
        <v>2</v>
      </c>
      <c r="V102">
        <v>5</v>
      </c>
      <c r="W102">
        <v>10</v>
      </c>
      <c r="X102">
        <v>6</v>
      </c>
      <c r="Y102">
        <v>7</v>
      </c>
      <c r="Z102">
        <v>5</v>
      </c>
      <c r="AA102">
        <v>10</v>
      </c>
      <c r="AB102">
        <v>5</v>
      </c>
      <c r="AC102">
        <v>2</v>
      </c>
      <c r="AD102">
        <v>9</v>
      </c>
      <c r="AE102">
        <v>9</v>
      </c>
      <c r="AF102">
        <v>2</v>
      </c>
      <c r="AG102">
        <v>2</v>
      </c>
      <c r="AH102">
        <v>6</v>
      </c>
      <c r="AI102">
        <v>7</v>
      </c>
      <c r="AJ102">
        <v>8</v>
      </c>
      <c r="AK102">
        <v>4</v>
      </c>
      <c r="AL102">
        <v>7</v>
      </c>
      <c r="AM102">
        <v>6</v>
      </c>
      <c r="AN102">
        <v>7</v>
      </c>
      <c r="AO102">
        <v>1</v>
      </c>
      <c r="AP102">
        <v>5</v>
      </c>
      <c r="AQ102">
        <v>7</v>
      </c>
      <c r="AR102">
        <v>4</v>
      </c>
      <c r="AS102">
        <v>5</v>
      </c>
      <c r="AT102">
        <v>6</v>
      </c>
      <c r="AU102">
        <v>0</v>
      </c>
      <c r="AV102">
        <v>10</v>
      </c>
      <c r="AW102">
        <v>10</v>
      </c>
      <c r="AX102">
        <v>9</v>
      </c>
      <c r="AY102">
        <v>10</v>
      </c>
      <c r="AZ102">
        <v>8</v>
      </c>
      <c r="BA102">
        <v>10</v>
      </c>
      <c r="BB102">
        <v>8</v>
      </c>
      <c r="BC102">
        <v>3</v>
      </c>
      <c r="BD102">
        <v>6</v>
      </c>
      <c r="BE102">
        <v>3</v>
      </c>
      <c r="BF102">
        <v>2</v>
      </c>
      <c r="BG102">
        <v>3</v>
      </c>
      <c r="BH102">
        <v>4</v>
      </c>
      <c r="BI102">
        <v>0</v>
      </c>
      <c r="BJ102">
        <v>7</v>
      </c>
      <c r="BK102">
        <v>1</v>
      </c>
      <c r="BL102">
        <v>7</v>
      </c>
      <c r="BM102">
        <v>6</v>
      </c>
      <c r="BN102">
        <v>9</v>
      </c>
      <c r="BO102">
        <v>10</v>
      </c>
      <c r="BP102">
        <v>7</v>
      </c>
      <c r="BQ102">
        <v>10</v>
      </c>
      <c r="BR102">
        <v>6</v>
      </c>
      <c r="BS102">
        <v>6</v>
      </c>
      <c r="BT102">
        <v>10</v>
      </c>
      <c r="BU102">
        <v>5</v>
      </c>
      <c r="BV102">
        <v>7</v>
      </c>
      <c r="BW102">
        <v>4</v>
      </c>
      <c r="BX102">
        <v>9</v>
      </c>
      <c r="BY102">
        <v>8</v>
      </c>
      <c r="BZ102">
        <v>2</v>
      </c>
      <c r="CA102">
        <v>3</v>
      </c>
      <c r="CB102">
        <v>0</v>
      </c>
      <c r="CC102">
        <v>0</v>
      </c>
      <c r="CD102">
        <v>0</v>
      </c>
      <c r="CE102">
        <v>1</v>
      </c>
      <c r="CF102">
        <v>7</v>
      </c>
      <c r="CG102">
        <v>2</v>
      </c>
      <c r="CH102">
        <v>7</v>
      </c>
      <c r="CI102">
        <v>8</v>
      </c>
      <c r="CJ102">
        <v>0</v>
      </c>
      <c r="CK102">
        <v>5</v>
      </c>
      <c r="CL102">
        <v>6</v>
      </c>
      <c r="CM102">
        <v>9</v>
      </c>
      <c r="CN102">
        <v>4</v>
      </c>
      <c r="CO102">
        <v>0</v>
      </c>
      <c r="CP102">
        <v>0</v>
      </c>
      <c r="CQ102">
        <v>10</v>
      </c>
      <c r="CR102">
        <v>2</v>
      </c>
      <c r="CS102">
        <v>2</v>
      </c>
      <c r="CT102">
        <v>7</v>
      </c>
      <c r="CU102">
        <v>0</v>
      </c>
      <c r="CV102">
        <v>8</v>
      </c>
      <c r="CW102">
        <v>0</v>
      </c>
      <c r="CX102">
        <v>4</v>
      </c>
      <c r="CY102">
        <v>4</v>
      </c>
      <c r="CZ102">
        <v>1</v>
      </c>
      <c r="DA102">
        <v>3</v>
      </c>
      <c r="DB102">
        <v>6</v>
      </c>
      <c r="DC102">
        <v>5</v>
      </c>
      <c r="DD102">
        <v>9</v>
      </c>
      <c r="DE102">
        <v>6</v>
      </c>
      <c r="DF102">
        <v>4</v>
      </c>
      <c r="DG102">
        <v>5</v>
      </c>
      <c r="DH102">
        <v>5</v>
      </c>
      <c r="DI102">
        <v>0</v>
      </c>
      <c r="DJ102">
        <v>10</v>
      </c>
      <c r="DK102">
        <v>5</v>
      </c>
    </row>
    <row r="103" spans="1:115">
      <c r="A103" s="172">
        <f>Calculations[[#This Row],[Sum t eCO2]]*IF(Calculations[[#This Row],[GHG Scope]]="BIOGENIC",0,1)</f>
        <v>2.8156527855660979E-3</v>
      </c>
      <c r="O103">
        <f t="shared" si="1"/>
        <v>102</v>
      </c>
      <c r="P103">
        <v>2</v>
      </c>
      <c r="Q103">
        <v>7</v>
      </c>
      <c r="R103">
        <v>4</v>
      </c>
      <c r="S103">
        <v>3</v>
      </c>
      <c r="T103">
        <v>8</v>
      </c>
      <c r="U103">
        <v>10</v>
      </c>
      <c r="V103">
        <v>1</v>
      </c>
      <c r="W103">
        <v>2</v>
      </c>
      <c r="X103">
        <v>5</v>
      </c>
      <c r="Y103">
        <v>1</v>
      </c>
      <c r="Z103">
        <v>0</v>
      </c>
      <c r="AA103">
        <v>3</v>
      </c>
      <c r="AB103">
        <v>3</v>
      </c>
      <c r="AC103">
        <v>9</v>
      </c>
      <c r="AD103">
        <v>3</v>
      </c>
      <c r="AE103">
        <v>7</v>
      </c>
      <c r="AF103">
        <v>2</v>
      </c>
      <c r="AG103">
        <v>0</v>
      </c>
      <c r="AH103">
        <v>10</v>
      </c>
      <c r="AI103">
        <v>9</v>
      </c>
      <c r="AJ103">
        <v>10</v>
      </c>
      <c r="AK103">
        <v>0</v>
      </c>
      <c r="AL103">
        <v>1</v>
      </c>
      <c r="AM103">
        <v>5</v>
      </c>
      <c r="AN103">
        <v>3</v>
      </c>
      <c r="AO103">
        <v>8</v>
      </c>
      <c r="AP103">
        <v>2</v>
      </c>
      <c r="AQ103">
        <v>5</v>
      </c>
      <c r="AR103">
        <v>9</v>
      </c>
      <c r="AS103">
        <v>9</v>
      </c>
      <c r="AT103">
        <v>3</v>
      </c>
      <c r="AU103">
        <v>9</v>
      </c>
      <c r="AV103">
        <v>1</v>
      </c>
      <c r="AW103">
        <v>0</v>
      </c>
      <c r="AX103">
        <v>4</v>
      </c>
      <c r="AY103">
        <v>6</v>
      </c>
      <c r="AZ103">
        <v>1</v>
      </c>
      <c r="BA103">
        <v>4</v>
      </c>
      <c r="BB103">
        <v>10</v>
      </c>
      <c r="BC103">
        <v>1</v>
      </c>
      <c r="BD103">
        <v>1</v>
      </c>
      <c r="BE103">
        <v>4</v>
      </c>
      <c r="BF103">
        <v>6</v>
      </c>
      <c r="BG103">
        <v>7</v>
      </c>
      <c r="BH103">
        <v>0</v>
      </c>
      <c r="BI103">
        <v>5</v>
      </c>
      <c r="BJ103">
        <v>0</v>
      </c>
      <c r="BK103">
        <v>3</v>
      </c>
      <c r="BL103">
        <v>8</v>
      </c>
      <c r="BM103">
        <v>2</v>
      </c>
      <c r="BN103">
        <v>8</v>
      </c>
      <c r="BO103">
        <v>3</v>
      </c>
      <c r="BP103">
        <v>10</v>
      </c>
      <c r="BQ103">
        <v>4</v>
      </c>
      <c r="BR103">
        <v>4</v>
      </c>
      <c r="BS103">
        <v>0</v>
      </c>
      <c r="BT103">
        <v>4</v>
      </c>
      <c r="BU103">
        <v>1</v>
      </c>
      <c r="BV103">
        <v>6</v>
      </c>
      <c r="BW103">
        <v>5</v>
      </c>
      <c r="BX103">
        <v>7</v>
      </c>
      <c r="BY103">
        <v>8</v>
      </c>
      <c r="BZ103">
        <v>3</v>
      </c>
      <c r="CA103">
        <v>7</v>
      </c>
      <c r="CB103">
        <v>1</v>
      </c>
      <c r="CC103">
        <v>8</v>
      </c>
      <c r="CD103">
        <v>3</v>
      </c>
      <c r="CE103">
        <v>4</v>
      </c>
      <c r="CF103">
        <v>10</v>
      </c>
      <c r="CG103">
        <v>0</v>
      </c>
      <c r="CH103">
        <v>3</v>
      </c>
      <c r="CI103">
        <v>9</v>
      </c>
      <c r="CJ103">
        <v>0</v>
      </c>
      <c r="CK103">
        <v>9</v>
      </c>
      <c r="CL103">
        <v>0</v>
      </c>
      <c r="CM103">
        <v>9</v>
      </c>
      <c r="CN103">
        <v>6</v>
      </c>
      <c r="CO103">
        <v>7</v>
      </c>
      <c r="CP103">
        <v>10</v>
      </c>
      <c r="CQ103">
        <v>10</v>
      </c>
      <c r="CR103">
        <v>0</v>
      </c>
      <c r="CS103">
        <v>0</v>
      </c>
      <c r="CT103">
        <v>3</v>
      </c>
      <c r="CU103">
        <v>10</v>
      </c>
      <c r="CV103">
        <v>8</v>
      </c>
      <c r="CW103">
        <v>5</v>
      </c>
      <c r="CX103">
        <v>1</v>
      </c>
      <c r="CY103">
        <v>7</v>
      </c>
      <c r="CZ103">
        <v>5</v>
      </c>
      <c r="DA103">
        <v>10</v>
      </c>
      <c r="DB103">
        <v>0</v>
      </c>
      <c r="DC103">
        <v>5</v>
      </c>
      <c r="DD103">
        <v>3</v>
      </c>
      <c r="DE103">
        <v>3</v>
      </c>
      <c r="DF103">
        <v>5</v>
      </c>
      <c r="DG103">
        <v>9</v>
      </c>
      <c r="DH103">
        <v>7</v>
      </c>
      <c r="DI103">
        <v>7</v>
      </c>
      <c r="DJ103">
        <v>3</v>
      </c>
      <c r="DK103">
        <v>7</v>
      </c>
    </row>
    <row r="104" spans="1:115">
      <c r="A104" s="172">
        <f>Calculations[[#This Row],[Sum t eCO2]]*IF(Calculations[[#This Row],[GHG Scope]]="BIOGENIC",0,1)</f>
        <v>1.7058929607719999</v>
      </c>
      <c r="O104">
        <f t="shared" si="1"/>
        <v>103</v>
      </c>
      <c r="P104">
        <v>6</v>
      </c>
      <c r="Q104">
        <v>9</v>
      </c>
      <c r="R104">
        <v>9</v>
      </c>
      <c r="S104">
        <v>0</v>
      </c>
      <c r="T104">
        <v>0</v>
      </c>
      <c r="U104">
        <v>10</v>
      </c>
      <c r="V104">
        <v>7</v>
      </c>
      <c r="W104">
        <v>8</v>
      </c>
      <c r="X104">
        <v>3</v>
      </c>
      <c r="Y104">
        <v>3</v>
      </c>
      <c r="Z104">
        <v>0</v>
      </c>
      <c r="AA104">
        <v>2</v>
      </c>
      <c r="AB104">
        <v>2</v>
      </c>
      <c r="AC104">
        <v>3</v>
      </c>
      <c r="AD104">
        <v>2</v>
      </c>
      <c r="AE104">
        <v>3</v>
      </c>
      <c r="AF104">
        <v>1</v>
      </c>
      <c r="AG104">
        <v>6</v>
      </c>
      <c r="AH104">
        <v>3</v>
      </c>
      <c r="AI104">
        <v>10</v>
      </c>
      <c r="AJ104">
        <v>3</v>
      </c>
      <c r="AK104">
        <v>9</v>
      </c>
      <c r="AL104">
        <v>9</v>
      </c>
      <c r="AM104">
        <v>7</v>
      </c>
      <c r="AN104">
        <v>10</v>
      </c>
      <c r="AO104">
        <v>3</v>
      </c>
      <c r="AP104">
        <v>10</v>
      </c>
      <c r="AQ104">
        <v>6</v>
      </c>
      <c r="AR104">
        <v>1</v>
      </c>
      <c r="AS104">
        <v>4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8</v>
      </c>
      <c r="AZ104">
        <v>5</v>
      </c>
      <c r="BA104">
        <v>7</v>
      </c>
      <c r="BB104">
        <v>1</v>
      </c>
      <c r="BC104">
        <v>7</v>
      </c>
      <c r="BD104">
        <v>3</v>
      </c>
      <c r="BE104">
        <v>10</v>
      </c>
      <c r="BF104">
        <v>0</v>
      </c>
      <c r="BG104">
        <v>5</v>
      </c>
      <c r="BH104">
        <v>6</v>
      </c>
      <c r="BI104">
        <v>10</v>
      </c>
      <c r="BJ104">
        <v>9</v>
      </c>
      <c r="BK104">
        <v>10</v>
      </c>
      <c r="BL104">
        <v>1</v>
      </c>
      <c r="BM104">
        <v>1</v>
      </c>
      <c r="BN104">
        <v>8</v>
      </c>
      <c r="BO104">
        <v>3</v>
      </c>
      <c r="BP104">
        <v>1</v>
      </c>
      <c r="BQ104">
        <v>3</v>
      </c>
      <c r="BR104">
        <v>5</v>
      </c>
      <c r="BS104">
        <v>10</v>
      </c>
      <c r="BT104">
        <v>8</v>
      </c>
      <c r="BU104">
        <v>6</v>
      </c>
      <c r="BV104">
        <v>3</v>
      </c>
      <c r="BW104">
        <v>4</v>
      </c>
      <c r="BX104">
        <v>10</v>
      </c>
      <c r="BY104">
        <v>3</v>
      </c>
      <c r="BZ104">
        <v>7</v>
      </c>
      <c r="CA104">
        <v>1</v>
      </c>
      <c r="CB104">
        <v>1</v>
      </c>
      <c r="CC104">
        <v>0</v>
      </c>
      <c r="CD104">
        <v>10</v>
      </c>
      <c r="CE104">
        <v>7</v>
      </c>
      <c r="CF104">
        <v>2</v>
      </c>
      <c r="CG104">
        <v>7</v>
      </c>
      <c r="CH104">
        <v>4</v>
      </c>
      <c r="CI104">
        <v>10</v>
      </c>
      <c r="CJ104">
        <v>4</v>
      </c>
      <c r="CK104">
        <v>7</v>
      </c>
      <c r="CL104">
        <v>1</v>
      </c>
      <c r="CM104">
        <v>4</v>
      </c>
      <c r="CN104">
        <v>4</v>
      </c>
      <c r="CO104">
        <v>1</v>
      </c>
      <c r="CP104">
        <v>6</v>
      </c>
      <c r="CQ104">
        <v>6</v>
      </c>
      <c r="CR104">
        <v>0</v>
      </c>
      <c r="CS104">
        <v>0</v>
      </c>
      <c r="CT104">
        <v>3</v>
      </c>
      <c r="CU104">
        <v>3</v>
      </c>
      <c r="CV104">
        <v>4</v>
      </c>
      <c r="CW104">
        <v>1</v>
      </c>
      <c r="CX104">
        <v>6</v>
      </c>
      <c r="CY104">
        <v>0</v>
      </c>
      <c r="CZ104">
        <v>3</v>
      </c>
      <c r="DA104">
        <v>3</v>
      </c>
      <c r="DB104">
        <v>10</v>
      </c>
      <c r="DC104">
        <v>1</v>
      </c>
      <c r="DD104">
        <v>3</v>
      </c>
      <c r="DE104">
        <v>2</v>
      </c>
      <c r="DF104">
        <v>6</v>
      </c>
      <c r="DG104">
        <v>9</v>
      </c>
      <c r="DH104">
        <v>9</v>
      </c>
      <c r="DI104">
        <v>5</v>
      </c>
      <c r="DJ104">
        <v>4</v>
      </c>
      <c r="DK104">
        <v>2</v>
      </c>
    </row>
    <row r="105" spans="1:115">
      <c r="A105" s="172">
        <f>Calculations[[#This Row],[Sum t eCO2]]*IF(Calculations[[#This Row],[GHG Scope]]="BIOGENIC",0,1)</f>
        <v>6.1042587189292404E-2</v>
      </c>
      <c r="O105">
        <f t="shared" si="1"/>
        <v>104</v>
      </c>
      <c r="P105">
        <v>7</v>
      </c>
      <c r="Q105">
        <v>6</v>
      </c>
      <c r="R105">
        <v>10</v>
      </c>
      <c r="S105">
        <v>4</v>
      </c>
      <c r="T105">
        <v>10</v>
      </c>
      <c r="U105">
        <v>1</v>
      </c>
      <c r="V105">
        <v>7</v>
      </c>
      <c r="W105">
        <v>1</v>
      </c>
      <c r="X105">
        <v>10</v>
      </c>
      <c r="Y105">
        <v>8</v>
      </c>
      <c r="Z105">
        <v>5</v>
      </c>
      <c r="AA105">
        <v>5</v>
      </c>
      <c r="AB105">
        <v>4</v>
      </c>
      <c r="AC105">
        <v>2</v>
      </c>
      <c r="AD105">
        <v>5</v>
      </c>
      <c r="AE105">
        <v>5</v>
      </c>
      <c r="AF105">
        <v>9</v>
      </c>
      <c r="AG105">
        <v>1</v>
      </c>
      <c r="AH105">
        <v>4</v>
      </c>
      <c r="AI105">
        <v>4</v>
      </c>
      <c r="AJ105">
        <v>7</v>
      </c>
      <c r="AK105">
        <v>0</v>
      </c>
      <c r="AL105">
        <v>4</v>
      </c>
      <c r="AM105">
        <v>9</v>
      </c>
      <c r="AN105">
        <v>6</v>
      </c>
      <c r="AO105">
        <v>3</v>
      </c>
      <c r="AP105">
        <v>10</v>
      </c>
      <c r="AQ105">
        <v>1</v>
      </c>
      <c r="AR105">
        <v>5</v>
      </c>
      <c r="AS105">
        <v>8</v>
      </c>
      <c r="AT105">
        <v>10</v>
      </c>
      <c r="AU105">
        <v>3</v>
      </c>
      <c r="AV105">
        <v>5</v>
      </c>
      <c r="AW105">
        <v>10</v>
      </c>
      <c r="AX105">
        <v>2</v>
      </c>
      <c r="AY105">
        <v>0</v>
      </c>
      <c r="AZ105">
        <v>1</v>
      </c>
      <c r="BA105">
        <v>8</v>
      </c>
      <c r="BB105">
        <v>8</v>
      </c>
      <c r="BC105">
        <v>10</v>
      </c>
      <c r="BD105">
        <v>2</v>
      </c>
      <c r="BE105">
        <v>8</v>
      </c>
      <c r="BF105">
        <v>1</v>
      </c>
      <c r="BG105">
        <v>2</v>
      </c>
      <c r="BH105">
        <v>4</v>
      </c>
      <c r="BI105">
        <v>8</v>
      </c>
      <c r="BJ105">
        <v>8</v>
      </c>
      <c r="BK105">
        <v>6</v>
      </c>
      <c r="BL105">
        <v>4</v>
      </c>
      <c r="BM105">
        <v>3</v>
      </c>
      <c r="BN105">
        <v>8</v>
      </c>
      <c r="BO105">
        <v>7</v>
      </c>
      <c r="BP105">
        <v>8</v>
      </c>
      <c r="BQ105">
        <v>8</v>
      </c>
      <c r="BR105">
        <v>3</v>
      </c>
      <c r="BS105">
        <v>6</v>
      </c>
      <c r="BT105">
        <v>4</v>
      </c>
      <c r="BU105">
        <v>3</v>
      </c>
      <c r="BV105">
        <v>9</v>
      </c>
      <c r="BW105">
        <v>5</v>
      </c>
      <c r="BX105">
        <v>1</v>
      </c>
      <c r="BY105">
        <v>1</v>
      </c>
      <c r="BZ105">
        <v>1</v>
      </c>
      <c r="CA105">
        <v>7</v>
      </c>
      <c r="CB105">
        <v>10</v>
      </c>
      <c r="CC105">
        <v>1</v>
      </c>
      <c r="CD105">
        <v>5</v>
      </c>
      <c r="CE105">
        <v>7</v>
      </c>
      <c r="CF105">
        <v>0</v>
      </c>
      <c r="CG105">
        <v>2</v>
      </c>
      <c r="CH105">
        <v>2</v>
      </c>
      <c r="CI105">
        <v>8</v>
      </c>
      <c r="CJ105">
        <v>5</v>
      </c>
      <c r="CK105">
        <v>8</v>
      </c>
      <c r="CL105">
        <v>3</v>
      </c>
      <c r="CM105">
        <v>8</v>
      </c>
      <c r="CN105">
        <v>7</v>
      </c>
      <c r="CO105">
        <v>1</v>
      </c>
      <c r="CP105">
        <v>2</v>
      </c>
      <c r="CQ105">
        <v>3</v>
      </c>
      <c r="CR105">
        <v>1</v>
      </c>
      <c r="CS105">
        <v>1</v>
      </c>
      <c r="CT105">
        <v>7</v>
      </c>
      <c r="CU105">
        <v>10</v>
      </c>
      <c r="CV105">
        <v>2</v>
      </c>
      <c r="CW105">
        <v>6</v>
      </c>
      <c r="CX105">
        <v>0</v>
      </c>
      <c r="CY105">
        <v>2</v>
      </c>
      <c r="CZ105">
        <v>1</v>
      </c>
      <c r="DA105">
        <v>8</v>
      </c>
      <c r="DB105">
        <v>3</v>
      </c>
      <c r="DC105">
        <v>5</v>
      </c>
      <c r="DD105">
        <v>3</v>
      </c>
      <c r="DE105">
        <v>1</v>
      </c>
      <c r="DF105">
        <v>6</v>
      </c>
      <c r="DG105">
        <v>0</v>
      </c>
      <c r="DH105">
        <v>1</v>
      </c>
      <c r="DI105">
        <v>4</v>
      </c>
      <c r="DJ105">
        <v>1</v>
      </c>
      <c r="DK105">
        <v>2</v>
      </c>
    </row>
    <row r="106" spans="1:115">
      <c r="A106" s="172">
        <f>Calculations[[#This Row],[Sum t eCO2]]*IF(Calculations[[#This Row],[GHG Scope]]="BIOGENIC",0,1)</f>
        <v>9.4790811562309139E-3</v>
      </c>
      <c r="O106">
        <f t="shared" si="1"/>
        <v>105</v>
      </c>
      <c r="P106">
        <v>4</v>
      </c>
      <c r="Q106">
        <v>7</v>
      </c>
      <c r="R106">
        <v>2</v>
      </c>
      <c r="S106">
        <v>6</v>
      </c>
      <c r="T106">
        <v>3</v>
      </c>
      <c r="U106">
        <v>4</v>
      </c>
      <c r="V106">
        <v>8</v>
      </c>
      <c r="W106">
        <v>8</v>
      </c>
      <c r="X106">
        <v>9</v>
      </c>
      <c r="Y106">
        <v>4</v>
      </c>
      <c r="Z106">
        <v>8</v>
      </c>
      <c r="AA106">
        <v>2</v>
      </c>
      <c r="AB106">
        <v>9</v>
      </c>
      <c r="AC106">
        <v>4</v>
      </c>
      <c r="AD106">
        <v>9</v>
      </c>
      <c r="AE106">
        <v>1</v>
      </c>
      <c r="AF106">
        <v>10</v>
      </c>
      <c r="AG106">
        <v>0</v>
      </c>
      <c r="AH106">
        <v>8</v>
      </c>
      <c r="AI106">
        <v>5</v>
      </c>
      <c r="AJ106">
        <v>10</v>
      </c>
      <c r="AK106">
        <v>8</v>
      </c>
      <c r="AL106">
        <v>5</v>
      </c>
      <c r="AM106">
        <v>9</v>
      </c>
      <c r="AN106">
        <v>0</v>
      </c>
      <c r="AO106">
        <v>4</v>
      </c>
      <c r="AP106">
        <v>0</v>
      </c>
      <c r="AQ106">
        <v>3</v>
      </c>
      <c r="AR106">
        <v>3</v>
      </c>
      <c r="AS106">
        <v>2</v>
      </c>
      <c r="AT106">
        <v>5</v>
      </c>
      <c r="AU106">
        <v>4</v>
      </c>
      <c r="AV106">
        <v>8</v>
      </c>
      <c r="AW106">
        <v>10</v>
      </c>
      <c r="AX106">
        <v>6</v>
      </c>
      <c r="AY106">
        <v>9</v>
      </c>
      <c r="AZ106">
        <v>9</v>
      </c>
      <c r="BA106">
        <v>3</v>
      </c>
      <c r="BB106">
        <v>10</v>
      </c>
      <c r="BC106">
        <v>10</v>
      </c>
      <c r="BD106">
        <v>2</v>
      </c>
      <c r="BE106">
        <v>4</v>
      </c>
      <c r="BF106">
        <v>5</v>
      </c>
      <c r="BG106">
        <v>2</v>
      </c>
      <c r="BH106">
        <v>6</v>
      </c>
      <c r="BI106">
        <v>5</v>
      </c>
      <c r="BJ106">
        <v>8</v>
      </c>
      <c r="BK106">
        <v>7</v>
      </c>
      <c r="BL106">
        <v>2</v>
      </c>
      <c r="BM106">
        <v>7</v>
      </c>
      <c r="BN106">
        <v>2</v>
      </c>
      <c r="BO106">
        <v>9</v>
      </c>
      <c r="BP106">
        <v>6</v>
      </c>
      <c r="BQ106">
        <v>8</v>
      </c>
      <c r="BR106">
        <v>5</v>
      </c>
      <c r="BS106">
        <v>10</v>
      </c>
      <c r="BT106">
        <v>9</v>
      </c>
      <c r="BU106">
        <v>5</v>
      </c>
      <c r="BV106">
        <v>5</v>
      </c>
      <c r="BW106">
        <v>4</v>
      </c>
      <c r="BX106">
        <v>4</v>
      </c>
      <c r="BY106">
        <v>10</v>
      </c>
      <c r="BZ106">
        <v>10</v>
      </c>
      <c r="CA106">
        <v>3</v>
      </c>
      <c r="CB106">
        <v>1</v>
      </c>
      <c r="CC106">
        <v>2</v>
      </c>
      <c r="CD106">
        <v>9</v>
      </c>
      <c r="CE106">
        <v>0</v>
      </c>
      <c r="CF106">
        <v>7</v>
      </c>
      <c r="CG106">
        <v>5</v>
      </c>
      <c r="CH106">
        <v>7</v>
      </c>
      <c r="CI106">
        <v>9</v>
      </c>
      <c r="CJ106">
        <v>1</v>
      </c>
      <c r="CK106">
        <v>5</v>
      </c>
      <c r="CL106">
        <v>9</v>
      </c>
      <c r="CM106">
        <v>5</v>
      </c>
      <c r="CN106">
        <v>9</v>
      </c>
      <c r="CO106">
        <v>3</v>
      </c>
      <c r="CP106">
        <v>10</v>
      </c>
      <c r="CQ106">
        <v>5</v>
      </c>
      <c r="CR106">
        <v>7</v>
      </c>
      <c r="CS106">
        <v>10</v>
      </c>
      <c r="CT106">
        <v>9</v>
      </c>
      <c r="CU106">
        <v>7</v>
      </c>
      <c r="CV106">
        <v>8</v>
      </c>
      <c r="CW106">
        <v>0</v>
      </c>
      <c r="CX106">
        <v>4</v>
      </c>
      <c r="CY106">
        <v>8</v>
      </c>
      <c r="CZ106">
        <v>0</v>
      </c>
      <c r="DA106">
        <v>8</v>
      </c>
      <c r="DB106">
        <v>6</v>
      </c>
      <c r="DC106">
        <v>0</v>
      </c>
      <c r="DD106">
        <v>9</v>
      </c>
      <c r="DE106">
        <v>10</v>
      </c>
      <c r="DF106">
        <v>8</v>
      </c>
      <c r="DG106">
        <v>7</v>
      </c>
      <c r="DH106">
        <v>4</v>
      </c>
      <c r="DI106">
        <v>1</v>
      </c>
      <c r="DJ106">
        <v>9</v>
      </c>
      <c r="DK106">
        <v>5</v>
      </c>
    </row>
    <row r="107" spans="1:115">
      <c r="A107" s="172">
        <f>Calculations[[#This Row],[Sum t eCO2]]*IF(Calculations[[#This Row],[GHG Scope]]="BIOGENIC",0,1)</f>
        <v>2.2379066116149597</v>
      </c>
      <c r="O107">
        <f t="shared" si="1"/>
        <v>106</v>
      </c>
      <c r="P107">
        <v>9</v>
      </c>
      <c r="Q107">
        <v>6</v>
      </c>
      <c r="R107">
        <v>1</v>
      </c>
      <c r="S107">
        <v>3</v>
      </c>
      <c r="T107">
        <v>8</v>
      </c>
      <c r="U107">
        <v>5</v>
      </c>
      <c r="V107">
        <v>7</v>
      </c>
      <c r="W107">
        <v>4</v>
      </c>
      <c r="X107">
        <v>3</v>
      </c>
      <c r="Y107">
        <v>8</v>
      </c>
      <c r="Z107">
        <v>9</v>
      </c>
      <c r="AA107">
        <v>0</v>
      </c>
      <c r="AB107">
        <v>7</v>
      </c>
      <c r="AC107">
        <v>7</v>
      </c>
      <c r="AD107">
        <v>8</v>
      </c>
      <c r="AE107">
        <v>7</v>
      </c>
      <c r="AF107">
        <v>10</v>
      </c>
      <c r="AG107">
        <v>5</v>
      </c>
      <c r="AH107">
        <v>4</v>
      </c>
      <c r="AI107">
        <v>8</v>
      </c>
      <c r="AJ107">
        <v>1</v>
      </c>
      <c r="AK107">
        <v>1</v>
      </c>
      <c r="AL107">
        <v>3</v>
      </c>
      <c r="AM107">
        <v>10</v>
      </c>
      <c r="AN107">
        <v>0</v>
      </c>
      <c r="AO107">
        <v>8</v>
      </c>
      <c r="AP107">
        <v>4</v>
      </c>
      <c r="AQ107">
        <v>4</v>
      </c>
      <c r="AR107">
        <v>7</v>
      </c>
      <c r="AS107">
        <v>10</v>
      </c>
      <c r="AT107">
        <v>4</v>
      </c>
      <c r="AU107">
        <v>1</v>
      </c>
      <c r="AV107">
        <v>3</v>
      </c>
      <c r="AW107">
        <v>9</v>
      </c>
      <c r="AX107">
        <v>5</v>
      </c>
      <c r="AY107">
        <v>9</v>
      </c>
      <c r="AZ107">
        <v>9</v>
      </c>
      <c r="BA107">
        <v>2</v>
      </c>
      <c r="BB107">
        <v>5</v>
      </c>
      <c r="BC107">
        <v>2</v>
      </c>
      <c r="BD107">
        <v>10</v>
      </c>
      <c r="BE107">
        <v>8</v>
      </c>
      <c r="BF107">
        <v>2</v>
      </c>
      <c r="BG107">
        <v>5</v>
      </c>
      <c r="BH107">
        <v>2</v>
      </c>
      <c r="BI107">
        <v>4</v>
      </c>
      <c r="BJ107">
        <v>2</v>
      </c>
      <c r="BK107">
        <v>7</v>
      </c>
      <c r="BL107">
        <v>4</v>
      </c>
      <c r="BM107">
        <v>6</v>
      </c>
      <c r="BN107">
        <v>10</v>
      </c>
      <c r="BO107">
        <v>6</v>
      </c>
      <c r="BP107">
        <v>3</v>
      </c>
      <c r="BQ107">
        <v>6</v>
      </c>
      <c r="BR107">
        <v>1</v>
      </c>
      <c r="BS107">
        <v>6</v>
      </c>
      <c r="BT107">
        <v>8</v>
      </c>
      <c r="BU107">
        <v>4</v>
      </c>
      <c r="BV107">
        <v>0</v>
      </c>
      <c r="BW107">
        <v>6</v>
      </c>
      <c r="BX107">
        <v>1</v>
      </c>
      <c r="BY107">
        <v>7</v>
      </c>
      <c r="BZ107">
        <v>9</v>
      </c>
      <c r="CA107">
        <v>3</v>
      </c>
      <c r="CB107">
        <v>7</v>
      </c>
      <c r="CC107">
        <v>5</v>
      </c>
      <c r="CD107">
        <v>8</v>
      </c>
      <c r="CE107">
        <v>4</v>
      </c>
      <c r="CF107">
        <v>7</v>
      </c>
      <c r="CG107">
        <v>10</v>
      </c>
      <c r="CH107">
        <v>5</v>
      </c>
      <c r="CI107">
        <v>3</v>
      </c>
      <c r="CJ107">
        <v>10</v>
      </c>
      <c r="CK107">
        <v>5</v>
      </c>
      <c r="CL107">
        <v>1</v>
      </c>
      <c r="CM107">
        <v>1</v>
      </c>
      <c r="CN107">
        <v>1</v>
      </c>
      <c r="CO107">
        <v>5</v>
      </c>
      <c r="CP107">
        <v>0</v>
      </c>
      <c r="CQ107">
        <v>1</v>
      </c>
      <c r="CR107">
        <v>1</v>
      </c>
      <c r="CS107">
        <v>5</v>
      </c>
      <c r="CT107">
        <v>3</v>
      </c>
      <c r="CU107">
        <v>3</v>
      </c>
      <c r="CV107">
        <v>10</v>
      </c>
      <c r="CW107">
        <v>8</v>
      </c>
      <c r="CX107">
        <v>9</v>
      </c>
      <c r="CY107">
        <v>4</v>
      </c>
      <c r="CZ107">
        <v>1</v>
      </c>
      <c r="DA107">
        <v>3</v>
      </c>
      <c r="DB107">
        <v>2</v>
      </c>
      <c r="DC107">
        <v>9</v>
      </c>
      <c r="DD107">
        <v>4</v>
      </c>
      <c r="DE107">
        <v>3</v>
      </c>
      <c r="DF107">
        <v>4</v>
      </c>
      <c r="DG107">
        <v>7</v>
      </c>
      <c r="DH107">
        <v>7</v>
      </c>
      <c r="DI107">
        <v>4</v>
      </c>
      <c r="DJ107">
        <v>3</v>
      </c>
      <c r="DK107">
        <v>2</v>
      </c>
    </row>
    <row r="108" spans="1:115">
      <c r="A108" s="173">
        <f>Calculations[[#This Row],[Sum t eCO2]]*IF(Calculations[[#This Row],[GHG Scope]]="BIOGENIC",0,1)</f>
        <v>8.0079824820414577E-2</v>
      </c>
      <c r="O108">
        <f t="shared" si="1"/>
        <v>107</v>
      </c>
      <c r="P108">
        <v>5</v>
      </c>
      <c r="Q108">
        <v>1</v>
      </c>
      <c r="R108">
        <v>10</v>
      </c>
      <c r="S108">
        <v>1</v>
      </c>
      <c r="T108">
        <v>6</v>
      </c>
      <c r="U108">
        <v>0</v>
      </c>
      <c r="V108">
        <v>4</v>
      </c>
      <c r="W108">
        <v>10</v>
      </c>
      <c r="X108">
        <v>4</v>
      </c>
      <c r="Y108">
        <v>5</v>
      </c>
      <c r="Z108">
        <v>9</v>
      </c>
      <c r="AA108">
        <v>5</v>
      </c>
      <c r="AB108">
        <v>10</v>
      </c>
      <c r="AC108">
        <v>4</v>
      </c>
      <c r="AD108">
        <v>9</v>
      </c>
      <c r="AE108">
        <v>5</v>
      </c>
      <c r="AF108">
        <v>1</v>
      </c>
      <c r="AG108">
        <v>2</v>
      </c>
      <c r="AH108">
        <v>2</v>
      </c>
      <c r="AI108">
        <v>6</v>
      </c>
      <c r="AJ108">
        <v>5</v>
      </c>
      <c r="AK108">
        <v>6</v>
      </c>
      <c r="AL108">
        <v>4</v>
      </c>
      <c r="AM108">
        <v>10</v>
      </c>
      <c r="AN108">
        <v>8</v>
      </c>
      <c r="AO108">
        <v>5</v>
      </c>
      <c r="AP108">
        <v>8</v>
      </c>
      <c r="AQ108">
        <v>9</v>
      </c>
      <c r="AR108">
        <v>1</v>
      </c>
      <c r="AS108">
        <v>4</v>
      </c>
      <c r="AT108">
        <v>1</v>
      </c>
      <c r="AU108">
        <v>4</v>
      </c>
      <c r="AV108">
        <v>7</v>
      </c>
      <c r="AW108">
        <v>4</v>
      </c>
      <c r="AX108">
        <v>0</v>
      </c>
      <c r="AY108">
        <v>8</v>
      </c>
      <c r="AZ108">
        <v>1</v>
      </c>
      <c r="BA108">
        <v>4</v>
      </c>
      <c r="BB108">
        <v>2</v>
      </c>
      <c r="BC108">
        <v>9</v>
      </c>
      <c r="BD108">
        <v>0</v>
      </c>
      <c r="BE108">
        <v>4</v>
      </c>
      <c r="BF108">
        <v>9</v>
      </c>
      <c r="BG108">
        <v>6</v>
      </c>
      <c r="BH108">
        <v>1</v>
      </c>
      <c r="BI108">
        <v>1</v>
      </c>
      <c r="BJ108">
        <v>3</v>
      </c>
      <c r="BK108">
        <v>8</v>
      </c>
      <c r="BL108">
        <v>8</v>
      </c>
      <c r="BM108">
        <v>0</v>
      </c>
      <c r="BN108">
        <v>8</v>
      </c>
      <c r="BO108">
        <v>0</v>
      </c>
      <c r="BP108">
        <v>1</v>
      </c>
      <c r="BQ108">
        <v>7</v>
      </c>
      <c r="BR108">
        <v>7</v>
      </c>
      <c r="BS108">
        <v>8</v>
      </c>
      <c r="BT108">
        <v>8</v>
      </c>
      <c r="BU108">
        <v>4</v>
      </c>
      <c r="BV108">
        <v>4</v>
      </c>
      <c r="BW108">
        <v>7</v>
      </c>
      <c r="BX108">
        <v>9</v>
      </c>
      <c r="BY108">
        <v>2</v>
      </c>
      <c r="BZ108">
        <v>4</v>
      </c>
      <c r="CA108">
        <v>10</v>
      </c>
      <c r="CB108">
        <v>6</v>
      </c>
      <c r="CC108">
        <v>2</v>
      </c>
      <c r="CD108">
        <v>3</v>
      </c>
      <c r="CE108">
        <v>5</v>
      </c>
      <c r="CF108">
        <v>7</v>
      </c>
      <c r="CG108">
        <v>6</v>
      </c>
      <c r="CH108">
        <v>0</v>
      </c>
      <c r="CI108">
        <v>10</v>
      </c>
      <c r="CJ108">
        <v>6</v>
      </c>
      <c r="CK108">
        <v>9</v>
      </c>
      <c r="CL108">
        <v>7</v>
      </c>
      <c r="CM108">
        <v>5</v>
      </c>
      <c r="CN108">
        <v>1</v>
      </c>
      <c r="CO108">
        <v>5</v>
      </c>
      <c r="CP108">
        <v>5</v>
      </c>
      <c r="CQ108">
        <v>2</v>
      </c>
      <c r="CR108">
        <v>3</v>
      </c>
      <c r="CS108">
        <v>5</v>
      </c>
      <c r="CT108">
        <v>9</v>
      </c>
      <c r="CU108">
        <v>1</v>
      </c>
      <c r="CV108">
        <v>10</v>
      </c>
      <c r="CW108">
        <v>0</v>
      </c>
      <c r="CX108">
        <v>3</v>
      </c>
      <c r="CY108">
        <v>5</v>
      </c>
      <c r="CZ108">
        <v>3</v>
      </c>
      <c r="DA108">
        <v>7</v>
      </c>
      <c r="DB108">
        <v>6</v>
      </c>
      <c r="DC108">
        <v>3</v>
      </c>
      <c r="DD108">
        <v>9</v>
      </c>
      <c r="DE108">
        <v>10</v>
      </c>
      <c r="DF108">
        <v>5</v>
      </c>
      <c r="DG108">
        <v>1</v>
      </c>
      <c r="DH108">
        <v>1</v>
      </c>
      <c r="DI108">
        <v>1</v>
      </c>
      <c r="DJ108">
        <v>5</v>
      </c>
      <c r="DK108">
        <v>3</v>
      </c>
    </row>
    <row r="109" spans="1:115">
      <c r="A109" s="173">
        <f>Calculations[[#This Row],[Sum t eCO2]]*IF(Calculations[[#This Row],[GHG Scope]]="BIOGENIC",0,1)</f>
        <v>1.2435304488251061E-2</v>
      </c>
      <c r="O109">
        <f t="shared" si="1"/>
        <v>108</v>
      </c>
      <c r="P109">
        <v>0</v>
      </c>
      <c r="Q109">
        <v>7</v>
      </c>
      <c r="R109">
        <v>1</v>
      </c>
      <c r="S109">
        <v>6</v>
      </c>
      <c r="T109">
        <v>6</v>
      </c>
      <c r="U109">
        <v>2</v>
      </c>
      <c r="V109">
        <v>2</v>
      </c>
      <c r="W109">
        <v>5</v>
      </c>
      <c r="X109">
        <v>9</v>
      </c>
      <c r="Y109">
        <v>8</v>
      </c>
      <c r="Z109">
        <v>10</v>
      </c>
      <c r="AA109">
        <v>2</v>
      </c>
      <c r="AB109">
        <v>8</v>
      </c>
      <c r="AC109">
        <v>9</v>
      </c>
      <c r="AD109">
        <v>3</v>
      </c>
      <c r="AE109">
        <v>3</v>
      </c>
      <c r="AF109">
        <v>4</v>
      </c>
      <c r="AG109">
        <v>2</v>
      </c>
      <c r="AH109">
        <v>7</v>
      </c>
      <c r="AI109">
        <v>8</v>
      </c>
      <c r="AJ109">
        <v>7</v>
      </c>
      <c r="AK109">
        <v>1</v>
      </c>
      <c r="AL109">
        <v>8</v>
      </c>
      <c r="AM109">
        <v>9</v>
      </c>
      <c r="AN109">
        <v>9</v>
      </c>
      <c r="AO109">
        <v>6</v>
      </c>
      <c r="AP109">
        <v>6</v>
      </c>
      <c r="AQ109">
        <v>5</v>
      </c>
      <c r="AR109">
        <v>0</v>
      </c>
      <c r="AS109">
        <v>5</v>
      </c>
      <c r="AT109">
        <v>4</v>
      </c>
      <c r="AU109">
        <v>6</v>
      </c>
      <c r="AV109">
        <v>1</v>
      </c>
      <c r="AW109">
        <v>8</v>
      </c>
      <c r="AX109">
        <v>6</v>
      </c>
      <c r="AY109">
        <v>8</v>
      </c>
      <c r="AZ109">
        <v>3</v>
      </c>
      <c r="BA109">
        <v>3</v>
      </c>
      <c r="BB109">
        <v>5</v>
      </c>
      <c r="BC109">
        <v>0</v>
      </c>
      <c r="BD109">
        <v>0</v>
      </c>
      <c r="BE109">
        <v>2</v>
      </c>
      <c r="BF109">
        <v>2</v>
      </c>
      <c r="BG109">
        <v>3</v>
      </c>
      <c r="BH109">
        <v>5</v>
      </c>
      <c r="BI109">
        <v>2</v>
      </c>
      <c r="BJ109">
        <v>5</v>
      </c>
      <c r="BK109">
        <v>7</v>
      </c>
      <c r="BL109">
        <v>0</v>
      </c>
      <c r="BM109">
        <v>7</v>
      </c>
      <c r="BN109">
        <v>10</v>
      </c>
      <c r="BO109">
        <v>9</v>
      </c>
      <c r="BP109">
        <v>9</v>
      </c>
      <c r="BQ109">
        <v>4</v>
      </c>
      <c r="BR109">
        <v>4</v>
      </c>
      <c r="BS109">
        <v>4</v>
      </c>
      <c r="BT109">
        <v>4</v>
      </c>
      <c r="BU109">
        <v>7</v>
      </c>
      <c r="BV109">
        <v>4</v>
      </c>
      <c r="BW109">
        <v>7</v>
      </c>
      <c r="BX109">
        <v>8</v>
      </c>
      <c r="BY109">
        <v>10</v>
      </c>
      <c r="BZ109">
        <v>0</v>
      </c>
      <c r="CA109">
        <v>6</v>
      </c>
      <c r="CB109">
        <v>0</v>
      </c>
      <c r="CC109">
        <v>2</v>
      </c>
      <c r="CD109">
        <v>2</v>
      </c>
      <c r="CE109">
        <v>2</v>
      </c>
      <c r="CF109">
        <v>9</v>
      </c>
      <c r="CG109">
        <v>2</v>
      </c>
      <c r="CH109">
        <v>8</v>
      </c>
      <c r="CI109">
        <v>9</v>
      </c>
      <c r="CJ109">
        <v>0</v>
      </c>
      <c r="CK109">
        <v>0</v>
      </c>
      <c r="CL109">
        <v>4</v>
      </c>
      <c r="CM109">
        <v>7</v>
      </c>
      <c r="CN109">
        <v>0</v>
      </c>
      <c r="CO109">
        <v>10</v>
      </c>
      <c r="CP109">
        <v>4</v>
      </c>
      <c r="CQ109">
        <v>9</v>
      </c>
      <c r="CR109">
        <v>8</v>
      </c>
      <c r="CS109">
        <v>5</v>
      </c>
      <c r="CT109">
        <v>10</v>
      </c>
      <c r="CU109">
        <v>6</v>
      </c>
      <c r="CV109">
        <v>8</v>
      </c>
      <c r="CW109">
        <v>0</v>
      </c>
      <c r="CX109">
        <v>10</v>
      </c>
      <c r="CY109">
        <v>3</v>
      </c>
      <c r="CZ109">
        <v>2</v>
      </c>
      <c r="DA109">
        <v>3</v>
      </c>
      <c r="DB109">
        <v>1</v>
      </c>
      <c r="DC109">
        <v>3</v>
      </c>
      <c r="DD109">
        <v>6</v>
      </c>
      <c r="DE109">
        <v>0</v>
      </c>
      <c r="DF109">
        <v>4</v>
      </c>
      <c r="DG109">
        <v>5</v>
      </c>
      <c r="DH109">
        <v>9</v>
      </c>
      <c r="DI109">
        <v>9</v>
      </c>
      <c r="DJ109">
        <v>8</v>
      </c>
      <c r="DK109">
        <v>0</v>
      </c>
    </row>
    <row r="110" spans="1:115">
      <c r="A110" s="173">
        <f>Calculations[[#This Row],[Sum t eCO2]]*IF(Calculations[[#This Row],[GHG Scope]]="BIOGENIC",0,1)</f>
        <v>12.315820766309775</v>
      </c>
      <c r="O110">
        <f t="shared" si="1"/>
        <v>109</v>
      </c>
      <c r="P110">
        <v>3</v>
      </c>
      <c r="Q110">
        <v>8</v>
      </c>
      <c r="R110">
        <v>6</v>
      </c>
      <c r="S110">
        <v>3</v>
      </c>
      <c r="T110">
        <v>8</v>
      </c>
      <c r="U110">
        <v>9</v>
      </c>
      <c r="V110">
        <v>4</v>
      </c>
      <c r="W110">
        <v>7</v>
      </c>
      <c r="X110">
        <v>6</v>
      </c>
      <c r="Y110">
        <v>2</v>
      </c>
      <c r="Z110">
        <v>2</v>
      </c>
      <c r="AA110">
        <v>3</v>
      </c>
      <c r="AB110">
        <v>10</v>
      </c>
      <c r="AC110">
        <v>5</v>
      </c>
      <c r="AD110">
        <v>0</v>
      </c>
      <c r="AE110">
        <v>7</v>
      </c>
      <c r="AF110">
        <v>3</v>
      </c>
      <c r="AG110">
        <v>2</v>
      </c>
      <c r="AH110">
        <v>3</v>
      </c>
      <c r="AI110">
        <v>3</v>
      </c>
      <c r="AJ110">
        <v>8</v>
      </c>
      <c r="AK110">
        <v>6</v>
      </c>
      <c r="AL110">
        <v>1</v>
      </c>
      <c r="AM110">
        <v>3</v>
      </c>
      <c r="AN110">
        <v>8</v>
      </c>
      <c r="AO110">
        <v>2</v>
      </c>
      <c r="AP110">
        <v>7</v>
      </c>
      <c r="AQ110">
        <v>1</v>
      </c>
      <c r="AR110">
        <v>4</v>
      </c>
      <c r="AS110">
        <v>5</v>
      </c>
      <c r="AT110">
        <v>6</v>
      </c>
      <c r="AU110">
        <v>4</v>
      </c>
      <c r="AV110">
        <v>10</v>
      </c>
      <c r="AW110">
        <v>10</v>
      </c>
      <c r="AX110">
        <v>2</v>
      </c>
      <c r="AY110">
        <v>7</v>
      </c>
      <c r="AZ110">
        <v>4</v>
      </c>
      <c r="BA110">
        <v>10</v>
      </c>
      <c r="BB110">
        <v>5</v>
      </c>
      <c r="BC110">
        <v>6</v>
      </c>
      <c r="BD110">
        <v>10</v>
      </c>
      <c r="BE110">
        <v>0</v>
      </c>
      <c r="BF110">
        <v>1</v>
      </c>
      <c r="BG110">
        <v>4</v>
      </c>
      <c r="BH110">
        <v>1</v>
      </c>
      <c r="BI110">
        <v>0</v>
      </c>
      <c r="BJ110">
        <v>9</v>
      </c>
      <c r="BK110">
        <v>8</v>
      </c>
      <c r="BL110">
        <v>5</v>
      </c>
      <c r="BM110">
        <v>7</v>
      </c>
      <c r="BN110">
        <v>2</v>
      </c>
      <c r="BO110">
        <v>2</v>
      </c>
      <c r="BP110">
        <v>2</v>
      </c>
      <c r="BQ110">
        <v>5</v>
      </c>
      <c r="BR110">
        <v>8</v>
      </c>
      <c r="BS110">
        <v>1</v>
      </c>
      <c r="BT110">
        <v>6</v>
      </c>
      <c r="BU110">
        <v>10</v>
      </c>
      <c r="BV110">
        <v>3</v>
      </c>
      <c r="BW110">
        <v>3</v>
      </c>
      <c r="BX110">
        <v>1</v>
      </c>
      <c r="BY110">
        <v>5</v>
      </c>
      <c r="BZ110">
        <v>3</v>
      </c>
      <c r="CA110">
        <v>6</v>
      </c>
      <c r="CB110">
        <v>2</v>
      </c>
      <c r="CC110">
        <v>2</v>
      </c>
      <c r="CD110">
        <v>6</v>
      </c>
      <c r="CE110">
        <v>3</v>
      </c>
      <c r="CF110">
        <v>3</v>
      </c>
      <c r="CG110">
        <v>5</v>
      </c>
      <c r="CH110">
        <v>3</v>
      </c>
      <c r="CI110">
        <v>3</v>
      </c>
      <c r="CJ110">
        <v>3</v>
      </c>
      <c r="CK110">
        <v>6</v>
      </c>
      <c r="CL110">
        <v>5</v>
      </c>
      <c r="CM110">
        <v>8</v>
      </c>
      <c r="CN110">
        <v>10</v>
      </c>
      <c r="CO110">
        <v>8</v>
      </c>
      <c r="CP110">
        <v>6</v>
      </c>
      <c r="CQ110">
        <v>5</v>
      </c>
      <c r="CR110">
        <v>8</v>
      </c>
      <c r="CS110">
        <v>2</v>
      </c>
      <c r="CT110">
        <v>1</v>
      </c>
      <c r="CU110">
        <v>5</v>
      </c>
      <c r="CV110">
        <v>4</v>
      </c>
      <c r="CW110">
        <v>9</v>
      </c>
      <c r="CX110">
        <v>9</v>
      </c>
      <c r="CY110">
        <v>3</v>
      </c>
      <c r="CZ110">
        <v>4</v>
      </c>
      <c r="DA110">
        <v>1</v>
      </c>
      <c r="DB110">
        <v>7</v>
      </c>
      <c r="DC110">
        <v>1</v>
      </c>
      <c r="DD110">
        <v>4</v>
      </c>
      <c r="DE110">
        <v>4</v>
      </c>
      <c r="DF110">
        <v>7</v>
      </c>
      <c r="DG110">
        <v>4</v>
      </c>
      <c r="DH110">
        <v>10</v>
      </c>
      <c r="DI110">
        <v>1</v>
      </c>
      <c r="DJ110">
        <v>2</v>
      </c>
      <c r="DK110">
        <v>3</v>
      </c>
    </row>
    <row r="111" spans="1:115">
      <c r="A111" s="173">
        <f>Calculations[[#This Row],[Sum t eCO2]]*IF(Calculations[[#This Row],[GHG Scope]]="BIOGENIC",0,1)</f>
        <v>0.44070148609731119</v>
      </c>
      <c r="O111">
        <f t="shared" si="1"/>
        <v>110</v>
      </c>
      <c r="P111">
        <v>1</v>
      </c>
      <c r="Q111">
        <v>9</v>
      </c>
      <c r="R111">
        <v>3</v>
      </c>
      <c r="S111">
        <v>9</v>
      </c>
      <c r="T111">
        <v>7</v>
      </c>
      <c r="U111">
        <v>7</v>
      </c>
      <c r="V111">
        <v>3</v>
      </c>
      <c r="W111">
        <v>7</v>
      </c>
      <c r="X111">
        <v>10</v>
      </c>
      <c r="Y111">
        <v>8</v>
      </c>
      <c r="Z111">
        <v>1</v>
      </c>
      <c r="AA111">
        <v>7</v>
      </c>
      <c r="AB111">
        <v>0</v>
      </c>
      <c r="AC111">
        <v>6</v>
      </c>
      <c r="AD111">
        <v>8</v>
      </c>
      <c r="AE111">
        <v>4</v>
      </c>
      <c r="AF111">
        <v>0</v>
      </c>
      <c r="AG111">
        <v>1</v>
      </c>
      <c r="AH111">
        <v>0</v>
      </c>
      <c r="AI111">
        <v>2</v>
      </c>
      <c r="AJ111">
        <v>3</v>
      </c>
      <c r="AK111">
        <v>8</v>
      </c>
      <c r="AL111">
        <v>8</v>
      </c>
      <c r="AM111">
        <v>4</v>
      </c>
      <c r="AN111">
        <v>3</v>
      </c>
      <c r="AO111">
        <v>3</v>
      </c>
      <c r="AP111">
        <v>10</v>
      </c>
      <c r="AQ111">
        <v>5</v>
      </c>
      <c r="AR111">
        <v>5</v>
      </c>
      <c r="AS111">
        <v>6</v>
      </c>
      <c r="AT111">
        <v>4</v>
      </c>
      <c r="AU111">
        <v>4</v>
      </c>
      <c r="AV111">
        <v>5</v>
      </c>
      <c r="AW111">
        <v>2</v>
      </c>
      <c r="AX111">
        <v>5</v>
      </c>
      <c r="AY111">
        <v>0</v>
      </c>
      <c r="AZ111">
        <v>5</v>
      </c>
      <c r="BA111">
        <v>4</v>
      </c>
      <c r="BB111">
        <v>1</v>
      </c>
      <c r="BC111">
        <v>0</v>
      </c>
      <c r="BD111">
        <v>4</v>
      </c>
      <c r="BE111">
        <v>7</v>
      </c>
      <c r="BF111">
        <v>7</v>
      </c>
      <c r="BG111">
        <v>1</v>
      </c>
      <c r="BH111">
        <v>9</v>
      </c>
      <c r="BI111">
        <v>7</v>
      </c>
      <c r="BJ111">
        <v>3</v>
      </c>
      <c r="BK111">
        <v>0</v>
      </c>
      <c r="BL111">
        <v>9</v>
      </c>
      <c r="BM111">
        <v>9</v>
      </c>
      <c r="BN111">
        <v>0</v>
      </c>
      <c r="BO111">
        <v>1</v>
      </c>
      <c r="BP111">
        <v>6</v>
      </c>
      <c r="BQ111">
        <v>9</v>
      </c>
      <c r="BR111">
        <v>7</v>
      </c>
      <c r="BS111">
        <v>9</v>
      </c>
      <c r="BT111">
        <v>6</v>
      </c>
      <c r="BU111">
        <v>1</v>
      </c>
      <c r="BV111">
        <v>3</v>
      </c>
      <c r="BW111">
        <v>4</v>
      </c>
      <c r="BX111">
        <v>4</v>
      </c>
      <c r="BY111">
        <v>8</v>
      </c>
      <c r="BZ111">
        <v>3</v>
      </c>
      <c r="CA111">
        <v>0</v>
      </c>
      <c r="CB111">
        <v>4</v>
      </c>
      <c r="CC111">
        <v>6</v>
      </c>
      <c r="CD111">
        <v>0</v>
      </c>
      <c r="CE111">
        <v>2</v>
      </c>
      <c r="CF111">
        <v>7</v>
      </c>
      <c r="CG111">
        <v>2</v>
      </c>
      <c r="CH111">
        <v>9</v>
      </c>
      <c r="CI111">
        <v>5</v>
      </c>
      <c r="CJ111">
        <v>4</v>
      </c>
      <c r="CK111">
        <v>10</v>
      </c>
      <c r="CL111">
        <v>2</v>
      </c>
      <c r="CM111">
        <v>10</v>
      </c>
      <c r="CN111">
        <v>1</v>
      </c>
      <c r="CO111">
        <v>4</v>
      </c>
      <c r="CP111">
        <v>2</v>
      </c>
      <c r="CQ111">
        <v>7</v>
      </c>
      <c r="CR111">
        <v>6</v>
      </c>
      <c r="CS111">
        <v>10</v>
      </c>
      <c r="CT111">
        <v>1</v>
      </c>
      <c r="CU111">
        <v>6</v>
      </c>
      <c r="CV111">
        <v>6</v>
      </c>
      <c r="CW111">
        <v>5</v>
      </c>
      <c r="CX111">
        <v>0</v>
      </c>
      <c r="CY111">
        <v>8</v>
      </c>
      <c r="CZ111">
        <v>8</v>
      </c>
      <c r="DA111">
        <v>6</v>
      </c>
      <c r="DB111">
        <v>3</v>
      </c>
      <c r="DC111">
        <v>3</v>
      </c>
      <c r="DD111">
        <v>7</v>
      </c>
      <c r="DE111">
        <v>4</v>
      </c>
      <c r="DF111">
        <v>4</v>
      </c>
      <c r="DG111">
        <v>4</v>
      </c>
      <c r="DH111">
        <v>8</v>
      </c>
      <c r="DI111">
        <v>6</v>
      </c>
      <c r="DJ111">
        <v>3</v>
      </c>
      <c r="DK111">
        <v>1</v>
      </c>
    </row>
    <row r="112" spans="1:115">
      <c r="A112" s="173">
        <f>Calculations[[#This Row],[Sum t eCO2]]*IF(Calculations[[#This Row],[GHG Scope]]="BIOGENIC",0,1)</f>
        <v>6.8434929526066279E-2</v>
      </c>
      <c r="O112">
        <f t="shared" si="1"/>
        <v>111</v>
      </c>
      <c r="P112">
        <v>4</v>
      </c>
      <c r="Q112">
        <v>3</v>
      </c>
      <c r="R112">
        <v>5</v>
      </c>
      <c r="S112">
        <v>3</v>
      </c>
      <c r="T112">
        <v>1</v>
      </c>
      <c r="U112">
        <v>0</v>
      </c>
      <c r="V112">
        <v>1</v>
      </c>
      <c r="W112">
        <v>1</v>
      </c>
      <c r="X112">
        <v>7</v>
      </c>
      <c r="Y112">
        <v>6</v>
      </c>
      <c r="Z112">
        <v>8</v>
      </c>
      <c r="AA112">
        <v>5</v>
      </c>
      <c r="AB112">
        <v>1</v>
      </c>
      <c r="AC112">
        <v>6</v>
      </c>
      <c r="AD112">
        <v>10</v>
      </c>
      <c r="AE112">
        <v>2</v>
      </c>
      <c r="AF112">
        <v>5</v>
      </c>
      <c r="AG112">
        <v>8</v>
      </c>
      <c r="AH112">
        <v>4</v>
      </c>
      <c r="AI112">
        <v>10</v>
      </c>
      <c r="AJ112">
        <v>2</v>
      </c>
      <c r="AK112">
        <v>4</v>
      </c>
      <c r="AL112">
        <v>4</v>
      </c>
      <c r="AM112">
        <v>5</v>
      </c>
      <c r="AN112">
        <v>5</v>
      </c>
      <c r="AO112">
        <v>4</v>
      </c>
      <c r="AP112">
        <v>7</v>
      </c>
      <c r="AQ112">
        <v>9</v>
      </c>
      <c r="AR112">
        <v>4</v>
      </c>
      <c r="AS112">
        <v>5</v>
      </c>
      <c r="AT112">
        <v>9</v>
      </c>
      <c r="AU112">
        <v>2</v>
      </c>
      <c r="AV112">
        <v>10</v>
      </c>
      <c r="AW112">
        <v>1</v>
      </c>
      <c r="AX112">
        <v>4</v>
      </c>
      <c r="AY112">
        <v>9</v>
      </c>
      <c r="AZ112">
        <v>4</v>
      </c>
      <c r="BA112">
        <v>6</v>
      </c>
      <c r="BB112">
        <v>0</v>
      </c>
      <c r="BC112">
        <v>0</v>
      </c>
      <c r="BD112">
        <v>5</v>
      </c>
      <c r="BE112">
        <v>9</v>
      </c>
      <c r="BF112">
        <v>6</v>
      </c>
      <c r="BG112">
        <v>1</v>
      </c>
      <c r="BH112">
        <v>2</v>
      </c>
      <c r="BI112">
        <v>1</v>
      </c>
      <c r="BJ112">
        <v>6</v>
      </c>
      <c r="BK112">
        <v>0</v>
      </c>
      <c r="BL112">
        <v>10</v>
      </c>
      <c r="BM112">
        <v>6</v>
      </c>
      <c r="BN112">
        <v>8</v>
      </c>
      <c r="BO112">
        <v>4</v>
      </c>
      <c r="BP112">
        <v>5</v>
      </c>
      <c r="BQ112">
        <v>5</v>
      </c>
      <c r="BR112">
        <v>8</v>
      </c>
      <c r="BS112">
        <v>0</v>
      </c>
      <c r="BT112">
        <v>0</v>
      </c>
      <c r="BU112">
        <v>2</v>
      </c>
      <c r="BV112">
        <v>6</v>
      </c>
      <c r="BW112">
        <v>9</v>
      </c>
      <c r="BX112">
        <v>1</v>
      </c>
      <c r="BY112">
        <v>9</v>
      </c>
      <c r="BZ112">
        <v>2</v>
      </c>
      <c r="CA112">
        <v>7</v>
      </c>
      <c r="CB112">
        <v>3</v>
      </c>
      <c r="CC112">
        <v>2</v>
      </c>
      <c r="CD112">
        <v>10</v>
      </c>
      <c r="CE112">
        <v>9</v>
      </c>
      <c r="CF112">
        <v>0</v>
      </c>
      <c r="CG112">
        <v>6</v>
      </c>
      <c r="CH112">
        <v>4</v>
      </c>
      <c r="CI112">
        <v>4</v>
      </c>
      <c r="CJ112">
        <v>5</v>
      </c>
      <c r="CK112">
        <v>1</v>
      </c>
      <c r="CL112">
        <v>6</v>
      </c>
      <c r="CM112">
        <v>10</v>
      </c>
      <c r="CN112">
        <v>1</v>
      </c>
      <c r="CO112">
        <v>5</v>
      </c>
      <c r="CP112">
        <v>1</v>
      </c>
      <c r="CQ112">
        <v>2</v>
      </c>
      <c r="CR112">
        <v>4</v>
      </c>
      <c r="CS112">
        <v>7</v>
      </c>
      <c r="CT112">
        <v>8</v>
      </c>
      <c r="CU112">
        <v>6</v>
      </c>
      <c r="CV112">
        <v>0</v>
      </c>
      <c r="CW112">
        <v>0</v>
      </c>
      <c r="CX112">
        <v>6</v>
      </c>
      <c r="CY112">
        <v>2</v>
      </c>
      <c r="CZ112">
        <v>8</v>
      </c>
      <c r="DA112">
        <v>7</v>
      </c>
      <c r="DB112">
        <v>5</v>
      </c>
      <c r="DC112">
        <v>9</v>
      </c>
      <c r="DD112">
        <v>3</v>
      </c>
      <c r="DE112">
        <v>10</v>
      </c>
      <c r="DF112">
        <v>0</v>
      </c>
      <c r="DG112">
        <v>0</v>
      </c>
      <c r="DH112">
        <v>2</v>
      </c>
      <c r="DI112">
        <v>4</v>
      </c>
      <c r="DJ112">
        <v>5</v>
      </c>
      <c r="DK112">
        <v>6</v>
      </c>
    </row>
    <row r="113" spans="1:115">
      <c r="A113" s="173">
        <f>Calculations[[#This Row],[Sum t eCO2]]*IF(Calculations[[#This Row],[GHG Scope]]="BIOGENIC",0,1)</f>
        <v>19.57491886216496</v>
      </c>
      <c r="O113">
        <f t="shared" si="1"/>
        <v>112</v>
      </c>
      <c r="P113">
        <v>7</v>
      </c>
      <c r="Q113">
        <v>10</v>
      </c>
      <c r="R113">
        <v>5</v>
      </c>
      <c r="S113">
        <v>0</v>
      </c>
      <c r="T113">
        <v>3</v>
      </c>
      <c r="U113">
        <v>4</v>
      </c>
      <c r="V113">
        <v>10</v>
      </c>
      <c r="W113">
        <v>6</v>
      </c>
      <c r="X113">
        <v>2</v>
      </c>
      <c r="Y113">
        <v>4</v>
      </c>
      <c r="Z113">
        <v>5</v>
      </c>
      <c r="AA113">
        <v>1</v>
      </c>
      <c r="AB113">
        <v>1</v>
      </c>
      <c r="AC113">
        <v>0</v>
      </c>
      <c r="AD113">
        <v>4</v>
      </c>
      <c r="AE113">
        <v>5</v>
      </c>
      <c r="AF113">
        <v>2</v>
      </c>
      <c r="AG113">
        <v>10</v>
      </c>
      <c r="AH113">
        <v>5</v>
      </c>
      <c r="AI113">
        <v>1</v>
      </c>
      <c r="AJ113">
        <v>10</v>
      </c>
      <c r="AK113">
        <v>0</v>
      </c>
      <c r="AL113">
        <v>8</v>
      </c>
      <c r="AM113">
        <v>6</v>
      </c>
      <c r="AN113">
        <v>5</v>
      </c>
      <c r="AO113">
        <v>9</v>
      </c>
      <c r="AP113">
        <v>9</v>
      </c>
      <c r="AQ113">
        <v>6</v>
      </c>
      <c r="AR113">
        <v>7</v>
      </c>
      <c r="AS113">
        <v>5</v>
      </c>
      <c r="AT113">
        <v>3</v>
      </c>
      <c r="AU113">
        <v>9</v>
      </c>
      <c r="AV113">
        <v>10</v>
      </c>
      <c r="AW113">
        <v>6</v>
      </c>
      <c r="AX113">
        <v>3</v>
      </c>
      <c r="AY113">
        <v>4</v>
      </c>
      <c r="AZ113">
        <v>1</v>
      </c>
      <c r="BA113">
        <v>0</v>
      </c>
      <c r="BB113">
        <v>6</v>
      </c>
      <c r="BC113">
        <v>10</v>
      </c>
      <c r="BD113">
        <v>2</v>
      </c>
      <c r="BE113">
        <v>5</v>
      </c>
      <c r="BF113">
        <v>8</v>
      </c>
      <c r="BG113">
        <v>2</v>
      </c>
      <c r="BH113">
        <v>1</v>
      </c>
      <c r="BI113">
        <v>4</v>
      </c>
      <c r="BJ113">
        <v>1</v>
      </c>
      <c r="BK113">
        <v>3</v>
      </c>
      <c r="BL113">
        <v>9</v>
      </c>
      <c r="BM113">
        <v>4</v>
      </c>
      <c r="BN113">
        <v>6</v>
      </c>
      <c r="BO113">
        <v>7</v>
      </c>
      <c r="BP113">
        <v>1</v>
      </c>
      <c r="BQ113">
        <v>2</v>
      </c>
      <c r="BR113">
        <v>0</v>
      </c>
      <c r="BS113">
        <v>8</v>
      </c>
      <c r="BT113">
        <v>2</v>
      </c>
      <c r="BU113">
        <v>8</v>
      </c>
      <c r="BV113">
        <v>10</v>
      </c>
      <c r="BW113">
        <v>1</v>
      </c>
      <c r="BX113">
        <v>5</v>
      </c>
      <c r="BY113">
        <v>5</v>
      </c>
      <c r="BZ113">
        <v>9</v>
      </c>
      <c r="CA113">
        <v>9</v>
      </c>
      <c r="CB113">
        <v>1</v>
      </c>
      <c r="CC113">
        <v>0</v>
      </c>
      <c r="CD113">
        <v>4</v>
      </c>
      <c r="CE113">
        <v>8</v>
      </c>
      <c r="CF113">
        <v>4</v>
      </c>
      <c r="CG113">
        <v>9</v>
      </c>
      <c r="CH113">
        <v>8</v>
      </c>
      <c r="CI113">
        <v>8</v>
      </c>
      <c r="CJ113">
        <v>4</v>
      </c>
      <c r="CK113">
        <v>10</v>
      </c>
      <c r="CL113">
        <v>8</v>
      </c>
      <c r="CM113">
        <v>1</v>
      </c>
      <c r="CN113">
        <v>8</v>
      </c>
      <c r="CO113">
        <v>10</v>
      </c>
      <c r="CP113">
        <v>5</v>
      </c>
      <c r="CQ113">
        <v>8</v>
      </c>
      <c r="CR113">
        <v>7</v>
      </c>
      <c r="CS113">
        <v>4</v>
      </c>
      <c r="CT113">
        <v>7</v>
      </c>
      <c r="CU113">
        <v>2</v>
      </c>
      <c r="CV113">
        <v>6</v>
      </c>
      <c r="CW113">
        <v>0</v>
      </c>
      <c r="CX113">
        <v>10</v>
      </c>
      <c r="CY113">
        <v>7</v>
      </c>
      <c r="CZ113">
        <v>0</v>
      </c>
      <c r="DA113">
        <v>7</v>
      </c>
      <c r="DB113">
        <v>1</v>
      </c>
      <c r="DC113">
        <v>3</v>
      </c>
      <c r="DD113">
        <v>2</v>
      </c>
      <c r="DE113">
        <v>1</v>
      </c>
      <c r="DF113">
        <v>10</v>
      </c>
      <c r="DG113">
        <v>1</v>
      </c>
      <c r="DH113">
        <v>4</v>
      </c>
      <c r="DI113">
        <v>8</v>
      </c>
      <c r="DJ113">
        <v>3</v>
      </c>
      <c r="DK113">
        <v>6</v>
      </c>
    </row>
    <row r="114" spans="1:115">
      <c r="A114" s="173">
        <f>Calculations[[#This Row],[Sum t eCO2]]*IF(Calculations[[#This Row],[GHG Scope]]="BIOGENIC",0,1)</f>
        <v>7.3146038762423843E-2</v>
      </c>
      <c r="O114">
        <f t="shared" si="1"/>
        <v>113</v>
      </c>
      <c r="P114">
        <v>10</v>
      </c>
      <c r="Q114">
        <v>9</v>
      </c>
      <c r="R114">
        <v>1</v>
      </c>
      <c r="S114">
        <v>3</v>
      </c>
      <c r="T114">
        <v>5</v>
      </c>
      <c r="U114">
        <v>2</v>
      </c>
      <c r="V114">
        <v>10</v>
      </c>
      <c r="W114">
        <v>7</v>
      </c>
      <c r="X114">
        <v>1</v>
      </c>
      <c r="Y114">
        <v>10</v>
      </c>
      <c r="Z114">
        <v>5</v>
      </c>
      <c r="AA114">
        <v>10</v>
      </c>
      <c r="AB114">
        <v>1</v>
      </c>
      <c r="AC114">
        <v>10</v>
      </c>
      <c r="AD114">
        <v>10</v>
      </c>
      <c r="AE114">
        <v>1</v>
      </c>
      <c r="AF114">
        <v>2</v>
      </c>
      <c r="AG114">
        <v>8</v>
      </c>
      <c r="AH114">
        <v>1</v>
      </c>
      <c r="AI114">
        <v>3</v>
      </c>
      <c r="AJ114">
        <v>2</v>
      </c>
      <c r="AK114">
        <v>3</v>
      </c>
      <c r="AL114">
        <v>5</v>
      </c>
      <c r="AM114">
        <v>2</v>
      </c>
      <c r="AN114">
        <v>10</v>
      </c>
      <c r="AO114">
        <v>6</v>
      </c>
      <c r="AP114">
        <v>6</v>
      </c>
      <c r="AQ114">
        <v>1</v>
      </c>
      <c r="AR114">
        <v>1</v>
      </c>
      <c r="AS114">
        <v>3</v>
      </c>
      <c r="AT114">
        <v>10</v>
      </c>
      <c r="AU114">
        <v>1</v>
      </c>
      <c r="AV114">
        <v>6</v>
      </c>
      <c r="AW114">
        <v>5</v>
      </c>
      <c r="AX114">
        <v>0</v>
      </c>
      <c r="AY114">
        <v>6</v>
      </c>
      <c r="AZ114">
        <v>0</v>
      </c>
      <c r="BA114">
        <v>8</v>
      </c>
      <c r="BB114">
        <v>10</v>
      </c>
      <c r="BC114">
        <v>1</v>
      </c>
      <c r="BD114">
        <v>1</v>
      </c>
      <c r="BE114">
        <v>1</v>
      </c>
      <c r="BF114">
        <v>9</v>
      </c>
      <c r="BG114">
        <v>5</v>
      </c>
      <c r="BH114">
        <v>7</v>
      </c>
      <c r="BI114">
        <v>3</v>
      </c>
      <c r="BJ114">
        <v>7</v>
      </c>
      <c r="BK114">
        <v>8</v>
      </c>
      <c r="BL114">
        <v>10</v>
      </c>
      <c r="BM114">
        <v>3</v>
      </c>
      <c r="BN114">
        <v>2</v>
      </c>
      <c r="BO114">
        <v>10</v>
      </c>
      <c r="BP114">
        <v>5</v>
      </c>
      <c r="BQ114">
        <v>6</v>
      </c>
      <c r="BR114">
        <v>1</v>
      </c>
      <c r="BS114">
        <v>7</v>
      </c>
      <c r="BT114">
        <v>10</v>
      </c>
      <c r="BU114">
        <v>8</v>
      </c>
      <c r="BV114">
        <v>8</v>
      </c>
      <c r="BW114">
        <v>3</v>
      </c>
      <c r="BX114">
        <v>6</v>
      </c>
      <c r="BY114">
        <v>1</v>
      </c>
      <c r="BZ114">
        <v>2</v>
      </c>
      <c r="CA114">
        <v>1</v>
      </c>
      <c r="CB114">
        <v>7</v>
      </c>
      <c r="CC114">
        <v>3</v>
      </c>
      <c r="CD114">
        <v>3</v>
      </c>
      <c r="CE114">
        <v>4</v>
      </c>
      <c r="CF114">
        <v>9</v>
      </c>
      <c r="CG114">
        <v>8</v>
      </c>
      <c r="CH114">
        <v>10</v>
      </c>
      <c r="CI114">
        <v>6</v>
      </c>
      <c r="CJ114">
        <v>0</v>
      </c>
      <c r="CK114">
        <v>10</v>
      </c>
      <c r="CL114">
        <v>2</v>
      </c>
      <c r="CM114">
        <v>4</v>
      </c>
      <c r="CN114">
        <v>9</v>
      </c>
      <c r="CO114">
        <v>4</v>
      </c>
      <c r="CP114">
        <v>6</v>
      </c>
      <c r="CQ114">
        <v>3</v>
      </c>
      <c r="CR114">
        <v>10</v>
      </c>
      <c r="CS114">
        <v>0</v>
      </c>
      <c r="CT114">
        <v>3</v>
      </c>
      <c r="CU114">
        <v>1</v>
      </c>
      <c r="CV114">
        <v>1</v>
      </c>
      <c r="CW114">
        <v>2</v>
      </c>
      <c r="CX114">
        <v>4</v>
      </c>
      <c r="CY114">
        <v>9</v>
      </c>
      <c r="CZ114">
        <v>7</v>
      </c>
      <c r="DA114">
        <v>8</v>
      </c>
      <c r="DB114">
        <v>5</v>
      </c>
      <c r="DC114">
        <v>6</v>
      </c>
      <c r="DD114">
        <v>3</v>
      </c>
      <c r="DE114">
        <v>5</v>
      </c>
      <c r="DF114">
        <v>8</v>
      </c>
      <c r="DG114">
        <v>8</v>
      </c>
      <c r="DH114">
        <v>8</v>
      </c>
      <c r="DI114">
        <v>5</v>
      </c>
      <c r="DJ114">
        <v>5</v>
      </c>
      <c r="DK114">
        <v>9</v>
      </c>
    </row>
    <row r="115" spans="1:115">
      <c r="A115" s="173">
        <f>Calculations[[#This Row],[Sum t eCO2]]*IF(Calculations[[#This Row],[GHG Scope]]="BIOGENIC",0,1)</f>
        <v>0.1351715327806888</v>
      </c>
      <c r="O115">
        <f t="shared" si="1"/>
        <v>114</v>
      </c>
      <c r="P115">
        <v>1</v>
      </c>
      <c r="Q115">
        <v>4</v>
      </c>
      <c r="R115">
        <v>1</v>
      </c>
      <c r="S115">
        <v>8</v>
      </c>
      <c r="T115">
        <v>5</v>
      </c>
      <c r="U115">
        <v>8</v>
      </c>
      <c r="V115">
        <v>5</v>
      </c>
      <c r="W115">
        <v>7</v>
      </c>
      <c r="X115">
        <v>9</v>
      </c>
      <c r="Y115">
        <v>7</v>
      </c>
      <c r="Z115">
        <v>5</v>
      </c>
      <c r="AA115">
        <v>10</v>
      </c>
      <c r="AB115">
        <v>7</v>
      </c>
      <c r="AC115">
        <v>10</v>
      </c>
      <c r="AD115">
        <v>7</v>
      </c>
      <c r="AE115">
        <v>5</v>
      </c>
      <c r="AF115">
        <v>7</v>
      </c>
      <c r="AG115">
        <v>2</v>
      </c>
      <c r="AH115">
        <v>3</v>
      </c>
      <c r="AI115">
        <v>10</v>
      </c>
      <c r="AJ115">
        <v>10</v>
      </c>
      <c r="AK115">
        <v>0</v>
      </c>
      <c r="AL115">
        <v>2</v>
      </c>
      <c r="AM115">
        <v>1</v>
      </c>
      <c r="AN115">
        <v>0</v>
      </c>
      <c r="AO115">
        <v>3</v>
      </c>
      <c r="AP115">
        <v>2</v>
      </c>
      <c r="AQ115">
        <v>0</v>
      </c>
      <c r="AR115">
        <v>0</v>
      </c>
      <c r="AS115">
        <v>3</v>
      </c>
      <c r="AT115">
        <v>7</v>
      </c>
      <c r="AU115">
        <v>8</v>
      </c>
      <c r="AV115">
        <v>7</v>
      </c>
      <c r="AW115">
        <v>6</v>
      </c>
      <c r="AX115">
        <v>5</v>
      </c>
      <c r="AY115">
        <v>8</v>
      </c>
      <c r="AZ115">
        <v>2</v>
      </c>
      <c r="BA115">
        <v>5</v>
      </c>
      <c r="BB115">
        <v>4</v>
      </c>
      <c r="BC115">
        <v>3</v>
      </c>
      <c r="BD115">
        <v>5</v>
      </c>
      <c r="BE115">
        <v>1</v>
      </c>
      <c r="BF115">
        <v>3</v>
      </c>
      <c r="BG115">
        <v>2</v>
      </c>
      <c r="BH115">
        <v>0</v>
      </c>
      <c r="BI115">
        <v>3</v>
      </c>
      <c r="BJ115">
        <v>6</v>
      </c>
      <c r="BK115">
        <v>3</v>
      </c>
      <c r="BL115">
        <v>9</v>
      </c>
      <c r="BM115">
        <v>3</v>
      </c>
      <c r="BN115">
        <v>6</v>
      </c>
      <c r="BO115">
        <v>10</v>
      </c>
      <c r="BP115">
        <v>8</v>
      </c>
      <c r="BQ115">
        <v>8</v>
      </c>
      <c r="BR115">
        <v>5</v>
      </c>
      <c r="BS115">
        <v>3</v>
      </c>
      <c r="BT115">
        <v>7</v>
      </c>
      <c r="BU115">
        <v>7</v>
      </c>
      <c r="BV115">
        <v>10</v>
      </c>
      <c r="BW115">
        <v>6</v>
      </c>
      <c r="BX115">
        <v>7</v>
      </c>
      <c r="BY115">
        <v>6</v>
      </c>
      <c r="BZ115">
        <v>8</v>
      </c>
      <c r="CA115">
        <v>7</v>
      </c>
      <c r="CB115">
        <v>0</v>
      </c>
      <c r="CC115">
        <v>6</v>
      </c>
      <c r="CD115">
        <v>7</v>
      </c>
      <c r="CE115">
        <v>10</v>
      </c>
      <c r="CF115">
        <v>9</v>
      </c>
      <c r="CG115">
        <v>4</v>
      </c>
      <c r="CH115">
        <v>8</v>
      </c>
      <c r="CI115">
        <v>6</v>
      </c>
      <c r="CJ115">
        <v>5</v>
      </c>
      <c r="CK115">
        <v>10</v>
      </c>
      <c r="CL115">
        <v>1</v>
      </c>
      <c r="CM115">
        <v>10</v>
      </c>
      <c r="CN115">
        <v>5</v>
      </c>
      <c r="CO115">
        <v>4</v>
      </c>
      <c r="CP115">
        <v>2</v>
      </c>
      <c r="CQ115">
        <v>1</v>
      </c>
      <c r="CR115">
        <v>4</v>
      </c>
      <c r="CS115">
        <v>6</v>
      </c>
      <c r="CT115">
        <v>5</v>
      </c>
      <c r="CU115">
        <v>1</v>
      </c>
      <c r="CV115">
        <v>7</v>
      </c>
      <c r="CW115">
        <v>0</v>
      </c>
      <c r="CX115">
        <v>3</v>
      </c>
      <c r="CY115">
        <v>7</v>
      </c>
      <c r="CZ115">
        <v>9</v>
      </c>
      <c r="DA115">
        <v>0</v>
      </c>
      <c r="DB115">
        <v>6</v>
      </c>
      <c r="DC115">
        <v>6</v>
      </c>
      <c r="DD115">
        <v>8</v>
      </c>
      <c r="DE115">
        <v>3</v>
      </c>
      <c r="DF115">
        <v>2</v>
      </c>
      <c r="DG115">
        <v>10</v>
      </c>
      <c r="DH115">
        <v>1</v>
      </c>
      <c r="DI115">
        <v>2</v>
      </c>
      <c r="DJ115">
        <v>3</v>
      </c>
      <c r="DK115">
        <v>2</v>
      </c>
    </row>
    <row r="116" spans="1:115">
      <c r="A116" s="173">
        <f>Calculations[[#This Row],[Sum t eCO2]]*IF(Calculations[[#This Row],[GHG Scope]]="BIOGENIC",0,1)</f>
        <v>6.8137756466729797</v>
      </c>
      <c r="O116">
        <f t="shared" si="1"/>
        <v>115</v>
      </c>
      <c r="P116">
        <v>1</v>
      </c>
      <c r="Q116">
        <v>1</v>
      </c>
      <c r="R116">
        <v>1</v>
      </c>
      <c r="S116">
        <v>2</v>
      </c>
      <c r="T116">
        <v>6</v>
      </c>
      <c r="U116">
        <v>6</v>
      </c>
      <c r="V116">
        <v>4</v>
      </c>
      <c r="W116">
        <v>1</v>
      </c>
      <c r="X116">
        <v>5</v>
      </c>
      <c r="Y116">
        <v>8</v>
      </c>
      <c r="Z116">
        <v>2</v>
      </c>
      <c r="AA116">
        <v>0</v>
      </c>
      <c r="AB116">
        <v>4</v>
      </c>
      <c r="AC116">
        <v>4</v>
      </c>
      <c r="AD116">
        <v>4</v>
      </c>
      <c r="AE116">
        <v>4</v>
      </c>
      <c r="AF116">
        <v>3</v>
      </c>
      <c r="AG116">
        <v>7</v>
      </c>
      <c r="AH116">
        <v>9</v>
      </c>
      <c r="AI116">
        <v>0</v>
      </c>
      <c r="AJ116">
        <v>7</v>
      </c>
      <c r="AK116">
        <v>2</v>
      </c>
      <c r="AL116">
        <v>6</v>
      </c>
      <c r="AM116">
        <v>6</v>
      </c>
      <c r="AN116">
        <v>5</v>
      </c>
      <c r="AO116">
        <v>7</v>
      </c>
      <c r="AP116">
        <v>0</v>
      </c>
      <c r="AQ116">
        <v>0</v>
      </c>
      <c r="AR116">
        <v>10</v>
      </c>
      <c r="AS116">
        <v>1</v>
      </c>
      <c r="AT116">
        <v>5</v>
      </c>
      <c r="AU116">
        <v>10</v>
      </c>
      <c r="AV116">
        <v>4</v>
      </c>
      <c r="AW116">
        <v>4</v>
      </c>
      <c r="AX116">
        <v>3</v>
      </c>
      <c r="AY116">
        <v>8</v>
      </c>
      <c r="AZ116">
        <v>0</v>
      </c>
      <c r="BA116">
        <v>1</v>
      </c>
      <c r="BB116">
        <v>3</v>
      </c>
      <c r="BC116">
        <v>7</v>
      </c>
      <c r="BD116">
        <v>3</v>
      </c>
      <c r="BE116">
        <v>2</v>
      </c>
      <c r="BF116">
        <v>10</v>
      </c>
      <c r="BG116">
        <v>9</v>
      </c>
      <c r="BH116">
        <v>0</v>
      </c>
      <c r="BI116">
        <v>2</v>
      </c>
      <c r="BJ116">
        <v>10</v>
      </c>
      <c r="BK116">
        <v>9</v>
      </c>
      <c r="BL116">
        <v>10</v>
      </c>
      <c r="BM116">
        <v>7</v>
      </c>
      <c r="BN116">
        <v>0</v>
      </c>
      <c r="BO116">
        <v>9</v>
      </c>
      <c r="BP116">
        <v>5</v>
      </c>
      <c r="BQ116">
        <v>4</v>
      </c>
      <c r="BR116">
        <v>6</v>
      </c>
      <c r="BS116">
        <v>6</v>
      </c>
      <c r="BT116">
        <v>3</v>
      </c>
      <c r="BU116">
        <v>6</v>
      </c>
      <c r="BV116">
        <v>0</v>
      </c>
      <c r="BW116">
        <v>9</v>
      </c>
      <c r="BX116">
        <v>8</v>
      </c>
      <c r="BY116">
        <v>3</v>
      </c>
      <c r="BZ116">
        <v>2</v>
      </c>
      <c r="CA116">
        <v>4</v>
      </c>
      <c r="CB116">
        <v>1</v>
      </c>
      <c r="CC116">
        <v>9</v>
      </c>
      <c r="CD116">
        <v>1</v>
      </c>
      <c r="CE116">
        <v>8</v>
      </c>
      <c r="CF116">
        <v>7</v>
      </c>
      <c r="CG116">
        <v>4</v>
      </c>
      <c r="CH116">
        <v>1</v>
      </c>
      <c r="CI116">
        <v>2</v>
      </c>
      <c r="CJ116">
        <v>8</v>
      </c>
      <c r="CK116">
        <v>8</v>
      </c>
      <c r="CL116">
        <v>6</v>
      </c>
      <c r="CM116">
        <v>0</v>
      </c>
      <c r="CN116">
        <v>7</v>
      </c>
      <c r="CO116">
        <v>0</v>
      </c>
      <c r="CP116">
        <v>4</v>
      </c>
      <c r="CQ116">
        <v>9</v>
      </c>
      <c r="CR116">
        <v>6</v>
      </c>
      <c r="CS116">
        <v>8</v>
      </c>
      <c r="CT116">
        <v>9</v>
      </c>
      <c r="CU116">
        <v>2</v>
      </c>
      <c r="CV116">
        <v>1</v>
      </c>
      <c r="CW116">
        <v>3</v>
      </c>
      <c r="CX116">
        <v>8</v>
      </c>
      <c r="CY116">
        <v>8</v>
      </c>
      <c r="CZ116">
        <v>1</v>
      </c>
      <c r="DA116">
        <v>4</v>
      </c>
      <c r="DB116">
        <v>4</v>
      </c>
      <c r="DC116">
        <v>3</v>
      </c>
      <c r="DD116">
        <v>2</v>
      </c>
      <c r="DE116">
        <v>4</v>
      </c>
      <c r="DF116">
        <v>0</v>
      </c>
      <c r="DG116">
        <v>2</v>
      </c>
      <c r="DH116">
        <v>5</v>
      </c>
      <c r="DI116">
        <v>2</v>
      </c>
      <c r="DJ116">
        <v>3</v>
      </c>
      <c r="DK116">
        <v>6</v>
      </c>
    </row>
    <row r="117" spans="1:115">
      <c r="A117" s="173">
        <f>Calculations[[#This Row],[Sum t eCO2]]*IF(Calculations[[#This Row],[GHG Scope]]="BIOGENIC",0,1)</f>
        <v>1.355269213775147E-3</v>
      </c>
      <c r="O117">
        <f t="shared" si="1"/>
        <v>116</v>
      </c>
      <c r="P117">
        <v>3</v>
      </c>
      <c r="Q117">
        <v>0</v>
      </c>
      <c r="R117">
        <v>2</v>
      </c>
      <c r="S117">
        <v>1</v>
      </c>
      <c r="T117">
        <v>4</v>
      </c>
      <c r="U117">
        <v>10</v>
      </c>
      <c r="V117">
        <v>5</v>
      </c>
      <c r="W117">
        <v>3</v>
      </c>
      <c r="X117">
        <v>4</v>
      </c>
      <c r="Y117">
        <v>2</v>
      </c>
      <c r="Z117">
        <v>0</v>
      </c>
      <c r="AA117">
        <v>6</v>
      </c>
      <c r="AB117">
        <v>10</v>
      </c>
      <c r="AC117">
        <v>5</v>
      </c>
      <c r="AD117">
        <v>3</v>
      </c>
      <c r="AE117">
        <v>1</v>
      </c>
      <c r="AF117">
        <v>4</v>
      </c>
      <c r="AG117">
        <v>2</v>
      </c>
      <c r="AH117">
        <v>0</v>
      </c>
      <c r="AI117">
        <v>0</v>
      </c>
      <c r="AJ117">
        <v>6</v>
      </c>
      <c r="AK117">
        <v>9</v>
      </c>
      <c r="AL117">
        <v>0</v>
      </c>
      <c r="AM117">
        <v>5</v>
      </c>
      <c r="AN117">
        <v>3</v>
      </c>
      <c r="AO117">
        <v>6</v>
      </c>
      <c r="AP117">
        <v>6</v>
      </c>
      <c r="AQ117">
        <v>1</v>
      </c>
      <c r="AR117">
        <v>7</v>
      </c>
      <c r="AS117">
        <v>10</v>
      </c>
      <c r="AT117">
        <v>9</v>
      </c>
      <c r="AU117">
        <v>3</v>
      </c>
      <c r="AV117">
        <v>4</v>
      </c>
      <c r="AW117">
        <v>0</v>
      </c>
      <c r="AX117">
        <v>6</v>
      </c>
      <c r="AY117">
        <v>8</v>
      </c>
      <c r="AZ117">
        <v>6</v>
      </c>
      <c r="BA117">
        <v>6</v>
      </c>
      <c r="BB117">
        <v>3</v>
      </c>
      <c r="BC117">
        <v>9</v>
      </c>
      <c r="BD117">
        <v>0</v>
      </c>
      <c r="BE117">
        <v>8</v>
      </c>
      <c r="BF117">
        <v>0</v>
      </c>
      <c r="BG117">
        <v>9</v>
      </c>
      <c r="BH117">
        <v>2</v>
      </c>
      <c r="BI117">
        <v>1</v>
      </c>
      <c r="BJ117">
        <v>3</v>
      </c>
      <c r="BK117">
        <v>2</v>
      </c>
      <c r="BL117">
        <v>1</v>
      </c>
      <c r="BM117">
        <v>9</v>
      </c>
      <c r="BN117">
        <v>4</v>
      </c>
      <c r="BO117">
        <v>10</v>
      </c>
      <c r="BP117">
        <v>4</v>
      </c>
      <c r="BQ117">
        <v>5</v>
      </c>
      <c r="BR117">
        <v>4</v>
      </c>
      <c r="BS117">
        <v>6</v>
      </c>
      <c r="BT117">
        <v>10</v>
      </c>
      <c r="BU117">
        <v>10</v>
      </c>
      <c r="BV117">
        <v>10</v>
      </c>
      <c r="BW117">
        <v>9</v>
      </c>
      <c r="BX117">
        <v>7</v>
      </c>
      <c r="BY117">
        <v>3</v>
      </c>
      <c r="BZ117">
        <v>7</v>
      </c>
      <c r="CA117">
        <v>9</v>
      </c>
      <c r="CB117">
        <v>10</v>
      </c>
      <c r="CC117">
        <v>5</v>
      </c>
      <c r="CD117">
        <v>2</v>
      </c>
      <c r="CE117">
        <v>7</v>
      </c>
      <c r="CF117">
        <v>3</v>
      </c>
      <c r="CG117">
        <v>6</v>
      </c>
      <c r="CH117">
        <v>4</v>
      </c>
      <c r="CI117">
        <v>3</v>
      </c>
      <c r="CJ117">
        <v>4</v>
      </c>
      <c r="CK117">
        <v>3</v>
      </c>
      <c r="CL117">
        <v>5</v>
      </c>
      <c r="CM117">
        <v>8</v>
      </c>
      <c r="CN117">
        <v>10</v>
      </c>
      <c r="CO117">
        <v>3</v>
      </c>
      <c r="CP117">
        <v>9</v>
      </c>
      <c r="CQ117">
        <v>8</v>
      </c>
      <c r="CR117">
        <v>8</v>
      </c>
      <c r="CS117">
        <v>9</v>
      </c>
      <c r="CT117">
        <v>1</v>
      </c>
      <c r="CU117">
        <v>5</v>
      </c>
      <c r="CV117">
        <v>6</v>
      </c>
      <c r="CW117">
        <v>4</v>
      </c>
      <c r="CX117">
        <v>9</v>
      </c>
      <c r="CY117">
        <v>4</v>
      </c>
      <c r="CZ117">
        <v>3</v>
      </c>
      <c r="DA117">
        <v>0</v>
      </c>
      <c r="DB117">
        <v>10</v>
      </c>
      <c r="DC117">
        <v>9</v>
      </c>
      <c r="DD117">
        <v>4</v>
      </c>
      <c r="DE117">
        <v>7</v>
      </c>
      <c r="DF117">
        <v>1</v>
      </c>
      <c r="DG117">
        <v>4</v>
      </c>
      <c r="DH117">
        <v>8</v>
      </c>
      <c r="DI117">
        <v>3</v>
      </c>
      <c r="DJ117">
        <v>8</v>
      </c>
      <c r="DK117">
        <v>1</v>
      </c>
    </row>
    <row r="118" spans="1:115">
      <c r="A118" s="173">
        <f>Calculations[[#This Row],[Sum t eCO2]]*IF(Calculations[[#This Row],[GHG Scope]]="BIOGENIC",0,1)</f>
        <v>4.2818795458691425E-2</v>
      </c>
      <c r="O118">
        <f t="shared" si="1"/>
        <v>117</v>
      </c>
      <c r="P118">
        <v>0</v>
      </c>
      <c r="Q118">
        <v>0</v>
      </c>
      <c r="R118">
        <v>4</v>
      </c>
      <c r="S118">
        <v>4</v>
      </c>
      <c r="T118">
        <v>3</v>
      </c>
      <c r="U118">
        <v>9</v>
      </c>
      <c r="V118">
        <v>9</v>
      </c>
      <c r="W118">
        <v>0</v>
      </c>
      <c r="X118">
        <v>10</v>
      </c>
      <c r="Y118">
        <v>6</v>
      </c>
      <c r="Z118">
        <v>9</v>
      </c>
      <c r="AA118">
        <v>2</v>
      </c>
      <c r="AB118">
        <v>3</v>
      </c>
      <c r="AC118">
        <v>9</v>
      </c>
      <c r="AD118">
        <v>3</v>
      </c>
      <c r="AE118">
        <v>6</v>
      </c>
      <c r="AF118">
        <v>2</v>
      </c>
      <c r="AG118">
        <v>8</v>
      </c>
      <c r="AH118">
        <v>3</v>
      </c>
      <c r="AI118">
        <v>1</v>
      </c>
      <c r="AJ118">
        <v>0</v>
      </c>
      <c r="AK118">
        <v>9</v>
      </c>
      <c r="AL118">
        <v>6</v>
      </c>
      <c r="AM118">
        <v>9</v>
      </c>
      <c r="AN118">
        <v>2</v>
      </c>
      <c r="AO118">
        <v>1</v>
      </c>
      <c r="AP118">
        <v>9</v>
      </c>
      <c r="AQ118">
        <v>1</v>
      </c>
      <c r="AR118">
        <v>6</v>
      </c>
      <c r="AS118">
        <v>4</v>
      </c>
      <c r="AT118">
        <v>3</v>
      </c>
      <c r="AU118">
        <v>9</v>
      </c>
      <c r="AV118">
        <v>6</v>
      </c>
      <c r="AW118">
        <v>9</v>
      </c>
      <c r="AX118">
        <v>0</v>
      </c>
      <c r="AY118">
        <v>6</v>
      </c>
      <c r="AZ118">
        <v>8</v>
      </c>
      <c r="BA118">
        <v>8</v>
      </c>
      <c r="BB118">
        <v>0</v>
      </c>
      <c r="BC118">
        <v>2</v>
      </c>
      <c r="BD118">
        <v>1</v>
      </c>
      <c r="BE118">
        <v>0</v>
      </c>
      <c r="BF118">
        <v>7</v>
      </c>
      <c r="BG118">
        <v>8</v>
      </c>
      <c r="BH118">
        <v>4</v>
      </c>
      <c r="BI118">
        <v>3</v>
      </c>
      <c r="BJ118">
        <v>2</v>
      </c>
      <c r="BK118">
        <v>6</v>
      </c>
      <c r="BL118">
        <v>5</v>
      </c>
      <c r="BM118">
        <v>3</v>
      </c>
      <c r="BN118">
        <v>8</v>
      </c>
      <c r="BO118">
        <v>8</v>
      </c>
      <c r="BP118">
        <v>7</v>
      </c>
      <c r="BQ118">
        <v>5</v>
      </c>
      <c r="BR118">
        <v>1</v>
      </c>
      <c r="BS118">
        <v>8</v>
      </c>
      <c r="BT118">
        <v>6</v>
      </c>
      <c r="BU118">
        <v>0</v>
      </c>
      <c r="BV118">
        <v>6</v>
      </c>
      <c r="BW118">
        <v>9</v>
      </c>
      <c r="BX118">
        <v>0</v>
      </c>
      <c r="BY118">
        <v>1</v>
      </c>
      <c r="BZ118">
        <v>10</v>
      </c>
      <c r="CA118">
        <v>7</v>
      </c>
      <c r="CB118">
        <v>2</v>
      </c>
      <c r="CC118">
        <v>6</v>
      </c>
      <c r="CD118">
        <v>1</v>
      </c>
      <c r="CE118">
        <v>5</v>
      </c>
      <c r="CF118">
        <v>8</v>
      </c>
      <c r="CG118">
        <v>0</v>
      </c>
      <c r="CH118">
        <v>8</v>
      </c>
      <c r="CI118">
        <v>5</v>
      </c>
      <c r="CJ118">
        <v>1</v>
      </c>
      <c r="CK118">
        <v>5</v>
      </c>
      <c r="CL118">
        <v>8</v>
      </c>
      <c r="CM118">
        <v>3</v>
      </c>
      <c r="CN118">
        <v>2</v>
      </c>
      <c r="CO118">
        <v>10</v>
      </c>
      <c r="CP118">
        <v>7</v>
      </c>
      <c r="CQ118">
        <v>5</v>
      </c>
      <c r="CR118">
        <v>0</v>
      </c>
      <c r="CS118">
        <v>5</v>
      </c>
      <c r="CT118">
        <v>0</v>
      </c>
      <c r="CU118">
        <v>2</v>
      </c>
      <c r="CV118">
        <v>0</v>
      </c>
      <c r="CW118">
        <v>9</v>
      </c>
      <c r="CX118">
        <v>9</v>
      </c>
      <c r="CY118">
        <v>9</v>
      </c>
      <c r="CZ118">
        <v>2</v>
      </c>
      <c r="DA118">
        <v>9</v>
      </c>
      <c r="DB118">
        <v>8</v>
      </c>
      <c r="DC118">
        <v>5</v>
      </c>
      <c r="DD118">
        <v>6</v>
      </c>
      <c r="DE118">
        <v>10</v>
      </c>
      <c r="DF118">
        <v>8</v>
      </c>
      <c r="DG118">
        <v>6</v>
      </c>
      <c r="DH118">
        <v>7</v>
      </c>
      <c r="DI118">
        <v>8</v>
      </c>
      <c r="DJ118">
        <v>5</v>
      </c>
      <c r="DK118">
        <v>6</v>
      </c>
    </row>
    <row r="119" spans="1:115">
      <c r="A119" s="173">
        <f>Calculations[[#This Row],[Sum t eCO2]]*IF(Calculations[[#This Row],[GHG Scope]]="BIOGENIC",0,1)</f>
        <v>6201.6909742969938</v>
      </c>
      <c r="O119">
        <f t="shared" si="1"/>
        <v>118</v>
      </c>
      <c r="P119">
        <v>7</v>
      </c>
      <c r="Q119">
        <v>6</v>
      </c>
      <c r="R119">
        <v>8</v>
      </c>
      <c r="S119">
        <v>8</v>
      </c>
      <c r="T119">
        <v>6</v>
      </c>
      <c r="U119">
        <v>0</v>
      </c>
      <c r="V119">
        <v>5</v>
      </c>
      <c r="W119">
        <v>4</v>
      </c>
      <c r="X119">
        <v>2</v>
      </c>
      <c r="Y119">
        <v>3</v>
      </c>
      <c r="Z119">
        <v>7</v>
      </c>
      <c r="AA119">
        <v>8</v>
      </c>
      <c r="AB119">
        <v>7</v>
      </c>
      <c r="AC119">
        <v>0</v>
      </c>
      <c r="AD119">
        <v>9</v>
      </c>
      <c r="AE119">
        <v>6</v>
      </c>
      <c r="AF119">
        <v>1</v>
      </c>
      <c r="AG119">
        <v>0</v>
      </c>
      <c r="AH119">
        <v>0</v>
      </c>
      <c r="AI119">
        <v>6</v>
      </c>
      <c r="AJ119">
        <v>8</v>
      </c>
      <c r="AK119">
        <v>4</v>
      </c>
      <c r="AL119">
        <v>5</v>
      </c>
      <c r="AM119">
        <v>1</v>
      </c>
      <c r="AN119">
        <v>9</v>
      </c>
      <c r="AO119">
        <v>5</v>
      </c>
      <c r="AP119">
        <v>5</v>
      </c>
      <c r="AQ119">
        <v>0</v>
      </c>
      <c r="AR119">
        <v>8</v>
      </c>
      <c r="AS119">
        <v>3</v>
      </c>
      <c r="AT119">
        <v>10</v>
      </c>
      <c r="AU119">
        <v>1</v>
      </c>
      <c r="AV119">
        <v>10</v>
      </c>
      <c r="AW119">
        <v>6</v>
      </c>
      <c r="AX119">
        <v>6</v>
      </c>
      <c r="AY119">
        <v>10</v>
      </c>
      <c r="AZ119">
        <v>10</v>
      </c>
      <c r="BA119">
        <v>4</v>
      </c>
      <c r="BB119">
        <v>0</v>
      </c>
      <c r="BC119">
        <v>10</v>
      </c>
      <c r="BD119">
        <v>8</v>
      </c>
      <c r="BE119">
        <v>10</v>
      </c>
      <c r="BF119">
        <v>4</v>
      </c>
      <c r="BG119">
        <v>0</v>
      </c>
      <c r="BH119">
        <v>4</v>
      </c>
      <c r="BI119">
        <v>9</v>
      </c>
      <c r="BJ119">
        <v>2</v>
      </c>
      <c r="BK119">
        <v>4</v>
      </c>
      <c r="BL119">
        <v>6</v>
      </c>
      <c r="BM119">
        <v>2</v>
      </c>
      <c r="BN119">
        <v>2</v>
      </c>
      <c r="BO119">
        <v>2</v>
      </c>
      <c r="BP119">
        <v>5</v>
      </c>
      <c r="BQ119">
        <v>9</v>
      </c>
      <c r="BR119">
        <v>3</v>
      </c>
      <c r="BS119">
        <v>3</v>
      </c>
      <c r="BT119">
        <v>5</v>
      </c>
      <c r="BU119">
        <v>10</v>
      </c>
      <c r="BV119">
        <v>5</v>
      </c>
      <c r="BW119">
        <v>4</v>
      </c>
      <c r="BX119">
        <v>5</v>
      </c>
      <c r="BY119">
        <v>3</v>
      </c>
      <c r="BZ119">
        <v>6</v>
      </c>
      <c r="CA119">
        <v>1</v>
      </c>
      <c r="CB119">
        <v>8</v>
      </c>
      <c r="CC119">
        <v>5</v>
      </c>
      <c r="CD119">
        <v>0</v>
      </c>
      <c r="CE119">
        <v>8</v>
      </c>
      <c r="CF119">
        <v>4</v>
      </c>
      <c r="CG119">
        <v>0</v>
      </c>
      <c r="CH119">
        <v>9</v>
      </c>
      <c r="CI119">
        <v>6</v>
      </c>
      <c r="CJ119">
        <v>5</v>
      </c>
      <c r="CK119">
        <v>9</v>
      </c>
      <c r="CL119">
        <v>8</v>
      </c>
      <c r="CM119">
        <v>1</v>
      </c>
      <c r="CN119">
        <v>8</v>
      </c>
      <c r="CO119">
        <v>4</v>
      </c>
      <c r="CP119">
        <v>7</v>
      </c>
      <c r="CQ119">
        <v>9</v>
      </c>
      <c r="CR119">
        <v>8</v>
      </c>
      <c r="CS119">
        <v>5</v>
      </c>
      <c r="CT119">
        <v>1</v>
      </c>
      <c r="CU119">
        <v>7</v>
      </c>
      <c r="CV119">
        <v>2</v>
      </c>
      <c r="CW119">
        <v>7</v>
      </c>
      <c r="CX119">
        <v>8</v>
      </c>
      <c r="CY119">
        <v>1</v>
      </c>
      <c r="CZ119">
        <v>7</v>
      </c>
      <c r="DA119">
        <v>4</v>
      </c>
      <c r="DB119">
        <v>7</v>
      </c>
      <c r="DC119">
        <v>6</v>
      </c>
      <c r="DD119">
        <v>8</v>
      </c>
      <c r="DE119">
        <v>9</v>
      </c>
      <c r="DF119">
        <v>10</v>
      </c>
      <c r="DG119">
        <v>7</v>
      </c>
      <c r="DH119">
        <v>8</v>
      </c>
      <c r="DI119">
        <v>10</v>
      </c>
      <c r="DJ119">
        <v>3</v>
      </c>
      <c r="DK119">
        <v>3</v>
      </c>
    </row>
    <row r="120" spans="1:115">
      <c r="A120" s="173">
        <f>Calculations[[#This Row],[Sum t eCO2]]*IF(Calculations[[#This Row],[GHG Scope]]="BIOGENIC",0,1)</f>
        <v>31.976205829398648</v>
      </c>
      <c r="O120">
        <f t="shared" si="1"/>
        <v>119</v>
      </c>
      <c r="P120">
        <v>5</v>
      </c>
      <c r="Q120">
        <v>5</v>
      </c>
      <c r="R120">
        <v>2</v>
      </c>
      <c r="S120">
        <v>6</v>
      </c>
      <c r="T120">
        <v>6</v>
      </c>
      <c r="U120">
        <v>3</v>
      </c>
      <c r="V120">
        <v>3</v>
      </c>
      <c r="W120">
        <v>5</v>
      </c>
      <c r="X120">
        <v>10</v>
      </c>
      <c r="Y120">
        <v>6</v>
      </c>
      <c r="Z120">
        <v>6</v>
      </c>
      <c r="AA120">
        <v>2</v>
      </c>
      <c r="AB120">
        <v>7</v>
      </c>
      <c r="AC120">
        <v>3</v>
      </c>
      <c r="AD120">
        <v>2</v>
      </c>
      <c r="AE120">
        <v>1</v>
      </c>
      <c r="AF120">
        <v>3</v>
      </c>
      <c r="AG120">
        <v>4</v>
      </c>
      <c r="AH120">
        <v>7</v>
      </c>
      <c r="AI120">
        <v>3</v>
      </c>
      <c r="AJ120">
        <v>4</v>
      </c>
      <c r="AK120">
        <v>10</v>
      </c>
      <c r="AL120">
        <v>4</v>
      </c>
      <c r="AM120">
        <v>7</v>
      </c>
      <c r="AN120">
        <v>1</v>
      </c>
      <c r="AO120">
        <v>3</v>
      </c>
      <c r="AP120">
        <v>3</v>
      </c>
      <c r="AQ120">
        <v>4</v>
      </c>
      <c r="AR120">
        <v>5</v>
      </c>
      <c r="AS120">
        <v>4</v>
      </c>
      <c r="AT120">
        <v>4</v>
      </c>
      <c r="AU120">
        <v>3</v>
      </c>
      <c r="AV120">
        <v>7</v>
      </c>
      <c r="AW120">
        <v>3</v>
      </c>
      <c r="AX120">
        <v>4</v>
      </c>
      <c r="AY120">
        <v>4</v>
      </c>
      <c r="AZ120">
        <v>3</v>
      </c>
      <c r="BA120">
        <v>7</v>
      </c>
      <c r="BB120">
        <v>4</v>
      </c>
      <c r="BC120">
        <v>1</v>
      </c>
      <c r="BD120">
        <v>6</v>
      </c>
      <c r="BE120">
        <v>8</v>
      </c>
      <c r="BF120">
        <v>4</v>
      </c>
      <c r="BG120">
        <v>0</v>
      </c>
      <c r="BH120">
        <v>1</v>
      </c>
      <c r="BI120">
        <v>1</v>
      </c>
      <c r="BJ120">
        <v>1</v>
      </c>
      <c r="BK120">
        <v>7</v>
      </c>
      <c r="BL120">
        <v>8</v>
      </c>
      <c r="BM120">
        <v>1</v>
      </c>
      <c r="BN120">
        <v>3</v>
      </c>
      <c r="BO120">
        <v>3</v>
      </c>
      <c r="BP120">
        <v>4</v>
      </c>
      <c r="BQ120">
        <v>2</v>
      </c>
      <c r="BR120">
        <v>4</v>
      </c>
      <c r="BS120">
        <v>3</v>
      </c>
      <c r="BT120">
        <v>0</v>
      </c>
      <c r="BU120">
        <v>8</v>
      </c>
      <c r="BV120">
        <v>10</v>
      </c>
      <c r="BW120">
        <v>5</v>
      </c>
      <c r="BX120">
        <v>5</v>
      </c>
      <c r="BY120">
        <v>7</v>
      </c>
      <c r="BZ120">
        <v>10</v>
      </c>
      <c r="CA120">
        <v>3</v>
      </c>
      <c r="CB120">
        <v>9</v>
      </c>
      <c r="CC120">
        <v>9</v>
      </c>
      <c r="CD120">
        <v>2</v>
      </c>
      <c r="CE120">
        <v>7</v>
      </c>
      <c r="CF120">
        <v>7</v>
      </c>
      <c r="CG120">
        <v>7</v>
      </c>
      <c r="CH120">
        <v>2</v>
      </c>
      <c r="CI120">
        <v>10</v>
      </c>
      <c r="CJ120">
        <v>10</v>
      </c>
      <c r="CK120">
        <v>10</v>
      </c>
      <c r="CL120">
        <v>9</v>
      </c>
      <c r="CM120">
        <v>8</v>
      </c>
      <c r="CN120">
        <v>6</v>
      </c>
      <c r="CO120">
        <v>2</v>
      </c>
      <c r="CP120">
        <v>1</v>
      </c>
      <c r="CQ120">
        <v>6</v>
      </c>
      <c r="CR120">
        <v>6</v>
      </c>
      <c r="CS120">
        <v>7</v>
      </c>
      <c r="CT120">
        <v>2</v>
      </c>
      <c r="CU120">
        <v>5</v>
      </c>
      <c r="CV120">
        <v>4</v>
      </c>
      <c r="CW120">
        <v>8</v>
      </c>
      <c r="CX120">
        <v>3</v>
      </c>
      <c r="CY120">
        <v>2</v>
      </c>
      <c r="CZ120">
        <v>6</v>
      </c>
      <c r="DA120">
        <v>2</v>
      </c>
      <c r="DB120">
        <v>4</v>
      </c>
      <c r="DC120">
        <v>7</v>
      </c>
      <c r="DD120">
        <v>0</v>
      </c>
      <c r="DE120">
        <v>8</v>
      </c>
      <c r="DF120">
        <v>9</v>
      </c>
      <c r="DG120">
        <v>10</v>
      </c>
      <c r="DH120">
        <v>5</v>
      </c>
      <c r="DI120">
        <v>9</v>
      </c>
      <c r="DJ120">
        <v>5</v>
      </c>
      <c r="DK120">
        <v>10</v>
      </c>
    </row>
    <row r="121" spans="1:115">
      <c r="A121" s="173">
        <f>Calculations[[#This Row],[Sum t eCO2]]*IF(Calculations[[#This Row],[GHG Scope]]="BIOGENIC",0,1)</f>
        <v>3.4966457620920002E-2</v>
      </c>
      <c r="O121">
        <f t="shared" si="1"/>
        <v>120</v>
      </c>
      <c r="P121">
        <v>3</v>
      </c>
      <c r="Q121">
        <v>2</v>
      </c>
      <c r="R121">
        <v>9</v>
      </c>
      <c r="S121">
        <v>4</v>
      </c>
      <c r="T121">
        <v>2</v>
      </c>
      <c r="U121">
        <v>4</v>
      </c>
      <c r="V121">
        <v>8</v>
      </c>
      <c r="W121">
        <v>3</v>
      </c>
      <c r="X121">
        <v>9</v>
      </c>
      <c r="Y121">
        <v>3</v>
      </c>
      <c r="Z121">
        <v>4</v>
      </c>
      <c r="AA121">
        <v>1</v>
      </c>
      <c r="AB121">
        <v>6</v>
      </c>
      <c r="AC121">
        <v>10</v>
      </c>
      <c r="AD121">
        <v>4</v>
      </c>
      <c r="AE121">
        <v>1</v>
      </c>
      <c r="AF121">
        <v>8</v>
      </c>
      <c r="AG121">
        <v>9</v>
      </c>
      <c r="AH121">
        <v>0</v>
      </c>
      <c r="AI121">
        <v>7</v>
      </c>
      <c r="AJ121">
        <v>0</v>
      </c>
      <c r="AK121">
        <v>0</v>
      </c>
      <c r="AL121">
        <v>4</v>
      </c>
      <c r="AM121">
        <v>6</v>
      </c>
      <c r="AN121">
        <v>4</v>
      </c>
      <c r="AO121">
        <v>4</v>
      </c>
      <c r="AP121">
        <v>7</v>
      </c>
      <c r="AQ121">
        <v>10</v>
      </c>
      <c r="AR121">
        <v>7</v>
      </c>
      <c r="AS121">
        <v>1</v>
      </c>
      <c r="AT121">
        <v>7</v>
      </c>
      <c r="AU121">
        <v>1</v>
      </c>
      <c r="AV121">
        <v>1</v>
      </c>
      <c r="AW121">
        <v>9</v>
      </c>
      <c r="AX121">
        <v>0</v>
      </c>
      <c r="AY121">
        <v>7</v>
      </c>
      <c r="AZ121">
        <v>10</v>
      </c>
      <c r="BA121">
        <v>0</v>
      </c>
      <c r="BB121">
        <v>7</v>
      </c>
      <c r="BC121">
        <v>0</v>
      </c>
      <c r="BD121">
        <v>7</v>
      </c>
      <c r="BE121">
        <v>8</v>
      </c>
      <c r="BF121">
        <v>5</v>
      </c>
      <c r="BG121">
        <v>10</v>
      </c>
      <c r="BH121">
        <v>2</v>
      </c>
      <c r="BI121">
        <v>9</v>
      </c>
      <c r="BJ121">
        <v>2</v>
      </c>
      <c r="BK121">
        <v>1</v>
      </c>
      <c r="BL121">
        <v>5</v>
      </c>
      <c r="BM121">
        <v>4</v>
      </c>
      <c r="BN121">
        <v>7</v>
      </c>
      <c r="BO121">
        <v>0</v>
      </c>
      <c r="BP121">
        <v>10</v>
      </c>
      <c r="BQ121">
        <v>4</v>
      </c>
      <c r="BR121">
        <v>9</v>
      </c>
      <c r="BS121">
        <v>5</v>
      </c>
      <c r="BT121">
        <v>2</v>
      </c>
      <c r="BU121">
        <v>7</v>
      </c>
      <c r="BV121">
        <v>5</v>
      </c>
      <c r="BW121">
        <v>9</v>
      </c>
      <c r="BX121">
        <v>4</v>
      </c>
      <c r="BY121">
        <v>10</v>
      </c>
      <c r="BZ121">
        <v>6</v>
      </c>
      <c r="CA121">
        <v>7</v>
      </c>
      <c r="CB121">
        <v>9</v>
      </c>
      <c r="CC121">
        <v>5</v>
      </c>
      <c r="CD121">
        <v>3</v>
      </c>
      <c r="CE121">
        <v>8</v>
      </c>
      <c r="CF121">
        <v>0</v>
      </c>
      <c r="CG121">
        <v>5</v>
      </c>
      <c r="CH121">
        <v>6</v>
      </c>
      <c r="CI121">
        <v>0</v>
      </c>
      <c r="CJ121">
        <v>2</v>
      </c>
      <c r="CK121">
        <v>0</v>
      </c>
      <c r="CL121">
        <v>9</v>
      </c>
      <c r="CM121">
        <v>1</v>
      </c>
      <c r="CN121">
        <v>5</v>
      </c>
      <c r="CO121">
        <v>0</v>
      </c>
      <c r="CP121">
        <v>8</v>
      </c>
      <c r="CQ121">
        <v>9</v>
      </c>
      <c r="CR121">
        <v>4</v>
      </c>
      <c r="CS121">
        <v>7</v>
      </c>
      <c r="CT121">
        <v>8</v>
      </c>
      <c r="CU121">
        <v>1</v>
      </c>
      <c r="CV121">
        <v>7</v>
      </c>
      <c r="CW121">
        <v>9</v>
      </c>
      <c r="CX121">
        <v>4</v>
      </c>
      <c r="CY121">
        <v>6</v>
      </c>
      <c r="CZ121">
        <v>10</v>
      </c>
      <c r="DA121">
        <v>8</v>
      </c>
      <c r="DB121">
        <v>8</v>
      </c>
      <c r="DC121">
        <v>4</v>
      </c>
      <c r="DD121">
        <v>7</v>
      </c>
      <c r="DE121">
        <v>3</v>
      </c>
      <c r="DF121">
        <v>8</v>
      </c>
      <c r="DG121">
        <v>0</v>
      </c>
      <c r="DH121">
        <v>6</v>
      </c>
      <c r="DI121">
        <v>8</v>
      </c>
      <c r="DJ121">
        <v>6</v>
      </c>
      <c r="DK121">
        <v>7</v>
      </c>
    </row>
    <row r="122" spans="1:115">
      <c r="A122" s="173">
        <f>Calculations[[#This Row],[Sum t eCO2]]*IF(Calculations[[#This Row],[GHG Scope]]="BIOGENIC",0,1)</f>
        <v>6.6186509068170002E-2</v>
      </c>
      <c r="O122">
        <f t="shared" si="1"/>
        <v>121</v>
      </c>
      <c r="P122">
        <v>4</v>
      </c>
      <c r="Q122">
        <v>5</v>
      </c>
      <c r="R122">
        <v>6</v>
      </c>
      <c r="S122">
        <v>9</v>
      </c>
      <c r="T122">
        <v>8</v>
      </c>
      <c r="U122">
        <v>7</v>
      </c>
      <c r="V122">
        <v>7</v>
      </c>
      <c r="W122">
        <v>0</v>
      </c>
      <c r="X122">
        <v>3</v>
      </c>
      <c r="Y122">
        <v>9</v>
      </c>
      <c r="Z122">
        <v>0</v>
      </c>
      <c r="AA122">
        <v>7</v>
      </c>
      <c r="AB122">
        <v>4</v>
      </c>
      <c r="AC122">
        <v>10</v>
      </c>
      <c r="AD122">
        <v>0</v>
      </c>
      <c r="AE122">
        <v>1</v>
      </c>
      <c r="AF122">
        <v>1</v>
      </c>
      <c r="AG122">
        <v>5</v>
      </c>
      <c r="AH122">
        <v>3</v>
      </c>
      <c r="AI122">
        <v>0</v>
      </c>
      <c r="AJ122">
        <v>1</v>
      </c>
      <c r="AK122">
        <v>7</v>
      </c>
      <c r="AL122">
        <v>2</v>
      </c>
      <c r="AM122">
        <v>4</v>
      </c>
      <c r="AN122">
        <v>3</v>
      </c>
      <c r="AO122">
        <v>9</v>
      </c>
      <c r="AP122">
        <v>5</v>
      </c>
      <c r="AQ122">
        <v>8</v>
      </c>
      <c r="AR122">
        <v>5</v>
      </c>
      <c r="AS122">
        <v>8</v>
      </c>
      <c r="AT122">
        <v>5</v>
      </c>
      <c r="AU122">
        <v>8</v>
      </c>
      <c r="AV122">
        <v>3</v>
      </c>
      <c r="AW122">
        <v>7</v>
      </c>
      <c r="AX122">
        <v>9</v>
      </c>
      <c r="AY122">
        <v>9</v>
      </c>
      <c r="AZ122">
        <v>7</v>
      </c>
      <c r="BA122">
        <v>6</v>
      </c>
      <c r="BB122">
        <v>10</v>
      </c>
      <c r="BC122">
        <v>5</v>
      </c>
      <c r="BD122">
        <v>7</v>
      </c>
      <c r="BE122">
        <v>9</v>
      </c>
      <c r="BF122">
        <v>0</v>
      </c>
      <c r="BG122">
        <v>0</v>
      </c>
      <c r="BH122">
        <v>5</v>
      </c>
      <c r="BI122">
        <v>4</v>
      </c>
      <c r="BJ122">
        <v>0</v>
      </c>
      <c r="BK122">
        <v>3</v>
      </c>
      <c r="BL122">
        <v>9</v>
      </c>
      <c r="BM122">
        <v>6</v>
      </c>
      <c r="BN122">
        <v>1</v>
      </c>
      <c r="BO122">
        <v>8</v>
      </c>
      <c r="BP122">
        <v>1</v>
      </c>
      <c r="BQ122">
        <v>8</v>
      </c>
      <c r="BR122">
        <v>4</v>
      </c>
      <c r="BS122">
        <v>9</v>
      </c>
      <c r="BT122">
        <v>3</v>
      </c>
      <c r="BU122">
        <v>10</v>
      </c>
      <c r="BV122">
        <v>6</v>
      </c>
      <c r="BW122">
        <v>3</v>
      </c>
      <c r="BX122">
        <v>5</v>
      </c>
      <c r="BY122">
        <v>7</v>
      </c>
      <c r="BZ122">
        <v>6</v>
      </c>
      <c r="CA122">
        <v>2</v>
      </c>
      <c r="CB122">
        <v>0</v>
      </c>
      <c r="CC122">
        <v>6</v>
      </c>
      <c r="CD122">
        <v>10</v>
      </c>
      <c r="CE122">
        <v>5</v>
      </c>
      <c r="CF122">
        <v>3</v>
      </c>
      <c r="CG122">
        <v>8</v>
      </c>
      <c r="CH122">
        <v>5</v>
      </c>
      <c r="CI122">
        <v>0</v>
      </c>
      <c r="CJ122">
        <v>5</v>
      </c>
      <c r="CK122">
        <v>1</v>
      </c>
      <c r="CL122">
        <v>5</v>
      </c>
      <c r="CM122">
        <v>7</v>
      </c>
      <c r="CN122">
        <v>1</v>
      </c>
      <c r="CO122">
        <v>4</v>
      </c>
      <c r="CP122">
        <v>0</v>
      </c>
      <c r="CQ122">
        <v>1</v>
      </c>
      <c r="CR122">
        <v>10</v>
      </c>
      <c r="CS122">
        <v>9</v>
      </c>
      <c r="CT122">
        <v>2</v>
      </c>
      <c r="CU122">
        <v>4</v>
      </c>
      <c r="CV122">
        <v>0</v>
      </c>
      <c r="CW122">
        <v>2</v>
      </c>
      <c r="CX122">
        <v>5</v>
      </c>
      <c r="CY122">
        <v>9</v>
      </c>
      <c r="CZ122">
        <v>9</v>
      </c>
      <c r="DA122">
        <v>2</v>
      </c>
      <c r="DB122">
        <v>7</v>
      </c>
      <c r="DC122">
        <v>4</v>
      </c>
      <c r="DD122">
        <v>2</v>
      </c>
      <c r="DE122">
        <v>5</v>
      </c>
      <c r="DF122">
        <v>0</v>
      </c>
      <c r="DG122">
        <v>2</v>
      </c>
      <c r="DH122">
        <v>1</v>
      </c>
      <c r="DI122">
        <v>6</v>
      </c>
      <c r="DJ122">
        <v>5</v>
      </c>
      <c r="DK122">
        <v>4</v>
      </c>
    </row>
    <row r="123" spans="1:115">
      <c r="A123" s="173">
        <f>Calculations[[#This Row],[Sum t eCO2]]*IF(Calculations[[#This Row],[GHG Scope]]="BIOGENIC",0,1)</f>
        <v>4.8572085945430867</v>
      </c>
      <c r="O123">
        <f t="shared" si="1"/>
        <v>122</v>
      </c>
      <c r="P123">
        <v>2</v>
      </c>
      <c r="Q123">
        <v>5</v>
      </c>
      <c r="R123">
        <v>7</v>
      </c>
      <c r="S123">
        <v>0</v>
      </c>
      <c r="T123">
        <v>6</v>
      </c>
      <c r="U123">
        <v>0</v>
      </c>
      <c r="V123">
        <v>2</v>
      </c>
      <c r="W123">
        <v>4</v>
      </c>
      <c r="X123">
        <v>3</v>
      </c>
      <c r="Y123">
        <v>10</v>
      </c>
      <c r="Z123">
        <v>9</v>
      </c>
      <c r="AA123">
        <v>2</v>
      </c>
      <c r="AB123">
        <v>5</v>
      </c>
      <c r="AC123">
        <v>8</v>
      </c>
      <c r="AD123">
        <v>3</v>
      </c>
      <c r="AE123">
        <v>6</v>
      </c>
      <c r="AF123">
        <v>9</v>
      </c>
      <c r="AG123">
        <v>3</v>
      </c>
      <c r="AH123">
        <v>9</v>
      </c>
      <c r="AI123">
        <v>6</v>
      </c>
      <c r="AJ123">
        <v>7</v>
      </c>
      <c r="AK123">
        <v>4</v>
      </c>
      <c r="AL123">
        <v>4</v>
      </c>
      <c r="AM123">
        <v>0</v>
      </c>
      <c r="AN123">
        <v>7</v>
      </c>
      <c r="AO123">
        <v>8</v>
      </c>
      <c r="AP123">
        <v>4</v>
      </c>
      <c r="AQ123">
        <v>6</v>
      </c>
      <c r="AR123">
        <v>4</v>
      </c>
      <c r="AS123">
        <v>6</v>
      </c>
      <c r="AT123">
        <v>2</v>
      </c>
      <c r="AU123">
        <v>5</v>
      </c>
      <c r="AV123">
        <v>0</v>
      </c>
      <c r="AW123">
        <v>2</v>
      </c>
      <c r="AX123">
        <v>10</v>
      </c>
      <c r="AY123">
        <v>2</v>
      </c>
      <c r="AZ123">
        <v>1</v>
      </c>
      <c r="BA123">
        <v>10</v>
      </c>
      <c r="BB123">
        <v>9</v>
      </c>
      <c r="BC123">
        <v>1</v>
      </c>
      <c r="BD123">
        <v>4</v>
      </c>
      <c r="BE123">
        <v>1</v>
      </c>
      <c r="BF123">
        <v>7</v>
      </c>
      <c r="BG123">
        <v>1</v>
      </c>
      <c r="BH123">
        <v>9</v>
      </c>
      <c r="BI123">
        <v>7</v>
      </c>
      <c r="BJ123">
        <v>3</v>
      </c>
      <c r="BK123">
        <v>6</v>
      </c>
      <c r="BL123">
        <v>8</v>
      </c>
      <c r="BM123">
        <v>7</v>
      </c>
      <c r="BN123">
        <v>10</v>
      </c>
      <c r="BO123">
        <v>2</v>
      </c>
      <c r="BP123">
        <v>3</v>
      </c>
      <c r="BQ123">
        <v>1</v>
      </c>
      <c r="BR123">
        <v>9</v>
      </c>
      <c r="BS123">
        <v>9</v>
      </c>
      <c r="BT123">
        <v>1</v>
      </c>
      <c r="BU123">
        <v>1</v>
      </c>
      <c r="BV123">
        <v>0</v>
      </c>
      <c r="BW123">
        <v>8</v>
      </c>
      <c r="BX123">
        <v>2</v>
      </c>
      <c r="BY123">
        <v>8</v>
      </c>
      <c r="BZ123">
        <v>9</v>
      </c>
      <c r="CA123">
        <v>10</v>
      </c>
      <c r="CB123">
        <v>8</v>
      </c>
      <c r="CC123">
        <v>8</v>
      </c>
      <c r="CD123">
        <v>4</v>
      </c>
      <c r="CE123">
        <v>6</v>
      </c>
      <c r="CF123">
        <v>6</v>
      </c>
      <c r="CG123">
        <v>6</v>
      </c>
      <c r="CH123">
        <v>8</v>
      </c>
      <c r="CI123">
        <v>8</v>
      </c>
      <c r="CJ123">
        <v>10</v>
      </c>
      <c r="CK123">
        <v>2</v>
      </c>
      <c r="CL123">
        <v>6</v>
      </c>
      <c r="CM123">
        <v>4</v>
      </c>
      <c r="CN123">
        <v>0</v>
      </c>
      <c r="CO123">
        <v>8</v>
      </c>
      <c r="CP123">
        <v>7</v>
      </c>
      <c r="CQ123">
        <v>3</v>
      </c>
      <c r="CR123">
        <v>7</v>
      </c>
      <c r="CS123">
        <v>0</v>
      </c>
      <c r="CT123">
        <v>4</v>
      </c>
      <c r="CU123">
        <v>7</v>
      </c>
      <c r="CV123">
        <v>3</v>
      </c>
      <c r="CW123">
        <v>4</v>
      </c>
      <c r="CX123">
        <v>9</v>
      </c>
      <c r="CY123">
        <v>9</v>
      </c>
      <c r="CZ123">
        <v>8</v>
      </c>
      <c r="DA123">
        <v>3</v>
      </c>
      <c r="DB123">
        <v>10</v>
      </c>
      <c r="DC123">
        <v>6</v>
      </c>
      <c r="DD123">
        <v>3</v>
      </c>
      <c r="DE123">
        <v>9</v>
      </c>
      <c r="DF123">
        <v>10</v>
      </c>
      <c r="DG123">
        <v>6</v>
      </c>
      <c r="DH123">
        <v>4</v>
      </c>
      <c r="DI123">
        <v>8</v>
      </c>
      <c r="DJ123">
        <v>7</v>
      </c>
      <c r="DK123">
        <v>4</v>
      </c>
    </row>
    <row r="124" spans="1:115">
      <c r="A124" s="173">
        <f>Calculations[[#This Row],[Sum t eCO2]]*IF(Calculations[[#This Row],[GHG Scope]]="BIOGENIC",0,1)</f>
        <v>5.3595578400000001E-3</v>
      </c>
      <c r="O124">
        <f t="shared" si="1"/>
        <v>123</v>
      </c>
      <c r="P124">
        <v>6</v>
      </c>
      <c r="Q124">
        <v>0</v>
      </c>
      <c r="R124">
        <v>9</v>
      </c>
      <c r="S124">
        <v>6</v>
      </c>
      <c r="T124">
        <v>5</v>
      </c>
      <c r="U124">
        <v>2</v>
      </c>
      <c r="V124">
        <v>5</v>
      </c>
      <c r="W124">
        <v>5</v>
      </c>
      <c r="X124">
        <v>4</v>
      </c>
      <c r="Y124">
        <v>4</v>
      </c>
      <c r="Z124">
        <v>2</v>
      </c>
      <c r="AA124">
        <v>10</v>
      </c>
      <c r="AB124">
        <v>0</v>
      </c>
      <c r="AC124">
        <v>10</v>
      </c>
      <c r="AD124">
        <v>10</v>
      </c>
      <c r="AE124">
        <v>9</v>
      </c>
      <c r="AF124">
        <v>1</v>
      </c>
      <c r="AG124">
        <v>1</v>
      </c>
      <c r="AH124">
        <v>2</v>
      </c>
      <c r="AI124">
        <v>7</v>
      </c>
      <c r="AJ124">
        <v>3</v>
      </c>
      <c r="AK124">
        <v>6</v>
      </c>
      <c r="AL124">
        <v>10</v>
      </c>
      <c r="AM124">
        <v>6</v>
      </c>
      <c r="AN124">
        <v>2</v>
      </c>
      <c r="AO124">
        <v>0</v>
      </c>
      <c r="AP124">
        <v>2</v>
      </c>
      <c r="AQ124">
        <v>9</v>
      </c>
      <c r="AR124">
        <v>1</v>
      </c>
      <c r="AS124">
        <v>8</v>
      </c>
      <c r="AT124">
        <v>8</v>
      </c>
      <c r="AU124">
        <v>2</v>
      </c>
      <c r="AV124">
        <v>3</v>
      </c>
      <c r="AW124">
        <v>5</v>
      </c>
      <c r="AX124">
        <v>10</v>
      </c>
      <c r="AY124">
        <v>4</v>
      </c>
      <c r="AZ124">
        <v>8</v>
      </c>
      <c r="BA124">
        <v>1</v>
      </c>
      <c r="BB124">
        <v>4</v>
      </c>
      <c r="BC124">
        <v>7</v>
      </c>
      <c r="BD124">
        <v>0</v>
      </c>
      <c r="BE124">
        <v>10</v>
      </c>
      <c r="BF124">
        <v>8</v>
      </c>
      <c r="BG124">
        <v>9</v>
      </c>
      <c r="BH124">
        <v>9</v>
      </c>
      <c r="BI124">
        <v>8</v>
      </c>
      <c r="BJ124">
        <v>2</v>
      </c>
      <c r="BK124">
        <v>10</v>
      </c>
      <c r="BL124">
        <v>0</v>
      </c>
      <c r="BM124">
        <v>7</v>
      </c>
      <c r="BN124">
        <v>6</v>
      </c>
      <c r="BO124">
        <v>2</v>
      </c>
      <c r="BP124">
        <v>5</v>
      </c>
      <c r="BQ124">
        <v>8</v>
      </c>
      <c r="BR124">
        <v>10</v>
      </c>
      <c r="BS124">
        <v>0</v>
      </c>
      <c r="BT124">
        <v>4</v>
      </c>
      <c r="BU124">
        <v>4</v>
      </c>
      <c r="BV124">
        <v>4</v>
      </c>
      <c r="BW124">
        <v>6</v>
      </c>
      <c r="BX124">
        <v>0</v>
      </c>
      <c r="BY124">
        <v>2</v>
      </c>
      <c r="BZ124">
        <v>0</v>
      </c>
      <c r="CA124">
        <v>7</v>
      </c>
      <c r="CB124">
        <v>6</v>
      </c>
      <c r="CC124">
        <v>8</v>
      </c>
      <c r="CD124">
        <v>10</v>
      </c>
      <c r="CE124">
        <v>3</v>
      </c>
      <c r="CF124">
        <v>0</v>
      </c>
      <c r="CG124">
        <v>4</v>
      </c>
      <c r="CH124">
        <v>2</v>
      </c>
      <c r="CI124">
        <v>4</v>
      </c>
      <c r="CJ124">
        <v>1</v>
      </c>
      <c r="CK124">
        <v>3</v>
      </c>
      <c r="CL124">
        <v>1</v>
      </c>
      <c r="CM124">
        <v>6</v>
      </c>
      <c r="CN124">
        <v>2</v>
      </c>
      <c r="CO124">
        <v>2</v>
      </c>
      <c r="CP124">
        <v>8</v>
      </c>
      <c r="CQ124">
        <v>9</v>
      </c>
      <c r="CR124">
        <v>2</v>
      </c>
      <c r="CS124">
        <v>2</v>
      </c>
      <c r="CT124">
        <v>1</v>
      </c>
      <c r="CU124">
        <v>3</v>
      </c>
      <c r="CV124">
        <v>6</v>
      </c>
      <c r="CW124">
        <v>2</v>
      </c>
      <c r="CX124">
        <v>6</v>
      </c>
      <c r="CY124">
        <v>1</v>
      </c>
      <c r="CZ124">
        <v>3</v>
      </c>
      <c r="DA124">
        <v>7</v>
      </c>
      <c r="DB124">
        <v>0</v>
      </c>
      <c r="DC124">
        <v>3</v>
      </c>
      <c r="DD124">
        <v>6</v>
      </c>
      <c r="DE124">
        <v>0</v>
      </c>
      <c r="DF124">
        <v>4</v>
      </c>
      <c r="DG124">
        <v>0</v>
      </c>
      <c r="DH124">
        <v>10</v>
      </c>
      <c r="DI124">
        <v>2</v>
      </c>
      <c r="DJ124">
        <v>10</v>
      </c>
      <c r="DK124">
        <v>7</v>
      </c>
    </row>
    <row r="125" spans="1:115">
      <c r="A125" s="173">
        <f>Calculations[[#This Row],[Sum t eCO2]]*IF(Calculations[[#This Row],[GHG Scope]]="BIOGENIC",0,1)</f>
        <v>1.0144877339999999E-2</v>
      </c>
      <c r="O125">
        <f t="shared" si="1"/>
        <v>124</v>
      </c>
      <c r="P125">
        <v>1</v>
      </c>
      <c r="Q125">
        <v>6</v>
      </c>
      <c r="R125">
        <v>6</v>
      </c>
      <c r="S125">
        <v>3</v>
      </c>
      <c r="T125">
        <v>3</v>
      </c>
      <c r="U125">
        <v>9</v>
      </c>
      <c r="V125">
        <v>2</v>
      </c>
      <c r="W125">
        <v>7</v>
      </c>
      <c r="X125">
        <v>1</v>
      </c>
      <c r="Y125">
        <v>9</v>
      </c>
      <c r="Z125">
        <v>1</v>
      </c>
      <c r="AA125">
        <v>1</v>
      </c>
      <c r="AB125">
        <v>7</v>
      </c>
      <c r="AC125">
        <v>7</v>
      </c>
      <c r="AD125">
        <v>0</v>
      </c>
      <c r="AE125">
        <v>2</v>
      </c>
      <c r="AF125">
        <v>4</v>
      </c>
      <c r="AG125">
        <v>1</v>
      </c>
      <c r="AH125">
        <v>5</v>
      </c>
      <c r="AI125">
        <v>2</v>
      </c>
      <c r="AJ125">
        <v>9</v>
      </c>
      <c r="AK125">
        <v>1</v>
      </c>
      <c r="AL125">
        <v>8</v>
      </c>
      <c r="AM125">
        <v>1</v>
      </c>
      <c r="AN125">
        <v>6</v>
      </c>
      <c r="AO125">
        <v>9</v>
      </c>
      <c r="AP125">
        <v>1</v>
      </c>
      <c r="AQ125">
        <v>9</v>
      </c>
      <c r="AR125">
        <v>5</v>
      </c>
      <c r="AS125">
        <v>4</v>
      </c>
      <c r="AT125">
        <v>0</v>
      </c>
      <c r="AU125">
        <v>2</v>
      </c>
      <c r="AV125">
        <v>3</v>
      </c>
      <c r="AW125">
        <v>6</v>
      </c>
      <c r="AX125">
        <v>5</v>
      </c>
      <c r="AY125">
        <v>4</v>
      </c>
      <c r="AZ125">
        <v>8</v>
      </c>
      <c r="BA125">
        <v>2</v>
      </c>
      <c r="BB125">
        <v>10</v>
      </c>
      <c r="BC125">
        <v>3</v>
      </c>
      <c r="BD125">
        <v>5</v>
      </c>
      <c r="BE125">
        <v>7</v>
      </c>
      <c r="BF125">
        <v>1</v>
      </c>
      <c r="BG125">
        <v>1</v>
      </c>
      <c r="BH125">
        <v>5</v>
      </c>
      <c r="BI125">
        <v>0</v>
      </c>
      <c r="BJ125">
        <v>2</v>
      </c>
      <c r="BK125">
        <v>5</v>
      </c>
      <c r="BL125">
        <v>2</v>
      </c>
      <c r="BM125">
        <v>7</v>
      </c>
      <c r="BN125">
        <v>10</v>
      </c>
      <c r="BO125">
        <v>6</v>
      </c>
      <c r="BP125">
        <v>6</v>
      </c>
      <c r="BQ125">
        <v>4</v>
      </c>
      <c r="BR125">
        <v>5</v>
      </c>
      <c r="BS125">
        <v>6</v>
      </c>
      <c r="BT125">
        <v>7</v>
      </c>
      <c r="BU125">
        <v>4</v>
      </c>
      <c r="BV125">
        <v>9</v>
      </c>
      <c r="BW125">
        <v>10</v>
      </c>
      <c r="BX125">
        <v>0</v>
      </c>
      <c r="BY125">
        <v>4</v>
      </c>
      <c r="BZ125">
        <v>2</v>
      </c>
      <c r="CA125">
        <v>3</v>
      </c>
      <c r="CB125">
        <v>3</v>
      </c>
      <c r="CC125">
        <v>4</v>
      </c>
      <c r="CD125">
        <v>9</v>
      </c>
      <c r="CE125">
        <v>5</v>
      </c>
      <c r="CF125">
        <v>5</v>
      </c>
      <c r="CG125">
        <v>0</v>
      </c>
      <c r="CH125">
        <v>7</v>
      </c>
      <c r="CI125">
        <v>0</v>
      </c>
      <c r="CJ125">
        <v>9</v>
      </c>
      <c r="CK125">
        <v>8</v>
      </c>
      <c r="CL125">
        <v>0</v>
      </c>
      <c r="CM125">
        <v>6</v>
      </c>
      <c r="CN125">
        <v>7</v>
      </c>
      <c r="CO125">
        <v>8</v>
      </c>
      <c r="CP125">
        <v>1</v>
      </c>
      <c r="CQ125">
        <v>6</v>
      </c>
      <c r="CR125">
        <v>2</v>
      </c>
      <c r="CS125">
        <v>4</v>
      </c>
      <c r="CT125">
        <v>3</v>
      </c>
      <c r="CU125">
        <v>0</v>
      </c>
      <c r="CV125">
        <v>6</v>
      </c>
      <c r="CW125">
        <v>10</v>
      </c>
      <c r="CX125">
        <v>1</v>
      </c>
      <c r="CY125">
        <v>9</v>
      </c>
      <c r="CZ125">
        <v>9</v>
      </c>
      <c r="DA125">
        <v>7</v>
      </c>
      <c r="DB125">
        <v>4</v>
      </c>
      <c r="DC125">
        <v>3</v>
      </c>
      <c r="DD125">
        <v>2</v>
      </c>
      <c r="DE125">
        <v>8</v>
      </c>
      <c r="DF125">
        <v>0</v>
      </c>
      <c r="DG125">
        <v>5</v>
      </c>
      <c r="DH125">
        <v>5</v>
      </c>
      <c r="DI125">
        <v>10</v>
      </c>
      <c r="DJ125">
        <v>3</v>
      </c>
      <c r="DK125">
        <v>0</v>
      </c>
    </row>
    <row r="126" spans="1:115">
      <c r="A126" s="173">
        <f>Calculations[[#This Row],[Sum t eCO2]]*IF(Calculations[[#This Row],[GHG Scope]]="BIOGENIC",0,1)</f>
        <v>25.673520716455773</v>
      </c>
      <c r="O126">
        <f t="shared" si="1"/>
        <v>125</v>
      </c>
      <c r="P126">
        <v>7</v>
      </c>
      <c r="Q126">
        <v>5</v>
      </c>
      <c r="R126">
        <v>8</v>
      </c>
      <c r="S126">
        <v>1</v>
      </c>
      <c r="T126">
        <v>9</v>
      </c>
      <c r="U126">
        <v>8</v>
      </c>
      <c r="V126">
        <v>1</v>
      </c>
      <c r="W126">
        <v>3</v>
      </c>
      <c r="X126">
        <v>1</v>
      </c>
      <c r="Y126">
        <v>4</v>
      </c>
      <c r="Z126">
        <v>8</v>
      </c>
      <c r="AA126">
        <v>7</v>
      </c>
      <c r="AB126">
        <v>6</v>
      </c>
      <c r="AC126">
        <v>5</v>
      </c>
      <c r="AD126">
        <v>9</v>
      </c>
      <c r="AE126">
        <v>1</v>
      </c>
      <c r="AF126">
        <v>0</v>
      </c>
      <c r="AG126">
        <v>2</v>
      </c>
      <c r="AH126">
        <v>5</v>
      </c>
      <c r="AI126">
        <v>7</v>
      </c>
      <c r="AJ126">
        <v>5</v>
      </c>
      <c r="AK126">
        <v>4</v>
      </c>
      <c r="AL126">
        <v>6</v>
      </c>
      <c r="AM126">
        <v>5</v>
      </c>
      <c r="AN126">
        <v>9</v>
      </c>
      <c r="AO126">
        <v>5</v>
      </c>
      <c r="AP126">
        <v>0</v>
      </c>
      <c r="AQ126">
        <v>6</v>
      </c>
      <c r="AR126">
        <v>4</v>
      </c>
      <c r="AS126">
        <v>5</v>
      </c>
      <c r="AT126">
        <v>2</v>
      </c>
      <c r="AU126">
        <v>0</v>
      </c>
      <c r="AV126">
        <v>5</v>
      </c>
      <c r="AW126">
        <v>1</v>
      </c>
      <c r="AX126">
        <v>3</v>
      </c>
      <c r="AY126">
        <v>5</v>
      </c>
      <c r="AZ126">
        <v>5</v>
      </c>
      <c r="BA126">
        <v>2</v>
      </c>
      <c r="BB126">
        <v>5</v>
      </c>
      <c r="BC126">
        <v>2</v>
      </c>
      <c r="BD126">
        <v>6</v>
      </c>
      <c r="BE126">
        <v>2</v>
      </c>
      <c r="BF126">
        <v>0</v>
      </c>
      <c r="BG126">
        <v>7</v>
      </c>
      <c r="BH126">
        <v>10</v>
      </c>
      <c r="BI126">
        <v>5</v>
      </c>
      <c r="BJ126">
        <v>9</v>
      </c>
      <c r="BK126">
        <v>5</v>
      </c>
      <c r="BL126">
        <v>1</v>
      </c>
      <c r="BM126">
        <v>5</v>
      </c>
      <c r="BN126">
        <v>1</v>
      </c>
      <c r="BO126">
        <v>3</v>
      </c>
      <c r="BP126">
        <v>8</v>
      </c>
      <c r="BQ126">
        <v>10</v>
      </c>
      <c r="BR126">
        <v>9</v>
      </c>
      <c r="BS126">
        <v>5</v>
      </c>
      <c r="BT126">
        <v>8</v>
      </c>
      <c r="BU126">
        <v>10</v>
      </c>
      <c r="BV126">
        <v>1</v>
      </c>
      <c r="BW126">
        <v>8</v>
      </c>
      <c r="BX126">
        <v>4</v>
      </c>
      <c r="BY126">
        <v>2</v>
      </c>
      <c r="BZ126">
        <v>6</v>
      </c>
      <c r="CA126">
        <v>7</v>
      </c>
      <c r="CB126">
        <v>10</v>
      </c>
      <c r="CC126">
        <v>2</v>
      </c>
      <c r="CD126">
        <v>9</v>
      </c>
      <c r="CE126">
        <v>4</v>
      </c>
      <c r="CF126">
        <v>8</v>
      </c>
      <c r="CG126">
        <v>4</v>
      </c>
      <c r="CH126">
        <v>8</v>
      </c>
      <c r="CI126">
        <v>8</v>
      </c>
      <c r="CJ126">
        <v>4</v>
      </c>
      <c r="CK126">
        <v>10</v>
      </c>
      <c r="CL126">
        <v>10</v>
      </c>
      <c r="CM126">
        <v>6</v>
      </c>
      <c r="CN126">
        <v>10</v>
      </c>
      <c r="CO126">
        <v>7</v>
      </c>
      <c r="CP126">
        <v>4</v>
      </c>
      <c r="CQ126">
        <v>10</v>
      </c>
      <c r="CR126">
        <v>6</v>
      </c>
      <c r="CS126">
        <v>7</v>
      </c>
      <c r="CT126">
        <v>0</v>
      </c>
      <c r="CU126">
        <v>1</v>
      </c>
      <c r="CV126">
        <v>7</v>
      </c>
      <c r="CW126">
        <v>6</v>
      </c>
      <c r="CX126">
        <v>3</v>
      </c>
      <c r="CY126">
        <v>1</v>
      </c>
      <c r="CZ126">
        <v>9</v>
      </c>
      <c r="DA126">
        <v>4</v>
      </c>
      <c r="DB126">
        <v>5</v>
      </c>
      <c r="DC126">
        <v>5</v>
      </c>
      <c r="DD126">
        <v>4</v>
      </c>
      <c r="DE126">
        <v>2</v>
      </c>
      <c r="DF126">
        <v>10</v>
      </c>
      <c r="DG126">
        <v>7</v>
      </c>
      <c r="DH126">
        <v>10</v>
      </c>
      <c r="DI126">
        <v>8</v>
      </c>
      <c r="DJ126">
        <v>0</v>
      </c>
      <c r="DK126">
        <v>9</v>
      </c>
    </row>
    <row r="127" spans="1:115">
      <c r="A127" s="173">
        <f>Calculations[[#This Row],[Sum t eCO2]]*IF(Calculations[[#This Row],[GHG Scope]]="BIOGENIC",0,1)</f>
        <v>2.8074377520000006E-2</v>
      </c>
      <c r="O127">
        <f t="shared" si="1"/>
        <v>126</v>
      </c>
      <c r="P127">
        <v>4</v>
      </c>
      <c r="Q127">
        <v>9</v>
      </c>
      <c r="R127">
        <v>6</v>
      </c>
      <c r="S127">
        <v>8</v>
      </c>
      <c r="T127">
        <v>6</v>
      </c>
      <c r="U127">
        <v>5</v>
      </c>
      <c r="V127">
        <v>9</v>
      </c>
      <c r="W127">
        <v>3</v>
      </c>
      <c r="X127">
        <v>9</v>
      </c>
      <c r="Y127">
        <v>9</v>
      </c>
      <c r="Z127">
        <v>1</v>
      </c>
      <c r="AA127">
        <v>10</v>
      </c>
      <c r="AB127">
        <v>5</v>
      </c>
      <c r="AC127">
        <v>2</v>
      </c>
      <c r="AD127">
        <v>10</v>
      </c>
      <c r="AE127">
        <v>0</v>
      </c>
      <c r="AF127">
        <v>3</v>
      </c>
      <c r="AG127">
        <v>8</v>
      </c>
      <c r="AH127">
        <v>6</v>
      </c>
      <c r="AI127">
        <v>4</v>
      </c>
      <c r="AJ127">
        <v>9</v>
      </c>
      <c r="AK127">
        <v>1</v>
      </c>
      <c r="AL127">
        <v>9</v>
      </c>
      <c r="AM127">
        <v>0</v>
      </c>
      <c r="AN127">
        <v>10</v>
      </c>
      <c r="AO127">
        <v>3</v>
      </c>
      <c r="AP127">
        <v>9</v>
      </c>
      <c r="AQ127">
        <v>10</v>
      </c>
      <c r="AR127">
        <v>2</v>
      </c>
      <c r="AS127">
        <v>2</v>
      </c>
      <c r="AT127">
        <v>0</v>
      </c>
      <c r="AU127">
        <v>1</v>
      </c>
      <c r="AV127">
        <v>4</v>
      </c>
      <c r="AW127">
        <v>8</v>
      </c>
      <c r="AX127">
        <v>10</v>
      </c>
      <c r="AY127">
        <v>8</v>
      </c>
      <c r="AZ127">
        <v>4</v>
      </c>
      <c r="BA127">
        <v>7</v>
      </c>
      <c r="BB127">
        <v>9</v>
      </c>
      <c r="BC127">
        <v>5</v>
      </c>
      <c r="BD127">
        <v>0</v>
      </c>
      <c r="BE127">
        <v>0</v>
      </c>
      <c r="BF127">
        <v>5</v>
      </c>
      <c r="BG127">
        <v>4</v>
      </c>
      <c r="BH127">
        <v>8</v>
      </c>
      <c r="BI127">
        <v>2</v>
      </c>
      <c r="BJ127">
        <v>1</v>
      </c>
      <c r="BK127">
        <v>6</v>
      </c>
      <c r="BL127">
        <v>3</v>
      </c>
      <c r="BM127">
        <v>2</v>
      </c>
      <c r="BN127">
        <v>6</v>
      </c>
      <c r="BO127">
        <v>8</v>
      </c>
      <c r="BP127">
        <v>1</v>
      </c>
      <c r="BQ127">
        <v>7</v>
      </c>
      <c r="BR127">
        <v>8</v>
      </c>
      <c r="BS127">
        <v>1</v>
      </c>
      <c r="BT127">
        <v>1</v>
      </c>
      <c r="BU127">
        <v>5</v>
      </c>
      <c r="BV127">
        <v>1</v>
      </c>
      <c r="BW127">
        <v>6</v>
      </c>
      <c r="BX127">
        <v>0</v>
      </c>
      <c r="BY127">
        <v>8</v>
      </c>
      <c r="BZ127">
        <v>4</v>
      </c>
      <c r="CA127">
        <v>4</v>
      </c>
      <c r="CB127">
        <v>4</v>
      </c>
      <c r="CC127">
        <v>7</v>
      </c>
      <c r="CD127">
        <v>8</v>
      </c>
      <c r="CE127">
        <v>0</v>
      </c>
      <c r="CF127">
        <v>7</v>
      </c>
      <c r="CG127">
        <v>4</v>
      </c>
      <c r="CH127">
        <v>3</v>
      </c>
      <c r="CI127">
        <v>0</v>
      </c>
      <c r="CJ127">
        <v>2</v>
      </c>
      <c r="CK127">
        <v>8</v>
      </c>
      <c r="CL127">
        <v>7</v>
      </c>
      <c r="CM127">
        <v>8</v>
      </c>
      <c r="CN127">
        <v>10</v>
      </c>
      <c r="CO127">
        <v>7</v>
      </c>
      <c r="CP127">
        <v>9</v>
      </c>
      <c r="CQ127">
        <v>0</v>
      </c>
      <c r="CR127">
        <v>6</v>
      </c>
      <c r="CS127">
        <v>1</v>
      </c>
      <c r="CT127">
        <v>4</v>
      </c>
      <c r="CU127">
        <v>4</v>
      </c>
      <c r="CV127">
        <v>4</v>
      </c>
      <c r="CW127">
        <v>2</v>
      </c>
      <c r="CX127">
        <v>8</v>
      </c>
      <c r="CY127">
        <v>7</v>
      </c>
      <c r="CZ127">
        <v>7</v>
      </c>
      <c r="DA127">
        <v>8</v>
      </c>
      <c r="DB127">
        <v>9</v>
      </c>
      <c r="DC127">
        <v>1</v>
      </c>
      <c r="DD127">
        <v>8</v>
      </c>
      <c r="DE127">
        <v>3</v>
      </c>
      <c r="DF127">
        <v>5</v>
      </c>
      <c r="DG127">
        <v>5</v>
      </c>
      <c r="DH127">
        <v>3</v>
      </c>
      <c r="DI127">
        <v>5</v>
      </c>
      <c r="DJ127">
        <v>8</v>
      </c>
      <c r="DK127">
        <v>5</v>
      </c>
    </row>
    <row r="128" spans="1:115">
      <c r="A128" s="173">
        <f>Calculations[[#This Row],[Sum t eCO2]]*IF(Calculations[[#This Row],[GHG Scope]]="BIOGENIC",0,1)</f>
        <v>5.3140786020000004E-2</v>
      </c>
      <c r="O128">
        <f t="shared" si="1"/>
        <v>127</v>
      </c>
      <c r="P128">
        <v>3</v>
      </c>
      <c r="Q128">
        <v>7</v>
      </c>
      <c r="R128">
        <v>9</v>
      </c>
      <c r="S128">
        <v>2</v>
      </c>
      <c r="T128">
        <v>9</v>
      </c>
      <c r="U128">
        <v>3</v>
      </c>
      <c r="V128">
        <v>7</v>
      </c>
      <c r="W128">
        <v>5</v>
      </c>
      <c r="X128">
        <v>9</v>
      </c>
      <c r="Y128">
        <v>5</v>
      </c>
      <c r="Z128">
        <v>6</v>
      </c>
      <c r="AA128">
        <v>1</v>
      </c>
      <c r="AB128">
        <v>2</v>
      </c>
      <c r="AC128">
        <v>3</v>
      </c>
      <c r="AD128">
        <v>6</v>
      </c>
      <c r="AE128">
        <v>7</v>
      </c>
      <c r="AF128">
        <v>8</v>
      </c>
      <c r="AG128">
        <v>2</v>
      </c>
      <c r="AH128">
        <v>8</v>
      </c>
      <c r="AI128">
        <v>9</v>
      </c>
      <c r="AJ128">
        <v>7</v>
      </c>
      <c r="AK128">
        <v>0</v>
      </c>
      <c r="AL128">
        <v>5</v>
      </c>
      <c r="AM128">
        <v>0</v>
      </c>
      <c r="AN128">
        <v>9</v>
      </c>
      <c r="AO128">
        <v>10</v>
      </c>
      <c r="AP128">
        <v>8</v>
      </c>
      <c r="AQ128">
        <v>7</v>
      </c>
      <c r="AR128">
        <v>8</v>
      </c>
      <c r="AS128">
        <v>0</v>
      </c>
      <c r="AT128">
        <v>5</v>
      </c>
      <c r="AU128">
        <v>7</v>
      </c>
      <c r="AV128">
        <v>1</v>
      </c>
      <c r="AW128">
        <v>4</v>
      </c>
      <c r="AX128">
        <v>1</v>
      </c>
      <c r="AY128">
        <v>10</v>
      </c>
      <c r="AZ128">
        <v>0</v>
      </c>
      <c r="BA128">
        <v>5</v>
      </c>
      <c r="BB128">
        <v>6</v>
      </c>
      <c r="BC128">
        <v>4</v>
      </c>
      <c r="BD128">
        <v>2</v>
      </c>
      <c r="BE128">
        <v>0</v>
      </c>
      <c r="BF128">
        <v>4</v>
      </c>
      <c r="BG128">
        <v>0</v>
      </c>
      <c r="BH128">
        <v>4</v>
      </c>
      <c r="BI128">
        <v>5</v>
      </c>
      <c r="BJ128">
        <v>3</v>
      </c>
      <c r="BK128">
        <v>7</v>
      </c>
      <c r="BL128">
        <v>5</v>
      </c>
      <c r="BM128">
        <v>8</v>
      </c>
      <c r="BN128">
        <v>5</v>
      </c>
      <c r="BO128">
        <v>8</v>
      </c>
      <c r="BP128">
        <v>9</v>
      </c>
      <c r="BQ128">
        <v>8</v>
      </c>
      <c r="BR128">
        <v>9</v>
      </c>
      <c r="BS128">
        <v>10</v>
      </c>
      <c r="BT128">
        <v>10</v>
      </c>
      <c r="BU128">
        <v>10</v>
      </c>
      <c r="BV128">
        <v>10</v>
      </c>
      <c r="BW128">
        <v>7</v>
      </c>
      <c r="BX128">
        <v>10</v>
      </c>
      <c r="BY128">
        <v>9</v>
      </c>
      <c r="BZ128">
        <v>1</v>
      </c>
      <c r="CA128">
        <v>10</v>
      </c>
      <c r="CB128">
        <v>3</v>
      </c>
      <c r="CC128">
        <v>2</v>
      </c>
      <c r="CD128">
        <v>0</v>
      </c>
      <c r="CE128">
        <v>8</v>
      </c>
      <c r="CF128">
        <v>5</v>
      </c>
      <c r="CG128">
        <v>4</v>
      </c>
      <c r="CH128">
        <v>10</v>
      </c>
      <c r="CI128">
        <v>9</v>
      </c>
      <c r="CJ128">
        <v>0</v>
      </c>
      <c r="CK128">
        <v>3</v>
      </c>
      <c r="CL128">
        <v>10</v>
      </c>
      <c r="CM128">
        <v>2</v>
      </c>
      <c r="CN128">
        <v>9</v>
      </c>
      <c r="CO128">
        <v>3</v>
      </c>
      <c r="CP128">
        <v>8</v>
      </c>
      <c r="CQ128">
        <v>7</v>
      </c>
      <c r="CR128">
        <v>10</v>
      </c>
      <c r="CS128">
        <v>2</v>
      </c>
      <c r="CT128">
        <v>4</v>
      </c>
      <c r="CU128">
        <v>2</v>
      </c>
      <c r="CV128">
        <v>10</v>
      </c>
      <c r="CW128">
        <v>5</v>
      </c>
      <c r="CX128">
        <v>8</v>
      </c>
      <c r="CY128">
        <v>10</v>
      </c>
      <c r="CZ128">
        <v>6</v>
      </c>
      <c r="DA128">
        <v>0</v>
      </c>
      <c r="DB128">
        <v>9</v>
      </c>
      <c r="DC128">
        <v>8</v>
      </c>
      <c r="DD128">
        <v>6</v>
      </c>
      <c r="DE128">
        <v>10</v>
      </c>
      <c r="DF128">
        <v>8</v>
      </c>
      <c r="DG128">
        <v>5</v>
      </c>
      <c r="DH128">
        <v>9</v>
      </c>
      <c r="DI128">
        <v>6</v>
      </c>
      <c r="DJ128">
        <v>4</v>
      </c>
      <c r="DK128">
        <v>9</v>
      </c>
    </row>
    <row r="129" spans="1:115">
      <c r="A129" s="173">
        <f>Calculations[[#This Row],[Sum t eCO2]]*IF(Calculations[[#This Row],[GHG Scope]]="BIOGENIC",0,1)</f>
        <v>6.0215080571644668</v>
      </c>
      <c r="O129">
        <f t="shared" si="1"/>
        <v>128</v>
      </c>
      <c r="P129">
        <v>8</v>
      </c>
      <c r="Q129">
        <v>9</v>
      </c>
      <c r="R129">
        <v>10</v>
      </c>
      <c r="S129">
        <v>5</v>
      </c>
      <c r="T129">
        <v>0</v>
      </c>
      <c r="U129">
        <v>2</v>
      </c>
      <c r="V129">
        <v>6</v>
      </c>
      <c r="W129">
        <v>5</v>
      </c>
      <c r="X129">
        <v>8</v>
      </c>
      <c r="Y129">
        <v>6</v>
      </c>
      <c r="Z129">
        <v>0</v>
      </c>
      <c r="AA129">
        <v>10</v>
      </c>
      <c r="AB129">
        <v>1</v>
      </c>
      <c r="AC129">
        <v>9</v>
      </c>
      <c r="AD129">
        <v>1</v>
      </c>
      <c r="AE129">
        <v>3</v>
      </c>
      <c r="AF129">
        <v>8</v>
      </c>
      <c r="AG129">
        <v>4</v>
      </c>
      <c r="AH129">
        <v>4</v>
      </c>
      <c r="AI129">
        <v>4</v>
      </c>
      <c r="AJ129">
        <v>0</v>
      </c>
      <c r="AK129">
        <v>1</v>
      </c>
      <c r="AL129">
        <v>4</v>
      </c>
      <c r="AM129">
        <v>2</v>
      </c>
      <c r="AN129">
        <v>8</v>
      </c>
      <c r="AO129">
        <v>7</v>
      </c>
      <c r="AP129">
        <v>7</v>
      </c>
      <c r="AQ129">
        <v>7</v>
      </c>
      <c r="AR129">
        <v>6</v>
      </c>
      <c r="AS129">
        <v>8</v>
      </c>
      <c r="AT129">
        <v>1</v>
      </c>
      <c r="AU129">
        <v>8</v>
      </c>
      <c r="AV129">
        <v>6</v>
      </c>
      <c r="AW129">
        <v>4</v>
      </c>
      <c r="AX129">
        <v>5</v>
      </c>
      <c r="AY129">
        <v>2</v>
      </c>
      <c r="AZ129">
        <v>6</v>
      </c>
      <c r="BA129">
        <v>10</v>
      </c>
      <c r="BB129">
        <v>1</v>
      </c>
      <c r="BC129">
        <v>10</v>
      </c>
      <c r="BD129">
        <v>4</v>
      </c>
      <c r="BE129">
        <v>9</v>
      </c>
      <c r="BF129">
        <v>1</v>
      </c>
      <c r="BG129">
        <v>5</v>
      </c>
      <c r="BH129">
        <v>6</v>
      </c>
      <c r="BI129">
        <v>6</v>
      </c>
      <c r="BJ129">
        <v>3</v>
      </c>
      <c r="BK129">
        <v>4</v>
      </c>
      <c r="BL129">
        <v>9</v>
      </c>
      <c r="BM129">
        <v>4</v>
      </c>
      <c r="BN129">
        <v>2</v>
      </c>
      <c r="BO129">
        <v>5</v>
      </c>
      <c r="BP129">
        <v>9</v>
      </c>
      <c r="BQ129">
        <v>1</v>
      </c>
      <c r="BR129">
        <v>10</v>
      </c>
      <c r="BS129">
        <v>3</v>
      </c>
      <c r="BT129">
        <v>8</v>
      </c>
      <c r="BU129">
        <v>1</v>
      </c>
      <c r="BV129">
        <v>4</v>
      </c>
      <c r="BW129">
        <v>5</v>
      </c>
      <c r="BX129">
        <v>9</v>
      </c>
      <c r="BY129">
        <v>3</v>
      </c>
      <c r="BZ129">
        <v>6</v>
      </c>
      <c r="CA129">
        <v>3</v>
      </c>
      <c r="CB129">
        <v>6</v>
      </c>
      <c r="CC129">
        <v>0</v>
      </c>
      <c r="CD129">
        <v>7</v>
      </c>
      <c r="CE129">
        <v>1</v>
      </c>
      <c r="CF129">
        <v>4</v>
      </c>
      <c r="CG129">
        <v>1</v>
      </c>
      <c r="CH129">
        <v>2</v>
      </c>
      <c r="CI129">
        <v>7</v>
      </c>
      <c r="CJ129">
        <v>2</v>
      </c>
      <c r="CK129">
        <v>2</v>
      </c>
      <c r="CL129">
        <v>2</v>
      </c>
      <c r="CM129">
        <v>0</v>
      </c>
      <c r="CN129">
        <v>5</v>
      </c>
      <c r="CO129">
        <v>7</v>
      </c>
      <c r="CP129">
        <v>2</v>
      </c>
      <c r="CQ129">
        <v>5</v>
      </c>
      <c r="CR129">
        <v>4</v>
      </c>
      <c r="CS129">
        <v>1</v>
      </c>
      <c r="CT129">
        <v>5</v>
      </c>
      <c r="CU129">
        <v>6</v>
      </c>
      <c r="CV129">
        <v>8</v>
      </c>
      <c r="CW129">
        <v>2</v>
      </c>
      <c r="CX129">
        <v>1</v>
      </c>
      <c r="CY129">
        <v>10</v>
      </c>
      <c r="CZ129">
        <v>2</v>
      </c>
      <c r="DA129">
        <v>3</v>
      </c>
      <c r="DB129">
        <v>0</v>
      </c>
      <c r="DC129">
        <v>3</v>
      </c>
      <c r="DD129">
        <v>9</v>
      </c>
      <c r="DE129">
        <v>9</v>
      </c>
      <c r="DF129">
        <v>5</v>
      </c>
      <c r="DG129">
        <v>0</v>
      </c>
      <c r="DH129">
        <v>8</v>
      </c>
      <c r="DI129">
        <v>6</v>
      </c>
      <c r="DJ129">
        <v>4</v>
      </c>
      <c r="DK129">
        <v>0</v>
      </c>
    </row>
    <row r="130" spans="1:115">
      <c r="A130" s="173">
        <f>Calculations[[#This Row],[Sum t eCO2]]*IF(Calculations[[#This Row],[GHG Scope]]="BIOGENIC",0,1)</f>
        <v>6.5846088000000007E-3</v>
      </c>
      <c r="O130">
        <f t="shared" si="1"/>
        <v>129</v>
      </c>
      <c r="P130">
        <v>5</v>
      </c>
      <c r="Q130">
        <v>5</v>
      </c>
      <c r="R130">
        <v>5</v>
      </c>
      <c r="S130">
        <v>7</v>
      </c>
      <c r="T130">
        <v>8</v>
      </c>
      <c r="U130">
        <v>4</v>
      </c>
      <c r="V130">
        <v>1</v>
      </c>
      <c r="W130">
        <v>2</v>
      </c>
      <c r="X130">
        <v>6</v>
      </c>
      <c r="Y130">
        <v>7</v>
      </c>
      <c r="Z130">
        <v>0</v>
      </c>
      <c r="AA130">
        <v>3</v>
      </c>
      <c r="AB130">
        <v>0</v>
      </c>
      <c r="AC130">
        <v>9</v>
      </c>
      <c r="AD130">
        <v>4</v>
      </c>
      <c r="AE130">
        <v>4</v>
      </c>
      <c r="AF130">
        <v>3</v>
      </c>
      <c r="AG130">
        <v>4</v>
      </c>
      <c r="AH130">
        <v>5</v>
      </c>
      <c r="AI130">
        <v>5</v>
      </c>
      <c r="AJ130">
        <v>9</v>
      </c>
      <c r="AK130">
        <v>1</v>
      </c>
      <c r="AL130">
        <v>0</v>
      </c>
      <c r="AM130">
        <v>1</v>
      </c>
      <c r="AN130">
        <v>6</v>
      </c>
      <c r="AO130">
        <v>3</v>
      </c>
      <c r="AP130">
        <v>10</v>
      </c>
      <c r="AQ130">
        <v>5</v>
      </c>
      <c r="AR130">
        <v>9</v>
      </c>
      <c r="AS130">
        <v>0</v>
      </c>
      <c r="AT130">
        <v>3</v>
      </c>
      <c r="AU130">
        <v>9</v>
      </c>
      <c r="AV130">
        <v>8</v>
      </c>
      <c r="AW130">
        <v>6</v>
      </c>
      <c r="AX130">
        <v>6</v>
      </c>
      <c r="AY130">
        <v>9</v>
      </c>
      <c r="AZ130">
        <v>5</v>
      </c>
      <c r="BA130">
        <v>5</v>
      </c>
      <c r="BB130">
        <v>9</v>
      </c>
      <c r="BC130">
        <v>10</v>
      </c>
      <c r="BD130">
        <v>8</v>
      </c>
      <c r="BE130">
        <v>3</v>
      </c>
      <c r="BF130">
        <v>7</v>
      </c>
      <c r="BG130">
        <v>1</v>
      </c>
      <c r="BH130">
        <v>4</v>
      </c>
      <c r="BI130">
        <v>6</v>
      </c>
      <c r="BJ130">
        <v>9</v>
      </c>
      <c r="BK130">
        <v>9</v>
      </c>
      <c r="BL130">
        <v>10</v>
      </c>
      <c r="BM130">
        <v>3</v>
      </c>
      <c r="BN130">
        <v>8</v>
      </c>
      <c r="BO130">
        <v>2</v>
      </c>
      <c r="BP130">
        <v>6</v>
      </c>
      <c r="BQ130">
        <v>7</v>
      </c>
      <c r="BR130">
        <v>8</v>
      </c>
      <c r="BS130">
        <v>7</v>
      </c>
      <c r="BT130">
        <v>0</v>
      </c>
      <c r="BU130">
        <v>4</v>
      </c>
      <c r="BV130">
        <v>8</v>
      </c>
      <c r="BW130">
        <v>7</v>
      </c>
      <c r="BX130">
        <v>6</v>
      </c>
      <c r="BY130">
        <v>2</v>
      </c>
      <c r="BZ130">
        <v>8</v>
      </c>
      <c r="CA130">
        <v>10</v>
      </c>
      <c r="CB130">
        <v>0</v>
      </c>
      <c r="CC130">
        <v>0</v>
      </c>
      <c r="CD130">
        <v>9</v>
      </c>
      <c r="CE130">
        <v>4</v>
      </c>
      <c r="CF130">
        <v>4</v>
      </c>
      <c r="CG130">
        <v>4</v>
      </c>
      <c r="CH130">
        <v>4</v>
      </c>
      <c r="CI130">
        <v>4</v>
      </c>
      <c r="CJ130">
        <v>0</v>
      </c>
      <c r="CK130">
        <v>9</v>
      </c>
      <c r="CL130">
        <v>10</v>
      </c>
      <c r="CM130">
        <v>0</v>
      </c>
      <c r="CN130">
        <v>5</v>
      </c>
      <c r="CO130">
        <v>3</v>
      </c>
      <c r="CP130">
        <v>2</v>
      </c>
      <c r="CQ130">
        <v>7</v>
      </c>
      <c r="CR130">
        <v>10</v>
      </c>
      <c r="CS130">
        <v>7</v>
      </c>
      <c r="CT130">
        <v>4</v>
      </c>
      <c r="CU130">
        <v>3</v>
      </c>
      <c r="CV130">
        <v>5</v>
      </c>
      <c r="CW130">
        <v>6</v>
      </c>
      <c r="CX130">
        <v>4</v>
      </c>
      <c r="CY130">
        <v>9</v>
      </c>
      <c r="CZ130">
        <v>3</v>
      </c>
      <c r="DA130">
        <v>3</v>
      </c>
      <c r="DB130">
        <v>5</v>
      </c>
      <c r="DC130">
        <v>1</v>
      </c>
      <c r="DD130">
        <v>9</v>
      </c>
      <c r="DE130">
        <v>2</v>
      </c>
      <c r="DF130">
        <v>3</v>
      </c>
      <c r="DG130">
        <v>2</v>
      </c>
      <c r="DH130">
        <v>10</v>
      </c>
      <c r="DI130">
        <v>7</v>
      </c>
      <c r="DJ130">
        <v>6</v>
      </c>
      <c r="DK130">
        <v>1</v>
      </c>
    </row>
    <row r="131" spans="1:115">
      <c r="A131" s="173">
        <f>Calculations[[#This Row],[Sum t eCO2]]*IF(Calculations[[#This Row],[GHG Scope]]="BIOGENIC",0,1)</f>
        <v>1.2463723800000001E-2</v>
      </c>
      <c r="O131">
        <f t="shared" si="1"/>
        <v>130</v>
      </c>
      <c r="P131">
        <v>6</v>
      </c>
      <c r="Q131">
        <v>6</v>
      </c>
      <c r="R131">
        <v>9</v>
      </c>
      <c r="S131">
        <v>1</v>
      </c>
      <c r="T131">
        <v>9</v>
      </c>
      <c r="U131">
        <v>7</v>
      </c>
      <c r="V131">
        <v>1</v>
      </c>
      <c r="W131">
        <v>0</v>
      </c>
      <c r="X131">
        <v>7</v>
      </c>
      <c r="Y131">
        <v>5</v>
      </c>
      <c r="Z131">
        <v>0</v>
      </c>
      <c r="AA131">
        <v>8</v>
      </c>
      <c r="AB131">
        <v>7</v>
      </c>
      <c r="AC131">
        <v>3</v>
      </c>
      <c r="AD131">
        <v>4</v>
      </c>
      <c r="AE131">
        <v>6</v>
      </c>
      <c r="AF131">
        <v>5</v>
      </c>
      <c r="AG131">
        <v>3</v>
      </c>
      <c r="AH131">
        <v>7</v>
      </c>
      <c r="AI131">
        <v>1</v>
      </c>
      <c r="AJ131">
        <v>1</v>
      </c>
      <c r="AK131">
        <v>4</v>
      </c>
      <c r="AL131">
        <v>5</v>
      </c>
      <c r="AM131">
        <v>6</v>
      </c>
      <c r="AN131">
        <v>7</v>
      </c>
      <c r="AO131">
        <v>5</v>
      </c>
      <c r="AP131">
        <v>6</v>
      </c>
      <c r="AQ131">
        <v>5</v>
      </c>
      <c r="AR131">
        <v>2</v>
      </c>
      <c r="AS131">
        <v>5</v>
      </c>
      <c r="AT131">
        <v>3</v>
      </c>
      <c r="AU131">
        <v>0</v>
      </c>
      <c r="AV131">
        <v>7</v>
      </c>
      <c r="AW131">
        <v>1</v>
      </c>
      <c r="AX131">
        <v>1</v>
      </c>
      <c r="AY131">
        <v>10</v>
      </c>
      <c r="AZ131">
        <v>3</v>
      </c>
      <c r="BA131">
        <v>6</v>
      </c>
      <c r="BB131">
        <v>9</v>
      </c>
      <c r="BC131">
        <v>2</v>
      </c>
      <c r="BD131">
        <v>8</v>
      </c>
      <c r="BE131">
        <v>4</v>
      </c>
      <c r="BF131">
        <v>1</v>
      </c>
      <c r="BG131">
        <v>9</v>
      </c>
      <c r="BH131">
        <v>5</v>
      </c>
      <c r="BI131">
        <v>8</v>
      </c>
      <c r="BJ131">
        <v>4</v>
      </c>
      <c r="BK131">
        <v>6</v>
      </c>
      <c r="BL131">
        <v>5</v>
      </c>
      <c r="BM131">
        <v>8</v>
      </c>
      <c r="BN131">
        <v>10</v>
      </c>
      <c r="BO131">
        <v>9</v>
      </c>
      <c r="BP131">
        <v>2</v>
      </c>
      <c r="BQ131">
        <v>8</v>
      </c>
      <c r="BR131">
        <v>8</v>
      </c>
      <c r="BS131">
        <v>5</v>
      </c>
      <c r="BT131">
        <v>0</v>
      </c>
      <c r="BU131">
        <v>9</v>
      </c>
      <c r="BV131">
        <v>7</v>
      </c>
      <c r="BW131">
        <v>1</v>
      </c>
      <c r="BX131">
        <v>10</v>
      </c>
      <c r="BY131">
        <v>10</v>
      </c>
      <c r="BZ131">
        <v>5</v>
      </c>
      <c r="CA131">
        <v>4</v>
      </c>
      <c r="CB131">
        <v>9</v>
      </c>
      <c r="CC131">
        <v>0</v>
      </c>
      <c r="CD131">
        <v>5</v>
      </c>
      <c r="CE131">
        <v>9</v>
      </c>
      <c r="CF131">
        <v>4</v>
      </c>
      <c r="CG131">
        <v>10</v>
      </c>
      <c r="CH131">
        <v>1</v>
      </c>
      <c r="CI131">
        <v>9</v>
      </c>
      <c r="CJ131">
        <v>8</v>
      </c>
      <c r="CK131">
        <v>10</v>
      </c>
      <c r="CL131">
        <v>6</v>
      </c>
      <c r="CM131">
        <v>9</v>
      </c>
      <c r="CN131">
        <v>10</v>
      </c>
      <c r="CO131">
        <v>1</v>
      </c>
      <c r="CP131">
        <v>8</v>
      </c>
      <c r="CQ131">
        <v>4</v>
      </c>
      <c r="CR131">
        <v>10</v>
      </c>
      <c r="CS131">
        <v>10</v>
      </c>
      <c r="CT131">
        <v>1</v>
      </c>
      <c r="CU131">
        <v>1</v>
      </c>
      <c r="CV131">
        <v>8</v>
      </c>
      <c r="CW131">
        <v>6</v>
      </c>
      <c r="CX131">
        <v>6</v>
      </c>
      <c r="CY131">
        <v>3</v>
      </c>
      <c r="CZ131">
        <v>10</v>
      </c>
      <c r="DA131">
        <v>5</v>
      </c>
      <c r="DB131">
        <v>10</v>
      </c>
      <c r="DC131">
        <v>8</v>
      </c>
      <c r="DD131">
        <v>4</v>
      </c>
      <c r="DE131">
        <v>1</v>
      </c>
      <c r="DF131">
        <v>9</v>
      </c>
      <c r="DG131">
        <v>4</v>
      </c>
      <c r="DH131">
        <v>2</v>
      </c>
      <c r="DI131">
        <v>7</v>
      </c>
      <c r="DJ131">
        <v>4</v>
      </c>
      <c r="DK131">
        <v>9</v>
      </c>
    </row>
    <row r="132" spans="1:115">
      <c r="A132" s="173">
        <f>Calculations[[#This Row],[Sum t eCO2]]*IF(Calculations[[#This Row],[GHG Scope]]="BIOGENIC",0,1)</f>
        <v>2.2751480878141788</v>
      </c>
      <c r="O132">
        <f t="shared" ref="O132:O195" si="2">O131+1</f>
        <v>131</v>
      </c>
      <c r="P132">
        <v>1</v>
      </c>
      <c r="Q132">
        <v>1</v>
      </c>
      <c r="R132">
        <v>0</v>
      </c>
      <c r="S132">
        <v>4</v>
      </c>
      <c r="T132">
        <v>3</v>
      </c>
      <c r="U132">
        <v>4</v>
      </c>
      <c r="V132">
        <v>8</v>
      </c>
      <c r="W132">
        <v>7</v>
      </c>
      <c r="X132">
        <v>3</v>
      </c>
      <c r="Y132">
        <v>9</v>
      </c>
      <c r="Z132">
        <v>9</v>
      </c>
      <c r="AA132">
        <v>2</v>
      </c>
      <c r="AB132">
        <v>7</v>
      </c>
      <c r="AC132">
        <v>5</v>
      </c>
      <c r="AD132">
        <v>3</v>
      </c>
      <c r="AE132">
        <v>0</v>
      </c>
      <c r="AF132">
        <v>0</v>
      </c>
      <c r="AG132">
        <v>3</v>
      </c>
      <c r="AH132">
        <v>0</v>
      </c>
      <c r="AI132">
        <v>5</v>
      </c>
      <c r="AJ132">
        <v>7</v>
      </c>
      <c r="AK132">
        <v>7</v>
      </c>
      <c r="AL132">
        <v>7</v>
      </c>
      <c r="AM132">
        <v>9</v>
      </c>
      <c r="AN132">
        <v>0</v>
      </c>
      <c r="AO132">
        <v>0</v>
      </c>
      <c r="AP132">
        <v>3</v>
      </c>
      <c r="AQ132">
        <v>3</v>
      </c>
      <c r="AR132">
        <v>9</v>
      </c>
      <c r="AS132">
        <v>7</v>
      </c>
      <c r="AT132">
        <v>2</v>
      </c>
      <c r="AU132">
        <v>8</v>
      </c>
      <c r="AV132">
        <v>0</v>
      </c>
      <c r="AW132">
        <v>6</v>
      </c>
      <c r="AX132">
        <v>2</v>
      </c>
      <c r="AY132">
        <v>8</v>
      </c>
      <c r="AZ132">
        <v>3</v>
      </c>
      <c r="BA132">
        <v>1</v>
      </c>
      <c r="BB132">
        <v>3</v>
      </c>
      <c r="BC132">
        <v>4</v>
      </c>
      <c r="BD132">
        <v>10</v>
      </c>
      <c r="BE132">
        <v>9</v>
      </c>
      <c r="BF132">
        <v>2</v>
      </c>
      <c r="BG132">
        <v>1</v>
      </c>
      <c r="BH132">
        <v>3</v>
      </c>
      <c r="BI132">
        <v>0</v>
      </c>
      <c r="BJ132">
        <v>3</v>
      </c>
      <c r="BK132">
        <v>10</v>
      </c>
      <c r="BL132">
        <v>6</v>
      </c>
      <c r="BM132">
        <v>5</v>
      </c>
      <c r="BN132">
        <v>8</v>
      </c>
      <c r="BO132">
        <v>4</v>
      </c>
      <c r="BP132">
        <v>2</v>
      </c>
      <c r="BQ132">
        <v>4</v>
      </c>
      <c r="BR132">
        <v>6</v>
      </c>
      <c r="BS132">
        <v>0</v>
      </c>
      <c r="BT132">
        <v>10</v>
      </c>
      <c r="BU132">
        <v>2</v>
      </c>
      <c r="BV132">
        <v>1</v>
      </c>
      <c r="BW132">
        <v>5</v>
      </c>
      <c r="BX132">
        <v>8</v>
      </c>
      <c r="BY132">
        <v>2</v>
      </c>
      <c r="BZ132">
        <v>1</v>
      </c>
      <c r="CA132">
        <v>0</v>
      </c>
      <c r="CB132">
        <v>1</v>
      </c>
      <c r="CC132">
        <v>3</v>
      </c>
      <c r="CD132">
        <v>0</v>
      </c>
      <c r="CE132">
        <v>8</v>
      </c>
      <c r="CF132">
        <v>2</v>
      </c>
      <c r="CG132">
        <v>0</v>
      </c>
      <c r="CH132">
        <v>9</v>
      </c>
      <c r="CI132">
        <v>3</v>
      </c>
      <c r="CJ132">
        <v>0</v>
      </c>
      <c r="CK132">
        <v>2</v>
      </c>
      <c r="CL132">
        <v>3</v>
      </c>
      <c r="CM132">
        <v>4</v>
      </c>
      <c r="CN132">
        <v>0</v>
      </c>
      <c r="CO132">
        <v>6</v>
      </c>
      <c r="CP132">
        <v>9</v>
      </c>
      <c r="CQ132">
        <v>1</v>
      </c>
      <c r="CR132">
        <v>4</v>
      </c>
      <c r="CS132">
        <v>10</v>
      </c>
      <c r="CT132">
        <v>10</v>
      </c>
      <c r="CU132">
        <v>2</v>
      </c>
      <c r="CV132">
        <v>0</v>
      </c>
      <c r="CW132">
        <v>6</v>
      </c>
      <c r="CX132">
        <v>0</v>
      </c>
      <c r="CY132">
        <v>6</v>
      </c>
      <c r="CZ132">
        <v>7</v>
      </c>
      <c r="DA132">
        <v>4</v>
      </c>
      <c r="DB132">
        <v>6</v>
      </c>
      <c r="DC132">
        <v>5</v>
      </c>
      <c r="DD132">
        <v>10</v>
      </c>
      <c r="DE132">
        <v>6</v>
      </c>
      <c r="DF132">
        <v>5</v>
      </c>
      <c r="DG132">
        <v>0</v>
      </c>
      <c r="DH132">
        <v>5</v>
      </c>
      <c r="DI132">
        <v>6</v>
      </c>
      <c r="DJ132">
        <v>0</v>
      </c>
      <c r="DK132">
        <v>8</v>
      </c>
    </row>
    <row r="133" spans="1:115">
      <c r="A133" s="173">
        <f>Calculations[[#This Row],[Sum t eCO2]]*IF(Calculations[[#This Row],[GHG Scope]]="BIOGENIC",0,1)</f>
        <v>2.487908340918E-3</v>
      </c>
      <c r="O133">
        <f t="shared" si="2"/>
        <v>132</v>
      </c>
      <c r="P133">
        <v>3</v>
      </c>
      <c r="Q133">
        <v>9</v>
      </c>
      <c r="R133">
        <v>10</v>
      </c>
      <c r="S133">
        <v>4</v>
      </c>
      <c r="T133">
        <v>6</v>
      </c>
      <c r="U133">
        <v>9</v>
      </c>
      <c r="V133">
        <v>7</v>
      </c>
      <c r="W133">
        <v>5</v>
      </c>
      <c r="X133">
        <v>7</v>
      </c>
      <c r="Y133">
        <v>3</v>
      </c>
      <c r="Z133">
        <v>6</v>
      </c>
      <c r="AA133">
        <v>7</v>
      </c>
      <c r="AB133">
        <v>9</v>
      </c>
      <c r="AC133">
        <v>3</v>
      </c>
      <c r="AD133">
        <v>9</v>
      </c>
      <c r="AE133">
        <v>1</v>
      </c>
      <c r="AF133">
        <v>10</v>
      </c>
      <c r="AG133">
        <v>6</v>
      </c>
      <c r="AH133">
        <v>2</v>
      </c>
      <c r="AI133">
        <v>10</v>
      </c>
      <c r="AJ133">
        <v>1</v>
      </c>
      <c r="AK133">
        <v>3</v>
      </c>
      <c r="AL133">
        <v>3</v>
      </c>
      <c r="AM133">
        <v>5</v>
      </c>
      <c r="AN133">
        <v>8</v>
      </c>
      <c r="AO133">
        <v>7</v>
      </c>
      <c r="AP133">
        <v>6</v>
      </c>
      <c r="AQ133">
        <v>8</v>
      </c>
      <c r="AR133">
        <v>3</v>
      </c>
      <c r="AS133">
        <v>0</v>
      </c>
      <c r="AT133">
        <v>3</v>
      </c>
      <c r="AU133">
        <v>2</v>
      </c>
      <c r="AV133">
        <v>5</v>
      </c>
      <c r="AW133">
        <v>6</v>
      </c>
      <c r="AX133">
        <v>7</v>
      </c>
      <c r="AY133">
        <v>0</v>
      </c>
      <c r="AZ133">
        <v>0</v>
      </c>
      <c r="BA133">
        <v>3</v>
      </c>
      <c r="BB133">
        <v>1</v>
      </c>
      <c r="BC133">
        <v>2</v>
      </c>
      <c r="BD133">
        <v>4</v>
      </c>
      <c r="BE133">
        <v>7</v>
      </c>
      <c r="BF133">
        <v>7</v>
      </c>
      <c r="BG133">
        <v>2</v>
      </c>
      <c r="BH133">
        <v>6</v>
      </c>
      <c r="BI133">
        <v>3</v>
      </c>
      <c r="BJ133">
        <v>8</v>
      </c>
      <c r="BK133">
        <v>10</v>
      </c>
      <c r="BL133">
        <v>5</v>
      </c>
      <c r="BM133">
        <v>5</v>
      </c>
      <c r="BN133">
        <v>3</v>
      </c>
      <c r="BO133">
        <v>9</v>
      </c>
      <c r="BP133">
        <v>4</v>
      </c>
      <c r="BQ133">
        <v>2</v>
      </c>
      <c r="BR133">
        <v>1</v>
      </c>
      <c r="BS133">
        <v>3</v>
      </c>
      <c r="BT133">
        <v>3</v>
      </c>
      <c r="BU133">
        <v>5</v>
      </c>
      <c r="BV133">
        <v>6</v>
      </c>
      <c r="BW133">
        <v>9</v>
      </c>
      <c r="BX133">
        <v>4</v>
      </c>
      <c r="BY133">
        <v>1</v>
      </c>
      <c r="BZ133">
        <v>3</v>
      </c>
      <c r="CA133">
        <v>7</v>
      </c>
      <c r="CB133">
        <v>10</v>
      </c>
      <c r="CC133">
        <v>4</v>
      </c>
      <c r="CD133">
        <v>3</v>
      </c>
      <c r="CE133">
        <v>7</v>
      </c>
      <c r="CF133">
        <v>10</v>
      </c>
      <c r="CG133">
        <v>9</v>
      </c>
      <c r="CH133">
        <v>1</v>
      </c>
      <c r="CI133">
        <v>4</v>
      </c>
      <c r="CJ133">
        <v>10</v>
      </c>
      <c r="CK133">
        <v>8</v>
      </c>
      <c r="CL133">
        <v>7</v>
      </c>
      <c r="CM133">
        <v>10</v>
      </c>
      <c r="CN133">
        <v>4</v>
      </c>
      <c r="CO133">
        <v>4</v>
      </c>
      <c r="CP133">
        <v>6</v>
      </c>
      <c r="CQ133">
        <v>0</v>
      </c>
      <c r="CR133">
        <v>7</v>
      </c>
      <c r="CS133">
        <v>10</v>
      </c>
      <c r="CT133">
        <v>2</v>
      </c>
      <c r="CU133">
        <v>10</v>
      </c>
      <c r="CV133">
        <v>5</v>
      </c>
      <c r="CW133">
        <v>10</v>
      </c>
      <c r="CX133">
        <v>8</v>
      </c>
      <c r="CY133">
        <v>4</v>
      </c>
      <c r="CZ133">
        <v>7</v>
      </c>
      <c r="DA133">
        <v>4</v>
      </c>
      <c r="DB133">
        <v>4</v>
      </c>
      <c r="DC133">
        <v>10</v>
      </c>
      <c r="DD133">
        <v>5</v>
      </c>
      <c r="DE133">
        <v>10</v>
      </c>
      <c r="DF133">
        <v>10</v>
      </c>
      <c r="DG133">
        <v>8</v>
      </c>
      <c r="DH133">
        <v>9</v>
      </c>
      <c r="DI133">
        <v>4</v>
      </c>
      <c r="DJ133">
        <v>2</v>
      </c>
      <c r="DK133">
        <v>0</v>
      </c>
    </row>
    <row r="134" spans="1:115">
      <c r="A134" s="173">
        <f>Calculations[[#This Row],[Sum t eCO2]]*IF(Calculations[[#This Row],[GHG Scope]]="BIOGENIC",0,1)</f>
        <v>4.7092550738804988E-3</v>
      </c>
      <c r="O134">
        <f t="shared" si="2"/>
        <v>133</v>
      </c>
      <c r="P134">
        <v>5</v>
      </c>
      <c r="Q134">
        <v>8</v>
      </c>
      <c r="R134">
        <v>5</v>
      </c>
      <c r="S134">
        <v>1</v>
      </c>
      <c r="T134">
        <v>5</v>
      </c>
      <c r="U134">
        <v>3</v>
      </c>
      <c r="V134">
        <v>4</v>
      </c>
      <c r="W134">
        <v>10</v>
      </c>
      <c r="X134">
        <v>10</v>
      </c>
      <c r="Y134">
        <v>6</v>
      </c>
      <c r="Z134">
        <v>5</v>
      </c>
      <c r="AA134">
        <v>8</v>
      </c>
      <c r="AB134">
        <v>10</v>
      </c>
      <c r="AC134">
        <v>10</v>
      </c>
      <c r="AD134">
        <v>1</v>
      </c>
      <c r="AE134">
        <v>3</v>
      </c>
      <c r="AF134">
        <v>2</v>
      </c>
      <c r="AG134">
        <v>8</v>
      </c>
      <c r="AH134">
        <v>6</v>
      </c>
      <c r="AI134">
        <v>2</v>
      </c>
      <c r="AJ134">
        <v>8</v>
      </c>
      <c r="AK134">
        <v>5</v>
      </c>
      <c r="AL134">
        <v>2</v>
      </c>
      <c r="AM134">
        <v>10</v>
      </c>
      <c r="AN134">
        <v>1</v>
      </c>
      <c r="AO134">
        <v>2</v>
      </c>
      <c r="AP134">
        <v>10</v>
      </c>
      <c r="AQ134">
        <v>6</v>
      </c>
      <c r="AR134">
        <v>7</v>
      </c>
      <c r="AS134">
        <v>7</v>
      </c>
      <c r="AT134">
        <v>7</v>
      </c>
      <c r="AU134">
        <v>2</v>
      </c>
      <c r="AV134">
        <v>10</v>
      </c>
      <c r="AW134">
        <v>5</v>
      </c>
      <c r="AX134">
        <v>3</v>
      </c>
      <c r="AY134">
        <v>6</v>
      </c>
      <c r="AZ134">
        <v>3</v>
      </c>
      <c r="BA134">
        <v>4</v>
      </c>
      <c r="BB134">
        <v>5</v>
      </c>
      <c r="BC134">
        <v>5</v>
      </c>
      <c r="BD134">
        <v>4</v>
      </c>
      <c r="BE134">
        <v>8</v>
      </c>
      <c r="BF134">
        <v>7</v>
      </c>
      <c r="BG134">
        <v>5</v>
      </c>
      <c r="BH134">
        <v>6</v>
      </c>
      <c r="BI134">
        <v>5</v>
      </c>
      <c r="BJ134">
        <v>5</v>
      </c>
      <c r="BK134">
        <v>0</v>
      </c>
      <c r="BL134">
        <v>6</v>
      </c>
      <c r="BM134">
        <v>10</v>
      </c>
      <c r="BN134">
        <v>1</v>
      </c>
      <c r="BO134">
        <v>6</v>
      </c>
      <c r="BP134">
        <v>3</v>
      </c>
      <c r="BQ134">
        <v>7</v>
      </c>
      <c r="BR134">
        <v>3</v>
      </c>
      <c r="BS134">
        <v>5</v>
      </c>
      <c r="BT134">
        <v>0</v>
      </c>
      <c r="BU134">
        <v>10</v>
      </c>
      <c r="BV134">
        <v>1</v>
      </c>
      <c r="BW134">
        <v>9</v>
      </c>
      <c r="BX134">
        <v>9</v>
      </c>
      <c r="BY134">
        <v>1</v>
      </c>
      <c r="BZ134">
        <v>2</v>
      </c>
      <c r="CA134">
        <v>8</v>
      </c>
      <c r="CB134">
        <v>4</v>
      </c>
      <c r="CC134">
        <v>9</v>
      </c>
      <c r="CD134">
        <v>4</v>
      </c>
      <c r="CE134">
        <v>3</v>
      </c>
      <c r="CF134">
        <v>7</v>
      </c>
      <c r="CG134">
        <v>10</v>
      </c>
      <c r="CH134">
        <v>1</v>
      </c>
      <c r="CI134">
        <v>1</v>
      </c>
      <c r="CJ134">
        <v>6</v>
      </c>
      <c r="CK134">
        <v>7</v>
      </c>
      <c r="CL134">
        <v>2</v>
      </c>
      <c r="CM134">
        <v>10</v>
      </c>
      <c r="CN134">
        <v>5</v>
      </c>
      <c r="CO134">
        <v>8</v>
      </c>
      <c r="CP134">
        <v>7</v>
      </c>
      <c r="CQ134">
        <v>1</v>
      </c>
      <c r="CR134">
        <v>3</v>
      </c>
      <c r="CS134">
        <v>2</v>
      </c>
      <c r="CT134">
        <v>10</v>
      </c>
      <c r="CU134">
        <v>6</v>
      </c>
      <c r="CV134">
        <v>7</v>
      </c>
      <c r="CW134">
        <v>7</v>
      </c>
      <c r="CX134">
        <v>3</v>
      </c>
      <c r="CY134">
        <v>1</v>
      </c>
      <c r="CZ134">
        <v>10</v>
      </c>
      <c r="DA134">
        <v>8</v>
      </c>
      <c r="DB134">
        <v>2</v>
      </c>
      <c r="DC134">
        <v>0</v>
      </c>
      <c r="DD134">
        <v>3</v>
      </c>
      <c r="DE134">
        <v>5</v>
      </c>
      <c r="DF134">
        <v>8</v>
      </c>
      <c r="DG134">
        <v>8</v>
      </c>
      <c r="DH134">
        <v>8</v>
      </c>
      <c r="DI134">
        <v>4</v>
      </c>
      <c r="DJ134">
        <v>1</v>
      </c>
      <c r="DK134">
        <v>3</v>
      </c>
    </row>
    <row r="135" spans="1:115">
      <c r="A135" s="173">
        <f>Calculations[[#This Row],[Sum t eCO2]]*IF(Calculations[[#This Row],[GHG Scope]]="BIOGENIC",0,1)</f>
        <v>3.5651308618095139</v>
      </c>
      <c r="O135">
        <f t="shared" si="2"/>
        <v>134</v>
      </c>
      <c r="P135">
        <v>10</v>
      </c>
      <c r="Q135">
        <v>7</v>
      </c>
      <c r="R135">
        <v>3</v>
      </c>
      <c r="S135">
        <v>0</v>
      </c>
      <c r="T135">
        <v>10</v>
      </c>
      <c r="U135">
        <v>5</v>
      </c>
      <c r="V135">
        <v>9</v>
      </c>
      <c r="W135">
        <v>3</v>
      </c>
      <c r="X135">
        <v>7</v>
      </c>
      <c r="Y135">
        <v>10</v>
      </c>
      <c r="Z135">
        <v>6</v>
      </c>
      <c r="AA135">
        <v>6</v>
      </c>
      <c r="AB135">
        <v>0</v>
      </c>
      <c r="AC135">
        <v>6</v>
      </c>
      <c r="AD135">
        <v>10</v>
      </c>
      <c r="AE135">
        <v>7</v>
      </c>
      <c r="AF135">
        <v>4</v>
      </c>
      <c r="AG135">
        <v>4</v>
      </c>
      <c r="AH135">
        <v>9</v>
      </c>
      <c r="AI135">
        <v>4</v>
      </c>
      <c r="AJ135">
        <v>8</v>
      </c>
      <c r="AK135">
        <v>5</v>
      </c>
      <c r="AL135">
        <v>2</v>
      </c>
      <c r="AM135">
        <v>6</v>
      </c>
      <c r="AN135">
        <v>5</v>
      </c>
      <c r="AO135">
        <v>8</v>
      </c>
      <c r="AP135">
        <v>1</v>
      </c>
      <c r="AQ135">
        <v>1</v>
      </c>
      <c r="AR135">
        <v>9</v>
      </c>
      <c r="AS135">
        <v>6</v>
      </c>
      <c r="AT135">
        <v>5</v>
      </c>
      <c r="AU135">
        <v>9</v>
      </c>
      <c r="AV135">
        <v>5</v>
      </c>
      <c r="AW135">
        <v>8</v>
      </c>
      <c r="AX135">
        <v>6</v>
      </c>
      <c r="AY135">
        <v>10</v>
      </c>
      <c r="AZ135">
        <v>5</v>
      </c>
      <c r="BA135">
        <v>1</v>
      </c>
      <c r="BB135">
        <v>3</v>
      </c>
      <c r="BC135">
        <v>10</v>
      </c>
      <c r="BD135">
        <v>10</v>
      </c>
      <c r="BE135">
        <v>8</v>
      </c>
      <c r="BF135">
        <v>6</v>
      </c>
      <c r="BG135">
        <v>10</v>
      </c>
      <c r="BH135">
        <v>5</v>
      </c>
      <c r="BI135">
        <v>6</v>
      </c>
      <c r="BJ135">
        <v>10</v>
      </c>
      <c r="BK135">
        <v>1</v>
      </c>
      <c r="BL135">
        <v>5</v>
      </c>
      <c r="BM135">
        <v>6</v>
      </c>
      <c r="BN135">
        <v>10</v>
      </c>
      <c r="BO135">
        <v>0</v>
      </c>
      <c r="BP135">
        <v>1</v>
      </c>
      <c r="BQ135">
        <v>6</v>
      </c>
      <c r="BR135">
        <v>2</v>
      </c>
      <c r="BS135">
        <v>9</v>
      </c>
      <c r="BT135">
        <v>7</v>
      </c>
      <c r="BU135">
        <v>2</v>
      </c>
      <c r="BV135">
        <v>7</v>
      </c>
      <c r="BW135">
        <v>9</v>
      </c>
      <c r="BX135">
        <v>9</v>
      </c>
      <c r="BY135">
        <v>1</v>
      </c>
      <c r="BZ135">
        <v>8</v>
      </c>
      <c r="CA135">
        <v>4</v>
      </c>
      <c r="CB135">
        <v>7</v>
      </c>
      <c r="CC135">
        <v>5</v>
      </c>
      <c r="CD135">
        <v>5</v>
      </c>
      <c r="CE135">
        <v>4</v>
      </c>
      <c r="CF135">
        <v>2</v>
      </c>
      <c r="CG135">
        <v>2</v>
      </c>
      <c r="CH135">
        <v>9</v>
      </c>
      <c r="CI135">
        <v>1</v>
      </c>
      <c r="CJ135">
        <v>5</v>
      </c>
      <c r="CK135">
        <v>10</v>
      </c>
      <c r="CL135">
        <v>8</v>
      </c>
      <c r="CM135">
        <v>0</v>
      </c>
      <c r="CN135">
        <v>3</v>
      </c>
      <c r="CO135">
        <v>10</v>
      </c>
      <c r="CP135">
        <v>1</v>
      </c>
      <c r="CQ135">
        <v>4</v>
      </c>
      <c r="CR135">
        <v>9</v>
      </c>
      <c r="CS135">
        <v>10</v>
      </c>
      <c r="CT135">
        <v>8</v>
      </c>
      <c r="CU135">
        <v>9</v>
      </c>
      <c r="CV135">
        <v>7</v>
      </c>
      <c r="CW135">
        <v>9</v>
      </c>
      <c r="CX135">
        <v>3</v>
      </c>
      <c r="CY135">
        <v>0</v>
      </c>
      <c r="CZ135">
        <v>2</v>
      </c>
      <c r="DA135">
        <v>6</v>
      </c>
      <c r="DB135">
        <v>3</v>
      </c>
      <c r="DC135">
        <v>4</v>
      </c>
      <c r="DD135">
        <v>2</v>
      </c>
      <c r="DE135">
        <v>5</v>
      </c>
      <c r="DF135">
        <v>5</v>
      </c>
      <c r="DG135">
        <v>2</v>
      </c>
      <c r="DH135">
        <v>6</v>
      </c>
      <c r="DI135">
        <v>1</v>
      </c>
      <c r="DJ135">
        <v>4</v>
      </c>
      <c r="DK135">
        <v>2</v>
      </c>
    </row>
    <row r="136" spans="1:115">
      <c r="A136" s="173">
        <f>Calculations[[#This Row],[Sum t eCO2]]*IF(Calculations[[#This Row],[GHG Scope]]="BIOGENIC",0,1)</f>
        <v>3.8985237291000005E-3</v>
      </c>
      <c r="O136">
        <f t="shared" si="2"/>
        <v>135</v>
      </c>
      <c r="P136">
        <v>0</v>
      </c>
      <c r="Q136">
        <v>10</v>
      </c>
      <c r="R136">
        <v>2</v>
      </c>
      <c r="S136">
        <v>3</v>
      </c>
      <c r="T136">
        <v>5</v>
      </c>
      <c r="U136">
        <v>8</v>
      </c>
      <c r="V136">
        <v>4</v>
      </c>
      <c r="W136">
        <v>6</v>
      </c>
      <c r="X136">
        <v>8</v>
      </c>
      <c r="Y136">
        <v>3</v>
      </c>
      <c r="Z136">
        <v>2</v>
      </c>
      <c r="AA136">
        <v>7</v>
      </c>
      <c r="AB136">
        <v>3</v>
      </c>
      <c r="AC136">
        <v>10</v>
      </c>
      <c r="AD136">
        <v>4</v>
      </c>
      <c r="AE136">
        <v>2</v>
      </c>
      <c r="AF136">
        <v>5</v>
      </c>
      <c r="AG136">
        <v>2</v>
      </c>
      <c r="AH136">
        <v>7</v>
      </c>
      <c r="AI136">
        <v>6</v>
      </c>
      <c r="AJ136">
        <v>6</v>
      </c>
      <c r="AK136">
        <v>6</v>
      </c>
      <c r="AL136">
        <v>3</v>
      </c>
      <c r="AM136">
        <v>5</v>
      </c>
      <c r="AN136">
        <v>3</v>
      </c>
      <c r="AO136">
        <v>5</v>
      </c>
      <c r="AP136">
        <v>0</v>
      </c>
      <c r="AQ136">
        <v>4</v>
      </c>
      <c r="AR136">
        <v>2</v>
      </c>
      <c r="AS136">
        <v>2</v>
      </c>
      <c r="AT136">
        <v>4</v>
      </c>
      <c r="AU136">
        <v>1</v>
      </c>
      <c r="AV136">
        <v>6</v>
      </c>
      <c r="AW136">
        <v>7</v>
      </c>
      <c r="AX136">
        <v>2</v>
      </c>
      <c r="AY136">
        <v>4</v>
      </c>
      <c r="AZ136">
        <v>5</v>
      </c>
      <c r="BA136">
        <v>1</v>
      </c>
      <c r="BB136">
        <v>2</v>
      </c>
      <c r="BC136">
        <v>0</v>
      </c>
      <c r="BD136">
        <v>2</v>
      </c>
      <c r="BE136">
        <v>5</v>
      </c>
      <c r="BF136">
        <v>3</v>
      </c>
      <c r="BG136">
        <v>7</v>
      </c>
      <c r="BH136">
        <v>6</v>
      </c>
      <c r="BI136">
        <v>9</v>
      </c>
      <c r="BJ136">
        <v>7</v>
      </c>
      <c r="BK136">
        <v>7</v>
      </c>
      <c r="BL136">
        <v>9</v>
      </c>
      <c r="BM136">
        <v>7</v>
      </c>
      <c r="BN136">
        <v>8</v>
      </c>
      <c r="BO136">
        <v>2</v>
      </c>
      <c r="BP136">
        <v>1</v>
      </c>
      <c r="BQ136">
        <v>1</v>
      </c>
      <c r="BR136">
        <v>7</v>
      </c>
      <c r="BS136">
        <v>7</v>
      </c>
      <c r="BT136">
        <v>1</v>
      </c>
      <c r="BU136">
        <v>7</v>
      </c>
      <c r="BV136">
        <v>10</v>
      </c>
      <c r="BW136">
        <v>3</v>
      </c>
      <c r="BX136">
        <v>0</v>
      </c>
      <c r="BY136">
        <v>8</v>
      </c>
      <c r="BZ136">
        <v>10</v>
      </c>
      <c r="CA136">
        <v>4</v>
      </c>
      <c r="CB136">
        <v>6</v>
      </c>
      <c r="CC136">
        <v>7</v>
      </c>
      <c r="CD136">
        <v>10</v>
      </c>
      <c r="CE136">
        <v>7</v>
      </c>
      <c r="CF136">
        <v>8</v>
      </c>
      <c r="CG136">
        <v>5</v>
      </c>
      <c r="CH136">
        <v>6</v>
      </c>
      <c r="CI136">
        <v>8</v>
      </c>
      <c r="CJ136">
        <v>4</v>
      </c>
      <c r="CK136">
        <v>0</v>
      </c>
      <c r="CL136">
        <v>8</v>
      </c>
      <c r="CM136">
        <v>1</v>
      </c>
      <c r="CN136">
        <v>10</v>
      </c>
      <c r="CO136">
        <v>4</v>
      </c>
      <c r="CP136">
        <v>10</v>
      </c>
      <c r="CQ136">
        <v>4</v>
      </c>
      <c r="CR136">
        <v>9</v>
      </c>
      <c r="CS136">
        <v>7</v>
      </c>
      <c r="CT136">
        <v>6</v>
      </c>
      <c r="CU136">
        <v>0</v>
      </c>
      <c r="CV136">
        <v>5</v>
      </c>
      <c r="CW136">
        <v>10</v>
      </c>
      <c r="CX136">
        <v>5</v>
      </c>
      <c r="CY136">
        <v>4</v>
      </c>
      <c r="CZ136">
        <v>10</v>
      </c>
      <c r="DA136">
        <v>7</v>
      </c>
      <c r="DB136">
        <v>10</v>
      </c>
      <c r="DC136">
        <v>8</v>
      </c>
      <c r="DD136">
        <v>5</v>
      </c>
      <c r="DE136">
        <v>6</v>
      </c>
      <c r="DF136">
        <v>3</v>
      </c>
      <c r="DG136">
        <v>4</v>
      </c>
      <c r="DH136">
        <v>10</v>
      </c>
      <c r="DI136">
        <v>5</v>
      </c>
      <c r="DJ136">
        <v>10</v>
      </c>
      <c r="DK136">
        <v>5</v>
      </c>
    </row>
    <row r="137" spans="1:115">
      <c r="A137" s="173">
        <f>Calculations[[#This Row],[Sum t eCO2]]*IF(Calculations[[#This Row],[GHG Scope]]="BIOGENIC",0,1)</f>
        <v>7.379348487224999E-3</v>
      </c>
      <c r="O137">
        <f t="shared" si="2"/>
        <v>136</v>
      </c>
      <c r="P137">
        <v>10</v>
      </c>
      <c r="Q137">
        <v>7</v>
      </c>
      <c r="R137">
        <v>5</v>
      </c>
      <c r="S137">
        <v>9</v>
      </c>
      <c r="T137">
        <v>6</v>
      </c>
      <c r="U137">
        <v>10</v>
      </c>
      <c r="V137">
        <v>4</v>
      </c>
      <c r="W137">
        <v>10</v>
      </c>
      <c r="X137">
        <v>9</v>
      </c>
      <c r="Y137">
        <v>10</v>
      </c>
      <c r="Z137">
        <v>1</v>
      </c>
      <c r="AA137">
        <v>9</v>
      </c>
      <c r="AB137">
        <v>1</v>
      </c>
      <c r="AC137">
        <v>10</v>
      </c>
      <c r="AD137">
        <v>5</v>
      </c>
      <c r="AE137">
        <v>4</v>
      </c>
      <c r="AF137">
        <v>2</v>
      </c>
      <c r="AG137">
        <v>5</v>
      </c>
      <c r="AH137">
        <v>0</v>
      </c>
      <c r="AI137">
        <v>1</v>
      </c>
      <c r="AJ137">
        <v>3</v>
      </c>
      <c r="AK137">
        <v>0</v>
      </c>
      <c r="AL137">
        <v>2</v>
      </c>
      <c r="AM137">
        <v>9</v>
      </c>
      <c r="AN137">
        <v>7</v>
      </c>
      <c r="AO137">
        <v>5</v>
      </c>
      <c r="AP137">
        <v>9</v>
      </c>
      <c r="AQ137">
        <v>3</v>
      </c>
      <c r="AR137">
        <v>8</v>
      </c>
      <c r="AS137">
        <v>10</v>
      </c>
      <c r="AT137">
        <v>2</v>
      </c>
      <c r="AU137">
        <v>1</v>
      </c>
      <c r="AV137">
        <v>1</v>
      </c>
      <c r="AW137">
        <v>2</v>
      </c>
      <c r="AX137">
        <v>6</v>
      </c>
      <c r="AY137">
        <v>5</v>
      </c>
      <c r="AZ137">
        <v>1</v>
      </c>
      <c r="BA137">
        <v>8</v>
      </c>
      <c r="BB137">
        <v>7</v>
      </c>
      <c r="BC137">
        <v>9</v>
      </c>
      <c r="BD137">
        <v>1</v>
      </c>
      <c r="BE137">
        <v>8</v>
      </c>
      <c r="BF137">
        <v>1</v>
      </c>
      <c r="BG137">
        <v>3</v>
      </c>
      <c r="BH137">
        <v>5</v>
      </c>
      <c r="BI137">
        <v>6</v>
      </c>
      <c r="BJ137">
        <v>5</v>
      </c>
      <c r="BK137">
        <v>6</v>
      </c>
      <c r="BL137">
        <v>0</v>
      </c>
      <c r="BM137">
        <v>1</v>
      </c>
      <c r="BN137">
        <v>0</v>
      </c>
      <c r="BO137">
        <v>4</v>
      </c>
      <c r="BP137">
        <v>8</v>
      </c>
      <c r="BQ137">
        <v>6</v>
      </c>
      <c r="BR137">
        <v>2</v>
      </c>
      <c r="BS137">
        <v>9</v>
      </c>
      <c r="BT137">
        <v>9</v>
      </c>
      <c r="BU137">
        <v>0</v>
      </c>
      <c r="BV137">
        <v>7</v>
      </c>
      <c r="BW137">
        <v>3</v>
      </c>
      <c r="BX137">
        <v>2</v>
      </c>
      <c r="BY137">
        <v>3</v>
      </c>
      <c r="BZ137">
        <v>4</v>
      </c>
      <c r="CA137">
        <v>3</v>
      </c>
      <c r="CB137">
        <v>4</v>
      </c>
      <c r="CC137">
        <v>3</v>
      </c>
      <c r="CD137">
        <v>4</v>
      </c>
      <c r="CE137">
        <v>2</v>
      </c>
      <c r="CF137">
        <v>7</v>
      </c>
      <c r="CG137">
        <v>3</v>
      </c>
      <c r="CH137">
        <v>1</v>
      </c>
      <c r="CI137">
        <v>10</v>
      </c>
      <c r="CJ137">
        <v>3</v>
      </c>
      <c r="CK137">
        <v>3</v>
      </c>
      <c r="CL137">
        <v>3</v>
      </c>
      <c r="CM137">
        <v>5</v>
      </c>
      <c r="CN137">
        <v>1</v>
      </c>
      <c r="CO137">
        <v>0</v>
      </c>
      <c r="CP137">
        <v>8</v>
      </c>
      <c r="CQ137">
        <v>7</v>
      </c>
      <c r="CR137">
        <v>5</v>
      </c>
      <c r="CS137">
        <v>4</v>
      </c>
      <c r="CT137">
        <v>10</v>
      </c>
      <c r="CU137">
        <v>3</v>
      </c>
      <c r="CV137">
        <v>6</v>
      </c>
      <c r="CW137">
        <v>4</v>
      </c>
      <c r="CX137">
        <v>5</v>
      </c>
      <c r="CY137">
        <v>7</v>
      </c>
      <c r="CZ137">
        <v>2</v>
      </c>
      <c r="DA137">
        <v>5</v>
      </c>
      <c r="DB137">
        <v>9</v>
      </c>
      <c r="DC137">
        <v>9</v>
      </c>
      <c r="DD137">
        <v>0</v>
      </c>
      <c r="DE137">
        <v>1</v>
      </c>
      <c r="DF137">
        <v>10</v>
      </c>
      <c r="DG137">
        <v>4</v>
      </c>
      <c r="DH137">
        <v>2</v>
      </c>
      <c r="DI137">
        <v>10</v>
      </c>
      <c r="DJ137">
        <v>3</v>
      </c>
      <c r="DK137">
        <v>8</v>
      </c>
    </row>
    <row r="138" spans="1:115">
      <c r="A138" s="173">
        <f>Calculations[[#This Row],[Sum t eCO2]]*IF(Calculations[[#This Row],[GHG Scope]]="BIOGENIC",0,1)</f>
        <v>53.935083960819021</v>
      </c>
      <c r="O138">
        <f t="shared" si="2"/>
        <v>137</v>
      </c>
      <c r="P138">
        <v>1</v>
      </c>
      <c r="Q138">
        <v>10</v>
      </c>
      <c r="R138">
        <v>1</v>
      </c>
      <c r="S138">
        <v>3</v>
      </c>
      <c r="T138">
        <v>5</v>
      </c>
      <c r="U138">
        <v>10</v>
      </c>
      <c r="V138">
        <v>4</v>
      </c>
      <c r="W138">
        <v>5</v>
      </c>
      <c r="X138">
        <v>4</v>
      </c>
      <c r="Y138">
        <v>8</v>
      </c>
      <c r="Z138">
        <v>5</v>
      </c>
      <c r="AA138">
        <v>1</v>
      </c>
      <c r="AB138">
        <v>6</v>
      </c>
      <c r="AC138">
        <v>4</v>
      </c>
      <c r="AD138">
        <v>8</v>
      </c>
      <c r="AE138">
        <v>9</v>
      </c>
      <c r="AF138">
        <v>3</v>
      </c>
      <c r="AG138">
        <v>10</v>
      </c>
      <c r="AH138">
        <v>0</v>
      </c>
      <c r="AI138">
        <v>7</v>
      </c>
      <c r="AJ138">
        <v>1</v>
      </c>
      <c r="AK138">
        <v>7</v>
      </c>
      <c r="AL138">
        <v>8</v>
      </c>
      <c r="AM138">
        <v>9</v>
      </c>
      <c r="AN138">
        <v>7</v>
      </c>
      <c r="AO138">
        <v>0</v>
      </c>
      <c r="AP138">
        <v>2</v>
      </c>
      <c r="AQ138">
        <v>6</v>
      </c>
      <c r="AR138">
        <v>6</v>
      </c>
      <c r="AS138">
        <v>6</v>
      </c>
      <c r="AT138">
        <v>4</v>
      </c>
      <c r="AU138">
        <v>1</v>
      </c>
      <c r="AV138">
        <v>7</v>
      </c>
      <c r="AW138">
        <v>10</v>
      </c>
      <c r="AX138">
        <v>5</v>
      </c>
      <c r="AY138">
        <v>2</v>
      </c>
      <c r="AZ138">
        <v>6</v>
      </c>
      <c r="BA138">
        <v>8</v>
      </c>
      <c r="BB138">
        <v>8</v>
      </c>
      <c r="BC138">
        <v>0</v>
      </c>
      <c r="BD138">
        <v>4</v>
      </c>
      <c r="BE138">
        <v>8</v>
      </c>
      <c r="BF138">
        <v>8</v>
      </c>
      <c r="BG138">
        <v>6</v>
      </c>
      <c r="BH138">
        <v>5</v>
      </c>
      <c r="BI138">
        <v>5</v>
      </c>
      <c r="BJ138">
        <v>4</v>
      </c>
      <c r="BK138">
        <v>6</v>
      </c>
      <c r="BL138">
        <v>10</v>
      </c>
      <c r="BM138">
        <v>7</v>
      </c>
      <c r="BN138">
        <v>4</v>
      </c>
      <c r="BO138">
        <v>4</v>
      </c>
      <c r="BP138">
        <v>10</v>
      </c>
      <c r="BQ138">
        <v>8</v>
      </c>
      <c r="BR138">
        <v>9</v>
      </c>
      <c r="BS138">
        <v>10</v>
      </c>
      <c r="BT138">
        <v>1</v>
      </c>
      <c r="BU138">
        <v>10</v>
      </c>
      <c r="BV138">
        <v>3</v>
      </c>
      <c r="BW138">
        <v>1</v>
      </c>
      <c r="BX138">
        <v>4</v>
      </c>
      <c r="BY138">
        <v>0</v>
      </c>
      <c r="BZ138">
        <v>8</v>
      </c>
      <c r="CA138">
        <v>1</v>
      </c>
      <c r="CB138">
        <v>1</v>
      </c>
      <c r="CC138">
        <v>1</v>
      </c>
      <c r="CD138">
        <v>1</v>
      </c>
      <c r="CE138">
        <v>6</v>
      </c>
      <c r="CF138">
        <v>3</v>
      </c>
      <c r="CG138">
        <v>4</v>
      </c>
      <c r="CH138">
        <v>4</v>
      </c>
      <c r="CI138">
        <v>1</v>
      </c>
      <c r="CJ138">
        <v>1</v>
      </c>
      <c r="CK138">
        <v>4</v>
      </c>
      <c r="CL138">
        <v>10</v>
      </c>
      <c r="CM138">
        <v>0</v>
      </c>
      <c r="CN138">
        <v>6</v>
      </c>
      <c r="CO138">
        <v>4</v>
      </c>
      <c r="CP138">
        <v>0</v>
      </c>
      <c r="CQ138">
        <v>1</v>
      </c>
      <c r="CR138">
        <v>10</v>
      </c>
      <c r="CS138">
        <v>4</v>
      </c>
      <c r="CT138">
        <v>4</v>
      </c>
      <c r="CU138">
        <v>10</v>
      </c>
      <c r="CV138">
        <v>6</v>
      </c>
      <c r="CW138">
        <v>3</v>
      </c>
      <c r="CX138">
        <v>5</v>
      </c>
      <c r="CY138">
        <v>5</v>
      </c>
      <c r="CZ138">
        <v>0</v>
      </c>
      <c r="DA138">
        <v>4</v>
      </c>
      <c r="DB138">
        <v>3</v>
      </c>
      <c r="DC138">
        <v>5</v>
      </c>
      <c r="DD138">
        <v>3</v>
      </c>
      <c r="DE138">
        <v>7</v>
      </c>
      <c r="DF138">
        <v>6</v>
      </c>
      <c r="DG138">
        <v>2</v>
      </c>
      <c r="DH138">
        <v>7</v>
      </c>
      <c r="DI138">
        <v>7</v>
      </c>
      <c r="DJ138">
        <v>0</v>
      </c>
      <c r="DK138">
        <v>2</v>
      </c>
    </row>
    <row r="139" spans="1:115">
      <c r="A139" s="173">
        <f>Calculations[[#This Row],[Sum t eCO2]]*IF(Calculations[[#This Row],[GHG Scope]]="BIOGENIC",0,1)</f>
        <v>51.045704462918003</v>
      </c>
      <c r="O139">
        <f t="shared" si="2"/>
        <v>138</v>
      </c>
      <c r="P139">
        <v>2</v>
      </c>
      <c r="Q139">
        <v>7</v>
      </c>
      <c r="R139">
        <v>1</v>
      </c>
      <c r="S139">
        <v>6</v>
      </c>
      <c r="T139">
        <v>2</v>
      </c>
      <c r="U139">
        <v>6</v>
      </c>
      <c r="V139">
        <v>6</v>
      </c>
      <c r="W139">
        <v>3</v>
      </c>
      <c r="X139">
        <v>4</v>
      </c>
      <c r="Y139">
        <v>10</v>
      </c>
      <c r="Z139">
        <v>2</v>
      </c>
      <c r="AA139">
        <v>8</v>
      </c>
      <c r="AB139">
        <v>2</v>
      </c>
      <c r="AC139">
        <v>10</v>
      </c>
      <c r="AD139">
        <v>1</v>
      </c>
      <c r="AE139">
        <v>1</v>
      </c>
      <c r="AF139">
        <v>4</v>
      </c>
      <c r="AG139">
        <v>3</v>
      </c>
      <c r="AH139">
        <v>8</v>
      </c>
      <c r="AI139">
        <v>0</v>
      </c>
      <c r="AJ139">
        <v>5</v>
      </c>
      <c r="AK139">
        <v>8</v>
      </c>
      <c r="AL139">
        <v>5</v>
      </c>
      <c r="AM139">
        <v>0</v>
      </c>
      <c r="AN139">
        <v>4</v>
      </c>
      <c r="AO139">
        <v>6</v>
      </c>
      <c r="AP139">
        <v>1</v>
      </c>
      <c r="AQ139">
        <v>1</v>
      </c>
      <c r="AR139">
        <v>8</v>
      </c>
      <c r="AS139">
        <v>1</v>
      </c>
      <c r="AT139">
        <v>6</v>
      </c>
      <c r="AU139">
        <v>2</v>
      </c>
      <c r="AV139">
        <v>2</v>
      </c>
      <c r="AW139">
        <v>4</v>
      </c>
      <c r="AX139">
        <v>5</v>
      </c>
      <c r="AY139">
        <v>6</v>
      </c>
      <c r="AZ139">
        <v>3</v>
      </c>
      <c r="BA139">
        <v>9</v>
      </c>
      <c r="BB139">
        <v>1</v>
      </c>
      <c r="BC139">
        <v>1</v>
      </c>
      <c r="BD139">
        <v>5</v>
      </c>
      <c r="BE139">
        <v>2</v>
      </c>
      <c r="BF139">
        <v>9</v>
      </c>
      <c r="BG139">
        <v>2</v>
      </c>
      <c r="BH139">
        <v>5</v>
      </c>
      <c r="BI139">
        <v>1</v>
      </c>
      <c r="BJ139">
        <v>8</v>
      </c>
      <c r="BK139">
        <v>0</v>
      </c>
      <c r="BL139">
        <v>2</v>
      </c>
      <c r="BM139">
        <v>7</v>
      </c>
      <c r="BN139">
        <v>6</v>
      </c>
      <c r="BO139">
        <v>7</v>
      </c>
      <c r="BP139">
        <v>6</v>
      </c>
      <c r="BQ139">
        <v>6</v>
      </c>
      <c r="BR139">
        <v>3</v>
      </c>
      <c r="BS139">
        <v>4</v>
      </c>
      <c r="BT139">
        <v>8</v>
      </c>
      <c r="BU139">
        <v>5</v>
      </c>
      <c r="BV139">
        <v>9</v>
      </c>
      <c r="BW139">
        <v>9</v>
      </c>
      <c r="BX139">
        <v>9</v>
      </c>
      <c r="BY139">
        <v>10</v>
      </c>
      <c r="BZ139">
        <v>6</v>
      </c>
      <c r="CA139">
        <v>10</v>
      </c>
      <c r="CB139">
        <v>5</v>
      </c>
      <c r="CC139">
        <v>3</v>
      </c>
      <c r="CD139">
        <v>0</v>
      </c>
      <c r="CE139">
        <v>5</v>
      </c>
      <c r="CF139">
        <v>9</v>
      </c>
      <c r="CG139">
        <v>5</v>
      </c>
      <c r="CH139">
        <v>10</v>
      </c>
      <c r="CI139">
        <v>5</v>
      </c>
      <c r="CJ139">
        <v>7</v>
      </c>
      <c r="CK139">
        <v>6</v>
      </c>
      <c r="CL139">
        <v>3</v>
      </c>
      <c r="CM139">
        <v>7</v>
      </c>
      <c r="CN139">
        <v>2</v>
      </c>
      <c r="CO139">
        <v>6</v>
      </c>
      <c r="CP139">
        <v>4</v>
      </c>
      <c r="CQ139">
        <v>3</v>
      </c>
      <c r="CR139">
        <v>6</v>
      </c>
      <c r="CS139">
        <v>9</v>
      </c>
      <c r="CT139">
        <v>8</v>
      </c>
      <c r="CU139">
        <v>5</v>
      </c>
      <c r="CV139">
        <v>4</v>
      </c>
      <c r="CW139">
        <v>0</v>
      </c>
      <c r="CX139">
        <v>5</v>
      </c>
      <c r="CY139">
        <v>5</v>
      </c>
      <c r="CZ139">
        <v>8</v>
      </c>
      <c r="DA139">
        <v>3</v>
      </c>
      <c r="DB139">
        <v>5</v>
      </c>
      <c r="DC139">
        <v>2</v>
      </c>
      <c r="DD139">
        <v>8</v>
      </c>
      <c r="DE139">
        <v>8</v>
      </c>
      <c r="DF139">
        <v>2</v>
      </c>
      <c r="DG139">
        <v>2</v>
      </c>
      <c r="DH139">
        <v>2</v>
      </c>
      <c r="DI139">
        <v>9</v>
      </c>
      <c r="DJ139">
        <v>6</v>
      </c>
      <c r="DK139">
        <v>4</v>
      </c>
    </row>
    <row r="140" spans="1:115">
      <c r="A140" s="173">
        <f>Calculations[[#This Row],[Sum t eCO2]]*IF(Calculations[[#This Row],[GHG Scope]]="BIOGENIC",0,1)</f>
        <v>5.6725712165353413E-3</v>
      </c>
      <c r="O140">
        <f t="shared" si="2"/>
        <v>139</v>
      </c>
      <c r="P140">
        <v>7</v>
      </c>
      <c r="Q140">
        <v>5</v>
      </c>
      <c r="R140">
        <v>0</v>
      </c>
      <c r="S140">
        <v>10</v>
      </c>
      <c r="T140">
        <v>6</v>
      </c>
      <c r="U140">
        <v>3</v>
      </c>
      <c r="V140">
        <v>9</v>
      </c>
      <c r="W140">
        <v>8</v>
      </c>
      <c r="X140">
        <v>0</v>
      </c>
      <c r="Y140">
        <v>1</v>
      </c>
      <c r="Z140">
        <v>7</v>
      </c>
      <c r="AA140">
        <v>2</v>
      </c>
      <c r="AB140">
        <v>10</v>
      </c>
      <c r="AC140">
        <v>4</v>
      </c>
      <c r="AD140">
        <v>4</v>
      </c>
      <c r="AE140">
        <v>0</v>
      </c>
      <c r="AF140">
        <v>8</v>
      </c>
      <c r="AG140">
        <v>6</v>
      </c>
      <c r="AH140">
        <v>2</v>
      </c>
      <c r="AI140">
        <v>6</v>
      </c>
      <c r="AJ140">
        <v>4</v>
      </c>
      <c r="AK140">
        <v>1</v>
      </c>
      <c r="AL140">
        <v>7</v>
      </c>
      <c r="AM140">
        <v>6</v>
      </c>
      <c r="AN140">
        <v>10</v>
      </c>
      <c r="AO140">
        <v>1</v>
      </c>
      <c r="AP140">
        <v>3</v>
      </c>
      <c r="AQ140">
        <v>2</v>
      </c>
      <c r="AR140">
        <v>6</v>
      </c>
      <c r="AS140">
        <v>5</v>
      </c>
      <c r="AT140">
        <v>8</v>
      </c>
      <c r="AU140">
        <v>10</v>
      </c>
      <c r="AV140">
        <v>5</v>
      </c>
      <c r="AW140">
        <v>2</v>
      </c>
      <c r="AX140">
        <v>0</v>
      </c>
      <c r="AY140">
        <v>2</v>
      </c>
      <c r="AZ140">
        <v>2</v>
      </c>
      <c r="BA140">
        <v>5</v>
      </c>
      <c r="BB140">
        <v>10</v>
      </c>
      <c r="BC140">
        <v>8</v>
      </c>
      <c r="BD140">
        <v>1</v>
      </c>
      <c r="BE140">
        <v>10</v>
      </c>
      <c r="BF140">
        <v>10</v>
      </c>
      <c r="BG140">
        <v>5</v>
      </c>
      <c r="BH140">
        <v>10</v>
      </c>
      <c r="BI140">
        <v>10</v>
      </c>
      <c r="BJ140">
        <v>0</v>
      </c>
      <c r="BK140">
        <v>2</v>
      </c>
      <c r="BL140">
        <v>2</v>
      </c>
      <c r="BM140">
        <v>3</v>
      </c>
      <c r="BN140">
        <v>10</v>
      </c>
      <c r="BO140">
        <v>6</v>
      </c>
      <c r="BP140">
        <v>10</v>
      </c>
      <c r="BQ140">
        <v>0</v>
      </c>
      <c r="BR140">
        <v>4</v>
      </c>
      <c r="BS140">
        <v>6</v>
      </c>
      <c r="BT140">
        <v>3</v>
      </c>
      <c r="BU140">
        <v>0</v>
      </c>
      <c r="BV140">
        <v>0</v>
      </c>
      <c r="BW140">
        <v>10</v>
      </c>
      <c r="BX140">
        <v>1</v>
      </c>
      <c r="BY140">
        <v>7</v>
      </c>
      <c r="BZ140">
        <v>2</v>
      </c>
      <c r="CA140">
        <v>5</v>
      </c>
      <c r="CB140">
        <v>6</v>
      </c>
      <c r="CC140">
        <v>5</v>
      </c>
      <c r="CD140">
        <v>5</v>
      </c>
      <c r="CE140">
        <v>2</v>
      </c>
      <c r="CF140">
        <v>1</v>
      </c>
      <c r="CG140">
        <v>0</v>
      </c>
      <c r="CH140">
        <v>1</v>
      </c>
      <c r="CI140">
        <v>8</v>
      </c>
      <c r="CJ140">
        <v>0</v>
      </c>
      <c r="CK140">
        <v>2</v>
      </c>
      <c r="CL140">
        <v>7</v>
      </c>
      <c r="CM140">
        <v>0</v>
      </c>
      <c r="CN140">
        <v>6</v>
      </c>
      <c r="CO140">
        <v>7</v>
      </c>
      <c r="CP140">
        <v>4</v>
      </c>
      <c r="CQ140">
        <v>4</v>
      </c>
      <c r="CR140">
        <v>7</v>
      </c>
      <c r="CS140">
        <v>4</v>
      </c>
      <c r="CT140">
        <v>4</v>
      </c>
      <c r="CU140">
        <v>5</v>
      </c>
      <c r="CV140">
        <v>1</v>
      </c>
      <c r="CW140">
        <v>2</v>
      </c>
      <c r="CX140">
        <v>9</v>
      </c>
      <c r="CY140">
        <v>0</v>
      </c>
      <c r="CZ140">
        <v>2</v>
      </c>
      <c r="DA140">
        <v>7</v>
      </c>
      <c r="DB140">
        <v>2</v>
      </c>
      <c r="DC140">
        <v>3</v>
      </c>
      <c r="DD140">
        <v>6</v>
      </c>
      <c r="DE140">
        <v>8</v>
      </c>
      <c r="DF140">
        <v>3</v>
      </c>
      <c r="DG140">
        <v>10</v>
      </c>
      <c r="DH140">
        <v>3</v>
      </c>
      <c r="DI140">
        <v>2</v>
      </c>
      <c r="DJ140">
        <v>10</v>
      </c>
      <c r="DK140">
        <v>0</v>
      </c>
    </row>
    <row r="141" spans="1:115">
      <c r="A141" s="173">
        <f>Calculations[[#This Row],[Sum t eCO2]]*IF(Calculations[[#This Row],[GHG Scope]]="BIOGENIC",0,1)</f>
        <v>5.3686834727923764E-3</v>
      </c>
      <c r="O141">
        <f t="shared" si="2"/>
        <v>140</v>
      </c>
      <c r="P141">
        <v>9</v>
      </c>
      <c r="Q141">
        <v>9</v>
      </c>
      <c r="R141">
        <v>4</v>
      </c>
      <c r="S141">
        <v>1</v>
      </c>
      <c r="T141">
        <v>1</v>
      </c>
      <c r="U141">
        <v>4</v>
      </c>
      <c r="V141">
        <v>3</v>
      </c>
      <c r="W141">
        <v>2</v>
      </c>
      <c r="X141">
        <v>7</v>
      </c>
      <c r="Y141">
        <v>7</v>
      </c>
      <c r="Z141">
        <v>5</v>
      </c>
      <c r="AA141">
        <v>0</v>
      </c>
      <c r="AB141">
        <v>2</v>
      </c>
      <c r="AC141">
        <v>1</v>
      </c>
      <c r="AD141">
        <v>10</v>
      </c>
      <c r="AE141">
        <v>5</v>
      </c>
      <c r="AF141">
        <v>10</v>
      </c>
      <c r="AG141">
        <v>10</v>
      </c>
      <c r="AH141">
        <v>0</v>
      </c>
      <c r="AI141">
        <v>2</v>
      </c>
      <c r="AJ141">
        <v>2</v>
      </c>
      <c r="AK141">
        <v>8</v>
      </c>
      <c r="AL141">
        <v>6</v>
      </c>
      <c r="AM141">
        <v>9</v>
      </c>
      <c r="AN141">
        <v>4</v>
      </c>
      <c r="AO141">
        <v>0</v>
      </c>
      <c r="AP141">
        <v>2</v>
      </c>
      <c r="AQ141">
        <v>9</v>
      </c>
      <c r="AR141">
        <v>0</v>
      </c>
      <c r="AS141">
        <v>2</v>
      </c>
      <c r="AT141">
        <v>1</v>
      </c>
      <c r="AU141">
        <v>5</v>
      </c>
      <c r="AV141">
        <v>4</v>
      </c>
      <c r="AW141">
        <v>7</v>
      </c>
      <c r="AX141">
        <v>4</v>
      </c>
      <c r="AY141">
        <v>9</v>
      </c>
      <c r="AZ141">
        <v>6</v>
      </c>
      <c r="BA141">
        <v>3</v>
      </c>
      <c r="BB141">
        <v>0</v>
      </c>
      <c r="BC141">
        <v>6</v>
      </c>
      <c r="BD141">
        <v>2</v>
      </c>
      <c r="BE141">
        <v>0</v>
      </c>
      <c r="BF141">
        <v>7</v>
      </c>
      <c r="BG141">
        <v>8</v>
      </c>
      <c r="BH141">
        <v>1</v>
      </c>
      <c r="BI141">
        <v>0</v>
      </c>
      <c r="BJ141">
        <v>7</v>
      </c>
      <c r="BK141">
        <v>2</v>
      </c>
      <c r="BL141">
        <v>3</v>
      </c>
      <c r="BM141">
        <v>9</v>
      </c>
      <c r="BN141">
        <v>6</v>
      </c>
      <c r="BO141">
        <v>10</v>
      </c>
      <c r="BP141">
        <v>0</v>
      </c>
      <c r="BQ141">
        <v>6</v>
      </c>
      <c r="BR141">
        <v>1</v>
      </c>
      <c r="BS141">
        <v>3</v>
      </c>
      <c r="BT141">
        <v>10</v>
      </c>
      <c r="BU141">
        <v>9</v>
      </c>
      <c r="BV141">
        <v>9</v>
      </c>
      <c r="BW141">
        <v>0</v>
      </c>
      <c r="BX141">
        <v>7</v>
      </c>
      <c r="BY141">
        <v>1</v>
      </c>
      <c r="BZ141">
        <v>4</v>
      </c>
      <c r="CA141">
        <v>0</v>
      </c>
      <c r="CB141">
        <v>8</v>
      </c>
      <c r="CC141">
        <v>10</v>
      </c>
      <c r="CD141">
        <v>7</v>
      </c>
      <c r="CE141">
        <v>2</v>
      </c>
      <c r="CF141">
        <v>1</v>
      </c>
      <c r="CG141">
        <v>7</v>
      </c>
      <c r="CH141">
        <v>7</v>
      </c>
      <c r="CI141">
        <v>3</v>
      </c>
      <c r="CJ141">
        <v>3</v>
      </c>
      <c r="CK141">
        <v>0</v>
      </c>
      <c r="CL141">
        <v>2</v>
      </c>
      <c r="CM141">
        <v>8</v>
      </c>
      <c r="CN141">
        <v>3</v>
      </c>
      <c r="CO141">
        <v>4</v>
      </c>
      <c r="CP141">
        <v>9</v>
      </c>
      <c r="CQ141">
        <v>5</v>
      </c>
      <c r="CR141">
        <v>8</v>
      </c>
      <c r="CS141">
        <v>0</v>
      </c>
      <c r="CT141">
        <v>0</v>
      </c>
      <c r="CU141">
        <v>4</v>
      </c>
      <c r="CV141">
        <v>10</v>
      </c>
      <c r="CW141">
        <v>1</v>
      </c>
      <c r="CX141">
        <v>3</v>
      </c>
      <c r="CY141">
        <v>0</v>
      </c>
      <c r="CZ141">
        <v>5</v>
      </c>
      <c r="DA141">
        <v>0</v>
      </c>
      <c r="DB141">
        <v>8</v>
      </c>
      <c r="DC141">
        <v>8</v>
      </c>
      <c r="DD141">
        <v>10</v>
      </c>
      <c r="DE141">
        <v>7</v>
      </c>
      <c r="DF141">
        <v>9</v>
      </c>
      <c r="DG141">
        <v>10</v>
      </c>
      <c r="DH141">
        <v>1</v>
      </c>
      <c r="DI141">
        <v>4</v>
      </c>
      <c r="DJ141">
        <v>3</v>
      </c>
      <c r="DK141">
        <v>3</v>
      </c>
    </row>
    <row r="142" spans="1:115">
      <c r="A142" s="173">
        <f>Calculations[[#This Row],[Sum t eCO2]]*IF(Calculations[[#This Row],[GHG Scope]]="BIOGENIC",0,1)</f>
        <v>242.13381816952236</v>
      </c>
      <c r="O142">
        <f t="shared" si="2"/>
        <v>141</v>
      </c>
      <c r="P142">
        <v>10</v>
      </c>
      <c r="Q142">
        <v>9</v>
      </c>
      <c r="R142">
        <v>9</v>
      </c>
      <c r="S142">
        <v>10</v>
      </c>
      <c r="T142">
        <v>1</v>
      </c>
      <c r="U142">
        <v>8</v>
      </c>
      <c r="V142">
        <v>5</v>
      </c>
      <c r="W142">
        <v>9</v>
      </c>
      <c r="X142">
        <v>8</v>
      </c>
      <c r="Y142">
        <v>8</v>
      </c>
      <c r="Z142">
        <v>6</v>
      </c>
      <c r="AA142">
        <v>1</v>
      </c>
      <c r="AB142">
        <v>10</v>
      </c>
      <c r="AC142">
        <v>0</v>
      </c>
      <c r="AD142">
        <v>1</v>
      </c>
      <c r="AE142">
        <v>0</v>
      </c>
      <c r="AF142">
        <v>2</v>
      </c>
      <c r="AG142">
        <v>5</v>
      </c>
      <c r="AH142">
        <v>2</v>
      </c>
      <c r="AI142">
        <v>0</v>
      </c>
      <c r="AJ142">
        <v>0</v>
      </c>
      <c r="AK142">
        <v>9</v>
      </c>
      <c r="AL142">
        <v>4</v>
      </c>
      <c r="AM142">
        <v>9</v>
      </c>
      <c r="AN142">
        <v>4</v>
      </c>
      <c r="AO142">
        <v>7</v>
      </c>
      <c r="AP142">
        <v>4</v>
      </c>
      <c r="AQ142">
        <v>9</v>
      </c>
      <c r="AR142">
        <v>3</v>
      </c>
      <c r="AS142">
        <v>7</v>
      </c>
      <c r="AT142">
        <v>3</v>
      </c>
      <c r="AU142">
        <v>9</v>
      </c>
      <c r="AV142">
        <v>7</v>
      </c>
      <c r="AW142">
        <v>0</v>
      </c>
      <c r="AX142">
        <v>9</v>
      </c>
      <c r="AY142">
        <v>8</v>
      </c>
      <c r="AZ142">
        <v>8</v>
      </c>
      <c r="BA142">
        <v>8</v>
      </c>
      <c r="BB142">
        <v>0</v>
      </c>
      <c r="BC142">
        <v>1</v>
      </c>
      <c r="BD142">
        <v>1</v>
      </c>
      <c r="BE142">
        <v>4</v>
      </c>
      <c r="BF142">
        <v>5</v>
      </c>
      <c r="BG142">
        <v>3</v>
      </c>
      <c r="BH142">
        <v>9</v>
      </c>
      <c r="BI142">
        <v>4</v>
      </c>
      <c r="BJ142">
        <v>9</v>
      </c>
      <c r="BK142">
        <v>9</v>
      </c>
      <c r="BL142">
        <v>4</v>
      </c>
      <c r="BM142">
        <v>1</v>
      </c>
      <c r="BN142">
        <v>9</v>
      </c>
      <c r="BO142">
        <v>1</v>
      </c>
      <c r="BP142">
        <v>5</v>
      </c>
      <c r="BQ142">
        <v>0</v>
      </c>
      <c r="BR142">
        <v>8</v>
      </c>
      <c r="BS142">
        <v>6</v>
      </c>
      <c r="BT142">
        <v>9</v>
      </c>
      <c r="BU142">
        <v>4</v>
      </c>
      <c r="BV142">
        <v>4</v>
      </c>
      <c r="BW142">
        <v>5</v>
      </c>
      <c r="BX142">
        <v>2</v>
      </c>
      <c r="BY142">
        <v>8</v>
      </c>
      <c r="BZ142">
        <v>2</v>
      </c>
      <c r="CA142">
        <v>2</v>
      </c>
      <c r="CB142">
        <v>0</v>
      </c>
      <c r="CC142">
        <v>2</v>
      </c>
      <c r="CD142">
        <v>4</v>
      </c>
      <c r="CE142">
        <v>6</v>
      </c>
      <c r="CF142">
        <v>4</v>
      </c>
      <c r="CG142">
        <v>10</v>
      </c>
      <c r="CH142">
        <v>5</v>
      </c>
      <c r="CI142">
        <v>7</v>
      </c>
      <c r="CJ142">
        <v>4</v>
      </c>
      <c r="CK142">
        <v>7</v>
      </c>
      <c r="CL142">
        <v>3</v>
      </c>
      <c r="CM142">
        <v>4</v>
      </c>
      <c r="CN142">
        <v>10</v>
      </c>
      <c r="CO142">
        <v>8</v>
      </c>
      <c r="CP142">
        <v>4</v>
      </c>
      <c r="CQ142">
        <v>1</v>
      </c>
      <c r="CR142">
        <v>3</v>
      </c>
      <c r="CS142">
        <v>1</v>
      </c>
      <c r="CT142">
        <v>1</v>
      </c>
      <c r="CU142">
        <v>5</v>
      </c>
      <c r="CV142">
        <v>10</v>
      </c>
      <c r="CW142">
        <v>1</v>
      </c>
      <c r="CX142">
        <v>2</v>
      </c>
      <c r="CY142">
        <v>4</v>
      </c>
      <c r="CZ142">
        <v>0</v>
      </c>
      <c r="DA142">
        <v>5</v>
      </c>
      <c r="DB142">
        <v>8</v>
      </c>
      <c r="DC142">
        <v>10</v>
      </c>
      <c r="DD142">
        <v>6</v>
      </c>
      <c r="DE142">
        <v>7</v>
      </c>
      <c r="DF142">
        <v>6</v>
      </c>
      <c r="DG142">
        <v>0</v>
      </c>
      <c r="DH142">
        <v>2</v>
      </c>
      <c r="DI142">
        <v>8</v>
      </c>
      <c r="DJ142">
        <v>9</v>
      </c>
      <c r="DK142">
        <v>2</v>
      </c>
    </row>
    <row r="143" spans="1:115">
      <c r="A143" s="173">
        <f>Calculations[[#This Row],[Sum t eCO2]]*IF(Calculations[[#This Row],[GHG Scope]]="BIOGENIC",0,1)</f>
        <v>36.797666167763836</v>
      </c>
      <c r="O143">
        <f t="shared" si="2"/>
        <v>142</v>
      </c>
      <c r="P143">
        <v>10</v>
      </c>
      <c r="Q143">
        <v>9</v>
      </c>
      <c r="R143">
        <v>8</v>
      </c>
      <c r="S143">
        <v>7</v>
      </c>
      <c r="T143">
        <v>2</v>
      </c>
      <c r="U143">
        <v>1</v>
      </c>
      <c r="V143">
        <v>8</v>
      </c>
      <c r="W143">
        <v>10</v>
      </c>
      <c r="X143">
        <v>3</v>
      </c>
      <c r="Y143">
        <v>9</v>
      </c>
      <c r="Z143">
        <v>2</v>
      </c>
      <c r="AA143">
        <v>3</v>
      </c>
      <c r="AB143">
        <v>5</v>
      </c>
      <c r="AC143">
        <v>0</v>
      </c>
      <c r="AD143">
        <v>3</v>
      </c>
      <c r="AE143">
        <v>8</v>
      </c>
      <c r="AF143">
        <v>5</v>
      </c>
      <c r="AG143">
        <v>6</v>
      </c>
      <c r="AH143">
        <v>1</v>
      </c>
      <c r="AI143">
        <v>3</v>
      </c>
      <c r="AJ143">
        <v>10</v>
      </c>
      <c r="AK143">
        <v>2</v>
      </c>
      <c r="AL143">
        <v>3</v>
      </c>
      <c r="AM143">
        <v>8</v>
      </c>
      <c r="AN143">
        <v>9</v>
      </c>
      <c r="AO143">
        <v>4</v>
      </c>
      <c r="AP143">
        <v>10</v>
      </c>
      <c r="AQ143">
        <v>5</v>
      </c>
      <c r="AR143">
        <v>1</v>
      </c>
      <c r="AS143">
        <v>7</v>
      </c>
      <c r="AT143">
        <v>8</v>
      </c>
      <c r="AU143">
        <v>8</v>
      </c>
      <c r="AV143">
        <v>5</v>
      </c>
      <c r="AW143">
        <v>1</v>
      </c>
      <c r="AX143">
        <v>7</v>
      </c>
      <c r="AY143">
        <v>0</v>
      </c>
      <c r="AZ143">
        <v>2</v>
      </c>
      <c r="BA143">
        <v>8</v>
      </c>
      <c r="BB143">
        <v>9</v>
      </c>
      <c r="BC143">
        <v>0</v>
      </c>
      <c r="BD143">
        <v>3</v>
      </c>
      <c r="BE143">
        <v>2</v>
      </c>
      <c r="BF143">
        <v>3</v>
      </c>
      <c r="BG143">
        <v>6</v>
      </c>
      <c r="BH143">
        <v>7</v>
      </c>
      <c r="BI143">
        <v>1</v>
      </c>
      <c r="BJ143">
        <v>6</v>
      </c>
      <c r="BK143">
        <v>1</v>
      </c>
      <c r="BL143">
        <v>6</v>
      </c>
      <c r="BM143">
        <v>6</v>
      </c>
      <c r="BN143">
        <v>8</v>
      </c>
      <c r="BO143">
        <v>5</v>
      </c>
      <c r="BP143">
        <v>6</v>
      </c>
      <c r="BQ143">
        <v>6</v>
      </c>
      <c r="BR143">
        <v>10</v>
      </c>
      <c r="BS143">
        <v>6</v>
      </c>
      <c r="BT143">
        <v>1</v>
      </c>
      <c r="BU143">
        <v>0</v>
      </c>
      <c r="BV143">
        <v>2</v>
      </c>
      <c r="BW143">
        <v>8</v>
      </c>
      <c r="BX143">
        <v>0</v>
      </c>
      <c r="BY143">
        <v>2</v>
      </c>
      <c r="BZ143">
        <v>10</v>
      </c>
      <c r="CA143">
        <v>0</v>
      </c>
      <c r="CB143">
        <v>0</v>
      </c>
      <c r="CC143">
        <v>6</v>
      </c>
      <c r="CD143">
        <v>10</v>
      </c>
      <c r="CE143">
        <v>0</v>
      </c>
      <c r="CF143">
        <v>7</v>
      </c>
      <c r="CG143">
        <v>10</v>
      </c>
      <c r="CH143">
        <v>2</v>
      </c>
      <c r="CI143">
        <v>8</v>
      </c>
      <c r="CJ143">
        <v>3</v>
      </c>
      <c r="CK143">
        <v>2</v>
      </c>
      <c r="CL143">
        <v>3</v>
      </c>
      <c r="CM143">
        <v>4</v>
      </c>
      <c r="CN143">
        <v>4</v>
      </c>
      <c r="CO143">
        <v>5</v>
      </c>
      <c r="CP143">
        <v>2</v>
      </c>
      <c r="CQ143">
        <v>2</v>
      </c>
      <c r="CR143">
        <v>7</v>
      </c>
      <c r="CS143">
        <v>3</v>
      </c>
      <c r="CT143">
        <v>3</v>
      </c>
      <c r="CU143">
        <v>0</v>
      </c>
      <c r="CV143">
        <v>2</v>
      </c>
      <c r="CW143">
        <v>3</v>
      </c>
      <c r="CX143">
        <v>10</v>
      </c>
      <c r="CY143">
        <v>10</v>
      </c>
      <c r="CZ143">
        <v>10</v>
      </c>
      <c r="DA143">
        <v>4</v>
      </c>
      <c r="DB143">
        <v>8</v>
      </c>
      <c r="DC143">
        <v>10</v>
      </c>
      <c r="DD143">
        <v>0</v>
      </c>
      <c r="DE143">
        <v>2</v>
      </c>
      <c r="DF143">
        <v>6</v>
      </c>
      <c r="DG143">
        <v>3</v>
      </c>
      <c r="DH143">
        <v>10</v>
      </c>
      <c r="DI143">
        <v>3</v>
      </c>
      <c r="DJ143">
        <v>3</v>
      </c>
      <c r="DK143">
        <v>7</v>
      </c>
    </row>
    <row r="144" spans="1:115">
      <c r="A144" s="173">
        <f>Calculations[[#This Row],[Sum t eCO2]]*IF(Calculations[[#This Row],[GHG Scope]]="BIOGENIC",0,1)</f>
        <v>9.6000000000000002E-2</v>
      </c>
      <c r="O144">
        <f t="shared" si="2"/>
        <v>143</v>
      </c>
      <c r="P144">
        <v>1</v>
      </c>
      <c r="Q144">
        <v>8</v>
      </c>
      <c r="R144">
        <v>4</v>
      </c>
      <c r="S144">
        <v>1</v>
      </c>
      <c r="T144">
        <v>7</v>
      </c>
      <c r="U144">
        <v>7</v>
      </c>
      <c r="V144">
        <v>9</v>
      </c>
      <c r="W144">
        <v>8</v>
      </c>
      <c r="X144">
        <v>2</v>
      </c>
      <c r="Y144">
        <v>7</v>
      </c>
      <c r="Z144">
        <v>0</v>
      </c>
      <c r="AA144">
        <v>6</v>
      </c>
      <c r="AB144">
        <v>2</v>
      </c>
      <c r="AC144">
        <v>5</v>
      </c>
      <c r="AD144">
        <v>10</v>
      </c>
      <c r="AE144">
        <v>2</v>
      </c>
      <c r="AF144">
        <v>3</v>
      </c>
      <c r="AG144">
        <v>6</v>
      </c>
      <c r="AH144">
        <v>6</v>
      </c>
      <c r="AI144">
        <v>9</v>
      </c>
      <c r="AJ144">
        <v>6</v>
      </c>
      <c r="AK144">
        <v>0</v>
      </c>
      <c r="AL144">
        <v>5</v>
      </c>
      <c r="AM144">
        <v>5</v>
      </c>
      <c r="AN144">
        <v>2</v>
      </c>
      <c r="AO144">
        <v>2</v>
      </c>
      <c r="AP144">
        <v>5</v>
      </c>
      <c r="AQ144">
        <v>2</v>
      </c>
      <c r="AR144">
        <v>1</v>
      </c>
      <c r="AS144">
        <v>8</v>
      </c>
      <c r="AT144">
        <v>7</v>
      </c>
      <c r="AU144">
        <v>1</v>
      </c>
      <c r="AV144">
        <v>3</v>
      </c>
      <c r="AW144">
        <v>7</v>
      </c>
      <c r="AX144">
        <v>4</v>
      </c>
      <c r="AY144">
        <v>4</v>
      </c>
      <c r="AZ144">
        <v>1</v>
      </c>
      <c r="BA144">
        <v>2</v>
      </c>
      <c r="BB144">
        <v>6</v>
      </c>
      <c r="BC144">
        <v>7</v>
      </c>
      <c r="BD144">
        <v>6</v>
      </c>
      <c r="BE144">
        <v>6</v>
      </c>
      <c r="BF144">
        <v>4</v>
      </c>
      <c r="BG144">
        <v>3</v>
      </c>
      <c r="BH144">
        <v>8</v>
      </c>
      <c r="BI144">
        <v>4</v>
      </c>
      <c r="BJ144">
        <v>2</v>
      </c>
      <c r="BK144">
        <v>4</v>
      </c>
      <c r="BL144">
        <v>0</v>
      </c>
      <c r="BM144">
        <v>0</v>
      </c>
      <c r="BN144">
        <v>1</v>
      </c>
      <c r="BO144">
        <v>0</v>
      </c>
      <c r="BP144">
        <v>4</v>
      </c>
      <c r="BQ144">
        <v>2</v>
      </c>
      <c r="BR144">
        <v>1</v>
      </c>
      <c r="BS144">
        <v>7</v>
      </c>
      <c r="BT144">
        <v>9</v>
      </c>
      <c r="BU144">
        <v>3</v>
      </c>
      <c r="BV144">
        <v>4</v>
      </c>
      <c r="BW144">
        <v>7</v>
      </c>
      <c r="BX144">
        <v>9</v>
      </c>
      <c r="BY144">
        <v>6</v>
      </c>
      <c r="BZ144">
        <v>7</v>
      </c>
      <c r="CA144">
        <v>10</v>
      </c>
      <c r="CB144">
        <v>5</v>
      </c>
      <c r="CC144">
        <v>2</v>
      </c>
      <c r="CD144">
        <v>6</v>
      </c>
      <c r="CE144">
        <v>9</v>
      </c>
      <c r="CF144">
        <v>8</v>
      </c>
      <c r="CG144">
        <v>4</v>
      </c>
      <c r="CH144">
        <v>2</v>
      </c>
      <c r="CI144">
        <v>0</v>
      </c>
      <c r="CJ144">
        <v>1</v>
      </c>
      <c r="CK144">
        <v>9</v>
      </c>
      <c r="CL144">
        <v>10</v>
      </c>
      <c r="CM144">
        <v>5</v>
      </c>
      <c r="CN144">
        <v>3</v>
      </c>
      <c r="CO144">
        <v>7</v>
      </c>
      <c r="CP144">
        <v>7</v>
      </c>
      <c r="CQ144">
        <v>2</v>
      </c>
      <c r="CR144">
        <v>4</v>
      </c>
      <c r="CS144">
        <v>8</v>
      </c>
      <c r="CT144">
        <v>0</v>
      </c>
      <c r="CU144">
        <v>9</v>
      </c>
      <c r="CV144">
        <v>3</v>
      </c>
      <c r="CW144">
        <v>0</v>
      </c>
      <c r="CX144">
        <v>10</v>
      </c>
      <c r="CY144">
        <v>6</v>
      </c>
      <c r="CZ144">
        <v>6</v>
      </c>
      <c r="DA144">
        <v>0</v>
      </c>
      <c r="DB144">
        <v>2</v>
      </c>
      <c r="DC144">
        <v>3</v>
      </c>
      <c r="DD144">
        <v>7</v>
      </c>
      <c r="DE144">
        <v>0</v>
      </c>
      <c r="DF144">
        <v>3</v>
      </c>
      <c r="DG144">
        <v>5</v>
      </c>
      <c r="DH144">
        <v>7</v>
      </c>
      <c r="DI144">
        <v>2</v>
      </c>
      <c r="DJ144">
        <v>3</v>
      </c>
      <c r="DK144">
        <v>0</v>
      </c>
    </row>
    <row r="145" spans="1:115">
      <c r="A145" s="173">
        <f>Calculations[[#This Row],[Sum t eCO2]]*IF(Calculations[[#This Row],[GHG Scope]]="BIOGENIC",0,1)</f>
        <v>4.0060000000000005E-2</v>
      </c>
      <c r="O145">
        <f t="shared" si="2"/>
        <v>144</v>
      </c>
      <c r="P145">
        <v>7</v>
      </c>
      <c r="Q145">
        <v>5</v>
      </c>
      <c r="R145">
        <v>4</v>
      </c>
      <c r="S145">
        <v>4</v>
      </c>
      <c r="T145">
        <v>9</v>
      </c>
      <c r="U145">
        <v>4</v>
      </c>
      <c r="V145">
        <v>2</v>
      </c>
      <c r="W145">
        <v>9</v>
      </c>
      <c r="X145">
        <v>2</v>
      </c>
      <c r="Y145">
        <v>4</v>
      </c>
      <c r="Z145">
        <v>3</v>
      </c>
      <c r="AA145">
        <v>6</v>
      </c>
      <c r="AB145">
        <v>10</v>
      </c>
      <c r="AC145">
        <v>0</v>
      </c>
      <c r="AD145">
        <v>4</v>
      </c>
      <c r="AE145">
        <v>2</v>
      </c>
      <c r="AF145">
        <v>9</v>
      </c>
      <c r="AG145">
        <v>4</v>
      </c>
      <c r="AH145">
        <v>2</v>
      </c>
      <c r="AI145">
        <v>1</v>
      </c>
      <c r="AJ145">
        <v>10</v>
      </c>
      <c r="AK145">
        <v>3</v>
      </c>
      <c r="AL145">
        <v>7</v>
      </c>
      <c r="AM145">
        <v>7</v>
      </c>
      <c r="AN145">
        <v>2</v>
      </c>
      <c r="AO145">
        <v>6</v>
      </c>
      <c r="AP145">
        <v>3</v>
      </c>
      <c r="AQ145">
        <v>2</v>
      </c>
      <c r="AR145">
        <v>1</v>
      </c>
      <c r="AS145">
        <v>8</v>
      </c>
      <c r="AT145">
        <v>2</v>
      </c>
      <c r="AU145">
        <v>1</v>
      </c>
      <c r="AV145">
        <v>6</v>
      </c>
      <c r="AW145">
        <v>0</v>
      </c>
      <c r="AX145">
        <v>3</v>
      </c>
      <c r="AY145">
        <v>9</v>
      </c>
      <c r="AZ145">
        <v>10</v>
      </c>
      <c r="BA145">
        <v>3</v>
      </c>
      <c r="BB145">
        <v>1</v>
      </c>
      <c r="BC145">
        <v>1</v>
      </c>
      <c r="BD145">
        <v>9</v>
      </c>
      <c r="BE145">
        <v>7</v>
      </c>
      <c r="BF145">
        <v>1</v>
      </c>
      <c r="BG145">
        <v>0</v>
      </c>
      <c r="BH145">
        <v>6</v>
      </c>
      <c r="BI145">
        <v>6</v>
      </c>
      <c r="BJ145">
        <v>1</v>
      </c>
      <c r="BK145">
        <v>10</v>
      </c>
      <c r="BL145">
        <v>1</v>
      </c>
      <c r="BM145">
        <v>3</v>
      </c>
      <c r="BN145">
        <v>0</v>
      </c>
      <c r="BO145">
        <v>6</v>
      </c>
      <c r="BP145">
        <v>10</v>
      </c>
      <c r="BQ145">
        <v>9</v>
      </c>
      <c r="BR145">
        <v>6</v>
      </c>
      <c r="BS145">
        <v>5</v>
      </c>
      <c r="BT145">
        <v>9</v>
      </c>
      <c r="BU145">
        <v>3</v>
      </c>
      <c r="BV145">
        <v>3</v>
      </c>
      <c r="BW145">
        <v>3</v>
      </c>
      <c r="BX145">
        <v>10</v>
      </c>
      <c r="BY145">
        <v>4</v>
      </c>
      <c r="BZ145">
        <v>7</v>
      </c>
      <c r="CA145">
        <v>1</v>
      </c>
      <c r="CB145">
        <v>10</v>
      </c>
      <c r="CC145">
        <v>10</v>
      </c>
      <c r="CD145">
        <v>2</v>
      </c>
      <c r="CE145">
        <v>9</v>
      </c>
      <c r="CF145">
        <v>6</v>
      </c>
      <c r="CG145">
        <v>0</v>
      </c>
      <c r="CH145">
        <v>4</v>
      </c>
      <c r="CI145">
        <v>8</v>
      </c>
      <c r="CJ145">
        <v>6</v>
      </c>
      <c r="CK145">
        <v>4</v>
      </c>
      <c r="CL145">
        <v>1</v>
      </c>
      <c r="CM145">
        <v>2</v>
      </c>
      <c r="CN145">
        <v>2</v>
      </c>
      <c r="CO145">
        <v>7</v>
      </c>
      <c r="CP145">
        <v>4</v>
      </c>
      <c r="CQ145">
        <v>9</v>
      </c>
      <c r="CR145">
        <v>4</v>
      </c>
      <c r="CS145">
        <v>7</v>
      </c>
      <c r="CT145">
        <v>1</v>
      </c>
      <c r="CU145">
        <v>6</v>
      </c>
      <c r="CV145">
        <v>10</v>
      </c>
      <c r="CW145">
        <v>0</v>
      </c>
      <c r="CX145">
        <v>10</v>
      </c>
      <c r="CY145">
        <v>3</v>
      </c>
      <c r="CZ145">
        <v>3</v>
      </c>
      <c r="DA145">
        <v>10</v>
      </c>
      <c r="DB145">
        <v>0</v>
      </c>
      <c r="DC145">
        <v>0</v>
      </c>
      <c r="DD145">
        <v>8</v>
      </c>
      <c r="DE145">
        <v>9</v>
      </c>
      <c r="DF145">
        <v>7</v>
      </c>
      <c r="DG145">
        <v>6</v>
      </c>
      <c r="DH145">
        <v>5</v>
      </c>
      <c r="DI145">
        <v>2</v>
      </c>
      <c r="DJ145">
        <v>8</v>
      </c>
      <c r="DK145">
        <v>2</v>
      </c>
    </row>
    <row r="146" spans="1:115">
      <c r="A146" s="173">
        <f>Calculations[[#This Row],[Sum t eCO2]]*IF(Calculations[[#This Row],[GHG Scope]]="BIOGENIC",0,1)</f>
        <v>12.827374553336144</v>
      </c>
      <c r="O146">
        <f t="shared" si="2"/>
        <v>145</v>
      </c>
      <c r="P146">
        <v>2</v>
      </c>
      <c r="Q146">
        <v>7</v>
      </c>
      <c r="R146">
        <v>2</v>
      </c>
      <c r="S146">
        <v>10</v>
      </c>
      <c r="T146">
        <v>5</v>
      </c>
      <c r="U146">
        <v>7</v>
      </c>
      <c r="V146">
        <v>1</v>
      </c>
      <c r="W146">
        <v>9</v>
      </c>
      <c r="X146">
        <v>6</v>
      </c>
      <c r="Y146">
        <v>3</v>
      </c>
      <c r="Z146">
        <v>10</v>
      </c>
      <c r="AA146">
        <v>2</v>
      </c>
      <c r="AB146">
        <v>8</v>
      </c>
      <c r="AC146">
        <v>4</v>
      </c>
      <c r="AD146">
        <v>0</v>
      </c>
      <c r="AE146">
        <v>5</v>
      </c>
      <c r="AF146">
        <v>1</v>
      </c>
      <c r="AG146">
        <v>2</v>
      </c>
      <c r="AH146">
        <v>5</v>
      </c>
      <c r="AI146">
        <v>9</v>
      </c>
      <c r="AJ146">
        <v>7</v>
      </c>
      <c r="AK146">
        <v>5</v>
      </c>
      <c r="AL146">
        <v>8</v>
      </c>
      <c r="AM146">
        <v>0</v>
      </c>
      <c r="AN146">
        <v>0</v>
      </c>
      <c r="AO146">
        <v>3</v>
      </c>
      <c r="AP146">
        <v>7</v>
      </c>
      <c r="AQ146">
        <v>1</v>
      </c>
      <c r="AR146">
        <v>8</v>
      </c>
      <c r="AS146">
        <v>9</v>
      </c>
      <c r="AT146">
        <v>5</v>
      </c>
      <c r="AU146">
        <v>5</v>
      </c>
      <c r="AV146">
        <v>3</v>
      </c>
      <c r="AW146">
        <v>5</v>
      </c>
      <c r="AX146">
        <v>2</v>
      </c>
      <c r="AY146">
        <v>3</v>
      </c>
      <c r="AZ146">
        <v>0</v>
      </c>
      <c r="BA146">
        <v>4</v>
      </c>
      <c r="BB146">
        <v>5</v>
      </c>
      <c r="BC146">
        <v>4</v>
      </c>
      <c r="BD146">
        <v>9</v>
      </c>
      <c r="BE146">
        <v>10</v>
      </c>
      <c r="BF146">
        <v>9</v>
      </c>
      <c r="BG146">
        <v>10</v>
      </c>
      <c r="BH146">
        <v>7</v>
      </c>
      <c r="BI146">
        <v>7</v>
      </c>
      <c r="BJ146">
        <v>8</v>
      </c>
      <c r="BK146">
        <v>7</v>
      </c>
      <c r="BL146">
        <v>1</v>
      </c>
      <c r="BM146">
        <v>1</v>
      </c>
      <c r="BN146">
        <v>8</v>
      </c>
      <c r="BO146">
        <v>10</v>
      </c>
      <c r="BP146">
        <v>8</v>
      </c>
      <c r="BQ146">
        <v>4</v>
      </c>
      <c r="BR146">
        <v>7</v>
      </c>
      <c r="BS146">
        <v>9</v>
      </c>
      <c r="BT146">
        <v>4</v>
      </c>
      <c r="BU146">
        <v>10</v>
      </c>
      <c r="BV146">
        <v>1</v>
      </c>
      <c r="BW146">
        <v>9</v>
      </c>
      <c r="BX146">
        <v>8</v>
      </c>
      <c r="BY146">
        <v>10</v>
      </c>
      <c r="BZ146">
        <v>9</v>
      </c>
      <c r="CA146">
        <v>3</v>
      </c>
      <c r="CB146">
        <v>0</v>
      </c>
      <c r="CC146">
        <v>5</v>
      </c>
      <c r="CD146">
        <v>3</v>
      </c>
      <c r="CE146">
        <v>7</v>
      </c>
      <c r="CF146">
        <v>10</v>
      </c>
      <c r="CG146">
        <v>4</v>
      </c>
      <c r="CH146">
        <v>0</v>
      </c>
      <c r="CI146">
        <v>6</v>
      </c>
      <c r="CJ146">
        <v>4</v>
      </c>
      <c r="CK146">
        <v>4</v>
      </c>
      <c r="CL146">
        <v>5</v>
      </c>
      <c r="CM146">
        <v>2</v>
      </c>
      <c r="CN146">
        <v>2</v>
      </c>
      <c r="CO146">
        <v>2</v>
      </c>
      <c r="CP146">
        <v>4</v>
      </c>
      <c r="CQ146">
        <v>6</v>
      </c>
      <c r="CR146">
        <v>0</v>
      </c>
      <c r="CS146">
        <v>10</v>
      </c>
      <c r="CT146">
        <v>8</v>
      </c>
      <c r="CU146">
        <v>4</v>
      </c>
      <c r="CV146">
        <v>1</v>
      </c>
      <c r="CW146">
        <v>5</v>
      </c>
      <c r="CX146">
        <v>0</v>
      </c>
      <c r="CY146">
        <v>3</v>
      </c>
      <c r="CZ146">
        <v>4</v>
      </c>
      <c r="DA146">
        <v>7</v>
      </c>
      <c r="DB146">
        <v>4</v>
      </c>
      <c r="DC146">
        <v>9</v>
      </c>
      <c r="DD146">
        <v>9</v>
      </c>
      <c r="DE146">
        <v>2</v>
      </c>
      <c r="DF146">
        <v>6</v>
      </c>
      <c r="DG146">
        <v>10</v>
      </c>
      <c r="DH146">
        <v>8</v>
      </c>
      <c r="DI146">
        <v>9</v>
      </c>
      <c r="DJ146">
        <v>7</v>
      </c>
      <c r="DK146">
        <v>10</v>
      </c>
    </row>
    <row r="147" spans="1:115">
      <c r="A147" s="173">
        <f>Calculations[[#This Row],[Sum t eCO2]]*IF(Calculations[[#This Row],[GHG Scope]]="BIOGENIC",0,1)</f>
        <v>108.46257816765338</v>
      </c>
      <c r="O147">
        <f t="shared" si="2"/>
        <v>146</v>
      </c>
      <c r="P147">
        <v>1</v>
      </c>
      <c r="Q147">
        <v>7</v>
      </c>
      <c r="R147">
        <v>0</v>
      </c>
      <c r="S147">
        <v>2</v>
      </c>
      <c r="T147">
        <v>8</v>
      </c>
      <c r="U147">
        <v>2</v>
      </c>
      <c r="V147">
        <v>7</v>
      </c>
      <c r="W147">
        <v>8</v>
      </c>
      <c r="X147">
        <v>1</v>
      </c>
      <c r="Y147">
        <v>9</v>
      </c>
      <c r="Z147">
        <v>8</v>
      </c>
      <c r="AA147">
        <v>8</v>
      </c>
      <c r="AB147">
        <v>0</v>
      </c>
      <c r="AC147">
        <v>6</v>
      </c>
      <c r="AD147">
        <v>8</v>
      </c>
      <c r="AE147">
        <v>8</v>
      </c>
      <c r="AF147">
        <v>10</v>
      </c>
      <c r="AG147">
        <v>3</v>
      </c>
      <c r="AH147">
        <v>2</v>
      </c>
      <c r="AI147">
        <v>10</v>
      </c>
      <c r="AJ147">
        <v>7</v>
      </c>
      <c r="AK147">
        <v>4</v>
      </c>
      <c r="AL147">
        <v>7</v>
      </c>
      <c r="AM147">
        <v>4</v>
      </c>
      <c r="AN147">
        <v>9</v>
      </c>
      <c r="AO147">
        <v>6</v>
      </c>
      <c r="AP147">
        <v>9</v>
      </c>
      <c r="AQ147">
        <v>7</v>
      </c>
      <c r="AR147">
        <v>5</v>
      </c>
      <c r="AS147">
        <v>9</v>
      </c>
      <c r="AT147">
        <v>8</v>
      </c>
      <c r="AU147">
        <v>1</v>
      </c>
      <c r="AV147">
        <v>9</v>
      </c>
      <c r="AW147">
        <v>6</v>
      </c>
      <c r="AX147">
        <v>6</v>
      </c>
      <c r="AY147">
        <v>3</v>
      </c>
      <c r="AZ147">
        <v>0</v>
      </c>
      <c r="BA147">
        <v>6</v>
      </c>
      <c r="BB147">
        <v>8</v>
      </c>
      <c r="BC147">
        <v>9</v>
      </c>
      <c r="BD147">
        <v>6</v>
      </c>
      <c r="BE147">
        <v>2</v>
      </c>
      <c r="BF147">
        <v>3</v>
      </c>
      <c r="BG147">
        <v>7</v>
      </c>
      <c r="BH147">
        <v>5</v>
      </c>
      <c r="BI147">
        <v>10</v>
      </c>
      <c r="BJ147">
        <v>7</v>
      </c>
      <c r="BK147">
        <v>2</v>
      </c>
      <c r="BL147">
        <v>10</v>
      </c>
      <c r="BM147">
        <v>1</v>
      </c>
      <c r="BN147">
        <v>9</v>
      </c>
      <c r="BO147">
        <v>3</v>
      </c>
      <c r="BP147">
        <v>6</v>
      </c>
      <c r="BQ147">
        <v>8</v>
      </c>
      <c r="BR147">
        <v>10</v>
      </c>
      <c r="BS147">
        <v>6</v>
      </c>
      <c r="BT147">
        <v>6</v>
      </c>
      <c r="BU147">
        <v>9</v>
      </c>
      <c r="BV147">
        <v>2</v>
      </c>
      <c r="BW147">
        <v>8</v>
      </c>
      <c r="BX147">
        <v>10</v>
      </c>
      <c r="BY147">
        <v>5</v>
      </c>
      <c r="BZ147">
        <v>6</v>
      </c>
      <c r="CA147">
        <v>5</v>
      </c>
      <c r="CB147">
        <v>5</v>
      </c>
      <c r="CC147">
        <v>8</v>
      </c>
      <c r="CD147">
        <v>0</v>
      </c>
      <c r="CE147">
        <v>0</v>
      </c>
      <c r="CF147">
        <v>4</v>
      </c>
      <c r="CG147">
        <v>10</v>
      </c>
      <c r="CH147">
        <v>9</v>
      </c>
      <c r="CI147">
        <v>6</v>
      </c>
      <c r="CJ147">
        <v>0</v>
      </c>
      <c r="CK147">
        <v>9</v>
      </c>
      <c r="CL147">
        <v>9</v>
      </c>
      <c r="CM147">
        <v>1</v>
      </c>
      <c r="CN147">
        <v>7</v>
      </c>
      <c r="CO147">
        <v>10</v>
      </c>
      <c r="CP147">
        <v>6</v>
      </c>
      <c r="CQ147">
        <v>3</v>
      </c>
      <c r="CR147">
        <v>9</v>
      </c>
      <c r="CS147">
        <v>3</v>
      </c>
      <c r="CT147">
        <v>7</v>
      </c>
      <c r="CU147">
        <v>1</v>
      </c>
      <c r="CV147">
        <v>7</v>
      </c>
      <c r="CW147">
        <v>5</v>
      </c>
      <c r="CX147">
        <v>5</v>
      </c>
      <c r="CY147">
        <v>8</v>
      </c>
      <c r="CZ147">
        <v>2</v>
      </c>
      <c r="DA147">
        <v>5</v>
      </c>
      <c r="DB147">
        <v>6</v>
      </c>
      <c r="DC147">
        <v>2</v>
      </c>
      <c r="DD147">
        <v>5</v>
      </c>
      <c r="DE147">
        <v>8</v>
      </c>
      <c r="DF147">
        <v>4</v>
      </c>
      <c r="DG147">
        <v>9</v>
      </c>
      <c r="DH147">
        <v>0</v>
      </c>
      <c r="DI147">
        <v>0</v>
      </c>
      <c r="DJ147">
        <v>7</v>
      </c>
      <c r="DK147">
        <v>0</v>
      </c>
    </row>
    <row r="148" spans="1:115">
      <c r="A148" s="173">
        <f>Calculations[[#This Row],[Sum t eCO2]]*IF(Calculations[[#This Row],[GHG Scope]]="BIOGENIC",0,1)</f>
        <v>71.263191962978567</v>
      </c>
      <c r="O148">
        <f t="shared" si="2"/>
        <v>147</v>
      </c>
      <c r="P148">
        <v>5</v>
      </c>
      <c r="Q148">
        <v>6</v>
      </c>
      <c r="R148">
        <v>3</v>
      </c>
      <c r="S148">
        <v>0</v>
      </c>
      <c r="T148">
        <v>8</v>
      </c>
      <c r="U148">
        <v>8</v>
      </c>
      <c r="V148">
        <v>1</v>
      </c>
      <c r="W148">
        <v>10</v>
      </c>
      <c r="X148">
        <v>5</v>
      </c>
      <c r="Y148">
        <v>1</v>
      </c>
      <c r="Z148">
        <v>3</v>
      </c>
      <c r="AA148">
        <v>7</v>
      </c>
      <c r="AB148">
        <v>8</v>
      </c>
      <c r="AC148">
        <v>10</v>
      </c>
      <c r="AD148">
        <v>9</v>
      </c>
      <c r="AE148">
        <v>7</v>
      </c>
      <c r="AF148">
        <v>7</v>
      </c>
      <c r="AG148">
        <v>7</v>
      </c>
      <c r="AH148">
        <v>4</v>
      </c>
      <c r="AI148">
        <v>4</v>
      </c>
      <c r="AJ148">
        <v>8</v>
      </c>
      <c r="AK148">
        <v>6</v>
      </c>
      <c r="AL148">
        <v>7</v>
      </c>
      <c r="AM148">
        <v>3</v>
      </c>
      <c r="AN148">
        <v>0</v>
      </c>
      <c r="AO148">
        <v>0</v>
      </c>
      <c r="AP148">
        <v>5</v>
      </c>
      <c r="AQ148">
        <v>8</v>
      </c>
      <c r="AR148">
        <v>4</v>
      </c>
      <c r="AS148">
        <v>1</v>
      </c>
      <c r="AT148">
        <v>6</v>
      </c>
      <c r="AU148">
        <v>1</v>
      </c>
      <c r="AV148">
        <v>5</v>
      </c>
      <c r="AW148">
        <v>1</v>
      </c>
      <c r="AX148">
        <v>7</v>
      </c>
      <c r="AY148">
        <v>5</v>
      </c>
      <c r="AZ148">
        <v>6</v>
      </c>
      <c r="BA148">
        <v>9</v>
      </c>
      <c r="BB148">
        <v>7</v>
      </c>
      <c r="BC148">
        <v>3</v>
      </c>
      <c r="BD148">
        <v>6</v>
      </c>
      <c r="BE148">
        <v>1</v>
      </c>
      <c r="BF148">
        <v>10</v>
      </c>
      <c r="BG148">
        <v>4</v>
      </c>
      <c r="BH148">
        <v>0</v>
      </c>
      <c r="BI148">
        <v>6</v>
      </c>
      <c r="BJ148">
        <v>7</v>
      </c>
      <c r="BK148">
        <v>10</v>
      </c>
      <c r="BL148">
        <v>8</v>
      </c>
      <c r="BM148">
        <v>4</v>
      </c>
      <c r="BN148">
        <v>10</v>
      </c>
      <c r="BO148">
        <v>0</v>
      </c>
      <c r="BP148">
        <v>8</v>
      </c>
      <c r="BQ148">
        <v>4</v>
      </c>
      <c r="BR148">
        <v>6</v>
      </c>
      <c r="BS148">
        <v>1</v>
      </c>
      <c r="BT148">
        <v>9</v>
      </c>
      <c r="BU148">
        <v>1</v>
      </c>
      <c r="BV148">
        <v>7</v>
      </c>
      <c r="BW148">
        <v>6</v>
      </c>
      <c r="BX148">
        <v>0</v>
      </c>
      <c r="BY148">
        <v>2</v>
      </c>
      <c r="BZ148">
        <v>7</v>
      </c>
      <c r="CA148">
        <v>3</v>
      </c>
      <c r="CB148">
        <v>10</v>
      </c>
      <c r="CC148">
        <v>0</v>
      </c>
      <c r="CD148">
        <v>10</v>
      </c>
      <c r="CE148">
        <v>9</v>
      </c>
      <c r="CF148">
        <v>0</v>
      </c>
      <c r="CG148">
        <v>5</v>
      </c>
      <c r="CH148">
        <v>3</v>
      </c>
      <c r="CI148">
        <v>4</v>
      </c>
      <c r="CJ148">
        <v>2</v>
      </c>
      <c r="CK148">
        <v>8</v>
      </c>
      <c r="CL148">
        <v>9</v>
      </c>
      <c r="CM148">
        <v>9</v>
      </c>
      <c r="CN148">
        <v>10</v>
      </c>
      <c r="CO148">
        <v>0</v>
      </c>
      <c r="CP148">
        <v>8</v>
      </c>
      <c r="CQ148">
        <v>3</v>
      </c>
      <c r="CR148">
        <v>6</v>
      </c>
      <c r="CS148">
        <v>9</v>
      </c>
      <c r="CT148">
        <v>7</v>
      </c>
      <c r="CU148">
        <v>3</v>
      </c>
      <c r="CV148">
        <v>2</v>
      </c>
      <c r="CW148">
        <v>1</v>
      </c>
      <c r="CX148">
        <v>3</v>
      </c>
      <c r="CY148">
        <v>7</v>
      </c>
      <c r="CZ148">
        <v>6</v>
      </c>
      <c r="DA148">
        <v>7</v>
      </c>
      <c r="DB148">
        <v>8</v>
      </c>
      <c r="DC148">
        <v>1</v>
      </c>
      <c r="DD148">
        <v>5</v>
      </c>
      <c r="DE148">
        <v>4</v>
      </c>
      <c r="DF148">
        <v>7</v>
      </c>
      <c r="DG148">
        <v>1</v>
      </c>
      <c r="DH148">
        <v>0</v>
      </c>
      <c r="DI148">
        <v>8</v>
      </c>
      <c r="DJ148">
        <v>1</v>
      </c>
      <c r="DK148">
        <v>10</v>
      </c>
    </row>
    <row r="149" spans="1:115">
      <c r="A149" s="173">
        <f>Calculations[[#This Row],[Sum t eCO2]]*IF(Calculations[[#This Row],[GHG Scope]]="BIOGENIC",0,1)</f>
        <v>71.263191962978567</v>
      </c>
      <c r="O149">
        <f t="shared" si="2"/>
        <v>148</v>
      </c>
      <c r="P149">
        <v>8</v>
      </c>
      <c r="Q149">
        <v>6</v>
      </c>
      <c r="R149">
        <v>0</v>
      </c>
      <c r="S149">
        <v>0</v>
      </c>
      <c r="T149">
        <v>7</v>
      </c>
      <c r="U149">
        <v>5</v>
      </c>
      <c r="V149">
        <v>10</v>
      </c>
      <c r="W149">
        <v>8</v>
      </c>
      <c r="X149">
        <v>6</v>
      </c>
      <c r="Y149">
        <v>4</v>
      </c>
      <c r="Z149">
        <v>10</v>
      </c>
      <c r="AA149">
        <v>8</v>
      </c>
      <c r="AB149">
        <v>5</v>
      </c>
      <c r="AC149">
        <v>4</v>
      </c>
      <c r="AD149">
        <v>4</v>
      </c>
      <c r="AE149">
        <v>5</v>
      </c>
      <c r="AF149">
        <v>0</v>
      </c>
      <c r="AG149">
        <v>0</v>
      </c>
      <c r="AH149">
        <v>5</v>
      </c>
      <c r="AI149">
        <v>10</v>
      </c>
      <c r="AJ149">
        <v>8</v>
      </c>
      <c r="AK149">
        <v>9</v>
      </c>
      <c r="AL149">
        <v>4</v>
      </c>
      <c r="AM149">
        <v>5</v>
      </c>
      <c r="AN149">
        <v>2</v>
      </c>
      <c r="AO149">
        <v>6</v>
      </c>
      <c r="AP149">
        <v>2</v>
      </c>
      <c r="AQ149">
        <v>7</v>
      </c>
      <c r="AR149">
        <v>9</v>
      </c>
      <c r="AS149">
        <v>5</v>
      </c>
      <c r="AT149">
        <v>0</v>
      </c>
      <c r="AU149">
        <v>1</v>
      </c>
      <c r="AV149">
        <v>8</v>
      </c>
      <c r="AW149">
        <v>6</v>
      </c>
      <c r="AX149">
        <v>9</v>
      </c>
      <c r="AY149">
        <v>9</v>
      </c>
      <c r="AZ149">
        <v>2</v>
      </c>
      <c r="BA149">
        <v>6</v>
      </c>
      <c r="BB149">
        <v>1</v>
      </c>
      <c r="BC149">
        <v>10</v>
      </c>
      <c r="BD149">
        <v>3</v>
      </c>
      <c r="BE149">
        <v>10</v>
      </c>
      <c r="BF149">
        <v>6</v>
      </c>
      <c r="BG149">
        <v>2</v>
      </c>
      <c r="BH149">
        <v>2</v>
      </c>
      <c r="BI149">
        <v>2</v>
      </c>
      <c r="BJ149">
        <v>9</v>
      </c>
      <c r="BK149">
        <v>9</v>
      </c>
      <c r="BL149">
        <v>5</v>
      </c>
      <c r="BM149">
        <v>7</v>
      </c>
      <c r="BN149">
        <v>3</v>
      </c>
      <c r="BO149">
        <v>1</v>
      </c>
      <c r="BP149">
        <v>0</v>
      </c>
      <c r="BQ149">
        <v>1</v>
      </c>
      <c r="BR149">
        <v>7</v>
      </c>
      <c r="BS149">
        <v>8</v>
      </c>
      <c r="BT149">
        <v>10</v>
      </c>
      <c r="BU149">
        <v>1</v>
      </c>
      <c r="BV149">
        <v>9</v>
      </c>
      <c r="BW149">
        <v>10</v>
      </c>
      <c r="BX149">
        <v>5</v>
      </c>
      <c r="BY149">
        <v>2</v>
      </c>
      <c r="BZ149">
        <v>2</v>
      </c>
      <c r="CA149">
        <v>3</v>
      </c>
      <c r="CB149">
        <v>1</v>
      </c>
      <c r="CC149">
        <v>2</v>
      </c>
      <c r="CD149">
        <v>8</v>
      </c>
      <c r="CE149">
        <v>7</v>
      </c>
      <c r="CF149">
        <v>5</v>
      </c>
      <c r="CG149">
        <v>6</v>
      </c>
      <c r="CH149">
        <v>7</v>
      </c>
      <c r="CI149">
        <v>6</v>
      </c>
      <c r="CJ149">
        <v>5</v>
      </c>
      <c r="CK149">
        <v>6</v>
      </c>
      <c r="CL149">
        <v>4</v>
      </c>
      <c r="CM149">
        <v>1</v>
      </c>
      <c r="CN149">
        <v>0</v>
      </c>
      <c r="CO149">
        <v>5</v>
      </c>
      <c r="CP149">
        <v>4</v>
      </c>
      <c r="CQ149">
        <v>3</v>
      </c>
      <c r="CR149">
        <v>8</v>
      </c>
      <c r="CS149">
        <v>9</v>
      </c>
      <c r="CT149">
        <v>5</v>
      </c>
      <c r="CU149">
        <v>7</v>
      </c>
      <c r="CV149">
        <v>4</v>
      </c>
      <c r="CW149">
        <v>7</v>
      </c>
      <c r="CX149">
        <v>0</v>
      </c>
      <c r="CY149">
        <v>4</v>
      </c>
      <c r="CZ149">
        <v>7</v>
      </c>
      <c r="DA149">
        <v>8</v>
      </c>
      <c r="DB149">
        <v>7</v>
      </c>
      <c r="DC149">
        <v>2</v>
      </c>
      <c r="DD149">
        <v>8</v>
      </c>
      <c r="DE149">
        <v>1</v>
      </c>
      <c r="DF149">
        <v>9</v>
      </c>
      <c r="DG149">
        <v>3</v>
      </c>
      <c r="DH149">
        <v>6</v>
      </c>
      <c r="DI149">
        <v>0</v>
      </c>
      <c r="DJ149">
        <v>9</v>
      </c>
      <c r="DK149">
        <v>1</v>
      </c>
    </row>
    <row r="150" spans="1:115">
      <c r="A150" s="173">
        <f>Calculations[[#This Row],[Sum t eCO2]]*IF(Calculations[[#This Row],[GHG Scope]]="BIOGENIC",0,1)</f>
        <v>28.505276785191427</v>
      </c>
      <c r="O150">
        <f t="shared" si="2"/>
        <v>149</v>
      </c>
      <c r="P150">
        <v>8</v>
      </c>
      <c r="Q150">
        <v>0</v>
      </c>
      <c r="R150">
        <v>1</v>
      </c>
      <c r="S150">
        <v>0</v>
      </c>
      <c r="T150">
        <v>10</v>
      </c>
      <c r="U150">
        <v>4</v>
      </c>
      <c r="V150">
        <v>6</v>
      </c>
      <c r="W150">
        <v>3</v>
      </c>
      <c r="X150">
        <v>2</v>
      </c>
      <c r="Y150">
        <v>2</v>
      </c>
      <c r="Z150">
        <v>5</v>
      </c>
      <c r="AA150">
        <v>7</v>
      </c>
      <c r="AB150">
        <v>10</v>
      </c>
      <c r="AC150">
        <v>5</v>
      </c>
      <c r="AD150">
        <v>2</v>
      </c>
      <c r="AE150">
        <v>1</v>
      </c>
      <c r="AF150">
        <v>0</v>
      </c>
      <c r="AG150">
        <v>8</v>
      </c>
      <c r="AH150">
        <v>8</v>
      </c>
      <c r="AI150">
        <v>0</v>
      </c>
      <c r="AJ150">
        <v>0</v>
      </c>
      <c r="AK150">
        <v>9</v>
      </c>
      <c r="AL150">
        <v>6</v>
      </c>
      <c r="AM150">
        <v>7</v>
      </c>
      <c r="AN150">
        <v>9</v>
      </c>
      <c r="AO150">
        <v>7</v>
      </c>
      <c r="AP150">
        <v>8</v>
      </c>
      <c r="AQ150">
        <v>0</v>
      </c>
      <c r="AR150">
        <v>6</v>
      </c>
      <c r="AS150">
        <v>2</v>
      </c>
      <c r="AT150">
        <v>9</v>
      </c>
      <c r="AU150">
        <v>2</v>
      </c>
      <c r="AV150">
        <v>0</v>
      </c>
      <c r="AW150">
        <v>10</v>
      </c>
      <c r="AX150">
        <v>2</v>
      </c>
      <c r="AY150">
        <v>2</v>
      </c>
      <c r="AZ150">
        <v>1</v>
      </c>
      <c r="BA150">
        <v>5</v>
      </c>
      <c r="BB150">
        <v>5</v>
      </c>
      <c r="BC150">
        <v>2</v>
      </c>
      <c r="BD150">
        <v>6</v>
      </c>
      <c r="BE150">
        <v>3</v>
      </c>
      <c r="BF150">
        <v>8</v>
      </c>
      <c r="BG150">
        <v>6</v>
      </c>
      <c r="BH150">
        <v>2</v>
      </c>
      <c r="BI150">
        <v>1</v>
      </c>
      <c r="BJ150">
        <v>4</v>
      </c>
      <c r="BK150">
        <v>6</v>
      </c>
      <c r="BL150">
        <v>7</v>
      </c>
      <c r="BM150">
        <v>0</v>
      </c>
      <c r="BN150">
        <v>5</v>
      </c>
      <c r="BO150">
        <v>7</v>
      </c>
      <c r="BP150">
        <v>8</v>
      </c>
      <c r="BQ150">
        <v>1</v>
      </c>
      <c r="BR150">
        <v>10</v>
      </c>
      <c r="BS150">
        <v>10</v>
      </c>
      <c r="BT150">
        <v>9</v>
      </c>
      <c r="BU150">
        <v>10</v>
      </c>
      <c r="BV150">
        <v>0</v>
      </c>
      <c r="BW150">
        <v>6</v>
      </c>
      <c r="BX150">
        <v>1</v>
      </c>
      <c r="BY150">
        <v>1</v>
      </c>
      <c r="BZ150">
        <v>6</v>
      </c>
      <c r="CA150">
        <v>5</v>
      </c>
      <c r="CB150">
        <v>6</v>
      </c>
      <c r="CC150">
        <v>7</v>
      </c>
      <c r="CD150">
        <v>8</v>
      </c>
      <c r="CE150">
        <v>1</v>
      </c>
      <c r="CF150">
        <v>7</v>
      </c>
      <c r="CG150">
        <v>1</v>
      </c>
      <c r="CH150">
        <v>6</v>
      </c>
      <c r="CI150">
        <v>10</v>
      </c>
      <c r="CJ150">
        <v>5</v>
      </c>
      <c r="CK150">
        <v>8</v>
      </c>
      <c r="CL150">
        <v>6</v>
      </c>
      <c r="CM150">
        <v>6</v>
      </c>
      <c r="CN150">
        <v>5</v>
      </c>
      <c r="CO150">
        <v>5</v>
      </c>
      <c r="CP150">
        <v>7</v>
      </c>
      <c r="CQ150">
        <v>9</v>
      </c>
      <c r="CR150">
        <v>6</v>
      </c>
      <c r="CS150">
        <v>10</v>
      </c>
      <c r="CT150">
        <v>5</v>
      </c>
      <c r="CU150">
        <v>4</v>
      </c>
      <c r="CV150">
        <v>4</v>
      </c>
      <c r="CW150">
        <v>10</v>
      </c>
      <c r="CX150">
        <v>1</v>
      </c>
      <c r="CY150">
        <v>4</v>
      </c>
      <c r="CZ150">
        <v>2</v>
      </c>
      <c r="DA150">
        <v>9</v>
      </c>
      <c r="DB150">
        <v>9</v>
      </c>
      <c r="DC150">
        <v>3</v>
      </c>
      <c r="DD150">
        <v>4</v>
      </c>
      <c r="DE150">
        <v>2</v>
      </c>
      <c r="DF150">
        <v>4</v>
      </c>
      <c r="DG150">
        <v>7</v>
      </c>
      <c r="DH150">
        <v>1</v>
      </c>
      <c r="DI150">
        <v>2</v>
      </c>
      <c r="DJ150">
        <v>3</v>
      </c>
      <c r="DK150">
        <v>6</v>
      </c>
    </row>
    <row r="151" spans="1:115">
      <c r="A151" s="173">
        <f>Calculations[[#This Row],[Sum t eCO2]]*IF(Calculations[[#This Row],[GHG Scope]]="BIOGENIC",0,1)</f>
        <v>14.252638392595713</v>
      </c>
      <c r="O151">
        <f t="shared" si="2"/>
        <v>150</v>
      </c>
      <c r="P151">
        <v>5</v>
      </c>
      <c r="Q151">
        <v>4</v>
      </c>
      <c r="R151">
        <v>7</v>
      </c>
      <c r="S151">
        <v>3</v>
      </c>
      <c r="T151">
        <v>9</v>
      </c>
      <c r="U151">
        <v>2</v>
      </c>
      <c r="V151">
        <v>7</v>
      </c>
      <c r="W151">
        <v>4</v>
      </c>
      <c r="X151">
        <v>0</v>
      </c>
      <c r="Y151">
        <v>9</v>
      </c>
      <c r="Z151">
        <v>10</v>
      </c>
      <c r="AA151">
        <v>0</v>
      </c>
      <c r="AB151">
        <v>10</v>
      </c>
      <c r="AC151">
        <v>4</v>
      </c>
      <c r="AD151">
        <v>7</v>
      </c>
      <c r="AE151">
        <v>2</v>
      </c>
      <c r="AF151">
        <v>0</v>
      </c>
      <c r="AG151">
        <v>5</v>
      </c>
      <c r="AH151">
        <v>10</v>
      </c>
      <c r="AI151">
        <v>5</v>
      </c>
      <c r="AJ151">
        <v>8</v>
      </c>
      <c r="AK151">
        <v>1</v>
      </c>
      <c r="AL151">
        <v>4</v>
      </c>
      <c r="AM151">
        <v>2</v>
      </c>
      <c r="AN151">
        <v>10</v>
      </c>
      <c r="AO151">
        <v>0</v>
      </c>
      <c r="AP151">
        <v>10</v>
      </c>
      <c r="AQ151">
        <v>4</v>
      </c>
      <c r="AR151">
        <v>10</v>
      </c>
      <c r="AS151">
        <v>3</v>
      </c>
      <c r="AT151">
        <v>3</v>
      </c>
      <c r="AU151">
        <v>6</v>
      </c>
      <c r="AV151">
        <v>9</v>
      </c>
      <c r="AW151">
        <v>5</v>
      </c>
      <c r="AX151">
        <v>3</v>
      </c>
      <c r="AY151">
        <v>5</v>
      </c>
      <c r="AZ151">
        <v>10</v>
      </c>
      <c r="BA151">
        <v>9</v>
      </c>
      <c r="BB151">
        <v>0</v>
      </c>
      <c r="BC151">
        <v>8</v>
      </c>
      <c r="BD151">
        <v>10</v>
      </c>
      <c r="BE151">
        <v>0</v>
      </c>
      <c r="BF151">
        <v>1</v>
      </c>
      <c r="BG151">
        <v>1</v>
      </c>
      <c r="BH151">
        <v>5</v>
      </c>
      <c r="BI151">
        <v>9</v>
      </c>
      <c r="BJ151">
        <v>9</v>
      </c>
      <c r="BK151">
        <v>0</v>
      </c>
      <c r="BL151">
        <v>2</v>
      </c>
      <c r="BM151">
        <v>10</v>
      </c>
      <c r="BN151">
        <v>7</v>
      </c>
      <c r="BO151">
        <v>3</v>
      </c>
      <c r="BP151">
        <v>9</v>
      </c>
      <c r="BQ151">
        <v>0</v>
      </c>
      <c r="BR151">
        <v>7</v>
      </c>
      <c r="BS151">
        <v>6</v>
      </c>
      <c r="BT151">
        <v>8</v>
      </c>
      <c r="BU151">
        <v>2</v>
      </c>
      <c r="BV151">
        <v>8</v>
      </c>
      <c r="BW151">
        <v>2</v>
      </c>
      <c r="BX151">
        <v>8</v>
      </c>
      <c r="BY151">
        <v>3</v>
      </c>
      <c r="BZ151">
        <v>10</v>
      </c>
      <c r="CA151">
        <v>8</v>
      </c>
      <c r="CB151">
        <v>0</v>
      </c>
      <c r="CC151">
        <v>8</v>
      </c>
      <c r="CD151">
        <v>3</v>
      </c>
      <c r="CE151">
        <v>7</v>
      </c>
      <c r="CF151">
        <v>8</v>
      </c>
      <c r="CG151">
        <v>8</v>
      </c>
      <c r="CH151">
        <v>5</v>
      </c>
      <c r="CI151">
        <v>3</v>
      </c>
      <c r="CJ151">
        <v>5</v>
      </c>
      <c r="CK151">
        <v>7</v>
      </c>
      <c r="CL151">
        <v>6</v>
      </c>
      <c r="CM151">
        <v>4</v>
      </c>
      <c r="CN151">
        <v>4</v>
      </c>
      <c r="CO151">
        <v>0</v>
      </c>
      <c r="CP151">
        <v>3</v>
      </c>
      <c r="CQ151">
        <v>4</v>
      </c>
      <c r="CR151">
        <v>6</v>
      </c>
      <c r="CS151">
        <v>0</v>
      </c>
      <c r="CT151">
        <v>8</v>
      </c>
      <c r="CU151">
        <v>9</v>
      </c>
      <c r="CV151">
        <v>2</v>
      </c>
      <c r="CW151">
        <v>7</v>
      </c>
      <c r="CX151">
        <v>10</v>
      </c>
      <c r="CY151">
        <v>7</v>
      </c>
      <c r="CZ151">
        <v>5</v>
      </c>
      <c r="DA151">
        <v>2</v>
      </c>
      <c r="DB151">
        <v>1</v>
      </c>
      <c r="DC151">
        <v>2</v>
      </c>
      <c r="DD151">
        <v>0</v>
      </c>
      <c r="DE151">
        <v>9</v>
      </c>
      <c r="DF151">
        <v>7</v>
      </c>
      <c r="DG151">
        <v>1</v>
      </c>
      <c r="DH151">
        <v>3</v>
      </c>
      <c r="DI151">
        <v>10</v>
      </c>
      <c r="DJ151">
        <v>3</v>
      </c>
      <c r="DK151">
        <v>10</v>
      </c>
    </row>
    <row r="152" spans="1:115">
      <c r="A152" s="173">
        <f>Calculations[[#This Row],[Sum t eCO2]]*IF(Calculations[[#This Row],[GHG Scope]]="BIOGENIC",0,1)</f>
        <v>12.827374553336144</v>
      </c>
      <c r="O152">
        <f t="shared" si="2"/>
        <v>151</v>
      </c>
      <c r="P152">
        <v>7</v>
      </c>
      <c r="Q152">
        <v>1</v>
      </c>
      <c r="R152">
        <v>6</v>
      </c>
      <c r="S152">
        <v>2</v>
      </c>
      <c r="T152">
        <v>8</v>
      </c>
      <c r="U152">
        <v>0</v>
      </c>
      <c r="V152">
        <v>9</v>
      </c>
      <c r="W152">
        <v>6</v>
      </c>
      <c r="X152">
        <v>4</v>
      </c>
      <c r="Y152">
        <v>0</v>
      </c>
      <c r="Z152">
        <v>3</v>
      </c>
      <c r="AA152">
        <v>10</v>
      </c>
      <c r="AB152">
        <v>10</v>
      </c>
      <c r="AC152">
        <v>0</v>
      </c>
      <c r="AD152">
        <v>0</v>
      </c>
      <c r="AE152">
        <v>5</v>
      </c>
      <c r="AF152">
        <v>1</v>
      </c>
      <c r="AG152">
        <v>10</v>
      </c>
      <c r="AH152">
        <v>3</v>
      </c>
      <c r="AI152">
        <v>1</v>
      </c>
      <c r="AJ152">
        <v>9</v>
      </c>
      <c r="AK152">
        <v>2</v>
      </c>
      <c r="AL152">
        <v>6</v>
      </c>
      <c r="AM152">
        <v>8</v>
      </c>
      <c r="AN152">
        <v>6</v>
      </c>
      <c r="AO152">
        <v>5</v>
      </c>
      <c r="AP152">
        <v>9</v>
      </c>
      <c r="AQ152">
        <v>2</v>
      </c>
      <c r="AR152">
        <v>8</v>
      </c>
      <c r="AS152">
        <v>5</v>
      </c>
      <c r="AT152">
        <v>3</v>
      </c>
      <c r="AU152">
        <v>0</v>
      </c>
      <c r="AV152">
        <v>7</v>
      </c>
      <c r="AW152">
        <v>7</v>
      </c>
      <c r="AX152">
        <v>1</v>
      </c>
      <c r="AY152">
        <v>2</v>
      </c>
      <c r="AZ152">
        <v>2</v>
      </c>
      <c r="BA152">
        <v>8</v>
      </c>
      <c r="BB152">
        <v>2</v>
      </c>
      <c r="BC152">
        <v>1</v>
      </c>
      <c r="BD152">
        <v>0</v>
      </c>
      <c r="BE152">
        <v>3</v>
      </c>
      <c r="BF152">
        <v>4</v>
      </c>
      <c r="BG152">
        <v>0</v>
      </c>
      <c r="BH152">
        <v>10</v>
      </c>
      <c r="BI152">
        <v>3</v>
      </c>
      <c r="BJ152">
        <v>8</v>
      </c>
      <c r="BK152">
        <v>4</v>
      </c>
      <c r="BL152">
        <v>2</v>
      </c>
      <c r="BM152">
        <v>3</v>
      </c>
      <c r="BN152">
        <v>2</v>
      </c>
      <c r="BO152">
        <v>1</v>
      </c>
      <c r="BP152">
        <v>10</v>
      </c>
      <c r="BQ152">
        <v>1</v>
      </c>
      <c r="BR152">
        <v>2</v>
      </c>
      <c r="BS152">
        <v>3</v>
      </c>
      <c r="BT152">
        <v>6</v>
      </c>
      <c r="BU152">
        <v>3</v>
      </c>
      <c r="BV152">
        <v>7</v>
      </c>
      <c r="BW152">
        <v>4</v>
      </c>
      <c r="BX152">
        <v>9</v>
      </c>
      <c r="BY152">
        <v>7</v>
      </c>
      <c r="BZ152">
        <v>9</v>
      </c>
      <c r="CA152">
        <v>6</v>
      </c>
      <c r="CB152">
        <v>6</v>
      </c>
      <c r="CC152">
        <v>4</v>
      </c>
      <c r="CD152">
        <v>2</v>
      </c>
      <c r="CE152">
        <v>7</v>
      </c>
      <c r="CF152">
        <v>7</v>
      </c>
      <c r="CG152">
        <v>5</v>
      </c>
      <c r="CH152">
        <v>6</v>
      </c>
      <c r="CI152">
        <v>9</v>
      </c>
      <c r="CJ152">
        <v>8</v>
      </c>
      <c r="CK152">
        <v>2</v>
      </c>
      <c r="CL152">
        <v>10</v>
      </c>
      <c r="CM152">
        <v>10</v>
      </c>
      <c r="CN152">
        <v>10</v>
      </c>
      <c r="CO152">
        <v>0</v>
      </c>
      <c r="CP152">
        <v>3</v>
      </c>
      <c r="CQ152">
        <v>8</v>
      </c>
      <c r="CR152">
        <v>4</v>
      </c>
      <c r="CS152">
        <v>8</v>
      </c>
      <c r="CT152">
        <v>6</v>
      </c>
      <c r="CU152">
        <v>1</v>
      </c>
      <c r="CV152">
        <v>3</v>
      </c>
      <c r="CW152">
        <v>8</v>
      </c>
      <c r="CX152">
        <v>4</v>
      </c>
      <c r="CY152">
        <v>6</v>
      </c>
      <c r="CZ152">
        <v>4</v>
      </c>
      <c r="DA152">
        <v>2</v>
      </c>
      <c r="DB152">
        <v>3</v>
      </c>
      <c r="DC152">
        <v>10</v>
      </c>
      <c r="DD152">
        <v>5</v>
      </c>
      <c r="DE152">
        <v>6</v>
      </c>
      <c r="DF152">
        <v>1</v>
      </c>
      <c r="DG152">
        <v>9</v>
      </c>
      <c r="DH152">
        <v>1</v>
      </c>
      <c r="DI152">
        <v>4</v>
      </c>
      <c r="DJ152">
        <v>10</v>
      </c>
      <c r="DK152">
        <v>1</v>
      </c>
    </row>
    <row r="153" spans="1:115">
      <c r="A153" s="173">
        <f>Calculations[[#This Row],[Sum t eCO2]]*IF(Calculations[[#This Row],[GHG Scope]]="BIOGENIC",0,1)</f>
        <v>12.743759827878236</v>
      </c>
      <c r="O153">
        <f t="shared" si="2"/>
        <v>152</v>
      </c>
      <c r="P153">
        <v>8</v>
      </c>
      <c r="Q153">
        <v>7</v>
      </c>
      <c r="R153">
        <v>4</v>
      </c>
      <c r="S153">
        <v>1</v>
      </c>
      <c r="T153">
        <v>1</v>
      </c>
      <c r="U153">
        <v>8</v>
      </c>
      <c r="V153">
        <v>3</v>
      </c>
      <c r="W153">
        <v>1</v>
      </c>
      <c r="X153">
        <v>6</v>
      </c>
      <c r="Y153">
        <v>7</v>
      </c>
      <c r="Z153">
        <v>9</v>
      </c>
      <c r="AA153">
        <v>4</v>
      </c>
      <c r="AB153">
        <v>8</v>
      </c>
      <c r="AC153">
        <v>1</v>
      </c>
      <c r="AD153">
        <v>4</v>
      </c>
      <c r="AE153">
        <v>10</v>
      </c>
      <c r="AF153">
        <v>10</v>
      </c>
      <c r="AG153">
        <v>2</v>
      </c>
      <c r="AH153">
        <v>7</v>
      </c>
      <c r="AI153">
        <v>0</v>
      </c>
      <c r="AJ153">
        <v>4</v>
      </c>
      <c r="AK153">
        <v>7</v>
      </c>
      <c r="AL153">
        <v>8</v>
      </c>
      <c r="AM153">
        <v>6</v>
      </c>
      <c r="AN153">
        <v>8</v>
      </c>
      <c r="AO153">
        <v>7</v>
      </c>
      <c r="AP153">
        <v>4</v>
      </c>
      <c r="AQ153">
        <v>6</v>
      </c>
      <c r="AR153">
        <v>4</v>
      </c>
      <c r="AS153">
        <v>4</v>
      </c>
      <c r="AT153">
        <v>8</v>
      </c>
      <c r="AU153">
        <v>6</v>
      </c>
      <c r="AV153">
        <v>3</v>
      </c>
      <c r="AW153">
        <v>4</v>
      </c>
      <c r="AX153">
        <v>3</v>
      </c>
      <c r="AY153">
        <v>10</v>
      </c>
      <c r="AZ153">
        <v>1</v>
      </c>
      <c r="BA153">
        <v>3</v>
      </c>
      <c r="BB153">
        <v>4</v>
      </c>
      <c r="BC153">
        <v>3</v>
      </c>
      <c r="BD153">
        <v>1</v>
      </c>
      <c r="BE153">
        <v>9</v>
      </c>
      <c r="BF153">
        <v>3</v>
      </c>
      <c r="BG153">
        <v>1</v>
      </c>
      <c r="BH153">
        <v>10</v>
      </c>
      <c r="BI153">
        <v>6</v>
      </c>
      <c r="BJ153">
        <v>8</v>
      </c>
      <c r="BK153">
        <v>2</v>
      </c>
      <c r="BL153">
        <v>3</v>
      </c>
      <c r="BM153">
        <v>8</v>
      </c>
      <c r="BN153">
        <v>0</v>
      </c>
      <c r="BO153">
        <v>0</v>
      </c>
      <c r="BP153">
        <v>1</v>
      </c>
      <c r="BQ153">
        <v>4</v>
      </c>
      <c r="BR153">
        <v>0</v>
      </c>
      <c r="BS153">
        <v>6</v>
      </c>
      <c r="BT153">
        <v>7</v>
      </c>
      <c r="BU153">
        <v>2</v>
      </c>
      <c r="BV153">
        <v>3</v>
      </c>
      <c r="BW153">
        <v>5</v>
      </c>
      <c r="BX153">
        <v>7</v>
      </c>
      <c r="BY153">
        <v>5</v>
      </c>
      <c r="BZ153">
        <v>10</v>
      </c>
      <c r="CA153">
        <v>2</v>
      </c>
      <c r="CB153">
        <v>6</v>
      </c>
      <c r="CC153">
        <v>7</v>
      </c>
      <c r="CD153">
        <v>10</v>
      </c>
      <c r="CE153">
        <v>4</v>
      </c>
      <c r="CF153">
        <v>7</v>
      </c>
      <c r="CG153">
        <v>8</v>
      </c>
      <c r="CH153">
        <v>5</v>
      </c>
      <c r="CI153">
        <v>3</v>
      </c>
      <c r="CJ153">
        <v>7</v>
      </c>
      <c r="CK153">
        <v>9</v>
      </c>
      <c r="CL153">
        <v>7</v>
      </c>
      <c r="CM153">
        <v>1</v>
      </c>
      <c r="CN153">
        <v>0</v>
      </c>
      <c r="CO153">
        <v>0</v>
      </c>
      <c r="CP153">
        <v>1</v>
      </c>
      <c r="CQ153">
        <v>5</v>
      </c>
      <c r="CR153">
        <v>1</v>
      </c>
      <c r="CS153">
        <v>3</v>
      </c>
      <c r="CT153">
        <v>8</v>
      </c>
      <c r="CU153">
        <v>8</v>
      </c>
      <c r="CV153">
        <v>0</v>
      </c>
      <c r="CW153">
        <v>1</v>
      </c>
      <c r="CX153">
        <v>7</v>
      </c>
      <c r="CY153">
        <v>7</v>
      </c>
      <c r="CZ153">
        <v>0</v>
      </c>
      <c r="DA153">
        <v>3</v>
      </c>
      <c r="DB153">
        <v>3</v>
      </c>
      <c r="DC153">
        <v>2</v>
      </c>
      <c r="DD153">
        <v>3</v>
      </c>
      <c r="DE153">
        <v>5</v>
      </c>
      <c r="DF153">
        <v>7</v>
      </c>
      <c r="DG153">
        <v>4</v>
      </c>
      <c r="DH153">
        <v>7</v>
      </c>
      <c r="DI153">
        <v>10</v>
      </c>
      <c r="DJ153">
        <v>7</v>
      </c>
      <c r="DK153">
        <v>7</v>
      </c>
    </row>
    <row r="154" spans="1:115">
      <c r="A154" s="173">
        <f>Calculations[[#This Row],[Sum t eCO2]]*IF(Calculations[[#This Row],[GHG Scope]]="BIOGENIC",0,1)</f>
        <v>112.86999126514804</v>
      </c>
      <c r="O154">
        <f t="shared" si="2"/>
        <v>153</v>
      </c>
      <c r="P154">
        <v>9</v>
      </c>
      <c r="Q154">
        <v>9</v>
      </c>
      <c r="R154">
        <v>3</v>
      </c>
      <c r="S154">
        <v>1</v>
      </c>
      <c r="T154">
        <v>1</v>
      </c>
      <c r="U154">
        <v>9</v>
      </c>
      <c r="V154">
        <v>8</v>
      </c>
      <c r="W154">
        <v>0</v>
      </c>
      <c r="X154">
        <v>2</v>
      </c>
      <c r="Y154">
        <v>1</v>
      </c>
      <c r="Z154">
        <v>10</v>
      </c>
      <c r="AA154">
        <v>2</v>
      </c>
      <c r="AB154">
        <v>2</v>
      </c>
      <c r="AC154">
        <v>3</v>
      </c>
      <c r="AD154">
        <v>8</v>
      </c>
      <c r="AE154">
        <v>3</v>
      </c>
      <c r="AF154">
        <v>9</v>
      </c>
      <c r="AG154">
        <v>10</v>
      </c>
      <c r="AH154">
        <v>1</v>
      </c>
      <c r="AI154">
        <v>10</v>
      </c>
      <c r="AJ154">
        <v>1</v>
      </c>
      <c r="AK154">
        <v>2</v>
      </c>
      <c r="AL154">
        <v>1</v>
      </c>
      <c r="AM154">
        <v>0</v>
      </c>
      <c r="AN154">
        <v>0</v>
      </c>
      <c r="AO154">
        <v>3</v>
      </c>
      <c r="AP154">
        <v>5</v>
      </c>
      <c r="AQ154">
        <v>9</v>
      </c>
      <c r="AR154">
        <v>4</v>
      </c>
      <c r="AS154">
        <v>0</v>
      </c>
      <c r="AT154">
        <v>9</v>
      </c>
      <c r="AU154">
        <v>8</v>
      </c>
      <c r="AV154">
        <v>4</v>
      </c>
      <c r="AW154">
        <v>4</v>
      </c>
      <c r="AX154">
        <v>10</v>
      </c>
      <c r="AY154">
        <v>4</v>
      </c>
      <c r="AZ154">
        <v>9</v>
      </c>
      <c r="BA154">
        <v>1</v>
      </c>
      <c r="BB154">
        <v>10</v>
      </c>
      <c r="BC154">
        <v>9</v>
      </c>
      <c r="BD154">
        <v>1</v>
      </c>
      <c r="BE154">
        <v>6</v>
      </c>
      <c r="BF154">
        <v>7</v>
      </c>
      <c r="BG154">
        <v>0</v>
      </c>
      <c r="BH154">
        <v>1</v>
      </c>
      <c r="BI154">
        <v>2</v>
      </c>
      <c r="BJ154">
        <v>7</v>
      </c>
      <c r="BK154">
        <v>9</v>
      </c>
      <c r="BL154">
        <v>10</v>
      </c>
      <c r="BM154">
        <v>2</v>
      </c>
      <c r="BN154">
        <v>6</v>
      </c>
      <c r="BO154">
        <v>1</v>
      </c>
      <c r="BP154">
        <v>7</v>
      </c>
      <c r="BQ154">
        <v>1</v>
      </c>
      <c r="BR154">
        <v>8</v>
      </c>
      <c r="BS154">
        <v>5</v>
      </c>
      <c r="BT154">
        <v>8</v>
      </c>
      <c r="BU154">
        <v>9</v>
      </c>
      <c r="BV154">
        <v>5</v>
      </c>
      <c r="BW154">
        <v>2</v>
      </c>
      <c r="BX154">
        <v>9</v>
      </c>
      <c r="BY154">
        <v>9</v>
      </c>
      <c r="BZ154">
        <v>0</v>
      </c>
      <c r="CA154">
        <v>5</v>
      </c>
      <c r="CB154">
        <v>0</v>
      </c>
      <c r="CC154">
        <v>7</v>
      </c>
      <c r="CD154">
        <v>4</v>
      </c>
      <c r="CE154">
        <v>9</v>
      </c>
      <c r="CF154">
        <v>8</v>
      </c>
      <c r="CG154">
        <v>7</v>
      </c>
      <c r="CH154">
        <v>5</v>
      </c>
      <c r="CI154">
        <v>0</v>
      </c>
      <c r="CJ154">
        <v>2</v>
      </c>
      <c r="CK154">
        <v>0</v>
      </c>
      <c r="CL154">
        <v>10</v>
      </c>
      <c r="CM154">
        <v>9</v>
      </c>
      <c r="CN154">
        <v>2</v>
      </c>
      <c r="CO154">
        <v>3</v>
      </c>
      <c r="CP154">
        <v>10</v>
      </c>
      <c r="CQ154">
        <v>8</v>
      </c>
      <c r="CR154">
        <v>0</v>
      </c>
      <c r="CS154">
        <v>8</v>
      </c>
      <c r="CT154">
        <v>1</v>
      </c>
      <c r="CU154">
        <v>0</v>
      </c>
      <c r="CV154">
        <v>6</v>
      </c>
      <c r="CW154">
        <v>0</v>
      </c>
      <c r="CX154">
        <v>4</v>
      </c>
      <c r="CY154">
        <v>4</v>
      </c>
      <c r="CZ154">
        <v>6</v>
      </c>
      <c r="DA154">
        <v>5</v>
      </c>
      <c r="DB154">
        <v>3</v>
      </c>
      <c r="DC154">
        <v>10</v>
      </c>
      <c r="DD154">
        <v>1</v>
      </c>
      <c r="DE154">
        <v>2</v>
      </c>
      <c r="DF154">
        <v>2</v>
      </c>
      <c r="DG154">
        <v>4</v>
      </c>
      <c r="DH154">
        <v>10</v>
      </c>
      <c r="DI154">
        <v>5</v>
      </c>
      <c r="DJ154">
        <v>4</v>
      </c>
      <c r="DK154">
        <v>2</v>
      </c>
    </row>
    <row r="155" spans="1:115">
      <c r="A155" s="173">
        <f>Calculations[[#This Row],[Sum t eCO2]]*IF(Calculations[[#This Row],[GHG Scope]]="BIOGENIC",0,1)</f>
        <v>34.535037455635411</v>
      </c>
      <c r="O155">
        <f t="shared" si="2"/>
        <v>154</v>
      </c>
      <c r="P155">
        <v>6</v>
      </c>
      <c r="Q155">
        <v>7</v>
      </c>
      <c r="R155">
        <v>10</v>
      </c>
      <c r="S155">
        <v>9</v>
      </c>
      <c r="T155">
        <v>7</v>
      </c>
      <c r="U155">
        <v>0</v>
      </c>
      <c r="V155">
        <v>6</v>
      </c>
      <c r="W155">
        <v>2</v>
      </c>
      <c r="X155">
        <v>0</v>
      </c>
      <c r="Y155">
        <v>2</v>
      </c>
      <c r="Z155">
        <v>7</v>
      </c>
      <c r="AA155">
        <v>10</v>
      </c>
      <c r="AB155">
        <v>8</v>
      </c>
      <c r="AC155">
        <v>8</v>
      </c>
      <c r="AD155">
        <v>4</v>
      </c>
      <c r="AE155">
        <v>7</v>
      </c>
      <c r="AF155">
        <v>9</v>
      </c>
      <c r="AG155">
        <v>5</v>
      </c>
      <c r="AH155">
        <v>9</v>
      </c>
      <c r="AI155">
        <v>5</v>
      </c>
      <c r="AJ155">
        <v>3</v>
      </c>
      <c r="AK155">
        <v>0</v>
      </c>
      <c r="AL155">
        <v>5</v>
      </c>
      <c r="AM155">
        <v>10</v>
      </c>
      <c r="AN155">
        <v>2</v>
      </c>
      <c r="AO155">
        <v>10</v>
      </c>
      <c r="AP155">
        <v>7</v>
      </c>
      <c r="AQ155">
        <v>10</v>
      </c>
      <c r="AR155">
        <v>9</v>
      </c>
      <c r="AS155">
        <v>9</v>
      </c>
      <c r="AT155">
        <v>10</v>
      </c>
      <c r="AU155">
        <v>0</v>
      </c>
      <c r="AV155">
        <v>7</v>
      </c>
      <c r="AW155">
        <v>7</v>
      </c>
      <c r="AX155">
        <v>0</v>
      </c>
      <c r="AY155">
        <v>3</v>
      </c>
      <c r="AZ155">
        <v>10</v>
      </c>
      <c r="BA155">
        <v>5</v>
      </c>
      <c r="BB155">
        <v>0</v>
      </c>
      <c r="BC155">
        <v>7</v>
      </c>
      <c r="BD155">
        <v>9</v>
      </c>
      <c r="BE155">
        <v>4</v>
      </c>
      <c r="BF155">
        <v>9</v>
      </c>
      <c r="BG155">
        <v>9</v>
      </c>
      <c r="BH155">
        <v>7</v>
      </c>
      <c r="BI155">
        <v>8</v>
      </c>
      <c r="BJ155">
        <v>3</v>
      </c>
      <c r="BK155">
        <v>7</v>
      </c>
      <c r="BL155">
        <v>10</v>
      </c>
      <c r="BM155">
        <v>9</v>
      </c>
      <c r="BN155">
        <v>6</v>
      </c>
      <c r="BO155">
        <v>4</v>
      </c>
      <c r="BP155">
        <v>0</v>
      </c>
      <c r="BQ155">
        <v>5</v>
      </c>
      <c r="BR155">
        <v>7</v>
      </c>
      <c r="BS155">
        <v>4</v>
      </c>
      <c r="BT155">
        <v>10</v>
      </c>
      <c r="BU155">
        <v>2</v>
      </c>
      <c r="BV155">
        <v>8</v>
      </c>
      <c r="BW155">
        <v>2</v>
      </c>
      <c r="BX155">
        <v>1</v>
      </c>
      <c r="BY155">
        <v>6</v>
      </c>
      <c r="BZ155">
        <v>8</v>
      </c>
      <c r="CA155">
        <v>8</v>
      </c>
      <c r="CB155">
        <v>7</v>
      </c>
      <c r="CC155">
        <v>6</v>
      </c>
      <c r="CD155">
        <v>1</v>
      </c>
      <c r="CE155">
        <v>7</v>
      </c>
      <c r="CF155">
        <v>3</v>
      </c>
      <c r="CG155">
        <v>1</v>
      </c>
      <c r="CH155">
        <v>3</v>
      </c>
      <c r="CI155">
        <v>6</v>
      </c>
      <c r="CJ155">
        <v>5</v>
      </c>
      <c r="CK155">
        <v>0</v>
      </c>
      <c r="CL155">
        <v>2</v>
      </c>
      <c r="CM155">
        <v>10</v>
      </c>
      <c r="CN155">
        <v>3</v>
      </c>
      <c r="CO155">
        <v>2</v>
      </c>
      <c r="CP155">
        <v>9</v>
      </c>
      <c r="CQ155">
        <v>7</v>
      </c>
      <c r="CR155">
        <v>5</v>
      </c>
      <c r="CS155">
        <v>6</v>
      </c>
      <c r="CT155">
        <v>5</v>
      </c>
      <c r="CU155">
        <v>0</v>
      </c>
      <c r="CV155">
        <v>2</v>
      </c>
      <c r="CW155">
        <v>6</v>
      </c>
      <c r="CX155">
        <v>0</v>
      </c>
      <c r="CY155">
        <v>6</v>
      </c>
      <c r="CZ155">
        <v>3</v>
      </c>
      <c r="DA155">
        <v>1</v>
      </c>
      <c r="DB155">
        <v>7</v>
      </c>
      <c r="DC155">
        <v>8</v>
      </c>
      <c r="DD155">
        <v>6</v>
      </c>
      <c r="DE155">
        <v>4</v>
      </c>
      <c r="DF155">
        <v>2</v>
      </c>
      <c r="DG155">
        <v>6</v>
      </c>
      <c r="DH155">
        <v>3</v>
      </c>
      <c r="DI155">
        <v>5</v>
      </c>
      <c r="DJ155">
        <v>4</v>
      </c>
      <c r="DK155">
        <v>5</v>
      </c>
    </row>
    <row r="156" spans="1:115">
      <c r="A156" s="173">
        <f>Calculations[[#This Row],[Sum t eCO2]]*IF(Calculations[[#This Row],[GHG Scope]]="BIOGENIC",0,1)</f>
        <v>3.3100674877605734</v>
      </c>
      <c r="O156">
        <f t="shared" si="2"/>
        <v>155</v>
      </c>
      <c r="P156">
        <v>9</v>
      </c>
      <c r="Q156">
        <v>2</v>
      </c>
      <c r="R156">
        <v>9</v>
      </c>
      <c r="S156">
        <v>5</v>
      </c>
      <c r="T156">
        <v>0</v>
      </c>
      <c r="U156">
        <v>3</v>
      </c>
      <c r="V156">
        <v>1</v>
      </c>
      <c r="W156">
        <v>0</v>
      </c>
      <c r="X156">
        <v>0</v>
      </c>
      <c r="Y156">
        <v>8</v>
      </c>
      <c r="Z156">
        <v>9</v>
      </c>
      <c r="AA156">
        <v>2</v>
      </c>
      <c r="AB156">
        <v>8</v>
      </c>
      <c r="AC156">
        <v>4</v>
      </c>
      <c r="AD156">
        <v>2</v>
      </c>
      <c r="AE156">
        <v>1</v>
      </c>
      <c r="AF156">
        <v>0</v>
      </c>
      <c r="AG156">
        <v>1</v>
      </c>
      <c r="AH156">
        <v>6</v>
      </c>
      <c r="AI156">
        <v>7</v>
      </c>
      <c r="AJ156">
        <v>9</v>
      </c>
      <c r="AK156">
        <v>7</v>
      </c>
      <c r="AL156">
        <v>8</v>
      </c>
      <c r="AM156">
        <v>8</v>
      </c>
      <c r="AN156">
        <v>9</v>
      </c>
      <c r="AO156">
        <v>5</v>
      </c>
      <c r="AP156">
        <v>8</v>
      </c>
      <c r="AQ156">
        <v>5</v>
      </c>
      <c r="AR156">
        <v>10</v>
      </c>
      <c r="AS156">
        <v>5</v>
      </c>
      <c r="AT156">
        <v>6</v>
      </c>
      <c r="AU156">
        <v>5</v>
      </c>
      <c r="AV156">
        <v>2</v>
      </c>
      <c r="AW156">
        <v>2</v>
      </c>
      <c r="AX156">
        <v>2</v>
      </c>
      <c r="AY156">
        <v>7</v>
      </c>
      <c r="AZ156">
        <v>10</v>
      </c>
      <c r="BA156">
        <v>7</v>
      </c>
      <c r="BB156">
        <v>1</v>
      </c>
      <c r="BC156">
        <v>7</v>
      </c>
      <c r="BD156">
        <v>6</v>
      </c>
      <c r="BE156">
        <v>8</v>
      </c>
      <c r="BF156">
        <v>2</v>
      </c>
      <c r="BG156">
        <v>8</v>
      </c>
      <c r="BH156">
        <v>7</v>
      </c>
      <c r="BI156">
        <v>8</v>
      </c>
      <c r="BJ156">
        <v>4</v>
      </c>
      <c r="BK156">
        <v>1</v>
      </c>
      <c r="BL156">
        <v>9</v>
      </c>
      <c r="BM156">
        <v>9</v>
      </c>
      <c r="BN156">
        <v>2</v>
      </c>
      <c r="BO156">
        <v>10</v>
      </c>
      <c r="BP156">
        <v>5</v>
      </c>
      <c r="BQ156">
        <v>9</v>
      </c>
      <c r="BR156">
        <v>9</v>
      </c>
      <c r="BS156">
        <v>7</v>
      </c>
      <c r="BT156">
        <v>0</v>
      </c>
      <c r="BU156">
        <v>4</v>
      </c>
      <c r="BV156">
        <v>6</v>
      </c>
      <c r="BW156">
        <v>0</v>
      </c>
      <c r="BX156">
        <v>2</v>
      </c>
      <c r="BY156">
        <v>6</v>
      </c>
      <c r="BZ156">
        <v>9</v>
      </c>
      <c r="CA156">
        <v>10</v>
      </c>
      <c r="CB156">
        <v>0</v>
      </c>
      <c r="CC156">
        <v>3</v>
      </c>
      <c r="CD156">
        <v>4</v>
      </c>
      <c r="CE156">
        <v>2</v>
      </c>
      <c r="CF156">
        <v>2</v>
      </c>
      <c r="CG156">
        <v>1</v>
      </c>
      <c r="CH156">
        <v>5</v>
      </c>
      <c r="CI156">
        <v>10</v>
      </c>
      <c r="CJ156">
        <v>1</v>
      </c>
      <c r="CK156">
        <v>0</v>
      </c>
      <c r="CL156">
        <v>7</v>
      </c>
      <c r="CM156">
        <v>9</v>
      </c>
      <c r="CN156">
        <v>3</v>
      </c>
      <c r="CO156">
        <v>5</v>
      </c>
      <c r="CP156">
        <v>8</v>
      </c>
      <c r="CQ156">
        <v>4</v>
      </c>
      <c r="CR156">
        <v>5</v>
      </c>
      <c r="CS156">
        <v>3</v>
      </c>
      <c r="CT156">
        <v>9</v>
      </c>
      <c r="CU156">
        <v>6</v>
      </c>
      <c r="CV156">
        <v>6</v>
      </c>
      <c r="CW156">
        <v>9</v>
      </c>
      <c r="CX156">
        <v>10</v>
      </c>
      <c r="CY156">
        <v>8</v>
      </c>
      <c r="CZ156">
        <v>3</v>
      </c>
      <c r="DA156">
        <v>7</v>
      </c>
      <c r="DB156">
        <v>6</v>
      </c>
      <c r="DC156">
        <v>4</v>
      </c>
      <c r="DD156">
        <v>9</v>
      </c>
      <c r="DE156">
        <v>0</v>
      </c>
      <c r="DF156">
        <v>9</v>
      </c>
      <c r="DG156">
        <v>3</v>
      </c>
      <c r="DH156">
        <v>0</v>
      </c>
      <c r="DI156">
        <v>6</v>
      </c>
      <c r="DJ156">
        <v>3</v>
      </c>
      <c r="DK156">
        <v>3</v>
      </c>
    </row>
    <row r="157" spans="1:115">
      <c r="A157" s="173">
        <f>Calculations[[#This Row],[Sum t eCO2]]*IF(Calculations[[#This Row],[GHG Scope]]="BIOGENIC",0,1)</f>
        <v>60.783226952902936</v>
      </c>
      <c r="O157">
        <f t="shared" si="2"/>
        <v>156</v>
      </c>
      <c r="P157">
        <v>1</v>
      </c>
      <c r="Q157">
        <v>3</v>
      </c>
      <c r="R157">
        <v>1</v>
      </c>
      <c r="S157">
        <v>8</v>
      </c>
      <c r="T157">
        <v>9</v>
      </c>
      <c r="U157">
        <v>0</v>
      </c>
      <c r="V157">
        <v>4</v>
      </c>
      <c r="W157">
        <v>5</v>
      </c>
      <c r="X157">
        <v>3</v>
      </c>
      <c r="Y157">
        <v>4</v>
      </c>
      <c r="Z157">
        <v>5</v>
      </c>
      <c r="AA157">
        <v>5</v>
      </c>
      <c r="AB157">
        <v>1</v>
      </c>
      <c r="AC157">
        <v>7</v>
      </c>
      <c r="AD157">
        <v>8</v>
      </c>
      <c r="AE157">
        <v>0</v>
      </c>
      <c r="AF157">
        <v>8</v>
      </c>
      <c r="AG157">
        <v>8</v>
      </c>
      <c r="AH157">
        <v>6</v>
      </c>
      <c r="AI157">
        <v>3</v>
      </c>
      <c r="AJ157">
        <v>1</v>
      </c>
      <c r="AK157">
        <v>10</v>
      </c>
      <c r="AL157">
        <v>1</v>
      </c>
      <c r="AM157">
        <v>0</v>
      </c>
      <c r="AN157">
        <v>2</v>
      </c>
      <c r="AO157">
        <v>0</v>
      </c>
      <c r="AP157">
        <v>2</v>
      </c>
      <c r="AQ157">
        <v>0</v>
      </c>
      <c r="AR157">
        <v>0</v>
      </c>
      <c r="AS157">
        <v>10</v>
      </c>
      <c r="AT157">
        <v>3</v>
      </c>
      <c r="AU157">
        <v>6</v>
      </c>
      <c r="AV157">
        <v>5</v>
      </c>
      <c r="AW157">
        <v>5</v>
      </c>
      <c r="AX157">
        <v>9</v>
      </c>
      <c r="AY157">
        <v>0</v>
      </c>
      <c r="AZ157">
        <v>6</v>
      </c>
      <c r="BA157">
        <v>6</v>
      </c>
      <c r="BB157">
        <v>10</v>
      </c>
      <c r="BC157">
        <v>1</v>
      </c>
      <c r="BD157">
        <v>9</v>
      </c>
      <c r="BE157">
        <v>4</v>
      </c>
      <c r="BF157">
        <v>10</v>
      </c>
      <c r="BG157">
        <v>4</v>
      </c>
      <c r="BH157">
        <v>1</v>
      </c>
      <c r="BI157">
        <v>5</v>
      </c>
      <c r="BJ157">
        <v>5</v>
      </c>
      <c r="BK157">
        <v>6</v>
      </c>
      <c r="BL157">
        <v>2</v>
      </c>
      <c r="BM157">
        <v>5</v>
      </c>
      <c r="BN157">
        <v>0</v>
      </c>
      <c r="BO157">
        <v>7</v>
      </c>
      <c r="BP157">
        <v>0</v>
      </c>
      <c r="BQ157">
        <v>3</v>
      </c>
      <c r="BR157">
        <v>0</v>
      </c>
      <c r="BS157">
        <v>10</v>
      </c>
      <c r="BT157">
        <v>2</v>
      </c>
      <c r="BU157">
        <v>5</v>
      </c>
      <c r="BV157">
        <v>4</v>
      </c>
      <c r="BW157">
        <v>2</v>
      </c>
      <c r="BX157">
        <v>10</v>
      </c>
      <c r="BY157">
        <v>8</v>
      </c>
      <c r="BZ157">
        <v>8</v>
      </c>
      <c r="CA157">
        <v>2</v>
      </c>
      <c r="CB157">
        <v>10</v>
      </c>
      <c r="CC157">
        <v>8</v>
      </c>
      <c r="CD157">
        <v>7</v>
      </c>
      <c r="CE157">
        <v>8</v>
      </c>
      <c r="CF157">
        <v>6</v>
      </c>
      <c r="CG157">
        <v>4</v>
      </c>
      <c r="CH157">
        <v>3</v>
      </c>
      <c r="CI157">
        <v>8</v>
      </c>
      <c r="CJ157">
        <v>9</v>
      </c>
      <c r="CK157">
        <v>5</v>
      </c>
      <c r="CL157">
        <v>6</v>
      </c>
      <c r="CM157">
        <v>1</v>
      </c>
      <c r="CN157">
        <v>2</v>
      </c>
      <c r="CO157">
        <v>9</v>
      </c>
      <c r="CP157">
        <v>5</v>
      </c>
      <c r="CQ157">
        <v>0</v>
      </c>
      <c r="CR157">
        <v>0</v>
      </c>
      <c r="CS157">
        <v>3</v>
      </c>
      <c r="CT157">
        <v>6</v>
      </c>
      <c r="CU157">
        <v>9</v>
      </c>
      <c r="CV157">
        <v>0</v>
      </c>
      <c r="CW157">
        <v>2</v>
      </c>
      <c r="CX157">
        <v>0</v>
      </c>
      <c r="CY157">
        <v>3</v>
      </c>
      <c r="CZ157">
        <v>10</v>
      </c>
      <c r="DA157">
        <v>9</v>
      </c>
      <c r="DB157">
        <v>6</v>
      </c>
      <c r="DC157">
        <v>3</v>
      </c>
      <c r="DD157">
        <v>9</v>
      </c>
      <c r="DE157">
        <v>7</v>
      </c>
      <c r="DF157">
        <v>7</v>
      </c>
      <c r="DG157">
        <v>4</v>
      </c>
      <c r="DH157">
        <v>4</v>
      </c>
      <c r="DI157">
        <v>10</v>
      </c>
      <c r="DJ157">
        <v>3</v>
      </c>
      <c r="DK157">
        <v>9</v>
      </c>
    </row>
    <row r="158" spans="1:115">
      <c r="A158" s="173">
        <f>Calculations[[#This Row],[Sum t eCO2]]*IF(Calculations[[#This Row],[GHG Scope]]="BIOGENIC",0,1)</f>
        <v>5.3732446740085837</v>
      </c>
      <c r="O158">
        <f t="shared" si="2"/>
        <v>157</v>
      </c>
      <c r="P158">
        <v>3</v>
      </c>
      <c r="Q158">
        <v>3</v>
      </c>
      <c r="R158">
        <v>8</v>
      </c>
      <c r="S158">
        <v>4</v>
      </c>
      <c r="T158">
        <v>2</v>
      </c>
      <c r="U158">
        <v>0</v>
      </c>
      <c r="V158">
        <v>3</v>
      </c>
      <c r="W158">
        <v>4</v>
      </c>
      <c r="X158">
        <v>0</v>
      </c>
      <c r="Y158">
        <v>1</v>
      </c>
      <c r="Z158">
        <v>9</v>
      </c>
      <c r="AA158">
        <v>0</v>
      </c>
      <c r="AB158">
        <v>8</v>
      </c>
      <c r="AC158">
        <v>7</v>
      </c>
      <c r="AD158">
        <v>0</v>
      </c>
      <c r="AE158">
        <v>7</v>
      </c>
      <c r="AF158">
        <v>2</v>
      </c>
      <c r="AG158">
        <v>6</v>
      </c>
      <c r="AH158">
        <v>1</v>
      </c>
      <c r="AI158">
        <v>2</v>
      </c>
      <c r="AJ158">
        <v>1</v>
      </c>
      <c r="AK158">
        <v>4</v>
      </c>
      <c r="AL158">
        <v>5</v>
      </c>
      <c r="AM158">
        <v>10</v>
      </c>
      <c r="AN158">
        <v>10</v>
      </c>
      <c r="AO158">
        <v>4</v>
      </c>
      <c r="AP158">
        <v>0</v>
      </c>
      <c r="AQ158">
        <v>6</v>
      </c>
      <c r="AR158">
        <v>7</v>
      </c>
      <c r="AS158">
        <v>3</v>
      </c>
      <c r="AT158">
        <v>2</v>
      </c>
      <c r="AU158">
        <v>7</v>
      </c>
      <c r="AV158">
        <v>6</v>
      </c>
      <c r="AW158">
        <v>10</v>
      </c>
      <c r="AX158">
        <v>2</v>
      </c>
      <c r="AY158">
        <v>6</v>
      </c>
      <c r="AZ158">
        <v>4</v>
      </c>
      <c r="BA158">
        <v>5</v>
      </c>
      <c r="BB158">
        <v>8</v>
      </c>
      <c r="BC158">
        <v>3</v>
      </c>
      <c r="BD158">
        <v>4</v>
      </c>
      <c r="BE158">
        <v>4</v>
      </c>
      <c r="BF158">
        <v>1</v>
      </c>
      <c r="BG158">
        <v>10</v>
      </c>
      <c r="BH158">
        <v>4</v>
      </c>
      <c r="BI158">
        <v>5</v>
      </c>
      <c r="BJ158">
        <v>7</v>
      </c>
      <c r="BK158">
        <v>7</v>
      </c>
      <c r="BL158">
        <v>7</v>
      </c>
      <c r="BM158">
        <v>0</v>
      </c>
      <c r="BN158">
        <v>7</v>
      </c>
      <c r="BO158">
        <v>1</v>
      </c>
      <c r="BP158">
        <v>2</v>
      </c>
      <c r="BQ158">
        <v>7</v>
      </c>
      <c r="BR158">
        <v>7</v>
      </c>
      <c r="BS158">
        <v>2</v>
      </c>
      <c r="BT158">
        <v>6</v>
      </c>
      <c r="BU158">
        <v>6</v>
      </c>
      <c r="BV158">
        <v>0</v>
      </c>
      <c r="BW158">
        <v>4</v>
      </c>
      <c r="BX158">
        <v>0</v>
      </c>
      <c r="BY158">
        <v>8</v>
      </c>
      <c r="BZ158">
        <v>5</v>
      </c>
      <c r="CA158">
        <v>6</v>
      </c>
      <c r="CB158">
        <v>9</v>
      </c>
      <c r="CC158">
        <v>3</v>
      </c>
      <c r="CD158">
        <v>5</v>
      </c>
      <c r="CE158">
        <v>6</v>
      </c>
      <c r="CF158">
        <v>7</v>
      </c>
      <c r="CG158">
        <v>8</v>
      </c>
      <c r="CH158">
        <v>2</v>
      </c>
      <c r="CI158">
        <v>2</v>
      </c>
      <c r="CJ158">
        <v>7</v>
      </c>
      <c r="CK158">
        <v>8</v>
      </c>
      <c r="CL158">
        <v>7</v>
      </c>
      <c r="CM158">
        <v>5</v>
      </c>
      <c r="CN158">
        <v>0</v>
      </c>
      <c r="CO158">
        <v>7</v>
      </c>
      <c r="CP158">
        <v>3</v>
      </c>
      <c r="CQ158">
        <v>6</v>
      </c>
      <c r="CR158">
        <v>9</v>
      </c>
      <c r="CS158">
        <v>6</v>
      </c>
      <c r="CT158">
        <v>3</v>
      </c>
      <c r="CU158">
        <v>0</v>
      </c>
      <c r="CV158">
        <v>8</v>
      </c>
      <c r="CW158">
        <v>4</v>
      </c>
      <c r="CX158">
        <v>6</v>
      </c>
      <c r="CY158">
        <v>9</v>
      </c>
      <c r="CZ158">
        <v>8</v>
      </c>
      <c r="DA158">
        <v>2</v>
      </c>
      <c r="DB158">
        <v>9</v>
      </c>
      <c r="DC158">
        <v>0</v>
      </c>
      <c r="DD158">
        <v>9</v>
      </c>
      <c r="DE158">
        <v>5</v>
      </c>
      <c r="DF158">
        <v>4</v>
      </c>
      <c r="DG158">
        <v>5</v>
      </c>
      <c r="DH158">
        <v>8</v>
      </c>
      <c r="DI158">
        <v>0</v>
      </c>
      <c r="DJ158">
        <v>4</v>
      </c>
      <c r="DK158">
        <v>5</v>
      </c>
    </row>
    <row r="159" spans="1:115">
      <c r="A159" s="173">
        <f>Calculations[[#This Row],[Sum t eCO2]]*IF(Calculations[[#This Row],[GHG Scope]]="BIOGENIC",0,1)</f>
        <v>62.124001494584412</v>
      </c>
      <c r="O159">
        <f t="shared" si="2"/>
        <v>158</v>
      </c>
      <c r="P159">
        <v>8</v>
      </c>
      <c r="Q159">
        <v>1</v>
      </c>
      <c r="R159">
        <v>0</v>
      </c>
      <c r="S159">
        <v>1</v>
      </c>
      <c r="T159">
        <v>3</v>
      </c>
      <c r="U159">
        <v>6</v>
      </c>
      <c r="V159">
        <v>0</v>
      </c>
      <c r="W159">
        <v>0</v>
      </c>
      <c r="X159">
        <v>1</v>
      </c>
      <c r="Y159">
        <v>4</v>
      </c>
      <c r="Z159">
        <v>6</v>
      </c>
      <c r="AA159">
        <v>10</v>
      </c>
      <c r="AB159">
        <v>1</v>
      </c>
      <c r="AC159">
        <v>5</v>
      </c>
      <c r="AD159">
        <v>4</v>
      </c>
      <c r="AE159">
        <v>5</v>
      </c>
      <c r="AF159">
        <v>0</v>
      </c>
      <c r="AG159">
        <v>4</v>
      </c>
      <c r="AH159">
        <v>6</v>
      </c>
      <c r="AI159">
        <v>8</v>
      </c>
      <c r="AJ159">
        <v>8</v>
      </c>
      <c r="AK159">
        <v>1</v>
      </c>
      <c r="AL159">
        <v>0</v>
      </c>
      <c r="AM159">
        <v>6</v>
      </c>
      <c r="AN159">
        <v>3</v>
      </c>
      <c r="AO159">
        <v>1</v>
      </c>
      <c r="AP159">
        <v>2</v>
      </c>
      <c r="AQ159">
        <v>2</v>
      </c>
      <c r="AR159">
        <v>3</v>
      </c>
      <c r="AS159">
        <v>10</v>
      </c>
      <c r="AT159">
        <v>7</v>
      </c>
      <c r="AU159">
        <v>3</v>
      </c>
      <c r="AV159">
        <v>10</v>
      </c>
      <c r="AW159">
        <v>8</v>
      </c>
      <c r="AX159">
        <v>0</v>
      </c>
      <c r="AY159">
        <v>9</v>
      </c>
      <c r="AZ159">
        <v>3</v>
      </c>
      <c r="BA159">
        <v>5</v>
      </c>
      <c r="BB159">
        <v>10</v>
      </c>
      <c r="BC159">
        <v>5</v>
      </c>
      <c r="BD159">
        <v>1</v>
      </c>
      <c r="BE159">
        <v>6</v>
      </c>
      <c r="BF159">
        <v>0</v>
      </c>
      <c r="BG159">
        <v>7</v>
      </c>
      <c r="BH159">
        <v>6</v>
      </c>
      <c r="BI159">
        <v>9</v>
      </c>
      <c r="BJ159">
        <v>3</v>
      </c>
      <c r="BK159">
        <v>3</v>
      </c>
      <c r="BL159">
        <v>7</v>
      </c>
      <c r="BM159">
        <v>8</v>
      </c>
      <c r="BN159">
        <v>3</v>
      </c>
      <c r="BO159">
        <v>2</v>
      </c>
      <c r="BP159">
        <v>9</v>
      </c>
      <c r="BQ159">
        <v>0</v>
      </c>
      <c r="BR159">
        <v>1</v>
      </c>
      <c r="BS159">
        <v>6</v>
      </c>
      <c r="BT159">
        <v>10</v>
      </c>
      <c r="BU159">
        <v>1</v>
      </c>
      <c r="BV159">
        <v>4</v>
      </c>
      <c r="BW159">
        <v>6</v>
      </c>
      <c r="BX159">
        <v>7</v>
      </c>
      <c r="BY159">
        <v>9</v>
      </c>
      <c r="BZ159">
        <v>0</v>
      </c>
      <c r="CA159">
        <v>5</v>
      </c>
      <c r="CB159">
        <v>6</v>
      </c>
      <c r="CC159">
        <v>4</v>
      </c>
      <c r="CD159">
        <v>9</v>
      </c>
      <c r="CE159">
        <v>7</v>
      </c>
      <c r="CF159">
        <v>5</v>
      </c>
      <c r="CG159">
        <v>1</v>
      </c>
      <c r="CH159">
        <v>10</v>
      </c>
      <c r="CI159">
        <v>6</v>
      </c>
      <c r="CJ159">
        <v>3</v>
      </c>
      <c r="CK159">
        <v>2</v>
      </c>
      <c r="CL159">
        <v>10</v>
      </c>
      <c r="CM159">
        <v>7</v>
      </c>
      <c r="CN159">
        <v>8</v>
      </c>
      <c r="CO159">
        <v>1</v>
      </c>
      <c r="CP159">
        <v>2</v>
      </c>
      <c r="CQ159">
        <v>4</v>
      </c>
      <c r="CR159">
        <v>7</v>
      </c>
      <c r="CS159">
        <v>9</v>
      </c>
      <c r="CT159">
        <v>3</v>
      </c>
      <c r="CU159">
        <v>8</v>
      </c>
      <c r="CV159">
        <v>5</v>
      </c>
      <c r="CW159">
        <v>2</v>
      </c>
      <c r="CX159">
        <v>5</v>
      </c>
      <c r="CY159">
        <v>9</v>
      </c>
      <c r="CZ159">
        <v>9</v>
      </c>
      <c r="DA159">
        <v>9</v>
      </c>
      <c r="DB159">
        <v>1</v>
      </c>
      <c r="DC159">
        <v>7</v>
      </c>
      <c r="DD159">
        <v>10</v>
      </c>
      <c r="DE159">
        <v>4</v>
      </c>
      <c r="DF159">
        <v>1</v>
      </c>
      <c r="DG159">
        <v>0</v>
      </c>
      <c r="DH159">
        <v>8</v>
      </c>
      <c r="DI159">
        <v>0</v>
      </c>
      <c r="DJ159">
        <v>1</v>
      </c>
      <c r="DK159">
        <v>10</v>
      </c>
    </row>
    <row r="160" spans="1:115">
      <c r="A160" s="173">
        <f>Calculations[[#This Row],[Sum t eCO2]]*IF(Calculations[[#This Row],[GHG Scope]]="BIOGENIC",0,1)</f>
        <v>1.7249892052510089E-2</v>
      </c>
      <c r="O160">
        <f t="shared" si="2"/>
        <v>159</v>
      </c>
      <c r="P160">
        <v>8</v>
      </c>
      <c r="Q160">
        <v>1</v>
      </c>
      <c r="R160">
        <v>9</v>
      </c>
      <c r="S160">
        <v>0</v>
      </c>
      <c r="T160">
        <v>3</v>
      </c>
      <c r="U160">
        <v>10</v>
      </c>
      <c r="V160">
        <v>0</v>
      </c>
      <c r="W160">
        <v>3</v>
      </c>
      <c r="X160">
        <v>5</v>
      </c>
      <c r="Y160">
        <v>2</v>
      </c>
      <c r="Z160">
        <v>8</v>
      </c>
      <c r="AA160">
        <v>0</v>
      </c>
      <c r="AB160">
        <v>10</v>
      </c>
      <c r="AC160">
        <v>1</v>
      </c>
      <c r="AD160">
        <v>1</v>
      </c>
      <c r="AE160">
        <v>1</v>
      </c>
      <c r="AF160">
        <v>3</v>
      </c>
      <c r="AG160">
        <v>0</v>
      </c>
      <c r="AH160">
        <v>1</v>
      </c>
      <c r="AI160">
        <v>1</v>
      </c>
      <c r="AJ160">
        <v>2</v>
      </c>
      <c r="AK160">
        <v>2</v>
      </c>
      <c r="AL160">
        <v>10</v>
      </c>
      <c r="AM160">
        <v>1</v>
      </c>
      <c r="AN160">
        <v>4</v>
      </c>
      <c r="AO160">
        <v>7</v>
      </c>
      <c r="AP160">
        <v>3</v>
      </c>
      <c r="AQ160">
        <v>8</v>
      </c>
      <c r="AR160">
        <v>4</v>
      </c>
      <c r="AS160">
        <v>3</v>
      </c>
      <c r="AT160">
        <v>7</v>
      </c>
      <c r="AU160">
        <v>3</v>
      </c>
      <c r="AV160">
        <v>1</v>
      </c>
      <c r="AW160">
        <v>0</v>
      </c>
      <c r="AX160">
        <v>3</v>
      </c>
      <c r="AY160">
        <v>7</v>
      </c>
      <c r="AZ160">
        <v>3</v>
      </c>
      <c r="BA160">
        <v>1</v>
      </c>
      <c r="BB160">
        <v>0</v>
      </c>
      <c r="BC160">
        <v>6</v>
      </c>
      <c r="BD160">
        <v>9</v>
      </c>
      <c r="BE160">
        <v>6</v>
      </c>
      <c r="BF160">
        <v>1</v>
      </c>
      <c r="BG160">
        <v>10</v>
      </c>
      <c r="BH160">
        <v>4</v>
      </c>
      <c r="BI160">
        <v>3</v>
      </c>
      <c r="BJ160">
        <v>3</v>
      </c>
      <c r="BK160">
        <v>7</v>
      </c>
      <c r="BL160">
        <v>3</v>
      </c>
      <c r="BM160">
        <v>9</v>
      </c>
      <c r="BN160">
        <v>7</v>
      </c>
      <c r="BO160">
        <v>8</v>
      </c>
      <c r="BP160">
        <v>6</v>
      </c>
      <c r="BQ160">
        <v>5</v>
      </c>
      <c r="BR160">
        <v>8</v>
      </c>
      <c r="BS160">
        <v>9</v>
      </c>
      <c r="BT160">
        <v>8</v>
      </c>
      <c r="BU160">
        <v>10</v>
      </c>
      <c r="BV160">
        <v>2</v>
      </c>
      <c r="BW160">
        <v>9</v>
      </c>
      <c r="BX160">
        <v>10</v>
      </c>
      <c r="BY160">
        <v>1</v>
      </c>
      <c r="BZ160">
        <v>1</v>
      </c>
      <c r="CA160">
        <v>3</v>
      </c>
      <c r="CB160">
        <v>9</v>
      </c>
      <c r="CC160">
        <v>10</v>
      </c>
      <c r="CD160">
        <v>9</v>
      </c>
      <c r="CE160">
        <v>10</v>
      </c>
      <c r="CF160">
        <v>9</v>
      </c>
      <c r="CG160">
        <v>10</v>
      </c>
      <c r="CH160">
        <v>9</v>
      </c>
      <c r="CI160">
        <v>3</v>
      </c>
      <c r="CJ160">
        <v>1</v>
      </c>
      <c r="CK160">
        <v>2</v>
      </c>
      <c r="CL160">
        <v>3</v>
      </c>
      <c r="CM160">
        <v>9</v>
      </c>
      <c r="CN160">
        <v>0</v>
      </c>
      <c r="CO160">
        <v>9</v>
      </c>
      <c r="CP160">
        <v>2</v>
      </c>
      <c r="CQ160">
        <v>9</v>
      </c>
      <c r="CR160">
        <v>9</v>
      </c>
      <c r="CS160">
        <v>3</v>
      </c>
      <c r="CT160">
        <v>5</v>
      </c>
      <c r="CU160">
        <v>0</v>
      </c>
      <c r="CV160">
        <v>9</v>
      </c>
      <c r="CW160">
        <v>4</v>
      </c>
      <c r="CX160">
        <v>10</v>
      </c>
      <c r="CY160">
        <v>7</v>
      </c>
      <c r="CZ160">
        <v>3</v>
      </c>
      <c r="DA160">
        <v>7</v>
      </c>
      <c r="DB160">
        <v>6</v>
      </c>
      <c r="DC160">
        <v>2</v>
      </c>
      <c r="DD160">
        <v>9</v>
      </c>
      <c r="DE160">
        <v>3</v>
      </c>
      <c r="DF160">
        <v>3</v>
      </c>
      <c r="DG160">
        <v>7</v>
      </c>
      <c r="DH160">
        <v>0</v>
      </c>
      <c r="DI160">
        <v>1</v>
      </c>
      <c r="DJ160">
        <v>0</v>
      </c>
      <c r="DK160">
        <v>1</v>
      </c>
    </row>
    <row r="161" spans="1:115">
      <c r="A161" s="173">
        <f>Calculations[[#This Row],[Sum t eCO2]]*IF(Calculations[[#This Row],[GHG Scope]]="BIOGENIC",0,1)</f>
        <v>4.2395547238443007E-2</v>
      </c>
      <c r="O161">
        <f t="shared" si="2"/>
        <v>160</v>
      </c>
      <c r="P161">
        <v>1</v>
      </c>
      <c r="Q161">
        <v>9</v>
      </c>
      <c r="R161">
        <v>4</v>
      </c>
      <c r="S161">
        <v>6</v>
      </c>
      <c r="T161">
        <v>6</v>
      </c>
      <c r="U161">
        <v>8</v>
      </c>
      <c r="V161">
        <v>3</v>
      </c>
      <c r="W161">
        <v>10</v>
      </c>
      <c r="X161">
        <v>6</v>
      </c>
      <c r="Y161">
        <v>10</v>
      </c>
      <c r="Z161">
        <v>6</v>
      </c>
      <c r="AA161">
        <v>1</v>
      </c>
      <c r="AB161">
        <v>4</v>
      </c>
      <c r="AC161">
        <v>10</v>
      </c>
      <c r="AD161">
        <v>3</v>
      </c>
      <c r="AE161">
        <v>2</v>
      </c>
      <c r="AF161">
        <v>9</v>
      </c>
      <c r="AG161">
        <v>5</v>
      </c>
      <c r="AH161">
        <v>2</v>
      </c>
      <c r="AI161">
        <v>9</v>
      </c>
      <c r="AJ161">
        <v>1</v>
      </c>
      <c r="AK161">
        <v>10</v>
      </c>
      <c r="AL161">
        <v>8</v>
      </c>
      <c r="AM161">
        <v>9</v>
      </c>
      <c r="AN161">
        <v>6</v>
      </c>
      <c r="AO161">
        <v>8</v>
      </c>
      <c r="AP161">
        <v>8</v>
      </c>
      <c r="AQ161">
        <v>0</v>
      </c>
      <c r="AR161">
        <v>10</v>
      </c>
      <c r="AS161">
        <v>9</v>
      </c>
      <c r="AT161">
        <v>2</v>
      </c>
      <c r="AU161">
        <v>0</v>
      </c>
      <c r="AV161">
        <v>8</v>
      </c>
      <c r="AW161">
        <v>6</v>
      </c>
      <c r="AX161">
        <v>0</v>
      </c>
      <c r="AY161">
        <v>5</v>
      </c>
      <c r="AZ161">
        <v>7</v>
      </c>
      <c r="BA161">
        <v>2</v>
      </c>
      <c r="BB161">
        <v>9</v>
      </c>
      <c r="BC161">
        <v>8</v>
      </c>
      <c r="BD161">
        <v>7</v>
      </c>
      <c r="BE161">
        <v>10</v>
      </c>
      <c r="BF161">
        <v>4</v>
      </c>
      <c r="BG161">
        <v>0</v>
      </c>
      <c r="BH161">
        <v>6</v>
      </c>
      <c r="BI161">
        <v>10</v>
      </c>
      <c r="BJ161">
        <v>3</v>
      </c>
      <c r="BK161">
        <v>5</v>
      </c>
      <c r="BL161">
        <v>3</v>
      </c>
      <c r="BM161">
        <v>5</v>
      </c>
      <c r="BN161">
        <v>10</v>
      </c>
      <c r="BO161">
        <v>7</v>
      </c>
      <c r="BP161">
        <v>7</v>
      </c>
      <c r="BQ161">
        <v>8</v>
      </c>
      <c r="BR161">
        <v>10</v>
      </c>
      <c r="BS161">
        <v>9</v>
      </c>
      <c r="BT161">
        <v>7</v>
      </c>
      <c r="BU161">
        <v>7</v>
      </c>
      <c r="BV161">
        <v>8</v>
      </c>
      <c r="BW161">
        <v>6</v>
      </c>
      <c r="BX161">
        <v>1</v>
      </c>
      <c r="BY161">
        <v>7</v>
      </c>
      <c r="BZ161">
        <v>5</v>
      </c>
      <c r="CA161">
        <v>9</v>
      </c>
      <c r="CB161">
        <v>6</v>
      </c>
      <c r="CC161">
        <v>0</v>
      </c>
      <c r="CD161">
        <v>8</v>
      </c>
      <c r="CE161">
        <v>10</v>
      </c>
      <c r="CF161">
        <v>5</v>
      </c>
      <c r="CG161">
        <v>8</v>
      </c>
      <c r="CH161">
        <v>0</v>
      </c>
      <c r="CI161">
        <v>3</v>
      </c>
      <c r="CJ161">
        <v>1</v>
      </c>
      <c r="CK161">
        <v>3</v>
      </c>
      <c r="CL161">
        <v>7</v>
      </c>
      <c r="CM161">
        <v>8</v>
      </c>
      <c r="CN161">
        <v>6</v>
      </c>
      <c r="CO161">
        <v>2</v>
      </c>
      <c r="CP161">
        <v>4</v>
      </c>
      <c r="CQ161">
        <v>5</v>
      </c>
      <c r="CR161">
        <v>8</v>
      </c>
      <c r="CS161">
        <v>5</v>
      </c>
      <c r="CT161">
        <v>7</v>
      </c>
      <c r="CU161">
        <v>6</v>
      </c>
      <c r="CV161">
        <v>8</v>
      </c>
      <c r="CW161">
        <v>0</v>
      </c>
      <c r="CX161">
        <v>9</v>
      </c>
      <c r="CY161">
        <v>9</v>
      </c>
      <c r="CZ161">
        <v>4</v>
      </c>
      <c r="DA161">
        <v>7</v>
      </c>
      <c r="DB161">
        <v>5</v>
      </c>
      <c r="DC161">
        <v>2</v>
      </c>
      <c r="DD161">
        <v>7</v>
      </c>
      <c r="DE161">
        <v>8</v>
      </c>
      <c r="DF161">
        <v>10</v>
      </c>
      <c r="DG161">
        <v>1</v>
      </c>
      <c r="DH161">
        <v>6</v>
      </c>
      <c r="DI161">
        <v>10</v>
      </c>
      <c r="DJ161">
        <v>9</v>
      </c>
      <c r="DK161">
        <v>10</v>
      </c>
    </row>
    <row r="162" spans="1:115">
      <c r="A162" s="173">
        <f>Calculations[[#This Row],[Sum t eCO2]]*IF(Calculations[[#This Row],[GHG Scope]]="BIOGENIC",0,1)</f>
        <v>208.829751507</v>
      </c>
      <c r="O162">
        <f t="shared" si="2"/>
        <v>161</v>
      </c>
      <c r="P162">
        <v>0</v>
      </c>
      <c r="Q162">
        <v>4</v>
      </c>
      <c r="R162">
        <v>1</v>
      </c>
      <c r="S162">
        <v>0</v>
      </c>
      <c r="T162">
        <v>0</v>
      </c>
      <c r="U162">
        <v>3</v>
      </c>
      <c r="V162">
        <v>8</v>
      </c>
      <c r="W162">
        <v>3</v>
      </c>
      <c r="X162">
        <v>8</v>
      </c>
      <c r="Y162">
        <v>7</v>
      </c>
      <c r="Z162">
        <v>3</v>
      </c>
      <c r="AA162">
        <v>9</v>
      </c>
      <c r="AB162">
        <v>3</v>
      </c>
      <c r="AC162">
        <v>6</v>
      </c>
      <c r="AD162">
        <v>10</v>
      </c>
      <c r="AE162">
        <v>8</v>
      </c>
      <c r="AF162">
        <v>3</v>
      </c>
      <c r="AG162">
        <v>3</v>
      </c>
      <c r="AH162">
        <v>0</v>
      </c>
      <c r="AI162">
        <v>6</v>
      </c>
      <c r="AJ162">
        <v>9</v>
      </c>
      <c r="AK162">
        <v>8</v>
      </c>
      <c r="AL162">
        <v>5</v>
      </c>
      <c r="AM162">
        <v>10</v>
      </c>
      <c r="AN162">
        <v>6</v>
      </c>
      <c r="AO162">
        <v>3</v>
      </c>
      <c r="AP162">
        <v>10</v>
      </c>
      <c r="AQ162">
        <v>8</v>
      </c>
      <c r="AR162">
        <v>6</v>
      </c>
      <c r="AS162">
        <v>9</v>
      </c>
      <c r="AT162">
        <v>1</v>
      </c>
      <c r="AU162">
        <v>2</v>
      </c>
      <c r="AV162">
        <v>8</v>
      </c>
      <c r="AW162">
        <v>10</v>
      </c>
      <c r="AX162">
        <v>8</v>
      </c>
      <c r="AY162">
        <v>1</v>
      </c>
      <c r="AZ162">
        <v>0</v>
      </c>
      <c r="BA162">
        <v>0</v>
      </c>
      <c r="BB162">
        <v>8</v>
      </c>
      <c r="BC162">
        <v>1</v>
      </c>
      <c r="BD162">
        <v>7</v>
      </c>
      <c r="BE162">
        <v>2</v>
      </c>
      <c r="BF162">
        <v>6</v>
      </c>
      <c r="BG162">
        <v>8</v>
      </c>
      <c r="BH162">
        <v>6</v>
      </c>
      <c r="BI162">
        <v>10</v>
      </c>
      <c r="BJ162">
        <v>0</v>
      </c>
      <c r="BK162">
        <v>2</v>
      </c>
      <c r="BL162">
        <v>7</v>
      </c>
      <c r="BM162">
        <v>0</v>
      </c>
      <c r="BN162">
        <v>0</v>
      </c>
      <c r="BO162">
        <v>6</v>
      </c>
      <c r="BP162">
        <v>7</v>
      </c>
      <c r="BQ162">
        <v>9</v>
      </c>
      <c r="BR162">
        <v>1</v>
      </c>
      <c r="BS162">
        <v>5</v>
      </c>
      <c r="BT162">
        <v>10</v>
      </c>
      <c r="BU162">
        <v>10</v>
      </c>
      <c r="BV162">
        <v>9</v>
      </c>
      <c r="BW162">
        <v>9</v>
      </c>
      <c r="BX162">
        <v>7</v>
      </c>
      <c r="BY162">
        <v>3</v>
      </c>
      <c r="BZ162">
        <v>7</v>
      </c>
      <c r="CA162">
        <v>5</v>
      </c>
      <c r="CB162">
        <v>5</v>
      </c>
      <c r="CC162">
        <v>2</v>
      </c>
      <c r="CD162">
        <v>2</v>
      </c>
      <c r="CE162">
        <v>2</v>
      </c>
      <c r="CF162">
        <v>3</v>
      </c>
      <c r="CG162">
        <v>9</v>
      </c>
      <c r="CH162">
        <v>10</v>
      </c>
      <c r="CI162">
        <v>9</v>
      </c>
      <c r="CJ162">
        <v>7</v>
      </c>
      <c r="CK162">
        <v>4</v>
      </c>
      <c r="CL162">
        <v>5</v>
      </c>
      <c r="CM162">
        <v>2</v>
      </c>
      <c r="CN162">
        <v>0</v>
      </c>
      <c r="CO162">
        <v>3</v>
      </c>
      <c r="CP162">
        <v>1</v>
      </c>
      <c r="CQ162">
        <v>8</v>
      </c>
      <c r="CR162">
        <v>1</v>
      </c>
      <c r="CS162">
        <v>6</v>
      </c>
      <c r="CT162">
        <v>10</v>
      </c>
      <c r="CU162">
        <v>2</v>
      </c>
      <c r="CV162">
        <v>10</v>
      </c>
      <c r="CW162">
        <v>7</v>
      </c>
      <c r="CX162">
        <v>4</v>
      </c>
      <c r="CY162">
        <v>2</v>
      </c>
      <c r="CZ162">
        <v>5</v>
      </c>
      <c r="DA162">
        <v>10</v>
      </c>
      <c r="DB162">
        <v>1</v>
      </c>
      <c r="DC162">
        <v>10</v>
      </c>
      <c r="DD162">
        <v>6</v>
      </c>
      <c r="DE162">
        <v>8</v>
      </c>
      <c r="DF162">
        <v>6</v>
      </c>
      <c r="DG162">
        <v>8</v>
      </c>
      <c r="DH162">
        <v>6</v>
      </c>
      <c r="DI162">
        <v>3</v>
      </c>
      <c r="DJ162">
        <v>1</v>
      </c>
      <c r="DK162">
        <v>0</v>
      </c>
    </row>
    <row r="163" spans="1:115">
      <c r="A163" s="173">
        <f>Calculations[[#This Row],[Sum t eCO2]]*IF(Calculations[[#This Row],[GHG Scope]]="BIOGENIC",0,1)</f>
        <v>0.78910027560000007</v>
      </c>
      <c r="O163">
        <f t="shared" si="2"/>
        <v>162</v>
      </c>
      <c r="P163">
        <v>0</v>
      </c>
      <c r="Q163">
        <v>10</v>
      </c>
      <c r="R163">
        <v>2</v>
      </c>
      <c r="S163">
        <v>2</v>
      </c>
      <c r="T163">
        <v>1</v>
      </c>
      <c r="U163">
        <v>10</v>
      </c>
      <c r="V163">
        <v>3</v>
      </c>
      <c r="W163">
        <v>5</v>
      </c>
      <c r="X163">
        <v>8</v>
      </c>
      <c r="Y163">
        <v>0</v>
      </c>
      <c r="Z163">
        <v>4</v>
      </c>
      <c r="AA163">
        <v>8</v>
      </c>
      <c r="AB163">
        <v>6</v>
      </c>
      <c r="AC163">
        <v>3</v>
      </c>
      <c r="AD163">
        <v>1</v>
      </c>
      <c r="AE163">
        <v>0</v>
      </c>
      <c r="AF163">
        <v>7</v>
      </c>
      <c r="AG163">
        <v>3</v>
      </c>
      <c r="AH163">
        <v>5</v>
      </c>
      <c r="AI163">
        <v>1</v>
      </c>
      <c r="AJ163">
        <v>6</v>
      </c>
      <c r="AK163">
        <v>7</v>
      </c>
      <c r="AL163">
        <v>5</v>
      </c>
      <c r="AM163">
        <v>7</v>
      </c>
      <c r="AN163">
        <v>3</v>
      </c>
      <c r="AO163">
        <v>10</v>
      </c>
      <c r="AP163">
        <v>5</v>
      </c>
      <c r="AQ163">
        <v>5</v>
      </c>
      <c r="AR163">
        <v>2</v>
      </c>
      <c r="AS163">
        <v>3</v>
      </c>
      <c r="AT163">
        <v>1</v>
      </c>
      <c r="AU163">
        <v>0</v>
      </c>
      <c r="AV163">
        <v>9</v>
      </c>
      <c r="AW163">
        <v>1</v>
      </c>
      <c r="AX163">
        <v>0</v>
      </c>
      <c r="AY163">
        <v>1</v>
      </c>
      <c r="AZ163">
        <v>1</v>
      </c>
      <c r="BA163">
        <v>7</v>
      </c>
      <c r="BB163">
        <v>10</v>
      </c>
      <c r="BC163">
        <v>7</v>
      </c>
      <c r="BD163">
        <v>0</v>
      </c>
      <c r="BE163">
        <v>4</v>
      </c>
      <c r="BF163">
        <v>1</v>
      </c>
      <c r="BG163">
        <v>9</v>
      </c>
      <c r="BH163">
        <v>4</v>
      </c>
      <c r="BI163">
        <v>3</v>
      </c>
      <c r="BJ163">
        <v>7</v>
      </c>
      <c r="BK163">
        <v>10</v>
      </c>
      <c r="BL163">
        <v>4</v>
      </c>
      <c r="BM163">
        <v>9</v>
      </c>
      <c r="BN163">
        <v>10</v>
      </c>
      <c r="BO163">
        <v>10</v>
      </c>
      <c r="BP163">
        <v>5</v>
      </c>
      <c r="BQ163">
        <v>7</v>
      </c>
      <c r="BR163">
        <v>1</v>
      </c>
      <c r="BS163">
        <v>3</v>
      </c>
      <c r="BT163">
        <v>7</v>
      </c>
      <c r="BU163">
        <v>10</v>
      </c>
      <c r="BV163">
        <v>9</v>
      </c>
      <c r="BW163">
        <v>5</v>
      </c>
      <c r="BX163">
        <v>1</v>
      </c>
      <c r="BY163">
        <v>1</v>
      </c>
      <c r="BZ163">
        <v>4</v>
      </c>
      <c r="CA163">
        <v>8</v>
      </c>
      <c r="CB163">
        <v>1</v>
      </c>
      <c r="CC163">
        <v>0</v>
      </c>
      <c r="CD163">
        <v>2</v>
      </c>
      <c r="CE163">
        <v>3</v>
      </c>
      <c r="CF163">
        <v>7</v>
      </c>
      <c r="CG163">
        <v>5</v>
      </c>
      <c r="CH163">
        <v>8</v>
      </c>
      <c r="CI163">
        <v>4</v>
      </c>
      <c r="CJ163">
        <v>9</v>
      </c>
      <c r="CK163">
        <v>4</v>
      </c>
      <c r="CL163">
        <v>9</v>
      </c>
      <c r="CM163">
        <v>1</v>
      </c>
      <c r="CN163">
        <v>4</v>
      </c>
      <c r="CO163">
        <v>9</v>
      </c>
      <c r="CP163">
        <v>2</v>
      </c>
      <c r="CQ163">
        <v>8</v>
      </c>
      <c r="CR163">
        <v>1</v>
      </c>
      <c r="CS163">
        <v>4</v>
      </c>
      <c r="CT163">
        <v>4</v>
      </c>
      <c r="CU163">
        <v>4</v>
      </c>
      <c r="CV163">
        <v>10</v>
      </c>
      <c r="CW163">
        <v>2</v>
      </c>
      <c r="CX163">
        <v>0</v>
      </c>
      <c r="CY163">
        <v>6</v>
      </c>
      <c r="CZ163">
        <v>0</v>
      </c>
      <c r="DA163">
        <v>9</v>
      </c>
      <c r="DB163">
        <v>6</v>
      </c>
      <c r="DC163">
        <v>10</v>
      </c>
      <c r="DD163">
        <v>8</v>
      </c>
      <c r="DE163">
        <v>0</v>
      </c>
      <c r="DF163">
        <v>10</v>
      </c>
      <c r="DG163">
        <v>1</v>
      </c>
      <c r="DH163">
        <v>6</v>
      </c>
      <c r="DI163">
        <v>3</v>
      </c>
      <c r="DJ163">
        <v>9</v>
      </c>
      <c r="DK163">
        <v>8</v>
      </c>
    </row>
    <row r="164" spans="1:115">
      <c r="A164" s="173">
        <f>Calculations[[#This Row],[Sum t eCO2]]*IF(Calculations[[#This Row],[GHG Scope]]="BIOGENIC",0,1)</f>
        <v>0.44809622792999998</v>
      </c>
      <c r="O164">
        <f t="shared" si="2"/>
        <v>163</v>
      </c>
      <c r="P164">
        <v>8</v>
      </c>
      <c r="Q164">
        <v>7</v>
      </c>
      <c r="R164">
        <v>4</v>
      </c>
      <c r="S164">
        <v>6</v>
      </c>
      <c r="T164">
        <v>7</v>
      </c>
      <c r="U164">
        <v>6</v>
      </c>
      <c r="V164">
        <v>6</v>
      </c>
      <c r="W164">
        <v>0</v>
      </c>
      <c r="X164">
        <v>8</v>
      </c>
      <c r="Y164">
        <v>8</v>
      </c>
      <c r="Z164">
        <v>2</v>
      </c>
      <c r="AA164">
        <v>3</v>
      </c>
      <c r="AB164">
        <v>10</v>
      </c>
      <c r="AC164">
        <v>1</v>
      </c>
      <c r="AD164">
        <v>0</v>
      </c>
      <c r="AE164">
        <v>10</v>
      </c>
      <c r="AF164">
        <v>2</v>
      </c>
      <c r="AG164">
        <v>0</v>
      </c>
      <c r="AH164">
        <v>4</v>
      </c>
      <c r="AI164">
        <v>8</v>
      </c>
      <c r="AJ164">
        <v>4</v>
      </c>
      <c r="AK164">
        <v>7</v>
      </c>
      <c r="AL164">
        <v>4</v>
      </c>
      <c r="AM164">
        <v>1</v>
      </c>
      <c r="AN164">
        <v>9</v>
      </c>
      <c r="AO164">
        <v>0</v>
      </c>
      <c r="AP164">
        <v>5</v>
      </c>
      <c r="AQ164">
        <v>10</v>
      </c>
      <c r="AR164">
        <v>2</v>
      </c>
      <c r="AS164">
        <v>2</v>
      </c>
      <c r="AT164">
        <v>10</v>
      </c>
      <c r="AU164">
        <v>0</v>
      </c>
      <c r="AV164">
        <v>3</v>
      </c>
      <c r="AW164">
        <v>9</v>
      </c>
      <c r="AX164">
        <v>10</v>
      </c>
      <c r="AY164">
        <v>7</v>
      </c>
      <c r="AZ164">
        <v>9</v>
      </c>
      <c r="BA164">
        <v>4</v>
      </c>
      <c r="BB164">
        <v>5</v>
      </c>
      <c r="BC164">
        <v>6</v>
      </c>
      <c r="BD164">
        <v>9</v>
      </c>
      <c r="BE164">
        <v>1</v>
      </c>
      <c r="BF164">
        <v>7</v>
      </c>
      <c r="BG164">
        <v>3</v>
      </c>
      <c r="BH164">
        <v>5</v>
      </c>
      <c r="BI164">
        <v>6</v>
      </c>
      <c r="BJ164">
        <v>0</v>
      </c>
      <c r="BK164">
        <v>0</v>
      </c>
      <c r="BL164">
        <v>5</v>
      </c>
      <c r="BM164">
        <v>8</v>
      </c>
      <c r="BN164">
        <v>8</v>
      </c>
      <c r="BO164">
        <v>8</v>
      </c>
      <c r="BP164">
        <v>10</v>
      </c>
      <c r="BQ164">
        <v>6</v>
      </c>
      <c r="BR164">
        <v>6</v>
      </c>
      <c r="BS164">
        <v>7</v>
      </c>
      <c r="BT164">
        <v>7</v>
      </c>
      <c r="BU164">
        <v>5</v>
      </c>
      <c r="BV164">
        <v>2</v>
      </c>
      <c r="BW164">
        <v>1</v>
      </c>
      <c r="BX164">
        <v>3</v>
      </c>
      <c r="BY164">
        <v>3</v>
      </c>
      <c r="BZ164">
        <v>8</v>
      </c>
      <c r="CA164">
        <v>3</v>
      </c>
      <c r="CB164">
        <v>9</v>
      </c>
      <c r="CC164">
        <v>10</v>
      </c>
      <c r="CD164">
        <v>10</v>
      </c>
      <c r="CE164">
        <v>7</v>
      </c>
      <c r="CF164">
        <v>2</v>
      </c>
      <c r="CG164">
        <v>6</v>
      </c>
      <c r="CH164">
        <v>7</v>
      </c>
      <c r="CI164">
        <v>3</v>
      </c>
      <c r="CJ164">
        <v>5</v>
      </c>
      <c r="CK164">
        <v>8</v>
      </c>
      <c r="CL164">
        <v>7</v>
      </c>
      <c r="CM164">
        <v>1</v>
      </c>
      <c r="CN164">
        <v>2</v>
      </c>
      <c r="CO164">
        <v>7</v>
      </c>
      <c r="CP164">
        <v>1</v>
      </c>
      <c r="CQ164">
        <v>10</v>
      </c>
      <c r="CR164">
        <v>1</v>
      </c>
      <c r="CS164">
        <v>10</v>
      </c>
      <c r="CT164">
        <v>4</v>
      </c>
      <c r="CU164">
        <v>0</v>
      </c>
      <c r="CV164">
        <v>4</v>
      </c>
      <c r="CW164">
        <v>8</v>
      </c>
      <c r="CX164">
        <v>0</v>
      </c>
      <c r="CY164">
        <v>3</v>
      </c>
      <c r="CZ164">
        <v>4</v>
      </c>
      <c r="DA164">
        <v>4</v>
      </c>
      <c r="DB164">
        <v>9</v>
      </c>
      <c r="DC164">
        <v>8</v>
      </c>
      <c r="DD164">
        <v>2</v>
      </c>
      <c r="DE164">
        <v>10</v>
      </c>
      <c r="DF164">
        <v>3</v>
      </c>
      <c r="DG164">
        <v>0</v>
      </c>
      <c r="DH164">
        <v>0</v>
      </c>
      <c r="DI164">
        <v>5</v>
      </c>
      <c r="DJ164">
        <v>8</v>
      </c>
      <c r="DK164">
        <v>8</v>
      </c>
    </row>
    <row r="165" spans="1:115">
      <c r="A165" s="173">
        <f>Calculations[[#This Row],[Sum t eCO2]]*IF(Calculations[[#This Row],[GHG Scope]]="BIOGENIC",0,1)</f>
        <v>47.319393240000011</v>
      </c>
      <c r="O165">
        <f t="shared" si="2"/>
        <v>164</v>
      </c>
      <c r="P165">
        <v>8</v>
      </c>
      <c r="Q165">
        <v>4</v>
      </c>
      <c r="R165">
        <v>2</v>
      </c>
      <c r="S165">
        <v>9</v>
      </c>
      <c r="T165">
        <v>9</v>
      </c>
      <c r="U165">
        <v>4</v>
      </c>
      <c r="V165">
        <v>5</v>
      </c>
      <c r="W165">
        <v>5</v>
      </c>
      <c r="X165">
        <v>10</v>
      </c>
      <c r="Y165">
        <v>8</v>
      </c>
      <c r="Z165">
        <v>4</v>
      </c>
      <c r="AA165">
        <v>2</v>
      </c>
      <c r="AB165">
        <v>10</v>
      </c>
      <c r="AC165">
        <v>8</v>
      </c>
      <c r="AD165">
        <v>10</v>
      </c>
      <c r="AE165">
        <v>6</v>
      </c>
      <c r="AF165">
        <v>5</v>
      </c>
      <c r="AG165">
        <v>8</v>
      </c>
      <c r="AH165">
        <v>8</v>
      </c>
      <c r="AI165">
        <v>10</v>
      </c>
      <c r="AJ165">
        <v>10</v>
      </c>
      <c r="AK165">
        <v>4</v>
      </c>
      <c r="AL165">
        <v>2</v>
      </c>
      <c r="AM165">
        <v>7</v>
      </c>
      <c r="AN165">
        <v>2</v>
      </c>
      <c r="AO165">
        <v>4</v>
      </c>
      <c r="AP165">
        <v>6</v>
      </c>
      <c r="AQ165">
        <v>3</v>
      </c>
      <c r="AR165">
        <v>3</v>
      </c>
      <c r="AS165">
        <v>5</v>
      </c>
      <c r="AT165">
        <v>0</v>
      </c>
      <c r="AU165">
        <v>0</v>
      </c>
      <c r="AV165">
        <v>4</v>
      </c>
      <c r="AW165">
        <v>6</v>
      </c>
      <c r="AX165">
        <v>0</v>
      </c>
      <c r="AY165">
        <v>0</v>
      </c>
      <c r="AZ165">
        <v>1</v>
      </c>
      <c r="BA165">
        <v>7</v>
      </c>
      <c r="BB165">
        <v>4</v>
      </c>
      <c r="BC165">
        <v>4</v>
      </c>
      <c r="BD165">
        <v>9</v>
      </c>
      <c r="BE165">
        <v>4</v>
      </c>
      <c r="BF165">
        <v>10</v>
      </c>
      <c r="BG165">
        <v>4</v>
      </c>
      <c r="BH165">
        <v>4</v>
      </c>
      <c r="BI165">
        <v>3</v>
      </c>
      <c r="BJ165">
        <v>0</v>
      </c>
      <c r="BK165">
        <v>9</v>
      </c>
      <c r="BL165">
        <v>1</v>
      </c>
      <c r="BM165">
        <v>10</v>
      </c>
      <c r="BN165">
        <v>1</v>
      </c>
      <c r="BO165">
        <v>4</v>
      </c>
      <c r="BP165">
        <v>2</v>
      </c>
      <c r="BQ165">
        <v>8</v>
      </c>
      <c r="BR165">
        <v>5</v>
      </c>
      <c r="BS165">
        <v>2</v>
      </c>
      <c r="BT165">
        <v>1</v>
      </c>
      <c r="BU165">
        <v>1</v>
      </c>
      <c r="BV165">
        <v>5</v>
      </c>
      <c r="BW165">
        <v>10</v>
      </c>
      <c r="BX165">
        <v>0</v>
      </c>
      <c r="BY165">
        <v>3</v>
      </c>
      <c r="BZ165">
        <v>0</v>
      </c>
      <c r="CA165">
        <v>0</v>
      </c>
      <c r="CB165">
        <v>1</v>
      </c>
      <c r="CC165">
        <v>8</v>
      </c>
      <c r="CD165">
        <v>3</v>
      </c>
      <c r="CE165">
        <v>5</v>
      </c>
      <c r="CF165">
        <v>1</v>
      </c>
      <c r="CG165">
        <v>2</v>
      </c>
      <c r="CH165">
        <v>0</v>
      </c>
      <c r="CI165">
        <v>0</v>
      </c>
      <c r="CJ165">
        <v>3</v>
      </c>
      <c r="CK165">
        <v>6</v>
      </c>
      <c r="CL165">
        <v>2</v>
      </c>
      <c r="CM165">
        <v>7</v>
      </c>
      <c r="CN165">
        <v>8</v>
      </c>
      <c r="CO165">
        <v>3</v>
      </c>
      <c r="CP165">
        <v>2</v>
      </c>
      <c r="CQ165">
        <v>1</v>
      </c>
      <c r="CR165">
        <v>5</v>
      </c>
      <c r="CS165">
        <v>1</v>
      </c>
      <c r="CT165">
        <v>1</v>
      </c>
      <c r="CU165">
        <v>9</v>
      </c>
      <c r="CV165">
        <v>5</v>
      </c>
      <c r="CW165">
        <v>0</v>
      </c>
      <c r="CX165">
        <v>8</v>
      </c>
      <c r="CY165">
        <v>1</v>
      </c>
      <c r="CZ165">
        <v>5</v>
      </c>
      <c r="DA165">
        <v>6</v>
      </c>
      <c r="DB165">
        <v>2</v>
      </c>
      <c r="DC165">
        <v>3</v>
      </c>
      <c r="DD165">
        <v>7</v>
      </c>
      <c r="DE165">
        <v>0</v>
      </c>
      <c r="DF165">
        <v>9</v>
      </c>
      <c r="DG165">
        <v>7</v>
      </c>
      <c r="DH165">
        <v>9</v>
      </c>
      <c r="DI165">
        <v>2</v>
      </c>
      <c r="DJ165">
        <v>6</v>
      </c>
      <c r="DK165">
        <v>9</v>
      </c>
    </row>
    <row r="166" spans="1:115">
      <c r="A166" s="173">
        <f>Calculations[[#This Row],[Sum t eCO2]]*IF(Calculations[[#This Row],[GHG Scope]]="BIOGENIC",0,1)</f>
        <v>1.3139115410191853E-2</v>
      </c>
      <c r="O166">
        <f t="shared" si="2"/>
        <v>165</v>
      </c>
      <c r="P166">
        <v>3</v>
      </c>
      <c r="Q166">
        <v>4</v>
      </c>
      <c r="R166">
        <v>7</v>
      </c>
      <c r="S166">
        <v>1</v>
      </c>
      <c r="T166">
        <v>5</v>
      </c>
      <c r="U166">
        <v>0</v>
      </c>
      <c r="V166">
        <v>2</v>
      </c>
      <c r="W166">
        <v>6</v>
      </c>
      <c r="X166">
        <v>8</v>
      </c>
      <c r="Y166">
        <v>5</v>
      </c>
      <c r="Z166">
        <v>3</v>
      </c>
      <c r="AA166">
        <v>1</v>
      </c>
      <c r="AB166">
        <v>10</v>
      </c>
      <c r="AC166">
        <v>2</v>
      </c>
      <c r="AD166">
        <v>2</v>
      </c>
      <c r="AE166">
        <v>3</v>
      </c>
      <c r="AF166">
        <v>3</v>
      </c>
      <c r="AG166">
        <v>6</v>
      </c>
      <c r="AH166">
        <v>4</v>
      </c>
      <c r="AI166">
        <v>6</v>
      </c>
      <c r="AJ166">
        <v>8</v>
      </c>
      <c r="AK166">
        <v>3</v>
      </c>
      <c r="AL166">
        <v>0</v>
      </c>
      <c r="AM166">
        <v>0</v>
      </c>
      <c r="AN166">
        <v>1</v>
      </c>
      <c r="AO166">
        <v>10</v>
      </c>
      <c r="AP166">
        <v>10</v>
      </c>
      <c r="AQ166">
        <v>8</v>
      </c>
      <c r="AR166">
        <v>1</v>
      </c>
      <c r="AS166">
        <v>5</v>
      </c>
      <c r="AT166">
        <v>2</v>
      </c>
      <c r="AU166">
        <v>8</v>
      </c>
      <c r="AV166">
        <v>6</v>
      </c>
      <c r="AW166">
        <v>3</v>
      </c>
      <c r="AX166">
        <v>1</v>
      </c>
      <c r="AY166">
        <v>4</v>
      </c>
      <c r="AZ166">
        <v>5</v>
      </c>
      <c r="BA166">
        <v>5</v>
      </c>
      <c r="BB166">
        <v>0</v>
      </c>
      <c r="BC166">
        <v>9</v>
      </c>
      <c r="BD166">
        <v>10</v>
      </c>
      <c r="BE166">
        <v>5</v>
      </c>
      <c r="BF166">
        <v>4</v>
      </c>
      <c r="BG166">
        <v>1</v>
      </c>
      <c r="BH166">
        <v>8</v>
      </c>
      <c r="BI166">
        <v>7</v>
      </c>
      <c r="BJ166">
        <v>8</v>
      </c>
      <c r="BK166">
        <v>7</v>
      </c>
      <c r="BL166">
        <v>9</v>
      </c>
      <c r="BM166">
        <v>4</v>
      </c>
      <c r="BN166">
        <v>5</v>
      </c>
      <c r="BO166">
        <v>1</v>
      </c>
      <c r="BP166">
        <v>4</v>
      </c>
      <c r="BQ166">
        <v>4</v>
      </c>
      <c r="BR166">
        <v>3</v>
      </c>
      <c r="BS166">
        <v>6</v>
      </c>
      <c r="BT166">
        <v>4</v>
      </c>
      <c r="BU166">
        <v>1</v>
      </c>
      <c r="BV166">
        <v>10</v>
      </c>
      <c r="BW166">
        <v>0</v>
      </c>
      <c r="BX166">
        <v>0</v>
      </c>
      <c r="BY166">
        <v>4</v>
      </c>
      <c r="BZ166">
        <v>2</v>
      </c>
      <c r="CA166">
        <v>10</v>
      </c>
      <c r="CB166">
        <v>3</v>
      </c>
      <c r="CC166">
        <v>3</v>
      </c>
      <c r="CD166">
        <v>8</v>
      </c>
      <c r="CE166">
        <v>6</v>
      </c>
      <c r="CF166">
        <v>4</v>
      </c>
      <c r="CG166">
        <v>2</v>
      </c>
      <c r="CH166">
        <v>0</v>
      </c>
      <c r="CI166">
        <v>5</v>
      </c>
      <c r="CJ166">
        <v>7</v>
      </c>
      <c r="CK166">
        <v>9</v>
      </c>
      <c r="CL166">
        <v>4</v>
      </c>
      <c r="CM166">
        <v>1</v>
      </c>
      <c r="CN166">
        <v>6</v>
      </c>
      <c r="CO166">
        <v>6</v>
      </c>
      <c r="CP166">
        <v>8</v>
      </c>
      <c r="CQ166">
        <v>5</v>
      </c>
      <c r="CR166">
        <v>3</v>
      </c>
      <c r="CS166">
        <v>1</v>
      </c>
      <c r="CT166">
        <v>9</v>
      </c>
      <c r="CU166">
        <v>10</v>
      </c>
      <c r="CV166">
        <v>2</v>
      </c>
      <c r="CW166">
        <v>10</v>
      </c>
      <c r="CX166">
        <v>0</v>
      </c>
      <c r="CY166">
        <v>6</v>
      </c>
      <c r="CZ166">
        <v>4</v>
      </c>
      <c r="DA166">
        <v>1</v>
      </c>
      <c r="DB166">
        <v>6</v>
      </c>
      <c r="DC166">
        <v>10</v>
      </c>
      <c r="DD166">
        <v>7</v>
      </c>
      <c r="DE166">
        <v>5</v>
      </c>
      <c r="DF166">
        <v>0</v>
      </c>
      <c r="DG166">
        <v>9</v>
      </c>
      <c r="DH166">
        <v>4</v>
      </c>
      <c r="DI166">
        <v>5</v>
      </c>
      <c r="DJ166">
        <v>5</v>
      </c>
      <c r="DK166">
        <v>0</v>
      </c>
    </row>
    <row r="167" spans="1:115">
      <c r="A167" s="173">
        <f>Calculations[[#This Row],[Sum t eCO2]]*IF(Calculations[[#This Row],[GHG Scope]]="BIOGENIC",0,1)</f>
        <v>3.2292375300000002E-2</v>
      </c>
      <c r="O167">
        <f t="shared" si="2"/>
        <v>166</v>
      </c>
      <c r="P167">
        <v>2</v>
      </c>
      <c r="Q167">
        <v>0</v>
      </c>
      <c r="R167">
        <v>5</v>
      </c>
      <c r="S167">
        <v>10</v>
      </c>
      <c r="T167">
        <v>4</v>
      </c>
      <c r="U167">
        <v>10</v>
      </c>
      <c r="V167">
        <v>2</v>
      </c>
      <c r="W167">
        <v>8</v>
      </c>
      <c r="X167">
        <v>1</v>
      </c>
      <c r="Y167">
        <v>7</v>
      </c>
      <c r="Z167">
        <v>4</v>
      </c>
      <c r="AA167">
        <v>0</v>
      </c>
      <c r="AB167">
        <v>10</v>
      </c>
      <c r="AC167">
        <v>0</v>
      </c>
      <c r="AD167">
        <v>3</v>
      </c>
      <c r="AE167">
        <v>0</v>
      </c>
      <c r="AF167">
        <v>10</v>
      </c>
      <c r="AG167">
        <v>0</v>
      </c>
      <c r="AH167">
        <v>5</v>
      </c>
      <c r="AI167">
        <v>4</v>
      </c>
      <c r="AJ167">
        <v>6</v>
      </c>
      <c r="AK167">
        <v>5</v>
      </c>
      <c r="AL167">
        <v>2</v>
      </c>
      <c r="AM167">
        <v>1</v>
      </c>
      <c r="AN167">
        <v>0</v>
      </c>
      <c r="AO167">
        <v>0</v>
      </c>
      <c r="AP167">
        <v>1</v>
      </c>
      <c r="AQ167">
        <v>3</v>
      </c>
      <c r="AR167">
        <v>5</v>
      </c>
      <c r="AS167">
        <v>0</v>
      </c>
      <c r="AT167">
        <v>5</v>
      </c>
      <c r="AU167">
        <v>8</v>
      </c>
      <c r="AV167">
        <v>8</v>
      </c>
      <c r="AW167">
        <v>2</v>
      </c>
      <c r="AX167">
        <v>5</v>
      </c>
      <c r="AY167">
        <v>9</v>
      </c>
      <c r="AZ167">
        <v>10</v>
      </c>
      <c r="BA167">
        <v>6</v>
      </c>
      <c r="BB167">
        <v>2</v>
      </c>
      <c r="BC167">
        <v>0</v>
      </c>
      <c r="BD167">
        <v>9</v>
      </c>
      <c r="BE167">
        <v>0</v>
      </c>
      <c r="BF167">
        <v>6</v>
      </c>
      <c r="BG167">
        <v>7</v>
      </c>
      <c r="BH167">
        <v>4</v>
      </c>
      <c r="BI167">
        <v>3</v>
      </c>
      <c r="BJ167">
        <v>7</v>
      </c>
      <c r="BK167">
        <v>2</v>
      </c>
      <c r="BL167">
        <v>0</v>
      </c>
      <c r="BM167">
        <v>0</v>
      </c>
      <c r="BN167">
        <v>7</v>
      </c>
      <c r="BO167">
        <v>6</v>
      </c>
      <c r="BP167">
        <v>0</v>
      </c>
      <c r="BQ167">
        <v>6</v>
      </c>
      <c r="BR167">
        <v>2</v>
      </c>
      <c r="BS167">
        <v>5</v>
      </c>
      <c r="BT167">
        <v>4</v>
      </c>
      <c r="BU167">
        <v>5</v>
      </c>
      <c r="BV167">
        <v>9</v>
      </c>
      <c r="BW167">
        <v>9</v>
      </c>
      <c r="BX167">
        <v>8</v>
      </c>
      <c r="BY167">
        <v>5</v>
      </c>
      <c r="BZ167">
        <v>2</v>
      </c>
      <c r="CA167">
        <v>7</v>
      </c>
      <c r="CB167">
        <v>6</v>
      </c>
      <c r="CC167">
        <v>3</v>
      </c>
      <c r="CD167">
        <v>8</v>
      </c>
      <c r="CE167">
        <v>3</v>
      </c>
      <c r="CF167">
        <v>6</v>
      </c>
      <c r="CG167">
        <v>1</v>
      </c>
      <c r="CH167">
        <v>3</v>
      </c>
      <c r="CI167">
        <v>8</v>
      </c>
      <c r="CJ167">
        <v>3</v>
      </c>
      <c r="CK167">
        <v>1</v>
      </c>
      <c r="CL167">
        <v>4</v>
      </c>
      <c r="CM167">
        <v>2</v>
      </c>
      <c r="CN167">
        <v>6</v>
      </c>
      <c r="CO167">
        <v>9</v>
      </c>
      <c r="CP167">
        <v>8</v>
      </c>
      <c r="CQ167">
        <v>9</v>
      </c>
      <c r="CR167">
        <v>2</v>
      </c>
      <c r="CS167">
        <v>5</v>
      </c>
      <c r="CT167">
        <v>5</v>
      </c>
      <c r="CU167">
        <v>10</v>
      </c>
      <c r="CV167">
        <v>10</v>
      </c>
      <c r="CW167">
        <v>9</v>
      </c>
      <c r="CX167">
        <v>8</v>
      </c>
      <c r="CY167">
        <v>3</v>
      </c>
      <c r="CZ167">
        <v>5</v>
      </c>
      <c r="DA167">
        <v>4</v>
      </c>
      <c r="DB167">
        <v>5</v>
      </c>
      <c r="DC167">
        <v>2</v>
      </c>
      <c r="DD167">
        <v>9</v>
      </c>
      <c r="DE167">
        <v>3</v>
      </c>
      <c r="DF167">
        <v>3</v>
      </c>
      <c r="DG167">
        <v>6</v>
      </c>
      <c r="DH167">
        <v>10</v>
      </c>
      <c r="DI167">
        <v>8</v>
      </c>
      <c r="DJ167">
        <v>4</v>
      </c>
      <c r="DK167">
        <v>7</v>
      </c>
    </row>
    <row r="168" spans="1:115">
      <c r="A168" s="173">
        <f>Calculations[[#This Row],[Sum t eCO2]]*IF(Calculations[[#This Row],[GHG Scope]]="BIOGENIC",0,1)</f>
        <v>133.63785307530003</v>
      </c>
      <c r="O168">
        <f t="shared" si="2"/>
        <v>167</v>
      </c>
      <c r="P168">
        <v>5</v>
      </c>
      <c r="Q168">
        <v>7</v>
      </c>
      <c r="R168">
        <v>5</v>
      </c>
      <c r="S168">
        <v>10</v>
      </c>
      <c r="T168">
        <v>8</v>
      </c>
      <c r="U168">
        <v>1</v>
      </c>
      <c r="V168">
        <v>0</v>
      </c>
      <c r="W168">
        <v>3</v>
      </c>
      <c r="X168">
        <v>6</v>
      </c>
      <c r="Y168">
        <v>0</v>
      </c>
      <c r="Z168">
        <v>4</v>
      </c>
      <c r="AA168">
        <v>2</v>
      </c>
      <c r="AB168">
        <v>10</v>
      </c>
      <c r="AC168">
        <v>7</v>
      </c>
      <c r="AD168">
        <v>0</v>
      </c>
      <c r="AE168">
        <v>2</v>
      </c>
      <c r="AF168">
        <v>4</v>
      </c>
      <c r="AG168">
        <v>9</v>
      </c>
      <c r="AH168">
        <v>6</v>
      </c>
      <c r="AI168">
        <v>5</v>
      </c>
      <c r="AJ168">
        <v>8</v>
      </c>
      <c r="AK168">
        <v>1</v>
      </c>
      <c r="AL168">
        <v>0</v>
      </c>
      <c r="AM168">
        <v>8</v>
      </c>
      <c r="AN168">
        <v>7</v>
      </c>
      <c r="AO168">
        <v>0</v>
      </c>
      <c r="AP168">
        <v>8</v>
      </c>
      <c r="AQ168">
        <v>3</v>
      </c>
      <c r="AR168">
        <v>8</v>
      </c>
      <c r="AS168">
        <v>2</v>
      </c>
      <c r="AT168">
        <v>5</v>
      </c>
      <c r="AU168">
        <v>0</v>
      </c>
      <c r="AV168">
        <v>3</v>
      </c>
      <c r="AW168">
        <v>2</v>
      </c>
      <c r="AX168">
        <v>7</v>
      </c>
      <c r="AY168">
        <v>6</v>
      </c>
      <c r="AZ168">
        <v>1</v>
      </c>
      <c r="BA168">
        <v>3</v>
      </c>
      <c r="BB168">
        <v>3</v>
      </c>
      <c r="BC168">
        <v>3</v>
      </c>
      <c r="BD168">
        <v>0</v>
      </c>
      <c r="BE168">
        <v>9</v>
      </c>
      <c r="BF168">
        <v>10</v>
      </c>
      <c r="BG168">
        <v>0</v>
      </c>
      <c r="BH168">
        <v>10</v>
      </c>
      <c r="BI168">
        <v>0</v>
      </c>
      <c r="BJ168">
        <v>9</v>
      </c>
      <c r="BK168">
        <v>3</v>
      </c>
      <c r="BL168">
        <v>4</v>
      </c>
      <c r="BM168">
        <v>4</v>
      </c>
      <c r="BN168">
        <v>3</v>
      </c>
      <c r="BO168">
        <v>7</v>
      </c>
      <c r="BP168">
        <v>0</v>
      </c>
      <c r="BQ168">
        <v>2</v>
      </c>
      <c r="BR168">
        <v>5</v>
      </c>
      <c r="BS168">
        <v>9</v>
      </c>
      <c r="BT168">
        <v>6</v>
      </c>
      <c r="BU168">
        <v>10</v>
      </c>
      <c r="BV168">
        <v>2</v>
      </c>
      <c r="BW168">
        <v>0</v>
      </c>
      <c r="BX168">
        <v>0</v>
      </c>
      <c r="BY168">
        <v>2</v>
      </c>
      <c r="BZ168">
        <v>8</v>
      </c>
      <c r="CA168">
        <v>0</v>
      </c>
      <c r="CB168">
        <v>10</v>
      </c>
      <c r="CC168">
        <v>8</v>
      </c>
      <c r="CD168">
        <v>2</v>
      </c>
      <c r="CE168">
        <v>7</v>
      </c>
      <c r="CF168">
        <v>9</v>
      </c>
      <c r="CG168">
        <v>8</v>
      </c>
      <c r="CH168">
        <v>8</v>
      </c>
      <c r="CI168">
        <v>10</v>
      </c>
      <c r="CJ168">
        <v>7</v>
      </c>
      <c r="CK168">
        <v>1</v>
      </c>
      <c r="CL168">
        <v>7</v>
      </c>
      <c r="CM168">
        <v>3</v>
      </c>
      <c r="CN168">
        <v>3</v>
      </c>
      <c r="CO168">
        <v>7</v>
      </c>
      <c r="CP168">
        <v>2</v>
      </c>
      <c r="CQ168">
        <v>0</v>
      </c>
      <c r="CR168">
        <v>1</v>
      </c>
      <c r="CS168">
        <v>4</v>
      </c>
      <c r="CT168">
        <v>1</v>
      </c>
      <c r="CU168">
        <v>10</v>
      </c>
      <c r="CV168">
        <v>3</v>
      </c>
      <c r="CW168">
        <v>2</v>
      </c>
      <c r="CX168">
        <v>0</v>
      </c>
      <c r="CY168">
        <v>2</v>
      </c>
      <c r="CZ168">
        <v>9</v>
      </c>
      <c r="DA168">
        <v>5</v>
      </c>
      <c r="DB168">
        <v>7</v>
      </c>
      <c r="DC168">
        <v>3</v>
      </c>
      <c r="DD168">
        <v>10</v>
      </c>
      <c r="DE168">
        <v>4</v>
      </c>
      <c r="DF168">
        <v>4</v>
      </c>
      <c r="DG168">
        <v>8</v>
      </c>
      <c r="DH168">
        <v>8</v>
      </c>
      <c r="DI168">
        <v>7</v>
      </c>
      <c r="DJ168">
        <v>9</v>
      </c>
      <c r="DK168">
        <v>0</v>
      </c>
    </row>
    <row r="169" spans="1:115">
      <c r="A169" s="173">
        <f>Calculations[[#This Row],[Sum t eCO2]]*IF(Calculations[[#This Row],[GHG Scope]]="BIOGENIC",0,1)</f>
        <v>3.7107051770950153E-2</v>
      </c>
      <c r="O169">
        <f t="shared" si="2"/>
        <v>168</v>
      </c>
      <c r="P169">
        <v>6</v>
      </c>
      <c r="Q169">
        <v>7</v>
      </c>
      <c r="R169">
        <v>9</v>
      </c>
      <c r="S169">
        <v>0</v>
      </c>
      <c r="T169">
        <v>7</v>
      </c>
      <c r="U169">
        <v>2</v>
      </c>
      <c r="V169">
        <v>3</v>
      </c>
      <c r="W169">
        <v>6</v>
      </c>
      <c r="X169">
        <v>7</v>
      </c>
      <c r="Y169">
        <v>9</v>
      </c>
      <c r="Z169">
        <v>9</v>
      </c>
      <c r="AA169">
        <v>10</v>
      </c>
      <c r="AB169">
        <v>1</v>
      </c>
      <c r="AC169">
        <v>6</v>
      </c>
      <c r="AD169">
        <v>9</v>
      </c>
      <c r="AE169">
        <v>9</v>
      </c>
      <c r="AF169">
        <v>8</v>
      </c>
      <c r="AG169">
        <v>3</v>
      </c>
      <c r="AH169">
        <v>4</v>
      </c>
      <c r="AI169">
        <v>9</v>
      </c>
      <c r="AJ169">
        <v>7</v>
      </c>
      <c r="AK169">
        <v>2</v>
      </c>
      <c r="AL169">
        <v>2</v>
      </c>
      <c r="AM169">
        <v>3</v>
      </c>
      <c r="AN169">
        <v>1</v>
      </c>
      <c r="AO169">
        <v>5</v>
      </c>
      <c r="AP169">
        <v>10</v>
      </c>
      <c r="AQ169">
        <v>8</v>
      </c>
      <c r="AR169">
        <v>2</v>
      </c>
      <c r="AS169">
        <v>2</v>
      </c>
      <c r="AT169">
        <v>5</v>
      </c>
      <c r="AU169">
        <v>9</v>
      </c>
      <c r="AV169">
        <v>10</v>
      </c>
      <c r="AW169">
        <v>6</v>
      </c>
      <c r="AX169">
        <v>7</v>
      </c>
      <c r="AY169">
        <v>8</v>
      </c>
      <c r="AZ169">
        <v>10</v>
      </c>
      <c r="BA169">
        <v>4</v>
      </c>
      <c r="BB169">
        <v>4</v>
      </c>
      <c r="BC169">
        <v>2</v>
      </c>
      <c r="BD169">
        <v>2</v>
      </c>
      <c r="BE169">
        <v>9</v>
      </c>
      <c r="BF169">
        <v>9</v>
      </c>
      <c r="BG169">
        <v>9</v>
      </c>
      <c r="BH169">
        <v>5</v>
      </c>
      <c r="BI169">
        <v>9</v>
      </c>
      <c r="BJ169">
        <v>8</v>
      </c>
      <c r="BK169">
        <v>7</v>
      </c>
      <c r="BL169">
        <v>5</v>
      </c>
      <c r="BM169">
        <v>9</v>
      </c>
      <c r="BN169">
        <v>6</v>
      </c>
      <c r="BO169">
        <v>8</v>
      </c>
      <c r="BP169">
        <v>2</v>
      </c>
      <c r="BQ169">
        <v>1</v>
      </c>
      <c r="BR169">
        <v>3</v>
      </c>
      <c r="BS169">
        <v>6</v>
      </c>
      <c r="BT169">
        <v>0</v>
      </c>
      <c r="BU169">
        <v>7</v>
      </c>
      <c r="BV169">
        <v>5</v>
      </c>
      <c r="BW169">
        <v>6</v>
      </c>
      <c r="BX169">
        <v>10</v>
      </c>
      <c r="BY169">
        <v>3</v>
      </c>
      <c r="BZ169">
        <v>6</v>
      </c>
      <c r="CA169">
        <v>10</v>
      </c>
      <c r="CB169">
        <v>0</v>
      </c>
      <c r="CC169">
        <v>0</v>
      </c>
      <c r="CD169">
        <v>7</v>
      </c>
      <c r="CE169">
        <v>6</v>
      </c>
      <c r="CF169">
        <v>5</v>
      </c>
      <c r="CG169">
        <v>10</v>
      </c>
      <c r="CH169">
        <v>2</v>
      </c>
      <c r="CI169">
        <v>1</v>
      </c>
      <c r="CJ169">
        <v>4</v>
      </c>
      <c r="CK169">
        <v>4</v>
      </c>
      <c r="CL169">
        <v>4</v>
      </c>
      <c r="CM169">
        <v>0</v>
      </c>
      <c r="CN169">
        <v>10</v>
      </c>
      <c r="CO169">
        <v>1</v>
      </c>
      <c r="CP169">
        <v>8</v>
      </c>
      <c r="CQ169">
        <v>4</v>
      </c>
      <c r="CR169">
        <v>7</v>
      </c>
      <c r="CS169">
        <v>2</v>
      </c>
      <c r="CT169">
        <v>6</v>
      </c>
      <c r="CU169">
        <v>9</v>
      </c>
      <c r="CV169">
        <v>9</v>
      </c>
      <c r="CW169">
        <v>5</v>
      </c>
      <c r="CX169">
        <v>10</v>
      </c>
      <c r="CY169">
        <v>7</v>
      </c>
      <c r="CZ169">
        <v>7</v>
      </c>
      <c r="DA169">
        <v>0</v>
      </c>
      <c r="DB169">
        <v>0</v>
      </c>
      <c r="DC169">
        <v>5</v>
      </c>
      <c r="DD169">
        <v>10</v>
      </c>
      <c r="DE169">
        <v>5</v>
      </c>
      <c r="DF169">
        <v>2</v>
      </c>
      <c r="DG169">
        <v>6</v>
      </c>
      <c r="DH169">
        <v>4</v>
      </c>
      <c r="DI169">
        <v>6</v>
      </c>
      <c r="DJ169">
        <v>1</v>
      </c>
      <c r="DK169">
        <v>8</v>
      </c>
    </row>
    <row r="170" spans="1:115">
      <c r="A170" s="173">
        <f>Calculations[[#This Row],[Sum t eCO2]]*IF(Calculations[[#This Row],[GHG Scope]]="BIOGENIC",0,1)</f>
        <v>9.1199049909750016E-2</v>
      </c>
      <c r="O170">
        <f t="shared" si="2"/>
        <v>169</v>
      </c>
      <c r="P170">
        <v>10</v>
      </c>
      <c r="Q170">
        <v>10</v>
      </c>
      <c r="R170">
        <v>7</v>
      </c>
      <c r="S170">
        <v>1</v>
      </c>
      <c r="T170">
        <v>9</v>
      </c>
      <c r="U170">
        <v>1</v>
      </c>
      <c r="V170">
        <v>6</v>
      </c>
      <c r="W170">
        <v>1</v>
      </c>
      <c r="X170">
        <v>1</v>
      </c>
      <c r="Y170">
        <v>2</v>
      </c>
      <c r="Z170">
        <v>5</v>
      </c>
      <c r="AA170">
        <v>0</v>
      </c>
      <c r="AB170">
        <v>10</v>
      </c>
      <c r="AC170">
        <v>5</v>
      </c>
      <c r="AD170">
        <v>6</v>
      </c>
      <c r="AE170">
        <v>0</v>
      </c>
      <c r="AF170">
        <v>10</v>
      </c>
      <c r="AG170">
        <v>0</v>
      </c>
      <c r="AH170">
        <v>9</v>
      </c>
      <c r="AI170">
        <v>0</v>
      </c>
      <c r="AJ170">
        <v>7</v>
      </c>
      <c r="AK170">
        <v>8</v>
      </c>
      <c r="AL170">
        <v>8</v>
      </c>
      <c r="AM170">
        <v>4</v>
      </c>
      <c r="AN170">
        <v>2</v>
      </c>
      <c r="AO170">
        <v>6</v>
      </c>
      <c r="AP170">
        <v>5</v>
      </c>
      <c r="AQ170">
        <v>9</v>
      </c>
      <c r="AR170">
        <v>6</v>
      </c>
      <c r="AS170">
        <v>1</v>
      </c>
      <c r="AT170">
        <v>7</v>
      </c>
      <c r="AU170">
        <v>5</v>
      </c>
      <c r="AV170">
        <v>10</v>
      </c>
      <c r="AW170">
        <v>3</v>
      </c>
      <c r="AX170">
        <v>7</v>
      </c>
      <c r="AY170">
        <v>7</v>
      </c>
      <c r="AZ170">
        <v>8</v>
      </c>
      <c r="BA170">
        <v>3</v>
      </c>
      <c r="BB170">
        <v>4</v>
      </c>
      <c r="BC170">
        <v>6</v>
      </c>
      <c r="BD170">
        <v>9</v>
      </c>
      <c r="BE170">
        <v>6</v>
      </c>
      <c r="BF170">
        <v>9</v>
      </c>
      <c r="BG170">
        <v>8</v>
      </c>
      <c r="BH170">
        <v>7</v>
      </c>
      <c r="BI170">
        <v>10</v>
      </c>
      <c r="BJ170">
        <v>4</v>
      </c>
      <c r="BK170">
        <v>7</v>
      </c>
      <c r="BL170">
        <v>5</v>
      </c>
      <c r="BM170">
        <v>0</v>
      </c>
      <c r="BN170">
        <v>9</v>
      </c>
      <c r="BO170">
        <v>3</v>
      </c>
      <c r="BP170">
        <v>2</v>
      </c>
      <c r="BQ170">
        <v>1</v>
      </c>
      <c r="BR170">
        <v>4</v>
      </c>
      <c r="BS170">
        <v>2</v>
      </c>
      <c r="BT170">
        <v>6</v>
      </c>
      <c r="BU170">
        <v>1</v>
      </c>
      <c r="BV170">
        <v>4</v>
      </c>
      <c r="BW170">
        <v>2</v>
      </c>
      <c r="BX170">
        <v>2</v>
      </c>
      <c r="BY170">
        <v>9</v>
      </c>
      <c r="BZ170">
        <v>7</v>
      </c>
      <c r="CA170">
        <v>1</v>
      </c>
      <c r="CB170">
        <v>9</v>
      </c>
      <c r="CC170">
        <v>9</v>
      </c>
      <c r="CD170">
        <v>0</v>
      </c>
      <c r="CE170">
        <v>5</v>
      </c>
      <c r="CF170">
        <v>0</v>
      </c>
      <c r="CG170">
        <v>0</v>
      </c>
      <c r="CH170">
        <v>2</v>
      </c>
      <c r="CI170">
        <v>9</v>
      </c>
      <c r="CJ170">
        <v>3</v>
      </c>
      <c r="CK170">
        <v>10</v>
      </c>
      <c r="CL170">
        <v>10</v>
      </c>
      <c r="CM170">
        <v>3</v>
      </c>
      <c r="CN170">
        <v>3</v>
      </c>
      <c r="CO170">
        <v>3</v>
      </c>
      <c r="CP170">
        <v>6</v>
      </c>
      <c r="CQ170">
        <v>0</v>
      </c>
      <c r="CR170">
        <v>9</v>
      </c>
      <c r="CS170">
        <v>8</v>
      </c>
      <c r="CT170">
        <v>2</v>
      </c>
      <c r="CU170">
        <v>6</v>
      </c>
      <c r="CV170">
        <v>1</v>
      </c>
      <c r="CW170">
        <v>7</v>
      </c>
      <c r="CX170">
        <v>9</v>
      </c>
      <c r="CY170">
        <v>7</v>
      </c>
      <c r="CZ170">
        <v>5</v>
      </c>
      <c r="DA170">
        <v>10</v>
      </c>
      <c r="DB170">
        <v>1</v>
      </c>
      <c r="DC170">
        <v>8</v>
      </c>
      <c r="DD170">
        <v>5</v>
      </c>
      <c r="DE170">
        <v>9</v>
      </c>
      <c r="DF170">
        <v>1</v>
      </c>
      <c r="DG170">
        <v>8</v>
      </c>
      <c r="DH170">
        <v>5</v>
      </c>
      <c r="DI170">
        <v>8</v>
      </c>
      <c r="DJ170">
        <v>7</v>
      </c>
      <c r="DK170">
        <v>7</v>
      </c>
    </row>
    <row r="171" spans="1:115">
      <c r="A171" s="173">
        <f>Calculations[[#This Row],[Sum t eCO2]]*IF(Calculations[[#This Row],[GHG Scope]]="BIOGENIC",0,1)</f>
        <v>10.849504782940349</v>
      </c>
      <c r="O171">
        <f t="shared" si="2"/>
        <v>170</v>
      </c>
      <c r="P171">
        <v>7</v>
      </c>
      <c r="Q171">
        <v>7</v>
      </c>
      <c r="R171">
        <v>1</v>
      </c>
      <c r="S171">
        <v>2</v>
      </c>
      <c r="T171">
        <v>8</v>
      </c>
      <c r="U171">
        <v>7</v>
      </c>
      <c r="V171">
        <v>8</v>
      </c>
      <c r="W171">
        <v>7</v>
      </c>
      <c r="X171">
        <v>10</v>
      </c>
      <c r="Y171">
        <v>9</v>
      </c>
      <c r="Z171">
        <v>2</v>
      </c>
      <c r="AA171">
        <v>10</v>
      </c>
      <c r="AB171">
        <v>1</v>
      </c>
      <c r="AC171">
        <v>5</v>
      </c>
      <c r="AD171">
        <v>2</v>
      </c>
      <c r="AE171">
        <v>9</v>
      </c>
      <c r="AF171">
        <v>3</v>
      </c>
      <c r="AG171">
        <v>9</v>
      </c>
      <c r="AH171">
        <v>6</v>
      </c>
      <c r="AI171">
        <v>5</v>
      </c>
      <c r="AJ171">
        <v>5</v>
      </c>
      <c r="AK171">
        <v>1</v>
      </c>
      <c r="AL171">
        <v>8</v>
      </c>
      <c r="AM171">
        <v>3</v>
      </c>
      <c r="AN171">
        <v>3</v>
      </c>
      <c r="AO171">
        <v>0</v>
      </c>
      <c r="AP171">
        <v>6</v>
      </c>
      <c r="AQ171">
        <v>8</v>
      </c>
      <c r="AR171">
        <v>4</v>
      </c>
      <c r="AS171">
        <v>8</v>
      </c>
      <c r="AT171">
        <v>3</v>
      </c>
      <c r="AU171">
        <v>4</v>
      </c>
      <c r="AV171">
        <v>1</v>
      </c>
      <c r="AW171">
        <v>10</v>
      </c>
      <c r="AX171">
        <v>2</v>
      </c>
      <c r="AY171">
        <v>10</v>
      </c>
      <c r="AZ171">
        <v>1</v>
      </c>
      <c r="BA171">
        <v>7</v>
      </c>
      <c r="BB171">
        <v>5</v>
      </c>
      <c r="BC171">
        <v>9</v>
      </c>
      <c r="BD171">
        <v>3</v>
      </c>
      <c r="BE171">
        <v>3</v>
      </c>
      <c r="BF171">
        <v>4</v>
      </c>
      <c r="BG171">
        <v>6</v>
      </c>
      <c r="BH171">
        <v>2</v>
      </c>
      <c r="BI171">
        <v>2</v>
      </c>
      <c r="BJ171">
        <v>3</v>
      </c>
      <c r="BK171">
        <v>10</v>
      </c>
      <c r="BL171">
        <v>2</v>
      </c>
      <c r="BM171">
        <v>10</v>
      </c>
      <c r="BN171">
        <v>0</v>
      </c>
      <c r="BO171">
        <v>9</v>
      </c>
      <c r="BP171">
        <v>10</v>
      </c>
      <c r="BQ171">
        <v>3</v>
      </c>
      <c r="BR171">
        <v>9</v>
      </c>
      <c r="BS171">
        <v>7</v>
      </c>
      <c r="BT171">
        <v>5</v>
      </c>
      <c r="BU171">
        <v>2</v>
      </c>
      <c r="BV171">
        <v>4</v>
      </c>
      <c r="BW171">
        <v>2</v>
      </c>
      <c r="BX171">
        <v>2</v>
      </c>
      <c r="BY171">
        <v>10</v>
      </c>
      <c r="BZ171">
        <v>2</v>
      </c>
      <c r="CA171">
        <v>8</v>
      </c>
      <c r="CB171">
        <v>5</v>
      </c>
      <c r="CC171">
        <v>2</v>
      </c>
      <c r="CD171">
        <v>5</v>
      </c>
      <c r="CE171">
        <v>5</v>
      </c>
      <c r="CF171">
        <v>4</v>
      </c>
      <c r="CG171">
        <v>2</v>
      </c>
      <c r="CH171">
        <v>4</v>
      </c>
      <c r="CI171">
        <v>3</v>
      </c>
      <c r="CJ171">
        <v>2</v>
      </c>
      <c r="CK171">
        <v>5</v>
      </c>
      <c r="CL171">
        <v>7</v>
      </c>
      <c r="CM171">
        <v>7</v>
      </c>
      <c r="CN171">
        <v>4</v>
      </c>
      <c r="CO171">
        <v>8</v>
      </c>
      <c r="CP171">
        <v>6</v>
      </c>
      <c r="CQ171">
        <v>0</v>
      </c>
      <c r="CR171">
        <v>4</v>
      </c>
      <c r="CS171">
        <v>8</v>
      </c>
      <c r="CT171">
        <v>3</v>
      </c>
      <c r="CU171">
        <v>3</v>
      </c>
      <c r="CV171">
        <v>6</v>
      </c>
      <c r="CW171">
        <v>1</v>
      </c>
      <c r="CX171">
        <v>0</v>
      </c>
      <c r="CY171">
        <v>1</v>
      </c>
      <c r="CZ171">
        <v>2</v>
      </c>
      <c r="DA171">
        <v>4</v>
      </c>
      <c r="DB171">
        <v>9</v>
      </c>
      <c r="DC171">
        <v>6</v>
      </c>
      <c r="DD171">
        <v>5</v>
      </c>
      <c r="DE171">
        <v>0</v>
      </c>
      <c r="DF171">
        <v>9</v>
      </c>
      <c r="DG171">
        <v>5</v>
      </c>
      <c r="DH171">
        <v>5</v>
      </c>
      <c r="DI171">
        <v>4</v>
      </c>
      <c r="DJ171">
        <v>6</v>
      </c>
      <c r="DK171">
        <v>7</v>
      </c>
    </row>
    <row r="172" spans="1:115">
      <c r="A172" s="173">
        <f>Calculations[[#This Row],[Sum t eCO2]]*IF(Calculations[[#This Row],[GHG Scope]]="BIOGENIC",0,1)</f>
        <v>5.4564191095164763E-3</v>
      </c>
      <c r="O172">
        <f t="shared" si="2"/>
        <v>171</v>
      </c>
      <c r="P172">
        <v>7</v>
      </c>
      <c r="Q172">
        <v>7</v>
      </c>
      <c r="R172">
        <v>6</v>
      </c>
      <c r="S172">
        <v>7</v>
      </c>
      <c r="T172">
        <v>9</v>
      </c>
      <c r="U172">
        <v>2</v>
      </c>
      <c r="V172">
        <v>3</v>
      </c>
      <c r="W172">
        <v>7</v>
      </c>
      <c r="X172">
        <v>1</v>
      </c>
      <c r="Y172">
        <v>3</v>
      </c>
      <c r="Z172">
        <v>0</v>
      </c>
      <c r="AA172">
        <v>3</v>
      </c>
      <c r="AB172">
        <v>3</v>
      </c>
      <c r="AC172">
        <v>5</v>
      </c>
      <c r="AD172">
        <v>2</v>
      </c>
      <c r="AE172">
        <v>0</v>
      </c>
      <c r="AF172">
        <v>0</v>
      </c>
      <c r="AG172">
        <v>6</v>
      </c>
      <c r="AH172">
        <v>4</v>
      </c>
      <c r="AI172">
        <v>10</v>
      </c>
      <c r="AJ172">
        <v>0</v>
      </c>
      <c r="AK172">
        <v>7</v>
      </c>
      <c r="AL172">
        <v>0</v>
      </c>
      <c r="AM172">
        <v>2</v>
      </c>
      <c r="AN172">
        <v>8</v>
      </c>
      <c r="AO172">
        <v>2</v>
      </c>
      <c r="AP172">
        <v>10</v>
      </c>
      <c r="AQ172">
        <v>2</v>
      </c>
      <c r="AR172">
        <v>3</v>
      </c>
      <c r="AS172">
        <v>2</v>
      </c>
      <c r="AT172">
        <v>10</v>
      </c>
      <c r="AU172">
        <v>3</v>
      </c>
      <c r="AV172">
        <v>1</v>
      </c>
      <c r="AW172">
        <v>3</v>
      </c>
      <c r="AX172">
        <v>3</v>
      </c>
      <c r="AY172">
        <v>3</v>
      </c>
      <c r="AZ172">
        <v>9</v>
      </c>
      <c r="BA172">
        <v>6</v>
      </c>
      <c r="BB172">
        <v>5</v>
      </c>
      <c r="BC172">
        <v>10</v>
      </c>
      <c r="BD172">
        <v>6</v>
      </c>
      <c r="BE172">
        <v>9</v>
      </c>
      <c r="BF172">
        <v>6</v>
      </c>
      <c r="BG172">
        <v>9</v>
      </c>
      <c r="BH172">
        <v>4</v>
      </c>
      <c r="BI172">
        <v>8</v>
      </c>
      <c r="BJ172">
        <v>2</v>
      </c>
      <c r="BK172">
        <v>6</v>
      </c>
      <c r="BL172">
        <v>2</v>
      </c>
      <c r="BM172">
        <v>0</v>
      </c>
      <c r="BN172">
        <v>4</v>
      </c>
      <c r="BO172">
        <v>6</v>
      </c>
      <c r="BP172">
        <v>4</v>
      </c>
      <c r="BQ172">
        <v>8</v>
      </c>
      <c r="BR172">
        <v>4</v>
      </c>
      <c r="BS172">
        <v>7</v>
      </c>
      <c r="BT172">
        <v>8</v>
      </c>
      <c r="BU172">
        <v>10</v>
      </c>
      <c r="BV172">
        <v>0</v>
      </c>
      <c r="BW172">
        <v>10</v>
      </c>
      <c r="BX172">
        <v>0</v>
      </c>
      <c r="BY172">
        <v>9</v>
      </c>
      <c r="BZ172">
        <v>1</v>
      </c>
      <c r="CA172">
        <v>1</v>
      </c>
      <c r="CB172">
        <v>7</v>
      </c>
      <c r="CC172">
        <v>0</v>
      </c>
      <c r="CD172">
        <v>2</v>
      </c>
      <c r="CE172">
        <v>1</v>
      </c>
      <c r="CF172">
        <v>8</v>
      </c>
      <c r="CG172">
        <v>5</v>
      </c>
      <c r="CH172">
        <v>3</v>
      </c>
      <c r="CI172">
        <v>9</v>
      </c>
      <c r="CJ172">
        <v>3</v>
      </c>
      <c r="CK172">
        <v>1</v>
      </c>
      <c r="CL172">
        <v>7</v>
      </c>
      <c r="CM172">
        <v>5</v>
      </c>
      <c r="CN172">
        <v>3</v>
      </c>
      <c r="CO172">
        <v>2</v>
      </c>
      <c r="CP172">
        <v>10</v>
      </c>
      <c r="CQ172">
        <v>10</v>
      </c>
      <c r="CR172">
        <v>6</v>
      </c>
      <c r="CS172">
        <v>10</v>
      </c>
      <c r="CT172">
        <v>4</v>
      </c>
      <c r="CU172">
        <v>9</v>
      </c>
      <c r="CV172">
        <v>1</v>
      </c>
      <c r="CW172">
        <v>10</v>
      </c>
      <c r="CX172">
        <v>0</v>
      </c>
      <c r="CY172">
        <v>0</v>
      </c>
      <c r="CZ172">
        <v>6</v>
      </c>
      <c r="DA172">
        <v>4</v>
      </c>
      <c r="DB172">
        <v>1</v>
      </c>
      <c r="DC172">
        <v>7</v>
      </c>
      <c r="DD172">
        <v>4</v>
      </c>
      <c r="DE172">
        <v>1</v>
      </c>
      <c r="DF172">
        <v>5</v>
      </c>
      <c r="DG172">
        <v>1</v>
      </c>
      <c r="DH172">
        <v>0</v>
      </c>
      <c r="DI172">
        <v>10</v>
      </c>
      <c r="DJ172">
        <v>6</v>
      </c>
      <c r="DK172">
        <v>10</v>
      </c>
    </row>
    <row r="173" spans="1:115">
      <c r="A173" s="173">
        <f>Calculations[[#This Row],[Sum t eCO2]]*IF(Calculations[[#This Row],[GHG Scope]]="BIOGENIC",0,1)</f>
        <v>5.1641109429352364E-3</v>
      </c>
      <c r="O173">
        <f t="shared" si="2"/>
        <v>172</v>
      </c>
      <c r="P173">
        <v>0</v>
      </c>
      <c r="Q173">
        <v>6</v>
      </c>
      <c r="R173">
        <v>9</v>
      </c>
      <c r="S173">
        <v>4</v>
      </c>
      <c r="T173">
        <v>10</v>
      </c>
      <c r="U173">
        <v>8</v>
      </c>
      <c r="V173">
        <v>8</v>
      </c>
      <c r="W173">
        <v>3</v>
      </c>
      <c r="X173">
        <v>7</v>
      </c>
      <c r="Y173">
        <v>3</v>
      </c>
      <c r="Z173">
        <v>7</v>
      </c>
      <c r="AA173">
        <v>1</v>
      </c>
      <c r="AB173">
        <v>8</v>
      </c>
      <c r="AC173">
        <v>8</v>
      </c>
      <c r="AD173">
        <v>4</v>
      </c>
      <c r="AE173">
        <v>6</v>
      </c>
      <c r="AF173">
        <v>2</v>
      </c>
      <c r="AG173">
        <v>3</v>
      </c>
      <c r="AH173">
        <v>0</v>
      </c>
      <c r="AI173">
        <v>7</v>
      </c>
      <c r="AJ173">
        <v>2</v>
      </c>
      <c r="AK173">
        <v>3</v>
      </c>
      <c r="AL173">
        <v>6</v>
      </c>
      <c r="AM173">
        <v>1</v>
      </c>
      <c r="AN173">
        <v>3</v>
      </c>
      <c r="AO173">
        <v>6</v>
      </c>
      <c r="AP173">
        <v>3</v>
      </c>
      <c r="AQ173">
        <v>9</v>
      </c>
      <c r="AR173">
        <v>5</v>
      </c>
      <c r="AS173">
        <v>6</v>
      </c>
      <c r="AT173">
        <v>3</v>
      </c>
      <c r="AU173">
        <v>4</v>
      </c>
      <c r="AV173">
        <v>8</v>
      </c>
      <c r="AW173">
        <v>7</v>
      </c>
      <c r="AX173">
        <v>7</v>
      </c>
      <c r="AY173">
        <v>9</v>
      </c>
      <c r="AZ173">
        <v>1</v>
      </c>
      <c r="BA173">
        <v>4</v>
      </c>
      <c r="BB173">
        <v>1</v>
      </c>
      <c r="BC173">
        <v>10</v>
      </c>
      <c r="BD173">
        <v>10</v>
      </c>
      <c r="BE173">
        <v>2</v>
      </c>
      <c r="BF173">
        <v>2</v>
      </c>
      <c r="BG173">
        <v>10</v>
      </c>
      <c r="BH173">
        <v>6</v>
      </c>
      <c r="BI173">
        <v>4</v>
      </c>
      <c r="BJ173">
        <v>3</v>
      </c>
      <c r="BK173">
        <v>10</v>
      </c>
      <c r="BL173">
        <v>8</v>
      </c>
      <c r="BM173">
        <v>6</v>
      </c>
      <c r="BN173">
        <v>5</v>
      </c>
      <c r="BO173">
        <v>10</v>
      </c>
      <c r="BP173">
        <v>3</v>
      </c>
      <c r="BQ173">
        <v>3</v>
      </c>
      <c r="BR173">
        <v>5</v>
      </c>
      <c r="BS173">
        <v>4</v>
      </c>
      <c r="BT173">
        <v>4</v>
      </c>
      <c r="BU173">
        <v>2</v>
      </c>
      <c r="BV173">
        <v>7</v>
      </c>
      <c r="BW173">
        <v>8</v>
      </c>
      <c r="BX173">
        <v>2</v>
      </c>
      <c r="BY173">
        <v>7</v>
      </c>
      <c r="BZ173">
        <v>8</v>
      </c>
      <c r="CA173">
        <v>4</v>
      </c>
      <c r="CB173">
        <v>2</v>
      </c>
      <c r="CC173">
        <v>7</v>
      </c>
      <c r="CD173">
        <v>8</v>
      </c>
      <c r="CE173">
        <v>4</v>
      </c>
      <c r="CF173">
        <v>0</v>
      </c>
      <c r="CG173">
        <v>7</v>
      </c>
      <c r="CH173">
        <v>2</v>
      </c>
      <c r="CI173">
        <v>1</v>
      </c>
      <c r="CJ173">
        <v>0</v>
      </c>
      <c r="CK173">
        <v>0</v>
      </c>
      <c r="CL173">
        <v>0</v>
      </c>
      <c r="CM173">
        <v>4</v>
      </c>
      <c r="CN173">
        <v>8</v>
      </c>
      <c r="CO173">
        <v>8</v>
      </c>
      <c r="CP173">
        <v>6</v>
      </c>
      <c r="CQ173">
        <v>7</v>
      </c>
      <c r="CR173">
        <v>6</v>
      </c>
      <c r="CS173">
        <v>10</v>
      </c>
      <c r="CT173">
        <v>10</v>
      </c>
      <c r="CU173">
        <v>3</v>
      </c>
      <c r="CV173">
        <v>1</v>
      </c>
      <c r="CW173">
        <v>5</v>
      </c>
      <c r="CX173">
        <v>1</v>
      </c>
      <c r="CY173">
        <v>4</v>
      </c>
      <c r="CZ173">
        <v>4</v>
      </c>
      <c r="DA173">
        <v>8</v>
      </c>
      <c r="DB173">
        <v>0</v>
      </c>
      <c r="DC173">
        <v>3</v>
      </c>
      <c r="DD173">
        <v>7</v>
      </c>
      <c r="DE173">
        <v>1</v>
      </c>
      <c r="DF173">
        <v>6</v>
      </c>
      <c r="DG173">
        <v>10</v>
      </c>
      <c r="DH173">
        <v>4</v>
      </c>
      <c r="DI173">
        <v>0</v>
      </c>
      <c r="DJ173">
        <v>3</v>
      </c>
      <c r="DK173">
        <v>7</v>
      </c>
    </row>
    <row r="174" spans="1:115">
      <c r="A174" s="173">
        <f>Calculations[[#This Row],[Sum t eCO2]]*IF(Calculations[[#This Row],[GHG Scope]]="BIOGENIC",0,1)</f>
        <v>1626.5672849862044</v>
      </c>
      <c r="O174">
        <f t="shared" si="2"/>
        <v>173</v>
      </c>
      <c r="P174">
        <v>9</v>
      </c>
      <c r="Q174">
        <v>4</v>
      </c>
      <c r="R174">
        <v>2</v>
      </c>
      <c r="S174">
        <v>7</v>
      </c>
      <c r="T174">
        <v>10</v>
      </c>
      <c r="U174">
        <v>4</v>
      </c>
      <c r="V174">
        <v>0</v>
      </c>
      <c r="W174">
        <v>3</v>
      </c>
      <c r="X174">
        <v>2</v>
      </c>
      <c r="Y174">
        <v>0</v>
      </c>
      <c r="Z174">
        <v>9</v>
      </c>
      <c r="AA174">
        <v>10</v>
      </c>
      <c r="AB174">
        <v>6</v>
      </c>
      <c r="AC174">
        <v>3</v>
      </c>
      <c r="AD174">
        <v>8</v>
      </c>
      <c r="AE174">
        <v>10</v>
      </c>
      <c r="AF174">
        <v>6</v>
      </c>
      <c r="AG174">
        <v>9</v>
      </c>
      <c r="AH174">
        <v>8</v>
      </c>
      <c r="AI174">
        <v>1</v>
      </c>
      <c r="AJ174">
        <v>6</v>
      </c>
      <c r="AK174">
        <v>7</v>
      </c>
      <c r="AL174">
        <v>9</v>
      </c>
      <c r="AM174">
        <v>3</v>
      </c>
      <c r="AN174">
        <v>3</v>
      </c>
      <c r="AO174">
        <v>7</v>
      </c>
      <c r="AP174">
        <v>6</v>
      </c>
      <c r="AQ174">
        <v>4</v>
      </c>
      <c r="AR174">
        <v>0</v>
      </c>
      <c r="AS174">
        <v>1</v>
      </c>
      <c r="AT174">
        <v>0</v>
      </c>
      <c r="AU174">
        <v>5</v>
      </c>
      <c r="AV174">
        <v>5</v>
      </c>
      <c r="AW174">
        <v>10</v>
      </c>
      <c r="AX174">
        <v>1</v>
      </c>
      <c r="AY174">
        <v>10</v>
      </c>
      <c r="AZ174">
        <v>5</v>
      </c>
      <c r="BA174">
        <v>9</v>
      </c>
      <c r="BB174">
        <v>8</v>
      </c>
      <c r="BC174">
        <v>3</v>
      </c>
      <c r="BD174">
        <v>10</v>
      </c>
      <c r="BE174">
        <v>9</v>
      </c>
      <c r="BF174">
        <v>8</v>
      </c>
      <c r="BG174">
        <v>3</v>
      </c>
      <c r="BH174">
        <v>10</v>
      </c>
      <c r="BI174">
        <v>9</v>
      </c>
      <c r="BJ174">
        <v>8</v>
      </c>
      <c r="BK174">
        <v>0</v>
      </c>
      <c r="BL174">
        <v>6</v>
      </c>
      <c r="BM174">
        <v>1</v>
      </c>
      <c r="BN174">
        <v>8</v>
      </c>
      <c r="BO174">
        <v>3</v>
      </c>
      <c r="BP174">
        <v>5</v>
      </c>
      <c r="BQ174">
        <v>8</v>
      </c>
      <c r="BR174">
        <v>6</v>
      </c>
      <c r="BS174">
        <v>1</v>
      </c>
      <c r="BT174">
        <v>2</v>
      </c>
      <c r="BU174">
        <v>6</v>
      </c>
      <c r="BV174">
        <v>10</v>
      </c>
      <c r="BW174">
        <v>0</v>
      </c>
      <c r="BX174">
        <v>4</v>
      </c>
      <c r="BY174">
        <v>7</v>
      </c>
      <c r="BZ174">
        <v>9</v>
      </c>
      <c r="CA174">
        <v>5</v>
      </c>
      <c r="CB174">
        <v>9</v>
      </c>
      <c r="CC174">
        <v>2</v>
      </c>
      <c r="CD174">
        <v>7</v>
      </c>
      <c r="CE174">
        <v>4</v>
      </c>
      <c r="CF174">
        <v>9</v>
      </c>
      <c r="CG174">
        <v>6</v>
      </c>
      <c r="CH174">
        <v>6</v>
      </c>
      <c r="CI174">
        <v>6</v>
      </c>
      <c r="CJ174">
        <v>9</v>
      </c>
      <c r="CK174">
        <v>7</v>
      </c>
      <c r="CL174">
        <v>9</v>
      </c>
      <c r="CM174">
        <v>3</v>
      </c>
      <c r="CN174">
        <v>10</v>
      </c>
      <c r="CO174">
        <v>6</v>
      </c>
      <c r="CP174">
        <v>6</v>
      </c>
      <c r="CQ174">
        <v>10</v>
      </c>
      <c r="CR174">
        <v>9</v>
      </c>
      <c r="CS174">
        <v>7</v>
      </c>
      <c r="CT174">
        <v>1</v>
      </c>
      <c r="CU174">
        <v>1</v>
      </c>
      <c r="CV174">
        <v>5</v>
      </c>
      <c r="CW174">
        <v>3</v>
      </c>
      <c r="CX174">
        <v>1</v>
      </c>
      <c r="CY174">
        <v>7</v>
      </c>
      <c r="CZ174">
        <v>10</v>
      </c>
      <c r="DA174">
        <v>0</v>
      </c>
      <c r="DB174">
        <v>10</v>
      </c>
      <c r="DC174">
        <v>5</v>
      </c>
      <c r="DD174">
        <v>5</v>
      </c>
      <c r="DE174">
        <v>8</v>
      </c>
      <c r="DF174">
        <v>9</v>
      </c>
      <c r="DG174">
        <v>3</v>
      </c>
      <c r="DH174">
        <v>2</v>
      </c>
      <c r="DI174">
        <v>2</v>
      </c>
      <c r="DJ174">
        <v>4</v>
      </c>
      <c r="DK174">
        <v>5</v>
      </c>
    </row>
    <row r="175" spans="1:115">
      <c r="A175" s="173">
        <f>Calculations[[#This Row],[Sum t eCO2]]*IF(Calculations[[#This Row],[GHG Scope]]="BIOGENIC",0,1)</f>
        <v>0.81803114467200233</v>
      </c>
      <c r="O175">
        <f t="shared" si="2"/>
        <v>174</v>
      </c>
      <c r="P175">
        <v>10</v>
      </c>
      <c r="Q175">
        <v>4</v>
      </c>
      <c r="R175">
        <v>2</v>
      </c>
      <c r="S175">
        <v>4</v>
      </c>
      <c r="T175">
        <v>1</v>
      </c>
      <c r="U175">
        <v>4</v>
      </c>
      <c r="V175">
        <v>7</v>
      </c>
      <c r="W175">
        <v>9</v>
      </c>
      <c r="X175">
        <v>3</v>
      </c>
      <c r="Y175">
        <v>6</v>
      </c>
      <c r="Z175">
        <v>5</v>
      </c>
      <c r="AA175">
        <v>0</v>
      </c>
      <c r="AB175">
        <v>6</v>
      </c>
      <c r="AC175">
        <v>9</v>
      </c>
      <c r="AD175">
        <v>0</v>
      </c>
      <c r="AE175">
        <v>9</v>
      </c>
      <c r="AF175">
        <v>1</v>
      </c>
      <c r="AG175">
        <v>6</v>
      </c>
      <c r="AH175">
        <v>8</v>
      </c>
      <c r="AI175">
        <v>9</v>
      </c>
      <c r="AJ175">
        <v>10</v>
      </c>
      <c r="AK175">
        <v>2</v>
      </c>
      <c r="AL175">
        <v>6</v>
      </c>
      <c r="AM175">
        <v>0</v>
      </c>
      <c r="AN175">
        <v>2</v>
      </c>
      <c r="AO175">
        <v>9</v>
      </c>
      <c r="AP175">
        <v>0</v>
      </c>
      <c r="AQ175">
        <v>0</v>
      </c>
      <c r="AR175">
        <v>9</v>
      </c>
      <c r="AS175">
        <v>6</v>
      </c>
      <c r="AT175">
        <v>9</v>
      </c>
      <c r="AU175">
        <v>2</v>
      </c>
      <c r="AV175">
        <v>7</v>
      </c>
      <c r="AW175">
        <v>3</v>
      </c>
      <c r="AX175">
        <v>2</v>
      </c>
      <c r="AY175">
        <v>10</v>
      </c>
      <c r="AZ175">
        <v>3</v>
      </c>
      <c r="BA175">
        <v>3</v>
      </c>
      <c r="BB175">
        <v>1</v>
      </c>
      <c r="BC175">
        <v>10</v>
      </c>
      <c r="BD175">
        <v>9</v>
      </c>
      <c r="BE175">
        <v>2</v>
      </c>
      <c r="BF175">
        <v>8</v>
      </c>
      <c r="BG175">
        <v>5</v>
      </c>
      <c r="BH175">
        <v>4</v>
      </c>
      <c r="BI175">
        <v>8</v>
      </c>
      <c r="BJ175">
        <v>4</v>
      </c>
      <c r="BK175">
        <v>2</v>
      </c>
      <c r="BL175">
        <v>0</v>
      </c>
      <c r="BM175">
        <v>7</v>
      </c>
      <c r="BN175">
        <v>8</v>
      </c>
      <c r="BO175">
        <v>7</v>
      </c>
      <c r="BP175">
        <v>1</v>
      </c>
      <c r="BQ175">
        <v>6</v>
      </c>
      <c r="BR175">
        <v>1</v>
      </c>
      <c r="BS175">
        <v>10</v>
      </c>
      <c r="BT175">
        <v>0</v>
      </c>
      <c r="BU175">
        <v>0</v>
      </c>
      <c r="BV175">
        <v>6</v>
      </c>
      <c r="BW175">
        <v>7</v>
      </c>
      <c r="BX175">
        <v>9</v>
      </c>
      <c r="BY175">
        <v>9</v>
      </c>
      <c r="BZ175">
        <v>4</v>
      </c>
      <c r="CA175">
        <v>5</v>
      </c>
      <c r="CB175">
        <v>3</v>
      </c>
      <c r="CC175">
        <v>10</v>
      </c>
      <c r="CD175">
        <v>0</v>
      </c>
      <c r="CE175">
        <v>3</v>
      </c>
      <c r="CF175">
        <v>4</v>
      </c>
      <c r="CG175">
        <v>0</v>
      </c>
      <c r="CH175">
        <v>6</v>
      </c>
      <c r="CI175">
        <v>2</v>
      </c>
      <c r="CJ175">
        <v>4</v>
      </c>
      <c r="CK175">
        <v>4</v>
      </c>
      <c r="CL175">
        <v>7</v>
      </c>
      <c r="CM175">
        <v>6</v>
      </c>
      <c r="CN175">
        <v>8</v>
      </c>
      <c r="CO175">
        <v>8</v>
      </c>
      <c r="CP175">
        <v>5</v>
      </c>
      <c r="CQ175">
        <v>4</v>
      </c>
      <c r="CR175">
        <v>7</v>
      </c>
      <c r="CS175">
        <v>1</v>
      </c>
      <c r="CT175">
        <v>0</v>
      </c>
      <c r="CU175">
        <v>1</v>
      </c>
      <c r="CV175">
        <v>9</v>
      </c>
      <c r="CW175">
        <v>1</v>
      </c>
      <c r="CX175">
        <v>9</v>
      </c>
      <c r="CY175">
        <v>6</v>
      </c>
      <c r="CZ175">
        <v>6</v>
      </c>
      <c r="DA175">
        <v>3</v>
      </c>
      <c r="DB175">
        <v>7</v>
      </c>
      <c r="DC175">
        <v>6</v>
      </c>
      <c r="DD175">
        <v>6</v>
      </c>
      <c r="DE175">
        <v>2</v>
      </c>
      <c r="DF175">
        <v>4</v>
      </c>
      <c r="DG175">
        <v>3</v>
      </c>
      <c r="DH175">
        <v>4</v>
      </c>
      <c r="DI175">
        <v>0</v>
      </c>
      <c r="DJ175">
        <v>8</v>
      </c>
      <c r="DK175">
        <v>5</v>
      </c>
    </row>
    <row r="176" spans="1:115">
      <c r="A176" s="173">
        <f>Calculations[[#This Row],[Sum t eCO2]]*IF(Calculations[[#This Row],[GHG Scope]]="BIOGENIC",0,1)</f>
        <v>0.77420804763600226</v>
      </c>
      <c r="O176">
        <f t="shared" si="2"/>
        <v>175</v>
      </c>
      <c r="P176">
        <v>3</v>
      </c>
      <c r="Q176">
        <v>5</v>
      </c>
      <c r="R176">
        <v>10</v>
      </c>
      <c r="S176">
        <v>7</v>
      </c>
      <c r="T176">
        <v>10</v>
      </c>
      <c r="U176">
        <v>9</v>
      </c>
      <c r="V176">
        <v>9</v>
      </c>
      <c r="W176">
        <v>9</v>
      </c>
      <c r="X176">
        <v>4</v>
      </c>
      <c r="Y176">
        <v>8</v>
      </c>
      <c r="Z176">
        <v>5</v>
      </c>
      <c r="AA176">
        <v>4</v>
      </c>
      <c r="AB176">
        <v>7</v>
      </c>
      <c r="AC176">
        <v>3</v>
      </c>
      <c r="AD176">
        <v>4</v>
      </c>
      <c r="AE176">
        <v>0</v>
      </c>
      <c r="AF176">
        <v>6</v>
      </c>
      <c r="AG176">
        <v>6</v>
      </c>
      <c r="AH176">
        <v>1</v>
      </c>
      <c r="AI176">
        <v>6</v>
      </c>
      <c r="AJ176">
        <v>6</v>
      </c>
      <c r="AK176">
        <v>3</v>
      </c>
      <c r="AL176">
        <v>10</v>
      </c>
      <c r="AM176">
        <v>2</v>
      </c>
      <c r="AN176">
        <v>9</v>
      </c>
      <c r="AO176">
        <v>7</v>
      </c>
      <c r="AP176">
        <v>3</v>
      </c>
      <c r="AQ176">
        <v>4</v>
      </c>
      <c r="AR176">
        <v>4</v>
      </c>
      <c r="AS176">
        <v>5</v>
      </c>
      <c r="AT176">
        <v>10</v>
      </c>
      <c r="AU176">
        <v>4</v>
      </c>
      <c r="AV176">
        <v>4</v>
      </c>
      <c r="AW176">
        <v>5</v>
      </c>
      <c r="AX176">
        <v>10</v>
      </c>
      <c r="AY176">
        <v>2</v>
      </c>
      <c r="AZ176">
        <v>0</v>
      </c>
      <c r="BA176">
        <v>0</v>
      </c>
      <c r="BB176">
        <v>1</v>
      </c>
      <c r="BC176">
        <v>6</v>
      </c>
      <c r="BD176">
        <v>4</v>
      </c>
      <c r="BE176">
        <v>9</v>
      </c>
      <c r="BF176">
        <v>6</v>
      </c>
      <c r="BG176">
        <v>2</v>
      </c>
      <c r="BH176">
        <v>10</v>
      </c>
      <c r="BI176">
        <v>7</v>
      </c>
      <c r="BJ176">
        <v>2</v>
      </c>
      <c r="BK176">
        <v>0</v>
      </c>
      <c r="BL176">
        <v>1</v>
      </c>
      <c r="BM176">
        <v>10</v>
      </c>
      <c r="BN176">
        <v>3</v>
      </c>
      <c r="BO176">
        <v>10</v>
      </c>
      <c r="BP176">
        <v>8</v>
      </c>
      <c r="BQ176">
        <v>10</v>
      </c>
      <c r="BR176">
        <v>7</v>
      </c>
      <c r="BS176">
        <v>1</v>
      </c>
      <c r="BT176">
        <v>2</v>
      </c>
      <c r="BU176">
        <v>1</v>
      </c>
      <c r="BV176">
        <v>3</v>
      </c>
      <c r="BW176">
        <v>7</v>
      </c>
      <c r="BX176">
        <v>8</v>
      </c>
      <c r="BY176">
        <v>10</v>
      </c>
      <c r="BZ176">
        <v>10</v>
      </c>
      <c r="CA176">
        <v>4</v>
      </c>
      <c r="CB176">
        <v>3</v>
      </c>
      <c r="CC176">
        <v>0</v>
      </c>
      <c r="CD176">
        <v>7</v>
      </c>
      <c r="CE176">
        <v>10</v>
      </c>
      <c r="CF176">
        <v>9</v>
      </c>
      <c r="CG176">
        <v>8</v>
      </c>
      <c r="CH176">
        <v>0</v>
      </c>
      <c r="CI176">
        <v>6</v>
      </c>
      <c r="CJ176">
        <v>3</v>
      </c>
      <c r="CK176">
        <v>7</v>
      </c>
      <c r="CL176">
        <v>3</v>
      </c>
      <c r="CM176">
        <v>9</v>
      </c>
      <c r="CN176">
        <v>6</v>
      </c>
      <c r="CO176">
        <v>3</v>
      </c>
      <c r="CP176">
        <v>3</v>
      </c>
      <c r="CQ176">
        <v>4</v>
      </c>
      <c r="CR176">
        <v>5</v>
      </c>
      <c r="CS176">
        <v>8</v>
      </c>
      <c r="CT176">
        <v>3</v>
      </c>
      <c r="CU176">
        <v>2</v>
      </c>
      <c r="CV176">
        <v>3</v>
      </c>
      <c r="CW176">
        <v>6</v>
      </c>
      <c r="CX176">
        <v>6</v>
      </c>
      <c r="CY176">
        <v>4</v>
      </c>
      <c r="CZ176">
        <v>0</v>
      </c>
      <c r="DA176">
        <v>1</v>
      </c>
      <c r="DB176">
        <v>0</v>
      </c>
      <c r="DC176">
        <v>6</v>
      </c>
      <c r="DD176">
        <v>1</v>
      </c>
      <c r="DE176">
        <v>4</v>
      </c>
      <c r="DF176">
        <v>8</v>
      </c>
      <c r="DG176">
        <v>10</v>
      </c>
      <c r="DH176">
        <v>10</v>
      </c>
      <c r="DI176">
        <v>5</v>
      </c>
      <c r="DJ176">
        <v>7</v>
      </c>
      <c r="DK176">
        <v>9</v>
      </c>
    </row>
    <row r="177" spans="1:115">
      <c r="A177" s="173">
        <f>Calculations[[#This Row],[Sum t eCO2]]*IF(Calculations[[#This Row],[GHG Scope]]="BIOGENIC",0,1)</f>
        <v>0.31817662638025557</v>
      </c>
      <c r="O177">
        <f t="shared" si="2"/>
        <v>176</v>
      </c>
      <c r="P177">
        <v>5</v>
      </c>
      <c r="Q177">
        <v>0</v>
      </c>
      <c r="R177">
        <v>1</v>
      </c>
      <c r="S177">
        <v>1</v>
      </c>
      <c r="T177">
        <v>5</v>
      </c>
      <c r="U177">
        <v>6</v>
      </c>
      <c r="V177">
        <v>4</v>
      </c>
      <c r="W177">
        <v>1</v>
      </c>
      <c r="X177">
        <v>1</v>
      </c>
      <c r="Y177">
        <v>4</v>
      </c>
      <c r="Z177">
        <v>3</v>
      </c>
      <c r="AA177">
        <v>6</v>
      </c>
      <c r="AB177">
        <v>5</v>
      </c>
      <c r="AC177">
        <v>1</v>
      </c>
      <c r="AD177">
        <v>2</v>
      </c>
      <c r="AE177">
        <v>9</v>
      </c>
      <c r="AF177">
        <v>1</v>
      </c>
      <c r="AG177">
        <v>5</v>
      </c>
      <c r="AH177">
        <v>7</v>
      </c>
      <c r="AI177">
        <v>4</v>
      </c>
      <c r="AJ177">
        <v>1</v>
      </c>
      <c r="AK177">
        <v>7</v>
      </c>
      <c r="AL177">
        <v>0</v>
      </c>
      <c r="AM177">
        <v>1</v>
      </c>
      <c r="AN177">
        <v>7</v>
      </c>
      <c r="AO177">
        <v>2</v>
      </c>
      <c r="AP177">
        <v>8</v>
      </c>
      <c r="AQ177">
        <v>9</v>
      </c>
      <c r="AR177">
        <v>4</v>
      </c>
      <c r="AS177">
        <v>6</v>
      </c>
      <c r="AT177">
        <v>8</v>
      </c>
      <c r="AU177">
        <v>10</v>
      </c>
      <c r="AV177">
        <v>8</v>
      </c>
      <c r="AW177">
        <v>10</v>
      </c>
      <c r="AX177">
        <v>6</v>
      </c>
      <c r="AY177">
        <v>7</v>
      </c>
      <c r="AZ177">
        <v>8</v>
      </c>
      <c r="BA177">
        <v>10</v>
      </c>
      <c r="BB177">
        <v>1</v>
      </c>
      <c r="BC177">
        <v>6</v>
      </c>
      <c r="BD177">
        <v>4</v>
      </c>
      <c r="BE177">
        <v>7</v>
      </c>
      <c r="BF177">
        <v>6</v>
      </c>
      <c r="BG177">
        <v>6</v>
      </c>
      <c r="BH177">
        <v>5</v>
      </c>
      <c r="BI177">
        <v>7</v>
      </c>
      <c r="BJ177">
        <v>3</v>
      </c>
      <c r="BK177">
        <v>5</v>
      </c>
      <c r="BL177">
        <v>7</v>
      </c>
      <c r="BM177">
        <v>2</v>
      </c>
      <c r="BN177">
        <v>4</v>
      </c>
      <c r="BO177">
        <v>3</v>
      </c>
      <c r="BP177">
        <v>5</v>
      </c>
      <c r="BQ177">
        <v>8</v>
      </c>
      <c r="BR177">
        <v>9</v>
      </c>
      <c r="BS177">
        <v>10</v>
      </c>
      <c r="BT177">
        <v>7</v>
      </c>
      <c r="BU177">
        <v>10</v>
      </c>
      <c r="BV177">
        <v>2</v>
      </c>
      <c r="BW177">
        <v>0</v>
      </c>
      <c r="BX177">
        <v>0</v>
      </c>
      <c r="BY177">
        <v>0</v>
      </c>
      <c r="BZ177">
        <v>3</v>
      </c>
      <c r="CA177">
        <v>5</v>
      </c>
      <c r="CB177">
        <v>1</v>
      </c>
      <c r="CC177">
        <v>3</v>
      </c>
      <c r="CD177">
        <v>4</v>
      </c>
      <c r="CE177">
        <v>6</v>
      </c>
      <c r="CF177">
        <v>5</v>
      </c>
      <c r="CG177">
        <v>5</v>
      </c>
      <c r="CH177">
        <v>8</v>
      </c>
      <c r="CI177">
        <v>9</v>
      </c>
      <c r="CJ177">
        <v>10</v>
      </c>
      <c r="CK177">
        <v>7</v>
      </c>
      <c r="CL177">
        <v>0</v>
      </c>
      <c r="CM177">
        <v>9</v>
      </c>
      <c r="CN177">
        <v>3</v>
      </c>
      <c r="CO177">
        <v>7</v>
      </c>
      <c r="CP177">
        <v>6</v>
      </c>
      <c r="CQ177">
        <v>3</v>
      </c>
      <c r="CR177">
        <v>10</v>
      </c>
      <c r="CS177">
        <v>0</v>
      </c>
      <c r="CT177">
        <v>1</v>
      </c>
      <c r="CU177">
        <v>8</v>
      </c>
      <c r="CV177">
        <v>3</v>
      </c>
      <c r="CW177">
        <v>5</v>
      </c>
      <c r="CX177">
        <v>7</v>
      </c>
      <c r="CY177">
        <v>1</v>
      </c>
      <c r="CZ177">
        <v>10</v>
      </c>
      <c r="DA177">
        <v>8</v>
      </c>
      <c r="DB177">
        <v>1</v>
      </c>
      <c r="DC177">
        <v>5</v>
      </c>
      <c r="DD177">
        <v>9</v>
      </c>
      <c r="DE177">
        <v>8</v>
      </c>
      <c r="DF177">
        <v>0</v>
      </c>
      <c r="DG177">
        <v>5</v>
      </c>
      <c r="DH177">
        <v>6</v>
      </c>
      <c r="DI177">
        <v>10</v>
      </c>
      <c r="DJ177">
        <v>4</v>
      </c>
      <c r="DK177">
        <v>3</v>
      </c>
    </row>
    <row r="178" spans="1:115">
      <c r="A178" s="173">
        <f>Calculations[[#This Row],[Sum t eCO2]]*IF(Calculations[[#This Row],[GHG Scope]]="BIOGENIC",0,1)</f>
        <v>1.6001698318180793E-4</v>
      </c>
      <c r="O178">
        <f t="shared" si="2"/>
        <v>177</v>
      </c>
      <c r="P178">
        <v>7</v>
      </c>
      <c r="Q178">
        <v>7</v>
      </c>
      <c r="R178">
        <v>8</v>
      </c>
      <c r="S178">
        <v>5</v>
      </c>
      <c r="T178">
        <v>2</v>
      </c>
      <c r="U178">
        <v>8</v>
      </c>
      <c r="V178">
        <v>3</v>
      </c>
      <c r="W178">
        <v>9</v>
      </c>
      <c r="X178">
        <v>3</v>
      </c>
      <c r="Y178">
        <v>1</v>
      </c>
      <c r="Z178">
        <v>0</v>
      </c>
      <c r="AA178">
        <v>2</v>
      </c>
      <c r="AB178">
        <v>0</v>
      </c>
      <c r="AC178">
        <v>2</v>
      </c>
      <c r="AD178">
        <v>10</v>
      </c>
      <c r="AE178">
        <v>2</v>
      </c>
      <c r="AF178">
        <v>10</v>
      </c>
      <c r="AG178">
        <v>8</v>
      </c>
      <c r="AH178">
        <v>9</v>
      </c>
      <c r="AI178">
        <v>4</v>
      </c>
      <c r="AJ178">
        <v>7</v>
      </c>
      <c r="AK178">
        <v>8</v>
      </c>
      <c r="AL178">
        <v>1</v>
      </c>
      <c r="AM178">
        <v>0</v>
      </c>
      <c r="AN178">
        <v>6</v>
      </c>
      <c r="AO178">
        <v>3</v>
      </c>
      <c r="AP178">
        <v>4</v>
      </c>
      <c r="AQ178">
        <v>9</v>
      </c>
      <c r="AR178">
        <v>6</v>
      </c>
      <c r="AS178">
        <v>8</v>
      </c>
      <c r="AT178">
        <v>5</v>
      </c>
      <c r="AU178">
        <v>1</v>
      </c>
      <c r="AV178">
        <v>5</v>
      </c>
      <c r="AW178">
        <v>3</v>
      </c>
      <c r="AX178">
        <v>8</v>
      </c>
      <c r="AY178">
        <v>8</v>
      </c>
      <c r="AZ178">
        <v>6</v>
      </c>
      <c r="BA178">
        <v>7</v>
      </c>
      <c r="BB178">
        <v>2</v>
      </c>
      <c r="BC178">
        <v>0</v>
      </c>
      <c r="BD178">
        <v>8</v>
      </c>
      <c r="BE178">
        <v>7</v>
      </c>
      <c r="BF178">
        <v>9</v>
      </c>
      <c r="BG178">
        <v>10</v>
      </c>
      <c r="BH178">
        <v>8</v>
      </c>
      <c r="BI178">
        <v>5</v>
      </c>
      <c r="BJ178">
        <v>0</v>
      </c>
      <c r="BK178">
        <v>6</v>
      </c>
      <c r="BL178">
        <v>10</v>
      </c>
      <c r="BM178">
        <v>4</v>
      </c>
      <c r="BN178">
        <v>3</v>
      </c>
      <c r="BO178">
        <v>7</v>
      </c>
      <c r="BP178">
        <v>9</v>
      </c>
      <c r="BQ178">
        <v>9</v>
      </c>
      <c r="BR178">
        <v>2</v>
      </c>
      <c r="BS178">
        <v>7</v>
      </c>
      <c r="BT178">
        <v>10</v>
      </c>
      <c r="BU178">
        <v>3</v>
      </c>
      <c r="BV178">
        <v>1</v>
      </c>
      <c r="BW178">
        <v>8</v>
      </c>
      <c r="BX178">
        <v>10</v>
      </c>
      <c r="BY178">
        <v>6</v>
      </c>
      <c r="BZ178">
        <v>1</v>
      </c>
      <c r="CA178">
        <v>6</v>
      </c>
      <c r="CB178">
        <v>1</v>
      </c>
      <c r="CC178">
        <v>0</v>
      </c>
      <c r="CD178">
        <v>7</v>
      </c>
      <c r="CE178">
        <v>9</v>
      </c>
      <c r="CF178">
        <v>10</v>
      </c>
      <c r="CG178">
        <v>8</v>
      </c>
      <c r="CH178">
        <v>5</v>
      </c>
      <c r="CI178">
        <v>7</v>
      </c>
      <c r="CJ178">
        <v>2</v>
      </c>
      <c r="CK178">
        <v>3</v>
      </c>
      <c r="CL178">
        <v>7</v>
      </c>
      <c r="CM178">
        <v>9</v>
      </c>
      <c r="CN178">
        <v>9</v>
      </c>
      <c r="CO178">
        <v>9</v>
      </c>
      <c r="CP178">
        <v>7</v>
      </c>
      <c r="CQ178">
        <v>0</v>
      </c>
      <c r="CR178">
        <v>0</v>
      </c>
      <c r="CS178">
        <v>5</v>
      </c>
      <c r="CT178">
        <v>2</v>
      </c>
      <c r="CU178">
        <v>7</v>
      </c>
      <c r="CV178">
        <v>0</v>
      </c>
      <c r="CW178">
        <v>0</v>
      </c>
      <c r="CX178">
        <v>7</v>
      </c>
      <c r="CY178">
        <v>0</v>
      </c>
      <c r="CZ178">
        <v>10</v>
      </c>
      <c r="DA178">
        <v>5</v>
      </c>
      <c r="DB178">
        <v>5</v>
      </c>
      <c r="DC178">
        <v>4</v>
      </c>
      <c r="DD178">
        <v>9</v>
      </c>
      <c r="DE178">
        <v>3</v>
      </c>
      <c r="DF178">
        <v>5</v>
      </c>
      <c r="DG178">
        <v>2</v>
      </c>
      <c r="DH178">
        <v>5</v>
      </c>
      <c r="DI178">
        <v>10</v>
      </c>
      <c r="DJ178">
        <v>10</v>
      </c>
      <c r="DK178">
        <v>8</v>
      </c>
    </row>
    <row r="179" spans="1:115">
      <c r="A179" s="173">
        <f>Calculations[[#This Row],[Sum t eCO2]]*IF(Calculations[[#This Row],[GHG Scope]]="BIOGENIC",0,1)</f>
        <v>1.5144464479706823E-4</v>
      </c>
      <c r="O179">
        <f t="shared" si="2"/>
        <v>178</v>
      </c>
      <c r="P179">
        <v>9</v>
      </c>
      <c r="Q179">
        <v>9</v>
      </c>
      <c r="R179">
        <v>4</v>
      </c>
      <c r="S179">
        <v>7</v>
      </c>
      <c r="T179">
        <v>7</v>
      </c>
      <c r="U179">
        <v>3</v>
      </c>
      <c r="V179">
        <v>6</v>
      </c>
      <c r="W179">
        <v>5</v>
      </c>
      <c r="X179">
        <v>0</v>
      </c>
      <c r="Y179">
        <v>3</v>
      </c>
      <c r="Z179">
        <v>4</v>
      </c>
      <c r="AA179">
        <v>10</v>
      </c>
      <c r="AB179">
        <v>1</v>
      </c>
      <c r="AC179">
        <v>5</v>
      </c>
      <c r="AD179">
        <v>6</v>
      </c>
      <c r="AE179">
        <v>1</v>
      </c>
      <c r="AF179">
        <v>1</v>
      </c>
      <c r="AG179">
        <v>4</v>
      </c>
      <c r="AH179">
        <v>3</v>
      </c>
      <c r="AI179">
        <v>7</v>
      </c>
      <c r="AJ179">
        <v>1</v>
      </c>
      <c r="AK179">
        <v>9</v>
      </c>
      <c r="AL179">
        <v>0</v>
      </c>
      <c r="AM179">
        <v>3</v>
      </c>
      <c r="AN179">
        <v>6</v>
      </c>
      <c r="AO179">
        <v>6</v>
      </c>
      <c r="AP179">
        <v>3</v>
      </c>
      <c r="AQ179">
        <v>2</v>
      </c>
      <c r="AR179">
        <v>9</v>
      </c>
      <c r="AS179">
        <v>9</v>
      </c>
      <c r="AT179">
        <v>3</v>
      </c>
      <c r="AU179">
        <v>6</v>
      </c>
      <c r="AV179">
        <v>4</v>
      </c>
      <c r="AW179">
        <v>6</v>
      </c>
      <c r="AX179">
        <v>8</v>
      </c>
      <c r="AY179">
        <v>10</v>
      </c>
      <c r="AZ179">
        <v>6</v>
      </c>
      <c r="BA179">
        <v>2</v>
      </c>
      <c r="BB179">
        <v>1</v>
      </c>
      <c r="BC179">
        <v>8</v>
      </c>
      <c r="BD179">
        <v>0</v>
      </c>
      <c r="BE179">
        <v>7</v>
      </c>
      <c r="BF179">
        <v>7</v>
      </c>
      <c r="BG179">
        <v>8</v>
      </c>
      <c r="BH179">
        <v>1</v>
      </c>
      <c r="BI179">
        <v>10</v>
      </c>
      <c r="BJ179">
        <v>10</v>
      </c>
      <c r="BK179">
        <v>6</v>
      </c>
      <c r="BL179">
        <v>6</v>
      </c>
      <c r="BM179">
        <v>7</v>
      </c>
      <c r="BN179">
        <v>6</v>
      </c>
      <c r="BO179">
        <v>7</v>
      </c>
      <c r="BP179">
        <v>2</v>
      </c>
      <c r="BQ179">
        <v>7</v>
      </c>
      <c r="BR179">
        <v>5</v>
      </c>
      <c r="BS179">
        <v>2</v>
      </c>
      <c r="BT179">
        <v>8</v>
      </c>
      <c r="BU179">
        <v>4</v>
      </c>
      <c r="BV179">
        <v>5</v>
      </c>
      <c r="BW179">
        <v>3</v>
      </c>
      <c r="BX179">
        <v>5</v>
      </c>
      <c r="BY179">
        <v>6</v>
      </c>
      <c r="BZ179">
        <v>3</v>
      </c>
      <c r="CA179">
        <v>9</v>
      </c>
      <c r="CB179">
        <v>9</v>
      </c>
      <c r="CC179">
        <v>10</v>
      </c>
      <c r="CD179">
        <v>1</v>
      </c>
      <c r="CE179">
        <v>3</v>
      </c>
      <c r="CF179">
        <v>1</v>
      </c>
      <c r="CG179">
        <v>0</v>
      </c>
      <c r="CH179">
        <v>9</v>
      </c>
      <c r="CI179">
        <v>8</v>
      </c>
      <c r="CJ179">
        <v>2</v>
      </c>
      <c r="CK179">
        <v>3</v>
      </c>
      <c r="CL179">
        <v>1</v>
      </c>
      <c r="CM179">
        <v>5</v>
      </c>
      <c r="CN179">
        <v>8</v>
      </c>
      <c r="CO179">
        <v>10</v>
      </c>
      <c r="CP179">
        <v>10</v>
      </c>
      <c r="CQ179">
        <v>5</v>
      </c>
      <c r="CR179">
        <v>2</v>
      </c>
      <c r="CS179">
        <v>3</v>
      </c>
      <c r="CT179">
        <v>1</v>
      </c>
      <c r="CU179">
        <v>9</v>
      </c>
      <c r="CV179">
        <v>0</v>
      </c>
      <c r="CW179">
        <v>0</v>
      </c>
      <c r="CX179">
        <v>5</v>
      </c>
      <c r="CY179">
        <v>6</v>
      </c>
      <c r="CZ179">
        <v>3</v>
      </c>
      <c r="DA179">
        <v>4</v>
      </c>
      <c r="DB179">
        <v>0</v>
      </c>
      <c r="DC179">
        <v>0</v>
      </c>
      <c r="DD179">
        <v>0</v>
      </c>
      <c r="DE179">
        <v>4</v>
      </c>
      <c r="DF179">
        <v>10</v>
      </c>
      <c r="DG179">
        <v>6</v>
      </c>
      <c r="DH179">
        <v>8</v>
      </c>
      <c r="DI179">
        <v>1</v>
      </c>
      <c r="DJ179">
        <v>8</v>
      </c>
      <c r="DK179">
        <v>4</v>
      </c>
    </row>
    <row r="180" spans="1:115">
      <c r="A180" s="173">
        <f>Calculations[[#This Row],[Sum t eCO2]]*IF(Calculations[[#This Row],[GHG Scope]]="BIOGENIC",0,1)</f>
        <v>3.3196428019006783</v>
      </c>
      <c r="O180">
        <f t="shared" si="2"/>
        <v>179</v>
      </c>
      <c r="P180">
        <v>6</v>
      </c>
      <c r="Q180">
        <v>2</v>
      </c>
      <c r="R180">
        <v>0</v>
      </c>
      <c r="S180">
        <v>7</v>
      </c>
      <c r="T180">
        <v>8</v>
      </c>
      <c r="U180">
        <v>10</v>
      </c>
      <c r="V180">
        <v>8</v>
      </c>
      <c r="W180">
        <v>6</v>
      </c>
      <c r="X180">
        <v>9</v>
      </c>
      <c r="Y180">
        <v>2</v>
      </c>
      <c r="Z180">
        <v>5</v>
      </c>
      <c r="AA180">
        <v>3</v>
      </c>
      <c r="AB180">
        <v>10</v>
      </c>
      <c r="AC180">
        <v>0</v>
      </c>
      <c r="AD180">
        <v>3</v>
      </c>
      <c r="AE180">
        <v>5</v>
      </c>
      <c r="AF180">
        <v>0</v>
      </c>
      <c r="AG180">
        <v>8</v>
      </c>
      <c r="AH180">
        <v>3</v>
      </c>
      <c r="AI180">
        <v>4</v>
      </c>
      <c r="AJ180">
        <v>4</v>
      </c>
      <c r="AK180">
        <v>3</v>
      </c>
      <c r="AL180">
        <v>3</v>
      </c>
      <c r="AM180">
        <v>7</v>
      </c>
      <c r="AN180">
        <v>2</v>
      </c>
      <c r="AO180">
        <v>4</v>
      </c>
      <c r="AP180">
        <v>0</v>
      </c>
      <c r="AQ180">
        <v>4</v>
      </c>
      <c r="AR180">
        <v>9</v>
      </c>
      <c r="AS180">
        <v>1</v>
      </c>
      <c r="AT180">
        <v>2</v>
      </c>
      <c r="AU180">
        <v>2</v>
      </c>
      <c r="AV180">
        <v>9</v>
      </c>
      <c r="AW180">
        <v>2</v>
      </c>
      <c r="AX180">
        <v>3</v>
      </c>
      <c r="AY180">
        <v>4</v>
      </c>
      <c r="AZ180">
        <v>5</v>
      </c>
      <c r="BA180">
        <v>1</v>
      </c>
      <c r="BB180">
        <v>5</v>
      </c>
      <c r="BC180">
        <v>8</v>
      </c>
      <c r="BD180">
        <v>5</v>
      </c>
      <c r="BE180">
        <v>3</v>
      </c>
      <c r="BF180">
        <v>9</v>
      </c>
      <c r="BG180">
        <v>6</v>
      </c>
      <c r="BH180">
        <v>6</v>
      </c>
      <c r="BI180">
        <v>10</v>
      </c>
      <c r="BJ180">
        <v>2</v>
      </c>
      <c r="BK180">
        <v>9</v>
      </c>
      <c r="BL180">
        <v>0</v>
      </c>
      <c r="BM180">
        <v>5</v>
      </c>
      <c r="BN180">
        <v>1</v>
      </c>
      <c r="BO180">
        <v>1</v>
      </c>
      <c r="BP180">
        <v>7</v>
      </c>
      <c r="BQ180">
        <v>5</v>
      </c>
      <c r="BR180">
        <v>0</v>
      </c>
      <c r="BS180">
        <v>7</v>
      </c>
      <c r="BT180">
        <v>8</v>
      </c>
      <c r="BU180">
        <v>1</v>
      </c>
      <c r="BV180">
        <v>7</v>
      </c>
      <c r="BW180">
        <v>0</v>
      </c>
      <c r="BX180">
        <v>8</v>
      </c>
      <c r="BY180">
        <v>3</v>
      </c>
      <c r="BZ180">
        <v>3</v>
      </c>
      <c r="CA180">
        <v>6</v>
      </c>
      <c r="CB180">
        <v>5</v>
      </c>
      <c r="CC180">
        <v>7</v>
      </c>
      <c r="CD180">
        <v>10</v>
      </c>
      <c r="CE180">
        <v>3</v>
      </c>
      <c r="CF180">
        <v>7</v>
      </c>
      <c r="CG180">
        <v>1</v>
      </c>
      <c r="CH180">
        <v>1</v>
      </c>
      <c r="CI180">
        <v>1</v>
      </c>
      <c r="CJ180">
        <v>4</v>
      </c>
      <c r="CK180">
        <v>4</v>
      </c>
      <c r="CL180">
        <v>5</v>
      </c>
      <c r="CM180">
        <v>8</v>
      </c>
      <c r="CN180">
        <v>1</v>
      </c>
      <c r="CO180">
        <v>4</v>
      </c>
      <c r="CP180">
        <v>4</v>
      </c>
      <c r="CQ180">
        <v>10</v>
      </c>
      <c r="CR180">
        <v>6</v>
      </c>
      <c r="CS180">
        <v>3</v>
      </c>
      <c r="CT180">
        <v>3</v>
      </c>
      <c r="CU180">
        <v>2</v>
      </c>
      <c r="CV180">
        <v>10</v>
      </c>
      <c r="CW180">
        <v>1</v>
      </c>
      <c r="CX180">
        <v>9</v>
      </c>
      <c r="CY180">
        <v>2</v>
      </c>
      <c r="CZ180">
        <v>4</v>
      </c>
      <c r="DA180">
        <v>7</v>
      </c>
      <c r="DB180">
        <v>0</v>
      </c>
      <c r="DC180">
        <v>6</v>
      </c>
      <c r="DD180">
        <v>5</v>
      </c>
      <c r="DE180">
        <v>9</v>
      </c>
      <c r="DF180">
        <v>8</v>
      </c>
      <c r="DG180">
        <v>8</v>
      </c>
      <c r="DH180">
        <v>3</v>
      </c>
      <c r="DI180">
        <v>2</v>
      </c>
      <c r="DJ180">
        <v>6</v>
      </c>
      <c r="DK180">
        <v>4</v>
      </c>
    </row>
    <row r="181" spans="1:115">
      <c r="A181" s="173">
        <f>Calculations[[#This Row],[Sum t eCO2]]*IF(Calculations[[#This Row],[GHG Scope]]="BIOGENIC",0,1)</f>
        <v>1.6695105245302022E-3</v>
      </c>
      <c r="O181">
        <f t="shared" si="2"/>
        <v>180</v>
      </c>
      <c r="P181">
        <v>7</v>
      </c>
      <c r="Q181">
        <v>7</v>
      </c>
      <c r="R181">
        <v>10</v>
      </c>
      <c r="S181">
        <v>0</v>
      </c>
      <c r="T181">
        <v>6</v>
      </c>
      <c r="U181">
        <v>3</v>
      </c>
      <c r="V181">
        <v>5</v>
      </c>
      <c r="W181">
        <v>0</v>
      </c>
      <c r="X181">
        <v>5</v>
      </c>
      <c r="Y181">
        <v>10</v>
      </c>
      <c r="Z181">
        <v>1</v>
      </c>
      <c r="AA181">
        <v>10</v>
      </c>
      <c r="AB181">
        <v>2</v>
      </c>
      <c r="AC181">
        <v>9</v>
      </c>
      <c r="AD181">
        <v>5</v>
      </c>
      <c r="AE181">
        <v>8</v>
      </c>
      <c r="AF181">
        <v>8</v>
      </c>
      <c r="AG181">
        <v>2</v>
      </c>
      <c r="AH181">
        <v>10</v>
      </c>
      <c r="AI181">
        <v>10</v>
      </c>
      <c r="AJ181">
        <v>6</v>
      </c>
      <c r="AK181">
        <v>7</v>
      </c>
      <c r="AL181">
        <v>5</v>
      </c>
      <c r="AM181">
        <v>10</v>
      </c>
      <c r="AN181">
        <v>3</v>
      </c>
      <c r="AO181">
        <v>4</v>
      </c>
      <c r="AP181">
        <v>0</v>
      </c>
      <c r="AQ181">
        <v>8</v>
      </c>
      <c r="AR181">
        <v>5</v>
      </c>
      <c r="AS181">
        <v>4</v>
      </c>
      <c r="AT181">
        <v>5</v>
      </c>
      <c r="AU181">
        <v>5</v>
      </c>
      <c r="AV181">
        <v>3</v>
      </c>
      <c r="AW181">
        <v>6</v>
      </c>
      <c r="AX181">
        <v>7</v>
      </c>
      <c r="AY181">
        <v>0</v>
      </c>
      <c r="AZ181">
        <v>1</v>
      </c>
      <c r="BA181">
        <v>10</v>
      </c>
      <c r="BB181">
        <v>8</v>
      </c>
      <c r="BC181">
        <v>1</v>
      </c>
      <c r="BD181">
        <v>8</v>
      </c>
      <c r="BE181">
        <v>0</v>
      </c>
      <c r="BF181">
        <v>9</v>
      </c>
      <c r="BG181">
        <v>9</v>
      </c>
      <c r="BH181">
        <v>2</v>
      </c>
      <c r="BI181">
        <v>6</v>
      </c>
      <c r="BJ181">
        <v>4</v>
      </c>
      <c r="BK181">
        <v>3</v>
      </c>
      <c r="BL181">
        <v>3</v>
      </c>
      <c r="BM181">
        <v>6</v>
      </c>
      <c r="BN181">
        <v>10</v>
      </c>
      <c r="BO181">
        <v>10</v>
      </c>
      <c r="BP181">
        <v>9</v>
      </c>
      <c r="BQ181">
        <v>8</v>
      </c>
      <c r="BR181">
        <v>6</v>
      </c>
      <c r="BS181">
        <v>5</v>
      </c>
      <c r="BT181">
        <v>10</v>
      </c>
      <c r="BU181">
        <v>5</v>
      </c>
      <c r="BV181">
        <v>6</v>
      </c>
      <c r="BW181">
        <v>4</v>
      </c>
      <c r="BX181">
        <v>7</v>
      </c>
      <c r="BY181">
        <v>4</v>
      </c>
      <c r="BZ181">
        <v>9</v>
      </c>
      <c r="CA181">
        <v>5</v>
      </c>
      <c r="CB181">
        <v>9</v>
      </c>
      <c r="CC181">
        <v>9</v>
      </c>
      <c r="CD181">
        <v>6</v>
      </c>
      <c r="CE181">
        <v>5</v>
      </c>
      <c r="CF181">
        <v>1</v>
      </c>
      <c r="CG181">
        <v>1</v>
      </c>
      <c r="CH181">
        <v>0</v>
      </c>
      <c r="CI181">
        <v>7</v>
      </c>
      <c r="CJ181">
        <v>9</v>
      </c>
      <c r="CK181">
        <v>7</v>
      </c>
      <c r="CL181">
        <v>10</v>
      </c>
      <c r="CM181">
        <v>1</v>
      </c>
      <c r="CN181">
        <v>6</v>
      </c>
      <c r="CO181">
        <v>10</v>
      </c>
      <c r="CP181">
        <v>5</v>
      </c>
      <c r="CQ181">
        <v>7</v>
      </c>
      <c r="CR181">
        <v>0</v>
      </c>
      <c r="CS181">
        <v>4</v>
      </c>
      <c r="CT181">
        <v>6</v>
      </c>
      <c r="CU181">
        <v>6</v>
      </c>
      <c r="CV181">
        <v>2</v>
      </c>
      <c r="CW181">
        <v>3</v>
      </c>
      <c r="CX181">
        <v>5</v>
      </c>
      <c r="CY181">
        <v>5</v>
      </c>
      <c r="CZ181">
        <v>2</v>
      </c>
      <c r="DA181">
        <v>6</v>
      </c>
      <c r="DB181">
        <v>2</v>
      </c>
      <c r="DC181">
        <v>7</v>
      </c>
      <c r="DD181">
        <v>10</v>
      </c>
      <c r="DE181">
        <v>7</v>
      </c>
      <c r="DF181">
        <v>1</v>
      </c>
      <c r="DG181">
        <v>3</v>
      </c>
      <c r="DH181">
        <v>10</v>
      </c>
      <c r="DI181">
        <v>10</v>
      </c>
      <c r="DJ181">
        <v>7</v>
      </c>
      <c r="DK181">
        <v>4</v>
      </c>
    </row>
    <row r="182" spans="1:115">
      <c r="A182" s="173">
        <f>Calculations[[#This Row],[Sum t eCO2]]*IF(Calculations[[#This Row],[GHG Scope]]="BIOGENIC",0,1)</f>
        <v>1.5800724607160843E-3</v>
      </c>
      <c r="O182">
        <f t="shared" si="2"/>
        <v>181</v>
      </c>
      <c r="P182">
        <v>9</v>
      </c>
      <c r="Q182">
        <v>3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8</v>
      </c>
      <c r="X182">
        <v>2</v>
      </c>
      <c r="Y182">
        <v>9</v>
      </c>
      <c r="Z182">
        <v>10</v>
      </c>
      <c r="AA182">
        <v>5</v>
      </c>
      <c r="AB182">
        <v>6</v>
      </c>
      <c r="AC182">
        <v>6</v>
      </c>
      <c r="AD182">
        <v>6</v>
      </c>
      <c r="AE182">
        <v>7</v>
      </c>
      <c r="AF182">
        <v>9</v>
      </c>
      <c r="AG182">
        <v>7</v>
      </c>
      <c r="AH182">
        <v>3</v>
      </c>
      <c r="AI182">
        <v>10</v>
      </c>
      <c r="AJ182">
        <v>10</v>
      </c>
      <c r="AK182">
        <v>2</v>
      </c>
      <c r="AL182">
        <v>3</v>
      </c>
      <c r="AM182">
        <v>1</v>
      </c>
      <c r="AN182">
        <v>8</v>
      </c>
      <c r="AO182">
        <v>7</v>
      </c>
      <c r="AP182">
        <v>1</v>
      </c>
      <c r="AQ182">
        <v>1</v>
      </c>
      <c r="AR182">
        <v>7</v>
      </c>
      <c r="AS182">
        <v>9</v>
      </c>
      <c r="AT182">
        <v>9</v>
      </c>
      <c r="AU182">
        <v>1</v>
      </c>
      <c r="AV182">
        <v>0</v>
      </c>
      <c r="AW182">
        <v>9</v>
      </c>
      <c r="AX182">
        <v>0</v>
      </c>
      <c r="AY182">
        <v>1</v>
      </c>
      <c r="AZ182">
        <v>10</v>
      </c>
      <c r="BA182">
        <v>10</v>
      </c>
      <c r="BB182">
        <v>8</v>
      </c>
      <c r="BC182">
        <v>8</v>
      </c>
      <c r="BD182">
        <v>5</v>
      </c>
      <c r="BE182">
        <v>6</v>
      </c>
      <c r="BF182">
        <v>10</v>
      </c>
      <c r="BG182">
        <v>7</v>
      </c>
      <c r="BH182">
        <v>8</v>
      </c>
      <c r="BI182">
        <v>9</v>
      </c>
      <c r="BJ182">
        <v>5</v>
      </c>
      <c r="BK182">
        <v>6</v>
      </c>
      <c r="BL182">
        <v>3</v>
      </c>
      <c r="BM182">
        <v>8</v>
      </c>
      <c r="BN182">
        <v>1</v>
      </c>
      <c r="BO182">
        <v>10</v>
      </c>
      <c r="BP182">
        <v>8</v>
      </c>
      <c r="BQ182">
        <v>2</v>
      </c>
      <c r="BR182">
        <v>10</v>
      </c>
      <c r="BS182">
        <v>2</v>
      </c>
      <c r="BT182">
        <v>5</v>
      </c>
      <c r="BU182">
        <v>2</v>
      </c>
      <c r="BV182">
        <v>8</v>
      </c>
      <c r="BW182">
        <v>5</v>
      </c>
      <c r="BX182">
        <v>5</v>
      </c>
      <c r="BY182">
        <v>3</v>
      </c>
      <c r="BZ182">
        <v>0</v>
      </c>
      <c r="CA182">
        <v>8</v>
      </c>
      <c r="CB182">
        <v>0</v>
      </c>
      <c r="CC182">
        <v>3</v>
      </c>
      <c r="CD182">
        <v>9</v>
      </c>
      <c r="CE182">
        <v>1</v>
      </c>
      <c r="CF182">
        <v>7</v>
      </c>
      <c r="CG182">
        <v>2</v>
      </c>
      <c r="CH182">
        <v>9</v>
      </c>
      <c r="CI182">
        <v>4</v>
      </c>
      <c r="CJ182">
        <v>10</v>
      </c>
      <c r="CK182">
        <v>9</v>
      </c>
      <c r="CL182">
        <v>0</v>
      </c>
      <c r="CM182">
        <v>10</v>
      </c>
      <c r="CN182">
        <v>0</v>
      </c>
      <c r="CO182">
        <v>6</v>
      </c>
      <c r="CP182">
        <v>9</v>
      </c>
      <c r="CQ182">
        <v>7</v>
      </c>
      <c r="CR182">
        <v>4</v>
      </c>
      <c r="CS182">
        <v>10</v>
      </c>
      <c r="CT182">
        <v>9</v>
      </c>
      <c r="CU182">
        <v>6</v>
      </c>
      <c r="CV182">
        <v>0</v>
      </c>
      <c r="CW182">
        <v>10</v>
      </c>
      <c r="CX182">
        <v>0</v>
      </c>
      <c r="CY182">
        <v>8</v>
      </c>
      <c r="CZ182">
        <v>0</v>
      </c>
      <c r="DA182">
        <v>6</v>
      </c>
      <c r="DB182">
        <v>3</v>
      </c>
      <c r="DC182">
        <v>3</v>
      </c>
      <c r="DD182">
        <v>4</v>
      </c>
      <c r="DE182">
        <v>8</v>
      </c>
      <c r="DF182">
        <v>4</v>
      </c>
      <c r="DG182">
        <v>7</v>
      </c>
      <c r="DH182">
        <v>5</v>
      </c>
      <c r="DI182">
        <v>10</v>
      </c>
      <c r="DJ182">
        <v>2</v>
      </c>
      <c r="DK182">
        <v>10</v>
      </c>
    </row>
    <row r="183" spans="1:115">
      <c r="A183" s="173">
        <f>Calculations[[#This Row],[Sum t eCO2]]*IF(Calculations[[#This Row],[GHG Scope]]="BIOGENIC",0,1)</f>
        <v>1.2249800115639846</v>
      </c>
      <c r="O183">
        <f t="shared" si="2"/>
        <v>182</v>
      </c>
      <c r="P183">
        <v>8</v>
      </c>
      <c r="Q183">
        <v>6</v>
      </c>
      <c r="R183">
        <v>3</v>
      </c>
      <c r="S183">
        <v>0</v>
      </c>
      <c r="T183">
        <v>5</v>
      </c>
      <c r="U183">
        <v>6</v>
      </c>
      <c r="V183">
        <v>4</v>
      </c>
      <c r="W183">
        <v>7</v>
      </c>
      <c r="X183">
        <v>8</v>
      </c>
      <c r="Y183">
        <v>6</v>
      </c>
      <c r="Z183">
        <v>7</v>
      </c>
      <c r="AA183">
        <v>1</v>
      </c>
      <c r="AB183">
        <v>3</v>
      </c>
      <c r="AC183">
        <v>3</v>
      </c>
      <c r="AD183">
        <v>0</v>
      </c>
      <c r="AE183">
        <v>9</v>
      </c>
      <c r="AF183">
        <v>10</v>
      </c>
      <c r="AG183">
        <v>8</v>
      </c>
      <c r="AH183">
        <v>0</v>
      </c>
      <c r="AI183">
        <v>3</v>
      </c>
      <c r="AJ183">
        <v>10</v>
      </c>
      <c r="AK183">
        <v>1</v>
      </c>
      <c r="AL183">
        <v>3</v>
      </c>
      <c r="AM183">
        <v>10</v>
      </c>
      <c r="AN183">
        <v>0</v>
      </c>
      <c r="AO183">
        <v>6</v>
      </c>
      <c r="AP183">
        <v>5</v>
      </c>
      <c r="AQ183">
        <v>0</v>
      </c>
      <c r="AR183">
        <v>2</v>
      </c>
      <c r="AS183">
        <v>7</v>
      </c>
      <c r="AT183">
        <v>3</v>
      </c>
      <c r="AU183">
        <v>3</v>
      </c>
      <c r="AV183">
        <v>9</v>
      </c>
      <c r="AW183">
        <v>10</v>
      </c>
      <c r="AX183">
        <v>8</v>
      </c>
      <c r="AY183">
        <v>9</v>
      </c>
      <c r="AZ183">
        <v>3</v>
      </c>
      <c r="BA183">
        <v>6</v>
      </c>
      <c r="BB183">
        <v>10</v>
      </c>
      <c r="BC183">
        <v>6</v>
      </c>
      <c r="BD183">
        <v>8</v>
      </c>
      <c r="BE183">
        <v>1</v>
      </c>
      <c r="BF183">
        <v>5</v>
      </c>
      <c r="BG183">
        <v>4</v>
      </c>
      <c r="BH183">
        <v>1</v>
      </c>
      <c r="BI183">
        <v>4</v>
      </c>
      <c r="BJ183">
        <v>10</v>
      </c>
      <c r="BK183">
        <v>9</v>
      </c>
      <c r="BL183">
        <v>9</v>
      </c>
      <c r="BM183">
        <v>6</v>
      </c>
      <c r="BN183">
        <v>5</v>
      </c>
      <c r="BO183">
        <v>9</v>
      </c>
      <c r="BP183">
        <v>10</v>
      </c>
      <c r="BQ183">
        <v>0</v>
      </c>
      <c r="BR183">
        <v>3</v>
      </c>
      <c r="BS183">
        <v>3</v>
      </c>
      <c r="BT183">
        <v>5</v>
      </c>
      <c r="BU183">
        <v>8</v>
      </c>
      <c r="BV183">
        <v>8</v>
      </c>
      <c r="BW183">
        <v>5</v>
      </c>
      <c r="BX183">
        <v>6</v>
      </c>
      <c r="BY183">
        <v>9</v>
      </c>
      <c r="BZ183">
        <v>3</v>
      </c>
      <c r="CA183">
        <v>8</v>
      </c>
      <c r="CB183">
        <v>4</v>
      </c>
      <c r="CC183">
        <v>5</v>
      </c>
      <c r="CD183">
        <v>9</v>
      </c>
      <c r="CE183">
        <v>5</v>
      </c>
      <c r="CF183">
        <v>7</v>
      </c>
      <c r="CG183">
        <v>9</v>
      </c>
      <c r="CH183">
        <v>3</v>
      </c>
      <c r="CI183">
        <v>8</v>
      </c>
      <c r="CJ183">
        <v>0</v>
      </c>
      <c r="CK183">
        <v>10</v>
      </c>
      <c r="CL183">
        <v>5</v>
      </c>
      <c r="CM183">
        <v>10</v>
      </c>
      <c r="CN183">
        <v>7</v>
      </c>
      <c r="CO183">
        <v>9</v>
      </c>
      <c r="CP183">
        <v>10</v>
      </c>
      <c r="CQ183">
        <v>8</v>
      </c>
      <c r="CR183">
        <v>1</v>
      </c>
      <c r="CS183">
        <v>1</v>
      </c>
      <c r="CT183">
        <v>5</v>
      </c>
      <c r="CU183">
        <v>6</v>
      </c>
      <c r="CV183">
        <v>9</v>
      </c>
      <c r="CW183">
        <v>2</v>
      </c>
      <c r="CX183">
        <v>5</v>
      </c>
      <c r="CY183">
        <v>8</v>
      </c>
      <c r="CZ183">
        <v>7</v>
      </c>
      <c r="DA183">
        <v>4</v>
      </c>
      <c r="DB183">
        <v>8</v>
      </c>
      <c r="DC183">
        <v>6</v>
      </c>
      <c r="DD183">
        <v>7</v>
      </c>
      <c r="DE183">
        <v>6</v>
      </c>
      <c r="DF183">
        <v>4</v>
      </c>
      <c r="DG183">
        <v>7</v>
      </c>
      <c r="DH183">
        <v>1</v>
      </c>
      <c r="DI183">
        <v>5</v>
      </c>
      <c r="DJ183">
        <v>6</v>
      </c>
      <c r="DK183">
        <v>0</v>
      </c>
    </row>
    <row r="184" spans="1:115">
      <c r="A184" s="173">
        <f>Calculations[[#This Row],[Sum t eCO2]]*IF(Calculations[[#This Row],[GHG Scope]]="BIOGENIC",0,1)</f>
        <v>6.160653852499609E-4</v>
      </c>
      <c r="O184">
        <f t="shared" si="2"/>
        <v>183</v>
      </c>
      <c r="P184">
        <v>4</v>
      </c>
      <c r="Q184">
        <v>7</v>
      </c>
      <c r="R184">
        <v>0</v>
      </c>
      <c r="S184">
        <v>5</v>
      </c>
      <c r="T184">
        <v>9</v>
      </c>
      <c r="U184">
        <v>4</v>
      </c>
      <c r="V184">
        <v>9</v>
      </c>
      <c r="W184">
        <v>2</v>
      </c>
      <c r="X184">
        <v>10</v>
      </c>
      <c r="Y184">
        <v>10</v>
      </c>
      <c r="Z184">
        <v>6</v>
      </c>
      <c r="AA184">
        <v>4</v>
      </c>
      <c r="AB184">
        <v>4</v>
      </c>
      <c r="AC184">
        <v>7</v>
      </c>
      <c r="AD184">
        <v>3</v>
      </c>
      <c r="AE184">
        <v>0</v>
      </c>
      <c r="AF184">
        <v>8</v>
      </c>
      <c r="AG184">
        <v>6</v>
      </c>
      <c r="AH184">
        <v>5</v>
      </c>
      <c r="AI184">
        <v>9</v>
      </c>
      <c r="AJ184">
        <v>6</v>
      </c>
      <c r="AK184">
        <v>10</v>
      </c>
      <c r="AL184">
        <v>5</v>
      </c>
      <c r="AM184">
        <v>6</v>
      </c>
      <c r="AN184">
        <v>2</v>
      </c>
      <c r="AO184">
        <v>3</v>
      </c>
      <c r="AP184">
        <v>3</v>
      </c>
      <c r="AQ184">
        <v>10</v>
      </c>
      <c r="AR184">
        <v>1</v>
      </c>
      <c r="AS184">
        <v>8</v>
      </c>
      <c r="AT184">
        <v>2</v>
      </c>
      <c r="AU184">
        <v>10</v>
      </c>
      <c r="AV184">
        <v>10</v>
      </c>
      <c r="AW184">
        <v>9</v>
      </c>
      <c r="AX184">
        <v>1</v>
      </c>
      <c r="AY184">
        <v>3</v>
      </c>
      <c r="AZ184">
        <v>10</v>
      </c>
      <c r="BA184">
        <v>3</v>
      </c>
      <c r="BB184">
        <v>7</v>
      </c>
      <c r="BC184">
        <v>6</v>
      </c>
      <c r="BD184">
        <v>0</v>
      </c>
      <c r="BE184">
        <v>3</v>
      </c>
      <c r="BF184">
        <v>7</v>
      </c>
      <c r="BG184">
        <v>4</v>
      </c>
      <c r="BH184">
        <v>10</v>
      </c>
      <c r="BI184">
        <v>6</v>
      </c>
      <c r="BJ184">
        <v>7</v>
      </c>
      <c r="BK184">
        <v>0</v>
      </c>
      <c r="BL184">
        <v>10</v>
      </c>
      <c r="BM184">
        <v>3</v>
      </c>
      <c r="BN184">
        <v>10</v>
      </c>
      <c r="BO184">
        <v>5</v>
      </c>
      <c r="BP184">
        <v>5</v>
      </c>
      <c r="BQ184">
        <v>7</v>
      </c>
      <c r="BR184">
        <v>2</v>
      </c>
      <c r="BS184">
        <v>0</v>
      </c>
      <c r="BT184">
        <v>7</v>
      </c>
      <c r="BU184">
        <v>8</v>
      </c>
      <c r="BV184">
        <v>10</v>
      </c>
      <c r="BW184">
        <v>0</v>
      </c>
      <c r="BX184">
        <v>1</v>
      </c>
      <c r="BY184">
        <v>6</v>
      </c>
      <c r="BZ184">
        <v>9</v>
      </c>
      <c r="CA184">
        <v>4</v>
      </c>
      <c r="CB184">
        <v>4</v>
      </c>
      <c r="CC184">
        <v>8</v>
      </c>
      <c r="CD184">
        <v>7</v>
      </c>
      <c r="CE184">
        <v>5</v>
      </c>
      <c r="CF184">
        <v>8</v>
      </c>
      <c r="CG184">
        <v>4</v>
      </c>
      <c r="CH184">
        <v>9</v>
      </c>
      <c r="CI184">
        <v>8</v>
      </c>
      <c r="CJ184">
        <v>4</v>
      </c>
      <c r="CK184">
        <v>0</v>
      </c>
      <c r="CL184">
        <v>2</v>
      </c>
      <c r="CM184">
        <v>1</v>
      </c>
      <c r="CN184">
        <v>4</v>
      </c>
      <c r="CO184">
        <v>10</v>
      </c>
      <c r="CP184">
        <v>8</v>
      </c>
      <c r="CQ184">
        <v>9</v>
      </c>
      <c r="CR184">
        <v>4</v>
      </c>
      <c r="CS184">
        <v>1</v>
      </c>
      <c r="CT184">
        <v>0</v>
      </c>
      <c r="CU184">
        <v>9</v>
      </c>
      <c r="CV184">
        <v>1</v>
      </c>
      <c r="CW184">
        <v>7</v>
      </c>
      <c r="CX184">
        <v>8</v>
      </c>
      <c r="CY184">
        <v>10</v>
      </c>
      <c r="CZ184">
        <v>8</v>
      </c>
      <c r="DA184">
        <v>5</v>
      </c>
      <c r="DB184">
        <v>4</v>
      </c>
      <c r="DC184">
        <v>9</v>
      </c>
      <c r="DD184">
        <v>1</v>
      </c>
      <c r="DE184">
        <v>10</v>
      </c>
      <c r="DF184">
        <v>2</v>
      </c>
      <c r="DG184">
        <v>6</v>
      </c>
      <c r="DH184">
        <v>3</v>
      </c>
      <c r="DI184">
        <v>7</v>
      </c>
      <c r="DJ184">
        <v>2</v>
      </c>
      <c r="DK184">
        <v>9</v>
      </c>
    </row>
    <row r="185" spans="1:115">
      <c r="A185" s="173">
        <f>Calculations[[#This Row],[Sum t eCO2]]*IF(Calculations[[#This Row],[GHG Scope]]="BIOGENIC",0,1)</f>
        <v>5.8306188246871297E-4</v>
      </c>
      <c r="O185">
        <f t="shared" si="2"/>
        <v>184</v>
      </c>
      <c r="P185">
        <v>3</v>
      </c>
      <c r="Q185">
        <v>10</v>
      </c>
      <c r="R185">
        <v>3</v>
      </c>
      <c r="S185">
        <v>7</v>
      </c>
      <c r="T185">
        <v>10</v>
      </c>
      <c r="U185">
        <v>5</v>
      </c>
      <c r="V185">
        <v>1</v>
      </c>
      <c r="W185">
        <v>4</v>
      </c>
      <c r="X185">
        <v>5</v>
      </c>
      <c r="Y185">
        <v>8</v>
      </c>
      <c r="Z185">
        <v>7</v>
      </c>
      <c r="AA185">
        <v>9</v>
      </c>
      <c r="AB185">
        <v>0</v>
      </c>
      <c r="AC185">
        <v>10</v>
      </c>
      <c r="AD185">
        <v>1</v>
      </c>
      <c r="AE185">
        <v>1</v>
      </c>
      <c r="AF185">
        <v>5</v>
      </c>
      <c r="AG185">
        <v>4</v>
      </c>
      <c r="AH185">
        <v>8</v>
      </c>
      <c r="AI185">
        <v>5</v>
      </c>
      <c r="AJ185">
        <v>5</v>
      </c>
      <c r="AK185">
        <v>0</v>
      </c>
      <c r="AL185">
        <v>5</v>
      </c>
      <c r="AM185">
        <v>10</v>
      </c>
      <c r="AN185">
        <v>4</v>
      </c>
      <c r="AO185">
        <v>3</v>
      </c>
      <c r="AP185">
        <v>9</v>
      </c>
      <c r="AQ185">
        <v>0</v>
      </c>
      <c r="AR185">
        <v>1</v>
      </c>
      <c r="AS185">
        <v>6</v>
      </c>
      <c r="AT185">
        <v>0</v>
      </c>
      <c r="AU185">
        <v>8</v>
      </c>
      <c r="AV185">
        <v>0</v>
      </c>
      <c r="AW185">
        <v>8</v>
      </c>
      <c r="AX185">
        <v>5</v>
      </c>
      <c r="AY185">
        <v>9</v>
      </c>
      <c r="AZ185">
        <v>7</v>
      </c>
      <c r="BA185">
        <v>9</v>
      </c>
      <c r="BB185">
        <v>10</v>
      </c>
      <c r="BC185">
        <v>0</v>
      </c>
      <c r="BD185">
        <v>3</v>
      </c>
      <c r="BE185">
        <v>7</v>
      </c>
      <c r="BF185">
        <v>2</v>
      </c>
      <c r="BG185">
        <v>5</v>
      </c>
      <c r="BH185">
        <v>7</v>
      </c>
      <c r="BI185">
        <v>2</v>
      </c>
      <c r="BJ185">
        <v>2</v>
      </c>
      <c r="BK185">
        <v>1</v>
      </c>
      <c r="BL185">
        <v>9</v>
      </c>
      <c r="BM185">
        <v>5</v>
      </c>
      <c r="BN185">
        <v>0</v>
      </c>
      <c r="BO185">
        <v>2</v>
      </c>
      <c r="BP185">
        <v>9</v>
      </c>
      <c r="BQ185">
        <v>0</v>
      </c>
      <c r="BR185">
        <v>10</v>
      </c>
      <c r="BS185">
        <v>0</v>
      </c>
      <c r="BT185">
        <v>8</v>
      </c>
      <c r="BU185">
        <v>4</v>
      </c>
      <c r="BV185">
        <v>8</v>
      </c>
      <c r="BW185">
        <v>1</v>
      </c>
      <c r="BX185">
        <v>3</v>
      </c>
      <c r="BY185">
        <v>2</v>
      </c>
      <c r="BZ185">
        <v>7</v>
      </c>
      <c r="CA185">
        <v>4</v>
      </c>
      <c r="CB185">
        <v>9</v>
      </c>
      <c r="CC185">
        <v>3</v>
      </c>
      <c r="CD185">
        <v>10</v>
      </c>
      <c r="CE185">
        <v>3</v>
      </c>
      <c r="CF185">
        <v>9</v>
      </c>
      <c r="CG185">
        <v>2</v>
      </c>
      <c r="CH185">
        <v>10</v>
      </c>
      <c r="CI185">
        <v>2</v>
      </c>
      <c r="CJ185">
        <v>3</v>
      </c>
      <c r="CK185">
        <v>1</v>
      </c>
      <c r="CL185">
        <v>7</v>
      </c>
      <c r="CM185">
        <v>9</v>
      </c>
      <c r="CN185">
        <v>8</v>
      </c>
      <c r="CO185">
        <v>7</v>
      </c>
      <c r="CP185">
        <v>10</v>
      </c>
      <c r="CQ185">
        <v>7</v>
      </c>
      <c r="CR185">
        <v>2</v>
      </c>
      <c r="CS185">
        <v>9</v>
      </c>
      <c r="CT185">
        <v>1</v>
      </c>
      <c r="CU185">
        <v>3</v>
      </c>
      <c r="CV185">
        <v>0</v>
      </c>
      <c r="CW185">
        <v>10</v>
      </c>
      <c r="CX185">
        <v>4</v>
      </c>
      <c r="CY185">
        <v>2</v>
      </c>
      <c r="CZ185">
        <v>6</v>
      </c>
      <c r="DA185">
        <v>1</v>
      </c>
      <c r="DB185">
        <v>3</v>
      </c>
      <c r="DC185">
        <v>1</v>
      </c>
      <c r="DD185">
        <v>9</v>
      </c>
      <c r="DE185">
        <v>7</v>
      </c>
      <c r="DF185">
        <v>9</v>
      </c>
      <c r="DG185">
        <v>2</v>
      </c>
      <c r="DH185">
        <v>9</v>
      </c>
      <c r="DI185">
        <v>10</v>
      </c>
      <c r="DJ185">
        <v>4</v>
      </c>
      <c r="DK185">
        <v>8</v>
      </c>
    </row>
    <row r="186" spans="1:115">
      <c r="A186" s="173">
        <f>Calculations[[#This Row],[Sum t eCO2]]*IF(Calculations[[#This Row],[GHG Scope]]="BIOGENIC",0,1)</f>
        <v>224.80471051907404</v>
      </c>
      <c r="O186">
        <f t="shared" si="2"/>
        <v>185</v>
      </c>
      <c r="P186">
        <v>3</v>
      </c>
      <c r="Q186">
        <v>5</v>
      </c>
      <c r="R186">
        <v>4</v>
      </c>
      <c r="S186">
        <v>3</v>
      </c>
      <c r="T186">
        <v>1</v>
      </c>
      <c r="U186">
        <v>5</v>
      </c>
      <c r="V186">
        <v>7</v>
      </c>
      <c r="W186">
        <v>8</v>
      </c>
      <c r="X186">
        <v>1</v>
      </c>
      <c r="Y186">
        <v>7</v>
      </c>
      <c r="Z186">
        <v>2</v>
      </c>
      <c r="AA186">
        <v>10</v>
      </c>
      <c r="AB186">
        <v>6</v>
      </c>
      <c r="AC186">
        <v>5</v>
      </c>
      <c r="AD186">
        <v>2</v>
      </c>
      <c r="AE186">
        <v>9</v>
      </c>
      <c r="AF186">
        <v>4</v>
      </c>
      <c r="AG186">
        <v>5</v>
      </c>
      <c r="AH186">
        <v>3</v>
      </c>
      <c r="AI186">
        <v>1</v>
      </c>
      <c r="AJ186">
        <v>8</v>
      </c>
      <c r="AK186">
        <v>2</v>
      </c>
      <c r="AL186">
        <v>2</v>
      </c>
      <c r="AM186">
        <v>6</v>
      </c>
      <c r="AN186">
        <v>1</v>
      </c>
      <c r="AO186">
        <v>7</v>
      </c>
      <c r="AP186">
        <v>1</v>
      </c>
      <c r="AQ186">
        <v>2</v>
      </c>
      <c r="AR186">
        <v>9</v>
      </c>
      <c r="AS186">
        <v>4</v>
      </c>
      <c r="AT186">
        <v>5</v>
      </c>
      <c r="AU186">
        <v>1</v>
      </c>
      <c r="AV186">
        <v>6</v>
      </c>
      <c r="AW186">
        <v>10</v>
      </c>
      <c r="AX186">
        <v>2</v>
      </c>
      <c r="AY186">
        <v>4</v>
      </c>
      <c r="AZ186">
        <v>4</v>
      </c>
      <c r="BA186">
        <v>5</v>
      </c>
      <c r="BB186">
        <v>4</v>
      </c>
      <c r="BC186">
        <v>3</v>
      </c>
      <c r="BD186">
        <v>1</v>
      </c>
      <c r="BE186">
        <v>9</v>
      </c>
      <c r="BF186">
        <v>5</v>
      </c>
      <c r="BG186">
        <v>4</v>
      </c>
      <c r="BH186">
        <v>3</v>
      </c>
      <c r="BI186">
        <v>10</v>
      </c>
      <c r="BJ186">
        <v>3</v>
      </c>
      <c r="BK186">
        <v>4</v>
      </c>
      <c r="BL186">
        <v>0</v>
      </c>
      <c r="BM186">
        <v>6</v>
      </c>
      <c r="BN186">
        <v>10</v>
      </c>
      <c r="BO186">
        <v>6</v>
      </c>
      <c r="BP186">
        <v>0</v>
      </c>
      <c r="BQ186">
        <v>9</v>
      </c>
      <c r="BR186">
        <v>1</v>
      </c>
      <c r="BS186">
        <v>7</v>
      </c>
      <c r="BT186">
        <v>3</v>
      </c>
      <c r="BU186">
        <v>10</v>
      </c>
      <c r="BV186">
        <v>5</v>
      </c>
      <c r="BW186">
        <v>5</v>
      </c>
      <c r="BX186">
        <v>7</v>
      </c>
      <c r="BY186">
        <v>5</v>
      </c>
      <c r="BZ186">
        <v>5</v>
      </c>
      <c r="CA186">
        <v>4</v>
      </c>
      <c r="CB186">
        <v>10</v>
      </c>
      <c r="CC186">
        <v>9</v>
      </c>
      <c r="CD186">
        <v>4</v>
      </c>
      <c r="CE186">
        <v>2</v>
      </c>
      <c r="CF186">
        <v>3</v>
      </c>
      <c r="CG186">
        <v>9</v>
      </c>
      <c r="CH186">
        <v>1</v>
      </c>
      <c r="CI186">
        <v>0</v>
      </c>
      <c r="CJ186">
        <v>9</v>
      </c>
      <c r="CK186">
        <v>3</v>
      </c>
      <c r="CL186">
        <v>1</v>
      </c>
      <c r="CM186">
        <v>7</v>
      </c>
      <c r="CN186">
        <v>3</v>
      </c>
      <c r="CO186">
        <v>7</v>
      </c>
      <c r="CP186">
        <v>10</v>
      </c>
      <c r="CQ186">
        <v>0</v>
      </c>
      <c r="CR186">
        <v>6</v>
      </c>
      <c r="CS186">
        <v>10</v>
      </c>
      <c r="CT186">
        <v>10</v>
      </c>
      <c r="CU186">
        <v>3</v>
      </c>
      <c r="CV186">
        <v>7</v>
      </c>
      <c r="CW186">
        <v>0</v>
      </c>
      <c r="CX186">
        <v>5</v>
      </c>
      <c r="CY186">
        <v>3</v>
      </c>
      <c r="CZ186">
        <v>6</v>
      </c>
      <c r="DA186">
        <v>3</v>
      </c>
      <c r="DB186">
        <v>1</v>
      </c>
      <c r="DC186">
        <v>2</v>
      </c>
      <c r="DD186">
        <v>0</v>
      </c>
      <c r="DE186">
        <v>8</v>
      </c>
      <c r="DF186">
        <v>1</v>
      </c>
      <c r="DG186">
        <v>4</v>
      </c>
      <c r="DH186">
        <v>3</v>
      </c>
      <c r="DI186">
        <v>3</v>
      </c>
      <c r="DJ186">
        <v>0</v>
      </c>
      <c r="DK186">
        <v>8</v>
      </c>
    </row>
    <row r="187" spans="1:115">
      <c r="A187" s="173">
        <f>Calculations[[#This Row],[Sum t eCO2]]*IF(Calculations[[#This Row],[GHG Scope]]="BIOGENIC",0,1)</f>
        <v>0.17690241406557392</v>
      </c>
      <c r="O187">
        <f t="shared" si="2"/>
        <v>186</v>
      </c>
      <c r="P187">
        <v>10</v>
      </c>
      <c r="Q187">
        <v>8</v>
      </c>
      <c r="R187">
        <v>3</v>
      </c>
      <c r="S187">
        <v>9</v>
      </c>
      <c r="T187">
        <v>5</v>
      </c>
      <c r="U187">
        <v>9</v>
      </c>
      <c r="V187">
        <v>3</v>
      </c>
      <c r="W187">
        <v>8</v>
      </c>
      <c r="X187">
        <v>7</v>
      </c>
      <c r="Y187">
        <v>0</v>
      </c>
      <c r="Z187">
        <v>2</v>
      </c>
      <c r="AA187">
        <v>4</v>
      </c>
      <c r="AB187">
        <v>9</v>
      </c>
      <c r="AC187">
        <v>10</v>
      </c>
      <c r="AD187">
        <v>5</v>
      </c>
      <c r="AE187">
        <v>9</v>
      </c>
      <c r="AF187">
        <v>9</v>
      </c>
      <c r="AG187">
        <v>9</v>
      </c>
      <c r="AH187">
        <v>6</v>
      </c>
      <c r="AI187">
        <v>4</v>
      </c>
      <c r="AJ187">
        <v>4</v>
      </c>
      <c r="AK187">
        <v>7</v>
      </c>
      <c r="AL187">
        <v>9</v>
      </c>
      <c r="AM187">
        <v>0</v>
      </c>
      <c r="AN187">
        <v>8</v>
      </c>
      <c r="AO187">
        <v>1</v>
      </c>
      <c r="AP187">
        <v>7</v>
      </c>
      <c r="AQ187">
        <v>2</v>
      </c>
      <c r="AR187">
        <v>3</v>
      </c>
      <c r="AS187">
        <v>10</v>
      </c>
      <c r="AT187">
        <v>0</v>
      </c>
      <c r="AU187">
        <v>1</v>
      </c>
      <c r="AV187">
        <v>4</v>
      </c>
      <c r="AW187">
        <v>4</v>
      </c>
      <c r="AX187">
        <v>0</v>
      </c>
      <c r="AY187">
        <v>0</v>
      </c>
      <c r="AZ187">
        <v>1</v>
      </c>
      <c r="BA187">
        <v>4</v>
      </c>
      <c r="BB187">
        <v>10</v>
      </c>
      <c r="BC187">
        <v>0</v>
      </c>
      <c r="BD187">
        <v>1</v>
      </c>
      <c r="BE187">
        <v>4</v>
      </c>
      <c r="BF187">
        <v>10</v>
      </c>
      <c r="BG187">
        <v>6</v>
      </c>
      <c r="BH187">
        <v>1</v>
      </c>
      <c r="BI187">
        <v>2</v>
      </c>
      <c r="BJ187">
        <v>8</v>
      </c>
      <c r="BK187">
        <v>0</v>
      </c>
      <c r="BL187">
        <v>2</v>
      </c>
      <c r="BM187">
        <v>1</v>
      </c>
      <c r="BN187">
        <v>9</v>
      </c>
      <c r="BO187">
        <v>10</v>
      </c>
      <c r="BP187">
        <v>10</v>
      </c>
      <c r="BQ187">
        <v>9</v>
      </c>
      <c r="BR187">
        <v>3</v>
      </c>
      <c r="BS187">
        <v>8</v>
      </c>
      <c r="BT187">
        <v>0</v>
      </c>
      <c r="BU187">
        <v>4</v>
      </c>
      <c r="BV187">
        <v>10</v>
      </c>
      <c r="BW187">
        <v>3</v>
      </c>
      <c r="BX187">
        <v>9</v>
      </c>
      <c r="BY187">
        <v>2</v>
      </c>
      <c r="BZ187">
        <v>5</v>
      </c>
      <c r="CA187">
        <v>10</v>
      </c>
      <c r="CB187">
        <v>7</v>
      </c>
      <c r="CC187">
        <v>3</v>
      </c>
      <c r="CD187">
        <v>2</v>
      </c>
      <c r="CE187">
        <v>7</v>
      </c>
      <c r="CF187">
        <v>3</v>
      </c>
      <c r="CG187">
        <v>3</v>
      </c>
      <c r="CH187">
        <v>3</v>
      </c>
      <c r="CI187">
        <v>10</v>
      </c>
      <c r="CJ187">
        <v>10</v>
      </c>
      <c r="CK187">
        <v>2</v>
      </c>
      <c r="CL187">
        <v>1</v>
      </c>
      <c r="CM187">
        <v>2</v>
      </c>
      <c r="CN187">
        <v>3</v>
      </c>
      <c r="CO187">
        <v>7</v>
      </c>
      <c r="CP187">
        <v>2</v>
      </c>
      <c r="CQ187">
        <v>4</v>
      </c>
      <c r="CR187">
        <v>6</v>
      </c>
      <c r="CS187">
        <v>6</v>
      </c>
      <c r="CT187">
        <v>10</v>
      </c>
      <c r="CU187">
        <v>0</v>
      </c>
      <c r="CV187">
        <v>6</v>
      </c>
      <c r="CW187">
        <v>5</v>
      </c>
      <c r="CX187">
        <v>4</v>
      </c>
      <c r="CY187">
        <v>9</v>
      </c>
      <c r="CZ187">
        <v>8</v>
      </c>
      <c r="DA187">
        <v>10</v>
      </c>
      <c r="DB187">
        <v>6</v>
      </c>
      <c r="DC187">
        <v>9</v>
      </c>
      <c r="DD187">
        <v>8</v>
      </c>
      <c r="DE187">
        <v>2</v>
      </c>
      <c r="DF187">
        <v>3</v>
      </c>
      <c r="DG187">
        <v>9</v>
      </c>
      <c r="DH187">
        <v>3</v>
      </c>
      <c r="DI187">
        <v>1</v>
      </c>
      <c r="DJ187">
        <v>4</v>
      </c>
      <c r="DK187">
        <v>7</v>
      </c>
    </row>
    <row r="188" spans="1:115">
      <c r="A188" s="173">
        <f>Calculations[[#This Row],[Sum t eCO2]]*IF(Calculations[[#This Row],[GHG Scope]]="BIOGENIC",0,1)</f>
        <v>2.105193051797269</v>
      </c>
      <c r="O188">
        <f t="shared" si="2"/>
        <v>187</v>
      </c>
      <c r="P188">
        <v>2</v>
      </c>
      <c r="Q188">
        <v>2</v>
      </c>
      <c r="R188">
        <v>1</v>
      </c>
      <c r="S188">
        <v>8</v>
      </c>
      <c r="T188">
        <v>6</v>
      </c>
      <c r="U188">
        <v>8</v>
      </c>
      <c r="V188">
        <v>0</v>
      </c>
      <c r="W188">
        <v>3</v>
      </c>
      <c r="X188">
        <v>1</v>
      </c>
      <c r="Y188">
        <v>6</v>
      </c>
      <c r="Z188">
        <v>7</v>
      </c>
      <c r="AA188">
        <v>4</v>
      </c>
      <c r="AB188">
        <v>5</v>
      </c>
      <c r="AC188">
        <v>6</v>
      </c>
      <c r="AD188">
        <v>9</v>
      </c>
      <c r="AE188">
        <v>10</v>
      </c>
      <c r="AF188">
        <v>9</v>
      </c>
      <c r="AG188">
        <v>0</v>
      </c>
      <c r="AH188">
        <v>0</v>
      </c>
      <c r="AI188">
        <v>10</v>
      </c>
      <c r="AJ188">
        <v>7</v>
      </c>
      <c r="AK188">
        <v>4</v>
      </c>
      <c r="AL188">
        <v>8</v>
      </c>
      <c r="AM188">
        <v>7</v>
      </c>
      <c r="AN188">
        <v>5</v>
      </c>
      <c r="AO188">
        <v>3</v>
      </c>
      <c r="AP188">
        <v>8</v>
      </c>
      <c r="AQ188">
        <v>10</v>
      </c>
      <c r="AR188">
        <v>7</v>
      </c>
      <c r="AS188">
        <v>6</v>
      </c>
      <c r="AT188">
        <v>8</v>
      </c>
      <c r="AU188">
        <v>10</v>
      </c>
      <c r="AV188">
        <v>0</v>
      </c>
      <c r="AW188">
        <v>8</v>
      </c>
      <c r="AX188">
        <v>6</v>
      </c>
      <c r="AY188">
        <v>7</v>
      </c>
      <c r="AZ188">
        <v>6</v>
      </c>
      <c r="BA188">
        <v>2</v>
      </c>
      <c r="BB188">
        <v>7</v>
      </c>
      <c r="BC188">
        <v>5</v>
      </c>
      <c r="BD188">
        <v>5</v>
      </c>
      <c r="BE188">
        <v>0</v>
      </c>
      <c r="BF188">
        <v>6</v>
      </c>
      <c r="BG188">
        <v>1</v>
      </c>
      <c r="BH188">
        <v>7</v>
      </c>
      <c r="BI188">
        <v>10</v>
      </c>
      <c r="BJ188">
        <v>4</v>
      </c>
      <c r="BK188">
        <v>5</v>
      </c>
      <c r="BL188">
        <v>2</v>
      </c>
      <c r="BM188">
        <v>4</v>
      </c>
      <c r="BN188">
        <v>3</v>
      </c>
      <c r="BO188">
        <v>3</v>
      </c>
      <c r="BP188">
        <v>1</v>
      </c>
      <c r="BQ188">
        <v>2</v>
      </c>
      <c r="BR188">
        <v>8</v>
      </c>
      <c r="BS188">
        <v>4</v>
      </c>
      <c r="BT188">
        <v>0</v>
      </c>
      <c r="BU188">
        <v>2</v>
      </c>
      <c r="BV188">
        <v>5</v>
      </c>
      <c r="BW188">
        <v>5</v>
      </c>
      <c r="BX188">
        <v>5</v>
      </c>
      <c r="BY188">
        <v>2</v>
      </c>
      <c r="BZ188">
        <v>1</v>
      </c>
      <c r="CA188">
        <v>0</v>
      </c>
      <c r="CB188">
        <v>2</v>
      </c>
      <c r="CC188">
        <v>2</v>
      </c>
      <c r="CD188">
        <v>7</v>
      </c>
      <c r="CE188">
        <v>5</v>
      </c>
      <c r="CF188">
        <v>6</v>
      </c>
      <c r="CG188">
        <v>8</v>
      </c>
      <c r="CH188">
        <v>8</v>
      </c>
      <c r="CI188">
        <v>0</v>
      </c>
      <c r="CJ188">
        <v>3</v>
      </c>
      <c r="CK188">
        <v>2</v>
      </c>
      <c r="CL188">
        <v>2</v>
      </c>
      <c r="CM188">
        <v>9</v>
      </c>
      <c r="CN188">
        <v>4</v>
      </c>
      <c r="CO188">
        <v>9</v>
      </c>
      <c r="CP188">
        <v>4</v>
      </c>
      <c r="CQ188">
        <v>5</v>
      </c>
      <c r="CR188">
        <v>0</v>
      </c>
      <c r="CS188">
        <v>0</v>
      </c>
      <c r="CT188">
        <v>8</v>
      </c>
      <c r="CU188">
        <v>10</v>
      </c>
      <c r="CV188">
        <v>6</v>
      </c>
      <c r="CW188">
        <v>0</v>
      </c>
      <c r="CX188">
        <v>10</v>
      </c>
      <c r="CY188">
        <v>8</v>
      </c>
      <c r="CZ188">
        <v>10</v>
      </c>
      <c r="DA188">
        <v>2</v>
      </c>
      <c r="DB188">
        <v>5</v>
      </c>
      <c r="DC188">
        <v>8</v>
      </c>
      <c r="DD188">
        <v>9</v>
      </c>
      <c r="DE188">
        <v>0</v>
      </c>
      <c r="DF188">
        <v>3</v>
      </c>
      <c r="DG188">
        <v>1</v>
      </c>
      <c r="DH188">
        <v>2</v>
      </c>
      <c r="DI188">
        <v>0</v>
      </c>
      <c r="DJ188">
        <v>2</v>
      </c>
      <c r="DK188">
        <v>10</v>
      </c>
    </row>
    <row r="189" spans="1:115">
      <c r="A189" s="173">
        <f>Calculations[[#This Row],[Sum t eCO2]]*IF(Calculations[[#This Row],[GHG Scope]]="BIOGENIC",0,1)</f>
        <v>2.6008811010000001</v>
      </c>
      <c r="O189">
        <f t="shared" si="2"/>
        <v>188</v>
      </c>
      <c r="P189">
        <v>1</v>
      </c>
      <c r="Q189">
        <v>1</v>
      </c>
      <c r="R189">
        <v>6</v>
      </c>
      <c r="S189">
        <v>9</v>
      </c>
      <c r="T189">
        <v>7</v>
      </c>
      <c r="U189">
        <v>8</v>
      </c>
      <c r="V189">
        <v>4</v>
      </c>
      <c r="W189">
        <v>5</v>
      </c>
      <c r="X189">
        <v>3</v>
      </c>
      <c r="Y189">
        <v>10</v>
      </c>
      <c r="Z189">
        <v>7</v>
      </c>
      <c r="AA189">
        <v>10</v>
      </c>
      <c r="AB189">
        <v>4</v>
      </c>
      <c r="AC189">
        <v>3</v>
      </c>
      <c r="AD189">
        <v>3</v>
      </c>
      <c r="AE189">
        <v>1</v>
      </c>
      <c r="AF189">
        <v>10</v>
      </c>
      <c r="AG189">
        <v>0</v>
      </c>
      <c r="AH189">
        <v>0</v>
      </c>
      <c r="AI189">
        <v>8</v>
      </c>
      <c r="AJ189">
        <v>3</v>
      </c>
      <c r="AK189">
        <v>10</v>
      </c>
      <c r="AL189">
        <v>3</v>
      </c>
      <c r="AM189">
        <v>2</v>
      </c>
      <c r="AN189">
        <v>5</v>
      </c>
      <c r="AO189">
        <v>10</v>
      </c>
      <c r="AP189">
        <v>6</v>
      </c>
      <c r="AQ189">
        <v>10</v>
      </c>
      <c r="AR189">
        <v>2</v>
      </c>
      <c r="AS189">
        <v>4</v>
      </c>
      <c r="AT189">
        <v>5</v>
      </c>
      <c r="AU189">
        <v>7</v>
      </c>
      <c r="AV189">
        <v>0</v>
      </c>
      <c r="AW189">
        <v>9</v>
      </c>
      <c r="AX189">
        <v>7</v>
      </c>
      <c r="AY189">
        <v>7</v>
      </c>
      <c r="AZ189">
        <v>3</v>
      </c>
      <c r="BA189">
        <v>9</v>
      </c>
      <c r="BB189">
        <v>1</v>
      </c>
      <c r="BC189">
        <v>10</v>
      </c>
      <c r="BD189">
        <v>6</v>
      </c>
      <c r="BE189">
        <v>3</v>
      </c>
      <c r="BF189">
        <v>4</v>
      </c>
      <c r="BG189">
        <v>1</v>
      </c>
      <c r="BH189">
        <v>5</v>
      </c>
      <c r="BI189">
        <v>0</v>
      </c>
      <c r="BJ189">
        <v>10</v>
      </c>
      <c r="BK189">
        <v>1</v>
      </c>
      <c r="BL189">
        <v>10</v>
      </c>
      <c r="BM189">
        <v>2</v>
      </c>
      <c r="BN189">
        <v>7</v>
      </c>
      <c r="BO189">
        <v>6</v>
      </c>
      <c r="BP189">
        <v>1</v>
      </c>
      <c r="BQ189">
        <v>3</v>
      </c>
      <c r="BR189">
        <v>6</v>
      </c>
      <c r="BS189">
        <v>6</v>
      </c>
      <c r="BT189">
        <v>9</v>
      </c>
      <c r="BU189">
        <v>4</v>
      </c>
      <c r="BV189">
        <v>9</v>
      </c>
      <c r="BW189">
        <v>0</v>
      </c>
      <c r="BX189">
        <v>6</v>
      </c>
      <c r="BY189">
        <v>3</v>
      </c>
      <c r="BZ189">
        <v>0</v>
      </c>
      <c r="CA189">
        <v>10</v>
      </c>
      <c r="CB189">
        <v>0</v>
      </c>
      <c r="CC189">
        <v>3</v>
      </c>
      <c r="CD189">
        <v>5</v>
      </c>
      <c r="CE189">
        <v>5</v>
      </c>
      <c r="CF189">
        <v>1</v>
      </c>
      <c r="CG189">
        <v>3</v>
      </c>
      <c r="CH189">
        <v>1</v>
      </c>
      <c r="CI189">
        <v>1</v>
      </c>
      <c r="CJ189">
        <v>10</v>
      </c>
      <c r="CK189">
        <v>8</v>
      </c>
      <c r="CL189">
        <v>1</v>
      </c>
      <c r="CM189">
        <v>7</v>
      </c>
      <c r="CN189">
        <v>2</v>
      </c>
      <c r="CO189">
        <v>6</v>
      </c>
      <c r="CP189">
        <v>2</v>
      </c>
      <c r="CQ189">
        <v>0</v>
      </c>
      <c r="CR189">
        <v>3</v>
      </c>
      <c r="CS189">
        <v>2</v>
      </c>
      <c r="CT189">
        <v>3</v>
      </c>
      <c r="CU189">
        <v>2</v>
      </c>
      <c r="CV189">
        <v>0</v>
      </c>
      <c r="CW189">
        <v>6</v>
      </c>
      <c r="CX189">
        <v>2</v>
      </c>
      <c r="CY189">
        <v>2</v>
      </c>
      <c r="CZ189">
        <v>10</v>
      </c>
      <c r="DA189">
        <v>3</v>
      </c>
      <c r="DB189">
        <v>5</v>
      </c>
      <c r="DC189">
        <v>4</v>
      </c>
      <c r="DD189">
        <v>7</v>
      </c>
      <c r="DE189">
        <v>10</v>
      </c>
      <c r="DF189">
        <v>5</v>
      </c>
      <c r="DG189">
        <v>2</v>
      </c>
      <c r="DH189">
        <v>5</v>
      </c>
      <c r="DI189">
        <v>1</v>
      </c>
      <c r="DJ189">
        <v>9</v>
      </c>
      <c r="DK189">
        <v>0</v>
      </c>
    </row>
    <row r="190" spans="1:115">
      <c r="A190" s="173">
        <f>Calculations[[#This Row],[Sum t eCO2]]*IF(Calculations[[#This Row],[GHG Scope]]="BIOGENIC",0,1)</f>
        <v>9.8278908000000009E-3</v>
      </c>
      <c r="O190">
        <f t="shared" si="2"/>
        <v>189</v>
      </c>
      <c r="P190">
        <v>3</v>
      </c>
      <c r="Q190">
        <v>10</v>
      </c>
      <c r="R190">
        <v>4</v>
      </c>
      <c r="S190">
        <v>1</v>
      </c>
      <c r="T190">
        <v>0</v>
      </c>
      <c r="U190">
        <v>6</v>
      </c>
      <c r="V190">
        <v>3</v>
      </c>
      <c r="W190">
        <v>4</v>
      </c>
      <c r="X190">
        <v>3</v>
      </c>
      <c r="Y190">
        <v>10</v>
      </c>
      <c r="Z190">
        <v>4</v>
      </c>
      <c r="AA190">
        <v>3</v>
      </c>
      <c r="AB190">
        <v>2</v>
      </c>
      <c r="AC190">
        <v>4</v>
      </c>
      <c r="AD190">
        <v>1</v>
      </c>
      <c r="AE190">
        <v>8</v>
      </c>
      <c r="AF190">
        <v>10</v>
      </c>
      <c r="AG190">
        <v>1</v>
      </c>
      <c r="AH190">
        <v>1</v>
      </c>
      <c r="AI190">
        <v>6</v>
      </c>
      <c r="AJ190">
        <v>2</v>
      </c>
      <c r="AK190">
        <v>2</v>
      </c>
      <c r="AL190">
        <v>5</v>
      </c>
      <c r="AM190">
        <v>9</v>
      </c>
      <c r="AN190">
        <v>10</v>
      </c>
      <c r="AO190">
        <v>2</v>
      </c>
      <c r="AP190">
        <v>1</v>
      </c>
      <c r="AQ190">
        <v>1</v>
      </c>
      <c r="AR190">
        <v>7</v>
      </c>
      <c r="AS190">
        <v>4</v>
      </c>
      <c r="AT190">
        <v>0</v>
      </c>
      <c r="AU190">
        <v>3</v>
      </c>
      <c r="AV190">
        <v>0</v>
      </c>
      <c r="AW190">
        <v>10</v>
      </c>
      <c r="AX190">
        <v>6</v>
      </c>
      <c r="AY190">
        <v>2</v>
      </c>
      <c r="AZ190">
        <v>0</v>
      </c>
      <c r="BA190">
        <v>4</v>
      </c>
      <c r="BB190">
        <v>0</v>
      </c>
      <c r="BC190">
        <v>1</v>
      </c>
      <c r="BD190">
        <v>9</v>
      </c>
      <c r="BE190">
        <v>5</v>
      </c>
      <c r="BF190">
        <v>0</v>
      </c>
      <c r="BG190">
        <v>3</v>
      </c>
      <c r="BH190">
        <v>5</v>
      </c>
      <c r="BI190">
        <v>5</v>
      </c>
      <c r="BJ190">
        <v>9</v>
      </c>
      <c r="BK190">
        <v>8</v>
      </c>
      <c r="BL190">
        <v>5</v>
      </c>
      <c r="BM190">
        <v>10</v>
      </c>
      <c r="BN190">
        <v>9</v>
      </c>
      <c r="BO190">
        <v>3</v>
      </c>
      <c r="BP190">
        <v>1</v>
      </c>
      <c r="BQ190">
        <v>9</v>
      </c>
      <c r="BR190">
        <v>5</v>
      </c>
      <c r="BS190">
        <v>5</v>
      </c>
      <c r="BT190">
        <v>6</v>
      </c>
      <c r="BU190">
        <v>4</v>
      </c>
      <c r="BV190">
        <v>3</v>
      </c>
      <c r="BW190">
        <v>0</v>
      </c>
      <c r="BX190">
        <v>4</v>
      </c>
      <c r="BY190">
        <v>6</v>
      </c>
      <c r="BZ190">
        <v>2</v>
      </c>
      <c r="CA190">
        <v>3</v>
      </c>
      <c r="CB190">
        <v>6</v>
      </c>
      <c r="CC190">
        <v>2</v>
      </c>
      <c r="CD190">
        <v>0</v>
      </c>
      <c r="CE190">
        <v>8</v>
      </c>
      <c r="CF190">
        <v>2</v>
      </c>
      <c r="CG190">
        <v>8</v>
      </c>
      <c r="CH190">
        <v>1</v>
      </c>
      <c r="CI190">
        <v>0</v>
      </c>
      <c r="CJ190">
        <v>9</v>
      </c>
      <c r="CK190">
        <v>10</v>
      </c>
      <c r="CL190">
        <v>10</v>
      </c>
      <c r="CM190">
        <v>0</v>
      </c>
      <c r="CN190">
        <v>0</v>
      </c>
      <c r="CO190">
        <v>1</v>
      </c>
      <c r="CP190">
        <v>7</v>
      </c>
      <c r="CQ190">
        <v>8</v>
      </c>
      <c r="CR190">
        <v>2</v>
      </c>
      <c r="CS190">
        <v>8</v>
      </c>
      <c r="CT190">
        <v>9</v>
      </c>
      <c r="CU190">
        <v>5</v>
      </c>
      <c r="CV190">
        <v>3</v>
      </c>
      <c r="CW190">
        <v>0</v>
      </c>
      <c r="CX190">
        <v>3</v>
      </c>
      <c r="CY190">
        <v>1</v>
      </c>
      <c r="CZ190">
        <v>10</v>
      </c>
      <c r="DA190">
        <v>4</v>
      </c>
      <c r="DB190">
        <v>3</v>
      </c>
      <c r="DC190">
        <v>5</v>
      </c>
      <c r="DD190">
        <v>7</v>
      </c>
      <c r="DE190">
        <v>6</v>
      </c>
      <c r="DF190">
        <v>2</v>
      </c>
      <c r="DG190">
        <v>2</v>
      </c>
      <c r="DH190">
        <v>2</v>
      </c>
      <c r="DI190">
        <v>6</v>
      </c>
      <c r="DJ190">
        <v>4</v>
      </c>
      <c r="DK190">
        <v>8</v>
      </c>
    </row>
    <row r="191" spans="1:115">
      <c r="A191" s="173">
        <f>Calculations[[#This Row],[Sum t eCO2]]*IF(Calculations[[#This Row],[GHG Scope]]="BIOGENIC",0,1)</f>
        <v>5.5808379899999995E-3</v>
      </c>
      <c r="O191">
        <f t="shared" si="2"/>
        <v>190</v>
      </c>
      <c r="P191">
        <v>9</v>
      </c>
      <c r="Q191">
        <v>5</v>
      </c>
      <c r="R191">
        <v>8</v>
      </c>
      <c r="S191">
        <v>0</v>
      </c>
      <c r="T191">
        <v>2</v>
      </c>
      <c r="U191">
        <v>2</v>
      </c>
      <c r="V191">
        <v>9</v>
      </c>
      <c r="W191">
        <v>4</v>
      </c>
      <c r="X191">
        <v>2</v>
      </c>
      <c r="Y191">
        <v>2</v>
      </c>
      <c r="Z191">
        <v>9</v>
      </c>
      <c r="AA191">
        <v>5</v>
      </c>
      <c r="AB191">
        <v>2</v>
      </c>
      <c r="AC191">
        <v>6</v>
      </c>
      <c r="AD191">
        <v>1</v>
      </c>
      <c r="AE191">
        <v>5</v>
      </c>
      <c r="AF191">
        <v>5</v>
      </c>
      <c r="AG191">
        <v>0</v>
      </c>
      <c r="AH191">
        <v>6</v>
      </c>
      <c r="AI191">
        <v>0</v>
      </c>
      <c r="AJ191">
        <v>4</v>
      </c>
      <c r="AK191">
        <v>3</v>
      </c>
      <c r="AL191">
        <v>5</v>
      </c>
      <c r="AM191">
        <v>3</v>
      </c>
      <c r="AN191">
        <v>5</v>
      </c>
      <c r="AO191">
        <v>3</v>
      </c>
      <c r="AP191">
        <v>4</v>
      </c>
      <c r="AQ191">
        <v>0</v>
      </c>
      <c r="AR191">
        <v>6</v>
      </c>
      <c r="AS191">
        <v>9</v>
      </c>
      <c r="AT191">
        <v>8</v>
      </c>
      <c r="AU191">
        <v>10</v>
      </c>
      <c r="AV191">
        <v>7</v>
      </c>
      <c r="AW191">
        <v>0</v>
      </c>
      <c r="AX191">
        <v>1</v>
      </c>
      <c r="AY191">
        <v>0</v>
      </c>
      <c r="AZ191">
        <v>10</v>
      </c>
      <c r="BA191">
        <v>1</v>
      </c>
      <c r="BB191">
        <v>6</v>
      </c>
      <c r="BC191">
        <v>1</v>
      </c>
      <c r="BD191">
        <v>1</v>
      </c>
      <c r="BE191">
        <v>8</v>
      </c>
      <c r="BF191">
        <v>10</v>
      </c>
      <c r="BG191">
        <v>3</v>
      </c>
      <c r="BH191">
        <v>9</v>
      </c>
      <c r="BI191">
        <v>2</v>
      </c>
      <c r="BJ191">
        <v>2</v>
      </c>
      <c r="BK191">
        <v>0</v>
      </c>
      <c r="BL191">
        <v>9</v>
      </c>
      <c r="BM191">
        <v>3</v>
      </c>
      <c r="BN191">
        <v>0</v>
      </c>
      <c r="BO191">
        <v>1</v>
      </c>
      <c r="BP191">
        <v>1</v>
      </c>
      <c r="BQ191">
        <v>0</v>
      </c>
      <c r="BR191">
        <v>8</v>
      </c>
      <c r="BS191">
        <v>2</v>
      </c>
      <c r="BT191">
        <v>3</v>
      </c>
      <c r="BU191">
        <v>7</v>
      </c>
      <c r="BV191">
        <v>1</v>
      </c>
      <c r="BW191">
        <v>6</v>
      </c>
      <c r="BX191">
        <v>10</v>
      </c>
      <c r="BY191">
        <v>4</v>
      </c>
      <c r="BZ191">
        <v>1</v>
      </c>
      <c r="CA191">
        <v>2</v>
      </c>
      <c r="CB191">
        <v>1</v>
      </c>
      <c r="CC191">
        <v>5</v>
      </c>
      <c r="CD191">
        <v>9</v>
      </c>
      <c r="CE191">
        <v>3</v>
      </c>
      <c r="CF191">
        <v>9</v>
      </c>
      <c r="CG191">
        <v>8</v>
      </c>
      <c r="CH191">
        <v>4</v>
      </c>
      <c r="CI191">
        <v>7</v>
      </c>
      <c r="CJ191">
        <v>8</v>
      </c>
      <c r="CK191">
        <v>9</v>
      </c>
      <c r="CL191">
        <v>7</v>
      </c>
      <c r="CM191">
        <v>4</v>
      </c>
      <c r="CN191">
        <v>2</v>
      </c>
      <c r="CO191">
        <v>8</v>
      </c>
      <c r="CP191">
        <v>2</v>
      </c>
      <c r="CQ191">
        <v>6</v>
      </c>
      <c r="CR191">
        <v>6</v>
      </c>
      <c r="CS191">
        <v>7</v>
      </c>
      <c r="CT191">
        <v>3</v>
      </c>
      <c r="CU191">
        <v>9</v>
      </c>
      <c r="CV191">
        <v>4</v>
      </c>
      <c r="CW191">
        <v>9</v>
      </c>
      <c r="CX191">
        <v>2</v>
      </c>
      <c r="CY191">
        <v>0</v>
      </c>
      <c r="CZ191">
        <v>6</v>
      </c>
      <c r="DA191">
        <v>3</v>
      </c>
      <c r="DB191">
        <v>7</v>
      </c>
      <c r="DC191">
        <v>9</v>
      </c>
      <c r="DD191">
        <v>7</v>
      </c>
      <c r="DE191">
        <v>7</v>
      </c>
      <c r="DF191">
        <v>9</v>
      </c>
      <c r="DG191">
        <v>4</v>
      </c>
      <c r="DH191">
        <v>8</v>
      </c>
      <c r="DI191">
        <v>6</v>
      </c>
      <c r="DJ191">
        <v>3</v>
      </c>
      <c r="DK191">
        <v>1</v>
      </c>
    </row>
    <row r="192" spans="1:115">
      <c r="A192" s="173">
        <f>Calculations[[#This Row],[Sum t eCO2]]*IF(Calculations[[#This Row],[GHG Scope]]="BIOGENIC",0,1)</f>
        <v>4.5163731992400002</v>
      </c>
      <c r="O192">
        <f t="shared" si="2"/>
        <v>191</v>
      </c>
      <c r="P192">
        <v>8</v>
      </c>
      <c r="Q192">
        <v>1</v>
      </c>
      <c r="R192">
        <v>6</v>
      </c>
      <c r="S192">
        <v>10</v>
      </c>
      <c r="T192">
        <v>9</v>
      </c>
      <c r="U192">
        <v>3</v>
      </c>
      <c r="V192">
        <v>8</v>
      </c>
      <c r="W192">
        <v>6</v>
      </c>
      <c r="X192">
        <v>5</v>
      </c>
      <c r="Y192">
        <v>1</v>
      </c>
      <c r="Z192">
        <v>6</v>
      </c>
      <c r="AA192">
        <v>4</v>
      </c>
      <c r="AB192">
        <v>2</v>
      </c>
      <c r="AC192">
        <v>10</v>
      </c>
      <c r="AD192">
        <v>5</v>
      </c>
      <c r="AE192">
        <v>1</v>
      </c>
      <c r="AF192">
        <v>8</v>
      </c>
      <c r="AG192">
        <v>7</v>
      </c>
      <c r="AH192">
        <v>10</v>
      </c>
      <c r="AI192">
        <v>10</v>
      </c>
      <c r="AJ192">
        <v>6</v>
      </c>
      <c r="AK192">
        <v>8</v>
      </c>
      <c r="AL192">
        <v>9</v>
      </c>
      <c r="AM192">
        <v>0</v>
      </c>
      <c r="AN192">
        <v>10</v>
      </c>
      <c r="AO192">
        <v>6</v>
      </c>
      <c r="AP192">
        <v>5</v>
      </c>
      <c r="AQ192">
        <v>2</v>
      </c>
      <c r="AR192">
        <v>1</v>
      </c>
      <c r="AS192">
        <v>10</v>
      </c>
      <c r="AT192">
        <v>7</v>
      </c>
      <c r="AU192">
        <v>8</v>
      </c>
      <c r="AV192">
        <v>2</v>
      </c>
      <c r="AW192">
        <v>9</v>
      </c>
      <c r="AX192">
        <v>4</v>
      </c>
      <c r="AY192">
        <v>4</v>
      </c>
      <c r="AZ192">
        <v>4</v>
      </c>
      <c r="BA192">
        <v>8</v>
      </c>
      <c r="BB192">
        <v>2</v>
      </c>
      <c r="BC192">
        <v>7</v>
      </c>
      <c r="BD192">
        <v>8</v>
      </c>
      <c r="BE192">
        <v>5</v>
      </c>
      <c r="BF192">
        <v>5</v>
      </c>
      <c r="BG192">
        <v>6</v>
      </c>
      <c r="BH192">
        <v>8</v>
      </c>
      <c r="BI192">
        <v>2</v>
      </c>
      <c r="BJ192">
        <v>8</v>
      </c>
      <c r="BK192">
        <v>0</v>
      </c>
      <c r="BL192">
        <v>9</v>
      </c>
      <c r="BM192">
        <v>3</v>
      </c>
      <c r="BN192">
        <v>2</v>
      </c>
      <c r="BO192">
        <v>7</v>
      </c>
      <c r="BP192">
        <v>1</v>
      </c>
      <c r="BQ192">
        <v>2</v>
      </c>
      <c r="BR192">
        <v>0</v>
      </c>
      <c r="BS192">
        <v>3</v>
      </c>
      <c r="BT192">
        <v>7</v>
      </c>
      <c r="BU192">
        <v>7</v>
      </c>
      <c r="BV192">
        <v>6</v>
      </c>
      <c r="BW192">
        <v>9</v>
      </c>
      <c r="BX192">
        <v>9</v>
      </c>
      <c r="BY192">
        <v>3</v>
      </c>
      <c r="BZ192">
        <v>3</v>
      </c>
      <c r="CA192">
        <v>6</v>
      </c>
      <c r="CB192">
        <v>1</v>
      </c>
      <c r="CC192">
        <v>0</v>
      </c>
      <c r="CD192">
        <v>10</v>
      </c>
      <c r="CE192">
        <v>4</v>
      </c>
      <c r="CF192">
        <v>8</v>
      </c>
      <c r="CG192">
        <v>4</v>
      </c>
      <c r="CH192">
        <v>7</v>
      </c>
      <c r="CI192">
        <v>10</v>
      </c>
      <c r="CJ192">
        <v>10</v>
      </c>
      <c r="CK192">
        <v>7</v>
      </c>
      <c r="CL192">
        <v>3</v>
      </c>
      <c r="CM192">
        <v>10</v>
      </c>
      <c r="CN192">
        <v>6</v>
      </c>
      <c r="CO192">
        <v>7</v>
      </c>
      <c r="CP192">
        <v>3</v>
      </c>
      <c r="CQ192">
        <v>2</v>
      </c>
      <c r="CR192">
        <v>2</v>
      </c>
      <c r="CS192">
        <v>7</v>
      </c>
      <c r="CT192">
        <v>3</v>
      </c>
      <c r="CU192">
        <v>6</v>
      </c>
      <c r="CV192">
        <v>0</v>
      </c>
      <c r="CW192">
        <v>2</v>
      </c>
      <c r="CX192">
        <v>2</v>
      </c>
      <c r="CY192">
        <v>5</v>
      </c>
      <c r="CZ192">
        <v>2</v>
      </c>
      <c r="DA192">
        <v>2</v>
      </c>
      <c r="DB192">
        <v>6</v>
      </c>
      <c r="DC192">
        <v>9</v>
      </c>
      <c r="DD192">
        <v>5</v>
      </c>
      <c r="DE192">
        <v>5</v>
      </c>
      <c r="DF192">
        <v>8</v>
      </c>
      <c r="DG192">
        <v>0</v>
      </c>
      <c r="DH192">
        <v>3</v>
      </c>
      <c r="DI192">
        <v>4</v>
      </c>
      <c r="DJ192">
        <v>1</v>
      </c>
      <c r="DK192">
        <v>6</v>
      </c>
    </row>
    <row r="193" spans="1:115">
      <c r="A193" s="173">
        <f>Calculations[[#This Row],[Sum t eCO2]]*IF(Calculations[[#This Row],[GHG Scope]]="BIOGENIC",0,1)</f>
        <v>3.5540061412495448E-3</v>
      </c>
      <c r="O193">
        <f t="shared" si="2"/>
        <v>192</v>
      </c>
      <c r="P193">
        <v>5</v>
      </c>
      <c r="Q193">
        <v>5</v>
      </c>
      <c r="R193">
        <v>4</v>
      </c>
      <c r="S193">
        <v>4</v>
      </c>
      <c r="T193">
        <v>10</v>
      </c>
      <c r="U193">
        <v>8</v>
      </c>
      <c r="V193">
        <v>4</v>
      </c>
      <c r="W193">
        <v>4</v>
      </c>
      <c r="X193">
        <v>1</v>
      </c>
      <c r="Y193">
        <v>9</v>
      </c>
      <c r="Z193">
        <v>2</v>
      </c>
      <c r="AA193">
        <v>2</v>
      </c>
      <c r="AB193">
        <v>9</v>
      </c>
      <c r="AC193">
        <v>8</v>
      </c>
      <c r="AD193">
        <v>4</v>
      </c>
      <c r="AE193">
        <v>0</v>
      </c>
      <c r="AF193">
        <v>0</v>
      </c>
      <c r="AG193">
        <v>9</v>
      </c>
      <c r="AH193">
        <v>6</v>
      </c>
      <c r="AI193">
        <v>0</v>
      </c>
      <c r="AJ193">
        <v>1</v>
      </c>
      <c r="AK193">
        <v>4</v>
      </c>
      <c r="AL193">
        <v>8</v>
      </c>
      <c r="AM193">
        <v>0</v>
      </c>
      <c r="AN193">
        <v>1</v>
      </c>
      <c r="AO193">
        <v>10</v>
      </c>
      <c r="AP193">
        <v>1</v>
      </c>
      <c r="AQ193">
        <v>4</v>
      </c>
      <c r="AR193">
        <v>9</v>
      </c>
      <c r="AS193">
        <v>9</v>
      </c>
      <c r="AT193">
        <v>8</v>
      </c>
      <c r="AU193">
        <v>4</v>
      </c>
      <c r="AV193">
        <v>4</v>
      </c>
      <c r="AW193">
        <v>8</v>
      </c>
      <c r="AX193">
        <v>5</v>
      </c>
      <c r="AY193">
        <v>2</v>
      </c>
      <c r="AZ193">
        <v>6</v>
      </c>
      <c r="BA193">
        <v>8</v>
      </c>
      <c r="BB193">
        <v>7</v>
      </c>
      <c r="BC193">
        <v>3</v>
      </c>
      <c r="BD193">
        <v>5</v>
      </c>
      <c r="BE193">
        <v>7</v>
      </c>
      <c r="BF193">
        <v>9</v>
      </c>
      <c r="BG193">
        <v>5</v>
      </c>
      <c r="BH193">
        <v>7</v>
      </c>
      <c r="BI193">
        <v>10</v>
      </c>
      <c r="BJ193">
        <v>9</v>
      </c>
      <c r="BK193">
        <v>1</v>
      </c>
      <c r="BL193">
        <v>1</v>
      </c>
      <c r="BM193">
        <v>1</v>
      </c>
      <c r="BN193">
        <v>7</v>
      </c>
      <c r="BO193">
        <v>4</v>
      </c>
      <c r="BP193">
        <v>5</v>
      </c>
      <c r="BQ193">
        <v>6</v>
      </c>
      <c r="BR193">
        <v>2</v>
      </c>
      <c r="BS193">
        <v>0</v>
      </c>
      <c r="BT193">
        <v>6</v>
      </c>
      <c r="BU193">
        <v>9</v>
      </c>
      <c r="BV193">
        <v>10</v>
      </c>
      <c r="BW193">
        <v>6</v>
      </c>
      <c r="BX193">
        <v>1</v>
      </c>
      <c r="BY193">
        <v>7</v>
      </c>
      <c r="BZ193">
        <v>9</v>
      </c>
      <c r="CA193">
        <v>5</v>
      </c>
      <c r="CB193">
        <v>9</v>
      </c>
      <c r="CC193">
        <v>5</v>
      </c>
      <c r="CD193">
        <v>2</v>
      </c>
      <c r="CE193">
        <v>7</v>
      </c>
      <c r="CF193">
        <v>8</v>
      </c>
      <c r="CG193">
        <v>9</v>
      </c>
      <c r="CH193">
        <v>7</v>
      </c>
      <c r="CI193">
        <v>8</v>
      </c>
      <c r="CJ193">
        <v>8</v>
      </c>
      <c r="CK193">
        <v>7</v>
      </c>
      <c r="CL193">
        <v>0</v>
      </c>
      <c r="CM193">
        <v>7</v>
      </c>
      <c r="CN193">
        <v>8</v>
      </c>
      <c r="CO193">
        <v>4</v>
      </c>
      <c r="CP193">
        <v>0</v>
      </c>
      <c r="CQ193">
        <v>6</v>
      </c>
      <c r="CR193">
        <v>5</v>
      </c>
      <c r="CS193">
        <v>0</v>
      </c>
      <c r="CT193">
        <v>9</v>
      </c>
      <c r="CU193">
        <v>7</v>
      </c>
      <c r="CV193">
        <v>7</v>
      </c>
      <c r="CW193">
        <v>1</v>
      </c>
      <c r="CX193">
        <v>8</v>
      </c>
      <c r="CY193">
        <v>10</v>
      </c>
      <c r="CZ193">
        <v>10</v>
      </c>
      <c r="DA193">
        <v>3</v>
      </c>
      <c r="DB193">
        <v>4</v>
      </c>
      <c r="DC193">
        <v>0</v>
      </c>
      <c r="DD193">
        <v>0</v>
      </c>
      <c r="DE193">
        <v>8</v>
      </c>
      <c r="DF193">
        <v>0</v>
      </c>
      <c r="DG193">
        <v>1</v>
      </c>
      <c r="DH193">
        <v>2</v>
      </c>
      <c r="DI193">
        <v>7</v>
      </c>
      <c r="DJ193">
        <v>10</v>
      </c>
      <c r="DK193">
        <v>10</v>
      </c>
    </row>
    <row r="194" spans="1:115">
      <c r="A194" s="173">
        <f>Calculations[[#This Row],[Sum t eCO2]]*IF(Calculations[[#This Row],[GHG Scope]]="BIOGENIC",0,1)</f>
        <v>4.2293764469658379E-2</v>
      </c>
      <c r="O194">
        <f t="shared" si="2"/>
        <v>193</v>
      </c>
      <c r="P194">
        <v>8</v>
      </c>
      <c r="Q194">
        <v>8</v>
      </c>
      <c r="R194">
        <v>0</v>
      </c>
      <c r="S194">
        <v>7</v>
      </c>
      <c r="T194">
        <v>4</v>
      </c>
      <c r="U194">
        <v>8</v>
      </c>
      <c r="V194">
        <v>4</v>
      </c>
      <c r="W194">
        <v>0</v>
      </c>
      <c r="X194">
        <v>2</v>
      </c>
      <c r="Y194">
        <v>1</v>
      </c>
      <c r="Z194">
        <v>0</v>
      </c>
      <c r="AA194">
        <v>1</v>
      </c>
      <c r="AB194">
        <v>4</v>
      </c>
      <c r="AC194">
        <v>10</v>
      </c>
      <c r="AD194">
        <v>5</v>
      </c>
      <c r="AE194">
        <v>10</v>
      </c>
      <c r="AF194">
        <v>2</v>
      </c>
      <c r="AG194">
        <v>6</v>
      </c>
      <c r="AH194">
        <v>10</v>
      </c>
      <c r="AI194">
        <v>8</v>
      </c>
      <c r="AJ194">
        <v>3</v>
      </c>
      <c r="AK194">
        <v>7</v>
      </c>
      <c r="AL194">
        <v>1</v>
      </c>
      <c r="AM194">
        <v>4</v>
      </c>
      <c r="AN194">
        <v>7</v>
      </c>
      <c r="AO194">
        <v>2</v>
      </c>
      <c r="AP194">
        <v>9</v>
      </c>
      <c r="AQ194">
        <v>4</v>
      </c>
      <c r="AR194">
        <v>7</v>
      </c>
      <c r="AS194">
        <v>8</v>
      </c>
      <c r="AT194">
        <v>9</v>
      </c>
      <c r="AU194">
        <v>4</v>
      </c>
      <c r="AV194">
        <v>0</v>
      </c>
      <c r="AW194">
        <v>8</v>
      </c>
      <c r="AX194">
        <v>0</v>
      </c>
      <c r="AY194">
        <v>7</v>
      </c>
      <c r="AZ194">
        <v>6</v>
      </c>
      <c r="BA194">
        <v>4</v>
      </c>
      <c r="BB194">
        <v>8</v>
      </c>
      <c r="BC194">
        <v>10</v>
      </c>
      <c r="BD194">
        <v>4</v>
      </c>
      <c r="BE194">
        <v>5</v>
      </c>
      <c r="BF194">
        <v>9</v>
      </c>
      <c r="BG194">
        <v>7</v>
      </c>
      <c r="BH194">
        <v>0</v>
      </c>
      <c r="BI194">
        <v>9</v>
      </c>
      <c r="BJ194">
        <v>2</v>
      </c>
      <c r="BK194">
        <v>0</v>
      </c>
      <c r="BL194">
        <v>2</v>
      </c>
      <c r="BM194">
        <v>0</v>
      </c>
      <c r="BN194">
        <v>10</v>
      </c>
      <c r="BO194">
        <v>10</v>
      </c>
      <c r="BP194">
        <v>6</v>
      </c>
      <c r="BQ194">
        <v>5</v>
      </c>
      <c r="BR194">
        <v>4</v>
      </c>
      <c r="BS194">
        <v>5</v>
      </c>
      <c r="BT194">
        <v>5</v>
      </c>
      <c r="BU194">
        <v>0</v>
      </c>
      <c r="BV194">
        <v>5</v>
      </c>
      <c r="BW194">
        <v>6</v>
      </c>
      <c r="BX194">
        <v>1</v>
      </c>
      <c r="BY194">
        <v>9</v>
      </c>
      <c r="BZ194">
        <v>7</v>
      </c>
      <c r="CA194">
        <v>8</v>
      </c>
      <c r="CB194">
        <v>5</v>
      </c>
      <c r="CC194">
        <v>2</v>
      </c>
      <c r="CD194">
        <v>0</v>
      </c>
      <c r="CE194">
        <v>6</v>
      </c>
      <c r="CF194">
        <v>4</v>
      </c>
      <c r="CG194">
        <v>0</v>
      </c>
      <c r="CH194">
        <v>8</v>
      </c>
      <c r="CI194">
        <v>0</v>
      </c>
      <c r="CJ194">
        <v>10</v>
      </c>
      <c r="CK194">
        <v>8</v>
      </c>
      <c r="CL194">
        <v>5</v>
      </c>
      <c r="CM194">
        <v>1</v>
      </c>
      <c r="CN194">
        <v>2</v>
      </c>
      <c r="CO194">
        <v>3</v>
      </c>
      <c r="CP194">
        <v>8</v>
      </c>
      <c r="CQ194">
        <v>10</v>
      </c>
      <c r="CR194">
        <v>4</v>
      </c>
      <c r="CS194">
        <v>9</v>
      </c>
      <c r="CT194">
        <v>5</v>
      </c>
      <c r="CU194">
        <v>3</v>
      </c>
      <c r="CV194">
        <v>9</v>
      </c>
      <c r="CW194">
        <v>8</v>
      </c>
      <c r="CX194">
        <v>8</v>
      </c>
      <c r="CY194">
        <v>6</v>
      </c>
      <c r="CZ194">
        <v>9</v>
      </c>
      <c r="DA194">
        <v>10</v>
      </c>
      <c r="DB194">
        <v>6</v>
      </c>
      <c r="DC194">
        <v>1</v>
      </c>
      <c r="DD194">
        <v>2</v>
      </c>
      <c r="DE194">
        <v>6</v>
      </c>
      <c r="DF194">
        <v>0</v>
      </c>
      <c r="DG194">
        <v>4</v>
      </c>
      <c r="DH194">
        <v>4</v>
      </c>
      <c r="DI194">
        <v>6</v>
      </c>
      <c r="DJ194">
        <v>10</v>
      </c>
      <c r="DK194">
        <v>0</v>
      </c>
    </row>
    <row r="195" spans="1:115">
      <c r="A195" s="173">
        <f>Calculations[[#This Row],[Sum t eCO2]]*IF(Calculations[[#This Row],[GHG Scope]]="BIOGENIC",0,1)</f>
        <v>4.6835197507612802</v>
      </c>
      <c r="O195">
        <f t="shared" si="2"/>
        <v>194</v>
      </c>
      <c r="P195">
        <v>10</v>
      </c>
      <c r="Q195">
        <v>4</v>
      </c>
      <c r="R195">
        <v>8</v>
      </c>
      <c r="S195">
        <v>3</v>
      </c>
      <c r="T195">
        <v>2</v>
      </c>
      <c r="U195">
        <v>9</v>
      </c>
      <c r="V195">
        <v>5</v>
      </c>
      <c r="W195">
        <v>7</v>
      </c>
      <c r="X195">
        <v>7</v>
      </c>
      <c r="Y195">
        <v>8</v>
      </c>
      <c r="Z195">
        <v>6</v>
      </c>
      <c r="AA195">
        <v>1</v>
      </c>
      <c r="AB195">
        <v>9</v>
      </c>
      <c r="AC195">
        <v>3</v>
      </c>
      <c r="AD195">
        <v>9</v>
      </c>
      <c r="AE195">
        <v>1</v>
      </c>
      <c r="AF195">
        <v>6</v>
      </c>
      <c r="AG195">
        <v>8</v>
      </c>
      <c r="AH195">
        <v>2</v>
      </c>
      <c r="AI195">
        <v>9</v>
      </c>
      <c r="AJ195">
        <v>0</v>
      </c>
      <c r="AK195">
        <v>2</v>
      </c>
      <c r="AL195">
        <v>10</v>
      </c>
      <c r="AM195">
        <v>2</v>
      </c>
      <c r="AN195">
        <v>8</v>
      </c>
      <c r="AO195">
        <v>3</v>
      </c>
      <c r="AP195">
        <v>8</v>
      </c>
      <c r="AQ195">
        <v>1</v>
      </c>
      <c r="AR195">
        <v>7</v>
      </c>
      <c r="AS195">
        <v>10</v>
      </c>
      <c r="AT195">
        <v>6</v>
      </c>
      <c r="AU195">
        <v>7</v>
      </c>
      <c r="AV195">
        <v>3</v>
      </c>
      <c r="AW195">
        <v>1</v>
      </c>
      <c r="AX195">
        <v>0</v>
      </c>
      <c r="AY195">
        <v>3</v>
      </c>
      <c r="AZ195">
        <v>10</v>
      </c>
      <c r="BA195">
        <v>1</v>
      </c>
      <c r="BB195">
        <v>5</v>
      </c>
      <c r="BC195">
        <v>8</v>
      </c>
      <c r="BD195">
        <v>5</v>
      </c>
      <c r="BE195">
        <v>6</v>
      </c>
      <c r="BF195">
        <v>7</v>
      </c>
      <c r="BG195">
        <v>0</v>
      </c>
      <c r="BH195">
        <v>10</v>
      </c>
      <c r="BI195">
        <v>6</v>
      </c>
      <c r="BJ195">
        <v>4</v>
      </c>
      <c r="BK195">
        <v>10</v>
      </c>
      <c r="BL195">
        <v>5</v>
      </c>
      <c r="BM195">
        <v>2</v>
      </c>
      <c r="BN195">
        <v>3</v>
      </c>
      <c r="BO195">
        <v>1</v>
      </c>
      <c r="BP195">
        <v>4</v>
      </c>
      <c r="BQ195">
        <v>2</v>
      </c>
      <c r="BR195">
        <v>8</v>
      </c>
      <c r="BS195">
        <v>8</v>
      </c>
      <c r="BT195">
        <v>6</v>
      </c>
      <c r="BU195">
        <v>1</v>
      </c>
      <c r="BV195">
        <v>4</v>
      </c>
      <c r="BW195">
        <v>6</v>
      </c>
      <c r="BX195">
        <v>8</v>
      </c>
      <c r="BY195">
        <v>5</v>
      </c>
      <c r="BZ195">
        <v>7</v>
      </c>
      <c r="CA195">
        <v>3</v>
      </c>
      <c r="CB195">
        <v>7</v>
      </c>
      <c r="CC195">
        <v>4</v>
      </c>
      <c r="CD195">
        <v>8</v>
      </c>
      <c r="CE195">
        <v>1</v>
      </c>
      <c r="CF195">
        <v>8</v>
      </c>
      <c r="CG195">
        <v>0</v>
      </c>
      <c r="CH195">
        <v>5</v>
      </c>
      <c r="CI195">
        <v>5</v>
      </c>
      <c r="CJ195">
        <v>7</v>
      </c>
      <c r="CK195">
        <v>8</v>
      </c>
      <c r="CL195">
        <v>5</v>
      </c>
      <c r="CM195">
        <v>6</v>
      </c>
      <c r="CN195">
        <v>4</v>
      </c>
      <c r="CO195">
        <v>6</v>
      </c>
      <c r="CP195">
        <v>5</v>
      </c>
      <c r="CQ195">
        <v>8</v>
      </c>
      <c r="CR195">
        <v>5</v>
      </c>
      <c r="CS195">
        <v>10</v>
      </c>
      <c r="CT195">
        <v>2</v>
      </c>
      <c r="CU195">
        <v>0</v>
      </c>
      <c r="CV195">
        <v>0</v>
      </c>
      <c r="CW195">
        <v>0</v>
      </c>
      <c r="CX195">
        <v>3</v>
      </c>
      <c r="CY195">
        <v>10</v>
      </c>
      <c r="CZ195">
        <v>6</v>
      </c>
      <c r="DA195">
        <v>6</v>
      </c>
      <c r="DB195">
        <v>10</v>
      </c>
      <c r="DC195">
        <v>10</v>
      </c>
      <c r="DD195">
        <v>6</v>
      </c>
      <c r="DE195">
        <v>6</v>
      </c>
      <c r="DF195">
        <v>8</v>
      </c>
      <c r="DG195">
        <v>4</v>
      </c>
      <c r="DH195">
        <v>10</v>
      </c>
      <c r="DI195">
        <v>8</v>
      </c>
      <c r="DJ195">
        <v>6</v>
      </c>
      <c r="DK195">
        <v>4</v>
      </c>
    </row>
    <row r="196" spans="1:115">
      <c r="A196" s="173">
        <f>Calculations[[#This Row],[Sum t eCO2]]*IF(Calculations[[#This Row],[GHG Scope]]="BIOGENIC",0,1)</f>
        <v>3.7116963936496736E-3</v>
      </c>
      <c r="O196">
        <f t="shared" ref="O196:O259" si="3">O195+1</f>
        <v>195</v>
      </c>
      <c r="P196">
        <v>1</v>
      </c>
      <c r="Q196">
        <v>5</v>
      </c>
      <c r="R196">
        <v>7</v>
      </c>
      <c r="S196">
        <v>6</v>
      </c>
      <c r="T196">
        <v>2</v>
      </c>
      <c r="U196">
        <v>0</v>
      </c>
      <c r="V196">
        <v>2</v>
      </c>
      <c r="W196">
        <v>6</v>
      </c>
      <c r="X196">
        <v>6</v>
      </c>
      <c r="Y196">
        <v>1</v>
      </c>
      <c r="Z196">
        <v>9</v>
      </c>
      <c r="AA196">
        <v>2</v>
      </c>
      <c r="AB196">
        <v>9</v>
      </c>
      <c r="AC196">
        <v>4</v>
      </c>
      <c r="AD196">
        <v>3</v>
      </c>
      <c r="AE196">
        <v>10</v>
      </c>
      <c r="AF196">
        <v>7</v>
      </c>
      <c r="AG196">
        <v>9</v>
      </c>
      <c r="AH196">
        <v>8</v>
      </c>
      <c r="AI196">
        <v>8</v>
      </c>
      <c r="AJ196">
        <v>1</v>
      </c>
      <c r="AK196">
        <v>6</v>
      </c>
      <c r="AL196">
        <v>8</v>
      </c>
      <c r="AM196">
        <v>1</v>
      </c>
      <c r="AN196">
        <v>8</v>
      </c>
      <c r="AO196">
        <v>4</v>
      </c>
      <c r="AP196">
        <v>8</v>
      </c>
      <c r="AQ196">
        <v>5</v>
      </c>
      <c r="AR196">
        <v>8</v>
      </c>
      <c r="AS196">
        <v>2</v>
      </c>
      <c r="AT196">
        <v>4</v>
      </c>
      <c r="AU196">
        <v>0</v>
      </c>
      <c r="AV196">
        <v>3</v>
      </c>
      <c r="AW196">
        <v>6</v>
      </c>
      <c r="AX196">
        <v>3</v>
      </c>
      <c r="AY196">
        <v>4</v>
      </c>
      <c r="AZ196">
        <v>1</v>
      </c>
      <c r="BA196">
        <v>2</v>
      </c>
      <c r="BB196">
        <v>2</v>
      </c>
      <c r="BC196">
        <v>7</v>
      </c>
      <c r="BD196">
        <v>1</v>
      </c>
      <c r="BE196">
        <v>3</v>
      </c>
      <c r="BF196">
        <v>10</v>
      </c>
      <c r="BG196">
        <v>4</v>
      </c>
      <c r="BH196">
        <v>3</v>
      </c>
      <c r="BI196">
        <v>8</v>
      </c>
      <c r="BJ196">
        <v>4</v>
      </c>
      <c r="BK196">
        <v>7</v>
      </c>
      <c r="BL196">
        <v>0</v>
      </c>
      <c r="BM196">
        <v>10</v>
      </c>
      <c r="BN196">
        <v>7</v>
      </c>
      <c r="BO196">
        <v>0</v>
      </c>
      <c r="BP196">
        <v>1</v>
      </c>
      <c r="BQ196">
        <v>1</v>
      </c>
      <c r="BR196">
        <v>0</v>
      </c>
      <c r="BS196">
        <v>4</v>
      </c>
      <c r="BT196">
        <v>5</v>
      </c>
      <c r="BU196">
        <v>5</v>
      </c>
      <c r="BV196">
        <v>0</v>
      </c>
      <c r="BW196">
        <v>8</v>
      </c>
      <c r="BX196">
        <v>10</v>
      </c>
      <c r="BY196">
        <v>2</v>
      </c>
      <c r="BZ196">
        <v>0</v>
      </c>
      <c r="CA196">
        <v>5</v>
      </c>
      <c r="CB196">
        <v>5</v>
      </c>
      <c r="CC196">
        <v>2</v>
      </c>
      <c r="CD196">
        <v>10</v>
      </c>
      <c r="CE196">
        <v>2</v>
      </c>
      <c r="CF196">
        <v>4</v>
      </c>
      <c r="CG196">
        <v>5</v>
      </c>
      <c r="CH196">
        <v>10</v>
      </c>
      <c r="CI196">
        <v>2</v>
      </c>
      <c r="CJ196">
        <v>3</v>
      </c>
      <c r="CK196">
        <v>4</v>
      </c>
      <c r="CL196">
        <v>10</v>
      </c>
      <c r="CM196">
        <v>3</v>
      </c>
      <c r="CN196">
        <v>1</v>
      </c>
      <c r="CO196">
        <v>10</v>
      </c>
      <c r="CP196">
        <v>2</v>
      </c>
      <c r="CQ196">
        <v>5</v>
      </c>
      <c r="CR196">
        <v>7</v>
      </c>
      <c r="CS196">
        <v>6</v>
      </c>
      <c r="CT196">
        <v>5</v>
      </c>
      <c r="CU196">
        <v>3</v>
      </c>
      <c r="CV196">
        <v>7</v>
      </c>
      <c r="CW196">
        <v>7</v>
      </c>
      <c r="CX196">
        <v>3</v>
      </c>
      <c r="CY196">
        <v>9</v>
      </c>
      <c r="CZ196">
        <v>5</v>
      </c>
      <c r="DA196">
        <v>3</v>
      </c>
      <c r="DB196">
        <v>4</v>
      </c>
      <c r="DC196">
        <v>9</v>
      </c>
      <c r="DD196">
        <v>8</v>
      </c>
      <c r="DE196">
        <v>7</v>
      </c>
      <c r="DF196">
        <v>8</v>
      </c>
      <c r="DG196">
        <v>1</v>
      </c>
      <c r="DH196">
        <v>1</v>
      </c>
      <c r="DI196">
        <v>6</v>
      </c>
      <c r="DJ196">
        <v>2</v>
      </c>
      <c r="DK196">
        <v>7</v>
      </c>
    </row>
    <row r="197" spans="1:115">
      <c r="A197" s="173">
        <f>Calculations[[#This Row],[Sum t eCO2]]*IF(Calculations[[#This Row],[GHG Scope]]="BIOGENIC",0,1)</f>
        <v>4.4170326897833338E-2</v>
      </c>
      <c r="O197">
        <f t="shared" si="3"/>
        <v>196</v>
      </c>
      <c r="P197">
        <v>1</v>
      </c>
      <c r="Q197">
        <v>0</v>
      </c>
      <c r="R197">
        <v>7</v>
      </c>
      <c r="S197">
        <v>3</v>
      </c>
      <c r="T197">
        <v>1</v>
      </c>
      <c r="U197">
        <v>10</v>
      </c>
      <c r="V197">
        <v>5</v>
      </c>
      <c r="W197">
        <v>10</v>
      </c>
      <c r="X197">
        <v>1</v>
      </c>
      <c r="Y197">
        <v>2</v>
      </c>
      <c r="Z197">
        <v>5</v>
      </c>
      <c r="AA197">
        <v>2</v>
      </c>
      <c r="AB197">
        <v>7</v>
      </c>
      <c r="AC197">
        <v>8</v>
      </c>
      <c r="AD197">
        <v>9</v>
      </c>
      <c r="AE197">
        <v>9</v>
      </c>
      <c r="AF197">
        <v>1</v>
      </c>
      <c r="AG197">
        <v>5</v>
      </c>
      <c r="AH197">
        <v>5</v>
      </c>
      <c r="AI197">
        <v>3</v>
      </c>
      <c r="AJ197">
        <v>10</v>
      </c>
      <c r="AK197">
        <v>10</v>
      </c>
      <c r="AL197">
        <v>2</v>
      </c>
      <c r="AM197">
        <v>7</v>
      </c>
      <c r="AN197">
        <v>8</v>
      </c>
      <c r="AO197">
        <v>3</v>
      </c>
      <c r="AP197">
        <v>3</v>
      </c>
      <c r="AQ197">
        <v>5</v>
      </c>
      <c r="AR197">
        <v>4</v>
      </c>
      <c r="AS197">
        <v>3</v>
      </c>
      <c r="AT197">
        <v>4</v>
      </c>
      <c r="AU197">
        <v>8</v>
      </c>
      <c r="AV197">
        <v>10</v>
      </c>
      <c r="AW197">
        <v>4</v>
      </c>
      <c r="AX197">
        <v>9</v>
      </c>
      <c r="AY197">
        <v>0</v>
      </c>
      <c r="AZ197">
        <v>7</v>
      </c>
      <c r="BA197">
        <v>2</v>
      </c>
      <c r="BB197">
        <v>1</v>
      </c>
      <c r="BC197">
        <v>7</v>
      </c>
      <c r="BD197">
        <v>10</v>
      </c>
      <c r="BE197">
        <v>7</v>
      </c>
      <c r="BF197">
        <v>1</v>
      </c>
      <c r="BG197">
        <v>9</v>
      </c>
      <c r="BH197">
        <v>7</v>
      </c>
      <c r="BI197">
        <v>9</v>
      </c>
      <c r="BJ197">
        <v>2</v>
      </c>
      <c r="BK197">
        <v>4</v>
      </c>
      <c r="BL197">
        <v>9</v>
      </c>
      <c r="BM197">
        <v>3</v>
      </c>
      <c r="BN197">
        <v>7</v>
      </c>
      <c r="BO197">
        <v>4</v>
      </c>
      <c r="BP197">
        <v>9</v>
      </c>
      <c r="BQ197">
        <v>0</v>
      </c>
      <c r="BR197">
        <v>3</v>
      </c>
      <c r="BS197">
        <v>10</v>
      </c>
      <c r="BT197">
        <v>0</v>
      </c>
      <c r="BU197">
        <v>2</v>
      </c>
      <c r="BV197">
        <v>10</v>
      </c>
      <c r="BW197">
        <v>1</v>
      </c>
      <c r="BX197">
        <v>10</v>
      </c>
      <c r="BY197">
        <v>4</v>
      </c>
      <c r="BZ197">
        <v>7</v>
      </c>
      <c r="CA197">
        <v>4</v>
      </c>
      <c r="CB197">
        <v>5</v>
      </c>
      <c r="CC197">
        <v>1</v>
      </c>
      <c r="CD197">
        <v>3</v>
      </c>
      <c r="CE197">
        <v>8</v>
      </c>
      <c r="CF197">
        <v>4</v>
      </c>
      <c r="CG197">
        <v>5</v>
      </c>
      <c r="CH197">
        <v>1</v>
      </c>
      <c r="CI197">
        <v>8</v>
      </c>
      <c r="CJ197">
        <v>9</v>
      </c>
      <c r="CK197">
        <v>6</v>
      </c>
      <c r="CL197">
        <v>7</v>
      </c>
      <c r="CM197">
        <v>6</v>
      </c>
      <c r="CN197">
        <v>7</v>
      </c>
      <c r="CO197">
        <v>10</v>
      </c>
      <c r="CP197">
        <v>5</v>
      </c>
      <c r="CQ197">
        <v>8</v>
      </c>
      <c r="CR197">
        <v>3</v>
      </c>
      <c r="CS197">
        <v>6</v>
      </c>
      <c r="CT197">
        <v>10</v>
      </c>
      <c r="CU197">
        <v>8</v>
      </c>
      <c r="CV197">
        <v>2</v>
      </c>
      <c r="CW197">
        <v>1</v>
      </c>
      <c r="CX197">
        <v>2</v>
      </c>
      <c r="CY197">
        <v>3</v>
      </c>
      <c r="CZ197">
        <v>0</v>
      </c>
      <c r="DA197">
        <v>7</v>
      </c>
      <c r="DB197">
        <v>0</v>
      </c>
      <c r="DC197">
        <v>2</v>
      </c>
      <c r="DD197">
        <v>5</v>
      </c>
      <c r="DE197">
        <v>1</v>
      </c>
      <c r="DF197">
        <v>6</v>
      </c>
      <c r="DG197">
        <v>4</v>
      </c>
      <c r="DH197">
        <v>4</v>
      </c>
      <c r="DI197">
        <v>2</v>
      </c>
      <c r="DJ197">
        <v>9</v>
      </c>
      <c r="DK197">
        <v>8</v>
      </c>
    </row>
    <row r="198" spans="1:115">
      <c r="A198" s="173">
        <f>Calculations[[#This Row],[Sum t eCO2]]*IF(Calculations[[#This Row],[GHG Scope]]="BIOGENIC",0,1)</f>
        <v>50.155164647059649</v>
      </c>
      <c r="O198">
        <f t="shared" si="3"/>
        <v>197</v>
      </c>
      <c r="P198">
        <v>10</v>
      </c>
      <c r="Q198">
        <v>4</v>
      </c>
      <c r="R198">
        <v>9</v>
      </c>
      <c r="S198">
        <v>5</v>
      </c>
      <c r="T198">
        <v>8</v>
      </c>
      <c r="U198">
        <v>2</v>
      </c>
      <c r="V198">
        <v>3</v>
      </c>
      <c r="W198">
        <v>1</v>
      </c>
      <c r="X198">
        <v>7</v>
      </c>
      <c r="Y198">
        <v>10</v>
      </c>
      <c r="Z198">
        <v>1</v>
      </c>
      <c r="AA198">
        <v>8</v>
      </c>
      <c r="AB198">
        <v>3</v>
      </c>
      <c r="AC198">
        <v>7</v>
      </c>
      <c r="AD198">
        <v>5</v>
      </c>
      <c r="AE198">
        <v>2</v>
      </c>
      <c r="AF198">
        <v>4</v>
      </c>
      <c r="AG198">
        <v>8</v>
      </c>
      <c r="AH198">
        <v>6</v>
      </c>
      <c r="AI198">
        <v>1</v>
      </c>
      <c r="AJ198">
        <v>7</v>
      </c>
      <c r="AK198">
        <v>6</v>
      </c>
      <c r="AL198">
        <v>7</v>
      </c>
      <c r="AM198">
        <v>6</v>
      </c>
      <c r="AN198">
        <v>2</v>
      </c>
      <c r="AO198">
        <v>2</v>
      </c>
      <c r="AP198">
        <v>3</v>
      </c>
      <c r="AQ198">
        <v>9</v>
      </c>
      <c r="AR198">
        <v>4</v>
      </c>
      <c r="AS198">
        <v>0</v>
      </c>
      <c r="AT198">
        <v>3</v>
      </c>
      <c r="AU198">
        <v>6</v>
      </c>
      <c r="AV198">
        <v>0</v>
      </c>
      <c r="AW198">
        <v>7</v>
      </c>
      <c r="AX198">
        <v>6</v>
      </c>
      <c r="AY198">
        <v>8</v>
      </c>
      <c r="AZ198">
        <v>6</v>
      </c>
      <c r="BA198">
        <v>4</v>
      </c>
      <c r="BB198">
        <v>3</v>
      </c>
      <c r="BC198">
        <v>8</v>
      </c>
      <c r="BD198">
        <v>2</v>
      </c>
      <c r="BE198">
        <v>5</v>
      </c>
      <c r="BF198">
        <v>1</v>
      </c>
      <c r="BG198">
        <v>6</v>
      </c>
      <c r="BH198">
        <v>0</v>
      </c>
      <c r="BI198">
        <v>6</v>
      </c>
      <c r="BJ198">
        <v>5</v>
      </c>
      <c r="BK198">
        <v>1</v>
      </c>
      <c r="BL198">
        <v>2</v>
      </c>
      <c r="BM198">
        <v>9</v>
      </c>
      <c r="BN198">
        <v>8</v>
      </c>
      <c r="BO198">
        <v>4</v>
      </c>
      <c r="BP198">
        <v>10</v>
      </c>
      <c r="BQ198">
        <v>1</v>
      </c>
      <c r="BR198">
        <v>1</v>
      </c>
      <c r="BS198">
        <v>6</v>
      </c>
      <c r="BT198">
        <v>5</v>
      </c>
      <c r="BU198">
        <v>7</v>
      </c>
      <c r="BV198">
        <v>7</v>
      </c>
      <c r="BW198">
        <v>10</v>
      </c>
      <c r="BX198">
        <v>5</v>
      </c>
      <c r="BY198">
        <v>5</v>
      </c>
      <c r="BZ198">
        <v>0</v>
      </c>
      <c r="CA198">
        <v>9</v>
      </c>
      <c r="CB198">
        <v>4</v>
      </c>
      <c r="CC198">
        <v>3</v>
      </c>
      <c r="CD198">
        <v>0</v>
      </c>
      <c r="CE198">
        <v>3</v>
      </c>
      <c r="CF198">
        <v>2</v>
      </c>
      <c r="CG198">
        <v>9</v>
      </c>
      <c r="CH198">
        <v>3</v>
      </c>
      <c r="CI198">
        <v>7</v>
      </c>
      <c r="CJ198">
        <v>0</v>
      </c>
      <c r="CK198">
        <v>10</v>
      </c>
      <c r="CL198">
        <v>8</v>
      </c>
      <c r="CM198">
        <v>0</v>
      </c>
      <c r="CN198">
        <v>2</v>
      </c>
      <c r="CO198">
        <v>8</v>
      </c>
      <c r="CP198">
        <v>9</v>
      </c>
      <c r="CQ198">
        <v>7</v>
      </c>
      <c r="CR198">
        <v>2</v>
      </c>
      <c r="CS198">
        <v>6</v>
      </c>
      <c r="CT198">
        <v>6</v>
      </c>
      <c r="CU198">
        <v>2</v>
      </c>
      <c r="CV198">
        <v>1</v>
      </c>
      <c r="CW198">
        <v>9</v>
      </c>
      <c r="CX198">
        <v>9</v>
      </c>
      <c r="CY198">
        <v>3</v>
      </c>
      <c r="CZ198">
        <v>4</v>
      </c>
      <c r="DA198">
        <v>0</v>
      </c>
      <c r="DB198">
        <v>6</v>
      </c>
      <c r="DC198">
        <v>7</v>
      </c>
      <c r="DD198">
        <v>7</v>
      </c>
      <c r="DE198">
        <v>2</v>
      </c>
      <c r="DF198">
        <v>2</v>
      </c>
      <c r="DG198">
        <v>5</v>
      </c>
      <c r="DH198">
        <v>2</v>
      </c>
      <c r="DI198">
        <v>6</v>
      </c>
      <c r="DJ198">
        <v>9</v>
      </c>
      <c r="DK198">
        <v>1</v>
      </c>
    </row>
    <row r="199" spans="1:115">
      <c r="A199" s="173">
        <f>Calculations[[#This Row],[Sum t eCO2]]*IF(Calculations[[#This Row],[GHG Scope]]="BIOGENIC",0,1)</f>
        <v>8.0949942720000001E-2</v>
      </c>
      <c r="O199">
        <f t="shared" si="3"/>
        <v>198</v>
      </c>
      <c r="P199">
        <v>5</v>
      </c>
      <c r="Q199">
        <v>3</v>
      </c>
      <c r="R199">
        <v>4</v>
      </c>
      <c r="S199">
        <v>3</v>
      </c>
      <c r="T199">
        <v>6</v>
      </c>
      <c r="U199">
        <v>5</v>
      </c>
      <c r="V199">
        <v>7</v>
      </c>
      <c r="W199">
        <v>8</v>
      </c>
      <c r="X199">
        <v>8</v>
      </c>
      <c r="Y199">
        <v>4</v>
      </c>
      <c r="Z199">
        <v>0</v>
      </c>
      <c r="AA199">
        <v>7</v>
      </c>
      <c r="AB199">
        <v>5</v>
      </c>
      <c r="AC199">
        <v>7</v>
      </c>
      <c r="AD199">
        <v>3</v>
      </c>
      <c r="AE199">
        <v>5</v>
      </c>
      <c r="AF199">
        <v>4</v>
      </c>
      <c r="AG199">
        <v>0</v>
      </c>
      <c r="AH199">
        <v>6</v>
      </c>
      <c r="AI199">
        <v>5</v>
      </c>
      <c r="AJ199">
        <v>0</v>
      </c>
      <c r="AK199">
        <v>10</v>
      </c>
      <c r="AL199">
        <v>5</v>
      </c>
      <c r="AM199">
        <v>6</v>
      </c>
      <c r="AN199">
        <v>7</v>
      </c>
      <c r="AO199">
        <v>0</v>
      </c>
      <c r="AP199">
        <v>5</v>
      </c>
      <c r="AQ199">
        <v>2</v>
      </c>
      <c r="AR199">
        <v>1</v>
      </c>
      <c r="AS199">
        <v>3</v>
      </c>
      <c r="AT199">
        <v>7</v>
      </c>
      <c r="AU199">
        <v>8</v>
      </c>
      <c r="AV199">
        <v>2</v>
      </c>
      <c r="AW199">
        <v>4</v>
      </c>
      <c r="AX199">
        <v>8</v>
      </c>
      <c r="AY199">
        <v>3</v>
      </c>
      <c r="AZ199">
        <v>7</v>
      </c>
      <c r="BA199">
        <v>3</v>
      </c>
      <c r="BB199">
        <v>9</v>
      </c>
      <c r="BC199">
        <v>0</v>
      </c>
      <c r="BD199">
        <v>5</v>
      </c>
      <c r="BE199">
        <v>1</v>
      </c>
      <c r="BF199">
        <v>6</v>
      </c>
      <c r="BG199">
        <v>7</v>
      </c>
      <c r="BH199">
        <v>7</v>
      </c>
      <c r="BI199">
        <v>6</v>
      </c>
      <c r="BJ199">
        <v>1</v>
      </c>
      <c r="BK199">
        <v>5</v>
      </c>
      <c r="BL199">
        <v>9</v>
      </c>
      <c r="BM199">
        <v>4</v>
      </c>
      <c r="BN199">
        <v>0</v>
      </c>
      <c r="BO199">
        <v>7</v>
      </c>
      <c r="BP199">
        <v>5</v>
      </c>
      <c r="BQ199">
        <v>10</v>
      </c>
      <c r="BR199">
        <v>9</v>
      </c>
      <c r="BS199">
        <v>1</v>
      </c>
      <c r="BT199">
        <v>1</v>
      </c>
      <c r="BU199">
        <v>0</v>
      </c>
      <c r="BV199">
        <v>4</v>
      </c>
      <c r="BW199">
        <v>8</v>
      </c>
      <c r="BX199">
        <v>9</v>
      </c>
      <c r="BY199">
        <v>1</v>
      </c>
      <c r="BZ199">
        <v>2</v>
      </c>
      <c r="CA199">
        <v>4</v>
      </c>
      <c r="CB199">
        <v>6</v>
      </c>
      <c r="CC199">
        <v>6</v>
      </c>
      <c r="CD199">
        <v>2</v>
      </c>
      <c r="CE199">
        <v>6</v>
      </c>
      <c r="CF199">
        <v>4</v>
      </c>
      <c r="CG199">
        <v>9</v>
      </c>
      <c r="CH199">
        <v>7</v>
      </c>
      <c r="CI199">
        <v>8</v>
      </c>
      <c r="CJ199">
        <v>5</v>
      </c>
      <c r="CK199">
        <v>2</v>
      </c>
      <c r="CL199">
        <v>2</v>
      </c>
      <c r="CM199">
        <v>5</v>
      </c>
      <c r="CN199">
        <v>0</v>
      </c>
      <c r="CO199">
        <v>5</v>
      </c>
      <c r="CP199">
        <v>6</v>
      </c>
      <c r="CQ199">
        <v>5</v>
      </c>
      <c r="CR199">
        <v>1</v>
      </c>
      <c r="CS199">
        <v>7</v>
      </c>
      <c r="CT199">
        <v>8</v>
      </c>
      <c r="CU199">
        <v>10</v>
      </c>
      <c r="CV199">
        <v>10</v>
      </c>
      <c r="CW199">
        <v>3</v>
      </c>
      <c r="CX199">
        <v>0</v>
      </c>
      <c r="CY199">
        <v>7</v>
      </c>
      <c r="CZ199">
        <v>5</v>
      </c>
      <c r="DA199">
        <v>10</v>
      </c>
      <c r="DB199">
        <v>2</v>
      </c>
      <c r="DC199">
        <v>4</v>
      </c>
      <c r="DD199">
        <v>0</v>
      </c>
      <c r="DE199">
        <v>2</v>
      </c>
      <c r="DF199">
        <v>10</v>
      </c>
      <c r="DG199">
        <v>4</v>
      </c>
      <c r="DH199">
        <v>5</v>
      </c>
      <c r="DI199">
        <v>4</v>
      </c>
      <c r="DJ199">
        <v>6</v>
      </c>
      <c r="DK199">
        <v>8</v>
      </c>
    </row>
    <row r="200" spans="1:115">
      <c r="A200" s="173">
        <f>Calculations[[#This Row],[Sum t eCO2]]*IF(Calculations[[#This Row],[GHG Scope]]="BIOGENIC",0,1)</f>
        <v>72.528686192599992</v>
      </c>
      <c r="O200">
        <f t="shared" si="3"/>
        <v>199</v>
      </c>
      <c r="P200">
        <v>8</v>
      </c>
      <c r="Q200">
        <v>5</v>
      </c>
      <c r="R200">
        <v>9</v>
      </c>
      <c r="S200">
        <v>5</v>
      </c>
      <c r="T200">
        <v>0</v>
      </c>
      <c r="U200">
        <v>3</v>
      </c>
      <c r="V200">
        <v>0</v>
      </c>
      <c r="W200">
        <v>4</v>
      </c>
      <c r="X200">
        <v>1</v>
      </c>
      <c r="Y200">
        <v>6</v>
      </c>
      <c r="Z200">
        <v>5</v>
      </c>
      <c r="AA200">
        <v>7</v>
      </c>
      <c r="AB200">
        <v>7</v>
      </c>
      <c r="AC200">
        <v>10</v>
      </c>
      <c r="AD200">
        <v>0</v>
      </c>
      <c r="AE200">
        <v>5</v>
      </c>
      <c r="AF200">
        <v>5</v>
      </c>
      <c r="AG200">
        <v>6</v>
      </c>
      <c r="AH200">
        <v>3</v>
      </c>
      <c r="AI200">
        <v>10</v>
      </c>
      <c r="AJ200">
        <v>3</v>
      </c>
      <c r="AK200">
        <v>1</v>
      </c>
      <c r="AL200">
        <v>1</v>
      </c>
      <c r="AM200">
        <v>2</v>
      </c>
      <c r="AN200">
        <v>9</v>
      </c>
      <c r="AO200">
        <v>6</v>
      </c>
      <c r="AP200">
        <v>1</v>
      </c>
      <c r="AQ200">
        <v>10</v>
      </c>
      <c r="AR200">
        <v>7</v>
      </c>
      <c r="AS200">
        <v>5</v>
      </c>
      <c r="AT200">
        <v>7</v>
      </c>
      <c r="AU200">
        <v>5</v>
      </c>
      <c r="AV200">
        <v>1</v>
      </c>
      <c r="AW200">
        <v>3</v>
      </c>
      <c r="AX200">
        <v>10</v>
      </c>
      <c r="AY200">
        <v>6</v>
      </c>
      <c r="AZ200">
        <v>3</v>
      </c>
      <c r="BA200">
        <v>4</v>
      </c>
      <c r="BB200">
        <v>5</v>
      </c>
      <c r="BC200">
        <v>8</v>
      </c>
      <c r="BD200">
        <v>2</v>
      </c>
      <c r="BE200">
        <v>3</v>
      </c>
      <c r="BF200">
        <v>0</v>
      </c>
      <c r="BG200">
        <v>1</v>
      </c>
      <c r="BH200">
        <v>0</v>
      </c>
      <c r="BI200">
        <v>7</v>
      </c>
      <c r="BJ200">
        <v>5</v>
      </c>
      <c r="BK200">
        <v>8</v>
      </c>
      <c r="BL200">
        <v>7</v>
      </c>
      <c r="BM200">
        <v>3</v>
      </c>
      <c r="BN200">
        <v>7</v>
      </c>
      <c r="BO200">
        <v>6</v>
      </c>
      <c r="BP200">
        <v>3</v>
      </c>
      <c r="BQ200">
        <v>8</v>
      </c>
      <c r="BR200">
        <v>6</v>
      </c>
      <c r="BS200">
        <v>1</v>
      </c>
      <c r="BT200">
        <v>0</v>
      </c>
      <c r="BU200">
        <v>7</v>
      </c>
      <c r="BV200">
        <v>6</v>
      </c>
      <c r="BW200">
        <v>9</v>
      </c>
      <c r="BX200">
        <v>10</v>
      </c>
      <c r="BY200">
        <v>5</v>
      </c>
      <c r="BZ200">
        <v>5</v>
      </c>
      <c r="CA200">
        <v>9</v>
      </c>
      <c r="CB200">
        <v>0</v>
      </c>
      <c r="CC200">
        <v>6</v>
      </c>
      <c r="CD200">
        <v>5</v>
      </c>
      <c r="CE200">
        <v>4</v>
      </c>
      <c r="CF200">
        <v>4</v>
      </c>
      <c r="CG200">
        <v>5</v>
      </c>
      <c r="CH200">
        <v>1</v>
      </c>
      <c r="CI200">
        <v>5</v>
      </c>
      <c r="CJ200">
        <v>7</v>
      </c>
      <c r="CK200">
        <v>2</v>
      </c>
      <c r="CL200">
        <v>10</v>
      </c>
      <c r="CM200">
        <v>9</v>
      </c>
      <c r="CN200">
        <v>4</v>
      </c>
      <c r="CO200">
        <v>2</v>
      </c>
      <c r="CP200">
        <v>10</v>
      </c>
      <c r="CQ200">
        <v>10</v>
      </c>
      <c r="CR200">
        <v>3</v>
      </c>
      <c r="CS200">
        <v>1</v>
      </c>
      <c r="CT200">
        <v>2</v>
      </c>
      <c r="CU200">
        <v>5</v>
      </c>
      <c r="CV200">
        <v>1</v>
      </c>
      <c r="CW200">
        <v>7</v>
      </c>
      <c r="CX200">
        <v>9</v>
      </c>
      <c r="CY200">
        <v>7</v>
      </c>
      <c r="CZ200">
        <v>2</v>
      </c>
      <c r="DA200">
        <v>10</v>
      </c>
      <c r="DB200">
        <v>1</v>
      </c>
      <c r="DC200">
        <v>3</v>
      </c>
      <c r="DD200">
        <v>1</v>
      </c>
      <c r="DE200">
        <v>1</v>
      </c>
      <c r="DF200">
        <v>9</v>
      </c>
      <c r="DG200">
        <v>7</v>
      </c>
      <c r="DH200">
        <v>10</v>
      </c>
      <c r="DI200">
        <v>0</v>
      </c>
      <c r="DJ200">
        <v>3</v>
      </c>
      <c r="DK200">
        <v>3</v>
      </c>
    </row>
    <row r="201" spans="1:115">
      <c r="A201" s="173">
        <f>Calculations[[#This Row],[Sum t eCO2]]*IF(Calculations[[#This Row],[GHG Scope]]="BIOGENIC",0,1)</f>
        <v>5.0858289944000004E-2</v>
      </c>
      <c r="O201">
        <f t="shared" si="3"/>
        <v>200</v>
      </c>
      <c r="P201">
        <v>5</v>
      </c>
      <c r="Q201">
        <v>6</v>
      </c>
      <c r="R201">
        <v>6</v>
      </c>
      <c r="S201">
        <v>3</v>
      </c>
      <c r="T201">
        <v>2</v>
      </c>
      <c r="U201">
        <v>5</v>
      </c>
      <c r="V201">
        <v>0</v>
      </c>
      <c r="W201">
        <v>7</v>
      </c>
      <c r="X201">
        <v>10</v>
      </c>
      <c r="Y201">
        <v>8</v>
      </c>
      <c r="Z201">
        <v>10</v>
      </c>
      <c r="AA201">
        <v>9</v>
      </c>
      <c r="AB201">
        <v>5</v>
      </c>
      <c r="AC201">
        <v>6</v>
      </c>
      <c r="AD201">
        <v>5</v>
      </c>
      <c r="AE201">
        <v>3</v>
      </c>
      <c r="AF201">
        <v>8</v>
      </c>
      <c r="AG201">
        <v>3</v>
      </c>
      <c r="AH201">
        <v>4</v>
      </c>
      <c r="AI201">
        <v>1</v>
      </c>
      <c r="AJ201">
        <v>5</v>
      </c>
      <c r="AK201">
        <v>10</v>
      </c>
      <c r="AL201">
        <v>5</v>
      </c>
      <c r="AM201">
        <v>10</v>
      </c>
      <c r="AN201">
        <v>1</v>
      </c>
      <c r="AO201">
        <v>8</v>
      </c>
      <c r="AP201">
        <v>10</v>
      </c>
      <c r="AQ201">
        <v>3</v>
      </c>
      <c r="AR201">
        <v>6</v>
      </c>
      <c r="AS201">
        <v>9</v>
      </c>
      <c r="AT201">
        <v>2</v>
      </c>
      <c r="AU201">
        <v>2</v>
      </c>
      <c r="AV201">
        <v>1</v>
      </c>
      <c r="AW201">
        <v>6</v>
      </c>
      <c r="AX201">
        <v>9</v>
      </c>
      <c r="AY201">
        <v>7</v>
      </c>
      <c r="AZ201">
        <v>3</v>
      </c>
      <c r="BA201">
        <v>4</v>
      </c>
      <c r="BB201">
        <v>0</v>
      </c>
      <c r="BC201">
        <v>8</v>
      </c>
      <c r="BD201">
        <v>10</v>
      </c>
      <c r="BE201">
        <v>1</v>
      </c>
      <c r="BF201">
        <v>6</v>
      </c>
      <c r="BG201">
        <v>6</v>
      </c>
      <c r="BH201">
        <v>10</v>
      </c>
      <c r="BI201">
        <v>2</v>
      </c>
      <c r="BJ201">
        <v>4</v>
      </c>
      <c r="BK201">
        <v>9</v>
      </c>
      <c r="BL201">
        <v>7</v>
      </c>
      <c r="BM201">
        <v>1</v>
      </c>
      <c r="BN201">
        <v>6</v>
      </c>
      <c r="BO201">
        <v>0</v>
      </c>
      <c r="BP201">
        <v>9</v>
      </c>
      <c r="BQ201">
        <v>6</v>
      </c>
      <c r="BR201">
        <v>4</v>
      </c>
      <c r="BS201">
        <v>9</v>
      </c>
      <c r="BT201">
        <v>0</v>
      </c>
      <c r="BU201">
        <v>0</v>
      </c>
      <c r="BV201">
        <v>2</v>
      </c>
      <c r="BW201">
        <v>1</v>
      </c>
      <c r="BX201">
        <v>6</v>
      </c>
      <c r="BY201">
        <v>5</v>
      </c>
      <c r="BZ201">
        <v>8</v>
      </c>
      <c r="CA201">
        <v>8</v>
      </c>
      <c r="CB201">
        <v>10</v>
      </c>
      <c r="CC201">
        <v>2</v>
      </c>
      <c r="CD201">
        <v>4</v>
      </c>
      <c r="CE201">
        <v>8</v>
      </c>
      <c r="CF201">
        <v>0</v>
      </c>
      <c r="CG201">
        <v>5</v>
      </c>
      <c r="CH201">
        <v>10</v>
      </c>
      <c r="CI201">
        <v>5</v>
      </c>
      <c r="CJ201">
        <v>5</v>
      </c>
      <c r="CK201">
        <v>6</v>
      </c>
      <c r="CL201">
        <v>4</v>
      </c>
      <c r="CM201">
        <v>9</v>
      </c>
      <c r="CN201">
        <v>3</v>
      </c>
      <c r="CO201">
        <v>9</v>
      </c>
      <c r="CP201">
        <v>9</v>
      </c>
      <c r="CQ201">
        <v>10</v>
      </c>
      <c r="CR201">
        <v>10</v>
      </c>
      <c r="CS201">
        <v>10</v>
      </c>
      <c r="CT201">
        <v>3</v>
      </c>
      <c r="CU201">
        <v>3</v>
      </c>
      <c r="CV201">
        <v>1</v>
      </c>
      <c r="CW201">
        <v>1</v>
      </c>
      <c r="CX201">
        <v>1</v>
      </c>
      <c r="CY201">
        <v>6</v>
      </c>
      <c r="CZ201">
        <v>2</v>
      </c>
      <c r="DA201">
        <v>3</v>
      </c>
      <c r="DB201">
        <v>9</v>
      </c>
      <c r="DC201">
        <v>10</v>
      </c>
      <c r="DD201">
        <v>4</v>
      </c>
      <c r="DE201">
        <v>9</v>
      </c>
      <c r="DF201">
        <v>9</v>
      </c>
      <c r="DG201">
        <v>9</v>
      </c>
      <c r="DH201">
        <v>1</v>
      </c>
      <c r="DI201">
        <v>4</v>
      </c>
      <c r="DJ201">
        <v>8</v>
      </c>
      <c r="DK201">
        <v>0</v>
      </c>
    </row>
    <row r="202" spans="1:115">
      <c r="A202" s="173">
        <f>Calculations[[#This Row],[Sum t eCO2]]*IF(Calculations[[#This Row],[GHG Scope]]="BIOGENIC",0,1)</f>
        <v>0.1981919253435</v>
      </c>
      <c r="O202">
        <f t="shared" si="3"/>
        <v>201</v>
      </c>
      <c r="P202">
        <v>8</v>
      </c>
      <c r="Q202">
        <v>6</v>
      </c>
      <c r="R202">
        <v>1</v>
      </c>
      <c r="S202">
        <v>0</v>
      </c>
      <c r="T202">
        <v>10</v>
      </c>
      <c r="U202">
        <v>3</v>
      </c>
      <c r="V202">
        <v>3</v>
      </c>
      <c r="W202">
        <v>0</v>
      </c>
      <c r="X202">
        <v>9</v>
      </c>
      <c r="Y202">
        <v>0</v>
      </c>
      <c r="Z202">
        <v>3</v>
      </c>
      <c r="AA202">
        <v>7</v>
      </c>
      <c r="AB202">
        <v>9</v>
      </c>
      <c r="AC202">
        <v>3</v>
      </c>
      <c r="AD202">
        <v>10</v>
      </c>
      <c r="AE202">
        <v>10</v>
      </c>
      <c r="AF202">
        <v>6</v>
      </c>
      <c r="AG202">
        <v>3</v>
      </c>
      <c r="AH202">
        <v>4</v>
      </c>
      <c r="AI202">
        <v>10</v>
      </c>
      <c r="AJ202">
        <v>2</v>
      </c>
      <c r="AK202">
        <v>5</v>
      </c>
      <c r="AL202">
        <v>5</v>
      </c>
      <c r="AM202">
        <v>6</v>
      </c>
      <c r="AN202">
        <v>9</v>
      </c>
      <c r="AO202">
        <v>4</v>
      </c>
      <c r="AP202">
        <v>8</v>
      </c>
      <c r="AQ202">
        <v>7</v>
      </c>
      <c r="AR202">
        <v>2</v>
      </c>
      <c r="AS202">
        <v>5</v>
      </c>
      <c r="AT202">
        <v>7</v>
      </c>
      <c r="AU202">
        <v>5</v>
      </c>
      <c r="AV202">
        <v>3</v>
      </c>
      <c r="AW202">
        <v>0</v>
      </c>
      <c r="AX202">
        <v>6</v>
      </c>
      <c r="AY202">
        <v>0</v>
      </c>
      <c r="AZ202">
        <v>0</v>
      </c>
      <c r="BA202">
        <v>7</v>
      </c>
      <c r="BB202">
        <v>6</v>
      </c>
      <c r="BC202">
        <v>8</v>
      </c>
      <c r="BD202">
        <v>4</v>
      </c>
      <c r="BE202">
        <v>6</v>
      </c>
      <c r="BF202">
        <v>2</v>
      </c>
      <c r="BG202">
        <v>0</v>
      </c>
      <c r="BH202">
        <v>7</v>
      </c>
      <c r="BI202">
        <v>1</v>
      </c>
      <c r="BJ202">
        <v>5</v>
      </c>
      <c r="BK202">
        <v>8</v>
      </c>
      <c r="BL202">
        <v>0</v>
      </c>
      <c r="BM202">
        <v>1</v>
      </c>
      <c r="BN202">
        <v>6</v>
      </c>
      <c r="BO202">
        <v>5</v>
      </c>
      <c r="BP202">
        <v>0</v>
      </c>
      <c r="BQ202">
        <v>7</v>
      </c>
      <c r="BR202">
        <v>4</v>
      </c>
      <c r="BS202">
        <v>8</v>
      </c>
      <c r="BT202">
        <v>10</v>
      </c>
      <c r="BU202">
        <v>3</v>
      </c>
      <c r="BV202">
        <v>4</v>
      </c>
      <c r="BW202">
        <v>2</v>
      </c>
      <c r="BX202">
        <v>0</v>
      </c>
      <c r="BY202">
        <v>3</v>
      </c>
      <c r="BZ202">
        <v>8</v>
      </c>
      <c r="CA202">
        <v>0</v>
      </c>
      <c r="CB202">
        <v>9</v>
      </c>
      <c r="CC202">
        <v>3</v>
      </c>
      <c r="CD202">
        <v>4</v>
      </c>
      <c r="CE202">
        <v>6</v>
      </c>
      <c r="CF202">
        <v>5</v>
      </c>
      <c r="CG202">
        <v>6</v>
      </c>
      <c r="CH202">
        <v>8</v>
      </c>
      <c r="CI202">
        <v>5</v>
      </c>
      <c r="CJ202">
        <v>7</v>
      </c>
      <c r="CK202">
        <v>5</v>
      </c>
      <c r="CL202">
        <v>9</v>
      </c>
      <c r="CM202">
        <v>7</v>
      </c>
      <c r="CN202">
        <v>10</v>
      </c>
      <c r="CO202">
        <v>8</v>
      </c>
      <c r="CP202">
        <v>9</v>
      </c>
      <c r="CQ202">
        <v>6</v>
      </c>
      <c r="CR202">
        <v>10</v>
      </c>
      <c r="CS202">
        <v>1</v>
      </c>
      <c r="CT202">
        <v>5</v>
      </c>
      <c r="CU202">
        <v>3</v>
      </c>
      <c r="CV202">
        <v>2</v>
      </c>
      <c r="CW202">
        <v>3</v>
      </c>
      <c r="CX202">
        <v>7</v>
      </c>
      <c r="CY202">
        <v>3</v>
      </c>
      <c r="CZ202">
        <v>2</v>
      </c>
      <c r="DA202">
        <v>0</v>
      </c>
      <c r="DB202">
        <v>4</v>
      </c>
      <c r="DC202">
        <v>6</v>
      </c>
      <c r="DD202">
        <v>5</v>
      </c>
      <c r="DE202">
        <v>5</v>
      </c>
      <c r="DF202">
        <v>6</v>
      </c>
      <c r="DG202">
        <v>1</v>
      </c>
      <c r="DH202">
        <v>0</v>
      </c>
      <c r="DI202">
        <v>9</v>
      </c>
      <c r="DJ202">
        <v>0</v>
      </c>
      <c r="DK202">
        <v>8</v>
      </c>
    </row>
    <row r="203" spans="1:115">
      <c r="A203" s="173">
        <f>Calculations[[#This Row],[Sum t eCO2]]*IF(Calculations[[#This Row],[GHG Scope]]="BIOGENIC",0,1)</f>
        <v>20.722883737030642</v>
      </c>
      <c r="O203">
        <f t="shared" si="3"/>
        <v>202</v>
      </c>
      <c r="P203">
        <v>7</v>
      </c>
      <c r="Q203">
        <v>10</v>
      </c>
      <c r="R203">
        <v>3</v>
      </c>
      <c r="S203">
        <v>2</v>
      </c>
      <c r="T203">
        <v>5</v>
      </c>
      <c r="U203">
        <v>0</v>
      </c>
      <c r="V203">
        <v>6</v>
      </c>
      <c r="W203">
        <v>6</v>
      </c>
      <c r="X203">
        <v>3</v>
      </c>
      <c r="Y203">
        <v>7</v>
      </c>
      <c r="Z203">
        <v>5</v>
      </c>
      <c r="AA203">
        <v>3</v>
      </c>
      <c r="AB203">
        <v>2</v>
      </c>
      <c r="AC203">
        <v>0</v>
      </c>
      <c r="AD203">
        <v>1</v>
      </c>
      <c r="AE203">
        <v>1</v>
      </c>
      <c r="AF203">
        <v>0</v>
      </c>
      <c r="AG203">
        <v>8</v>
      </c>
      <c r="AH203">
        <v>4</v>
      </c>
      <c r="AI203">
        <v>3</v>
      </c>
      <c r="AJ203">
        <v>0</v>
      </c>
      <c r="AK203">
        <v>10</v>
      </c>
      <c r="AL203">
        <v>7</v>
      </c>
      <c r="AM203">
        <v>9</v>
      </c>
      <c r="AN203">
        <v>5</v>
      </c>
      <c r="AO203">
        <v>9</v>
      </c>
      <c r="AP203">
        <v>4</v>
      </c>
      <c r="AQ203">
        <v>3</v>
      </c>
      <c r="AR203">
        <v>9</v>
      </c>
      <c r="AS203">
        <v>10</v>
      </c>
      <c r="AT203">
        <v>7</v>
      </c>
      <c r="AU203">
        <v>2</v>
      </c>
      <c r="AV203">
        <v>7</v>
      </c>
      <c r="AW203">
        <v>7</v>
      </c>
      <c r="AX203">
        <v>1</v>
      </c>
      <c r="AY203">
        <v>1</v>
      </c>
      <c r="AZ203">
        <v>1</v>
      </c>
      <c r="BA203">
        <v>7</v>
      </c>
      <c r="BB203">
        <v>7</v>
      </c>
      <c r="BC203">
        <v>2</v>
      </c>
      <c r="BD203">
        <v>6</v>
      </c>
      <c r="BE203">
        <v>1</v>
      </c>
      <c r="BF203">
        <v>1</v>
      </c>
      <c r="BG203">
        <v>0</v>
      </c>
      <c r="BH203">
        <v>5</v>
      </c>
      <c r="BI203">
        <v>8</v>
      </c>
      <c r="BJ203">
        <v>6</v>
      </c>
      <c r="BK203">
        <v>8</v>
      </c>
      <c r="BL203">
        <v>1</v>
      </c>
      <c r="BM203">
        <v>5</v>
      </c>
      <c r="BN203">
        <v>2</v>
      </c>
      <c r="BO203">
        <v>3</v>
      </c>
      <c r="BP203">
        <v>5</v>
      </c>
      <c r="BQ203">
        <v>5</v>
      </c>
      <c r="BR203">
        <v>0</v>
      </c>
      <c r="BS203">
        <v>8</v>
      </c>
      <c r="BT203">
        <v>5</v>
      </c>
      <c r="BU203">
        <v>1</v>
      </c>
      <c r="BV203">
        <v>0</v>
      </c>
      <c r="BW203">
        <v>5</v>
      </c>
      <c r="BX203">
        <v>1</v>
      </c>
      <c r="BY203">
        <v>10</v>
      </c>
      <c r="BZ203">
        <v>7</v>
      </c>
      <c r="CA203">
        <v>9</v>
      </c>
      <c r="CB203">
        <v>6</v>
      </c>
      <c r="CC203">
        <v>9</v>
      </c>
      <c r="CD203">
        <v>10</v>
      </c>
      <c r="CE203">
        <v>6</v>
      </c>
      <c r="CF203">
        <v>9</v>
      </c>
      <c r="CG203">
        <v>2</v>
      </c>
      <c r="CH203">
        <v>8</v>
      </c>
      <c r="CI203">
        <v>4</v>
      </c>
      <c r="CJ203">
        <v>8</v>
      </c>
      <c r="CK203">
        <v>9</v>
      </c>
      <c r="CL203">
        <v>3</v>
      </c>
      <c r="CM203">
        <v>6</v>
      </c>
      <c r="CN203">
        <v>8</v>
      </c>
      <c r="CO203">
        <v>2</v>
      </c>
      <c r="CP203">
        <v>1</v>
      </c>
      <c r="CQ203">
        <v>5</v>
      </c>
      <c r="CR203">
        <v>5</v>
      </c>
      <c r="CS203">
        <v>9</v>
      </c>
      <c r="CT203">
        <v>8</v>
      </c>
      <c r="CU203">
        <v>3</v>
      </c>
      <c r="CV203">
        <v>7</v>
      </c>
      <c r="CW203">
        <v>6</v>
      </c>
      <c r="CX203">
        <v>0</v>
      </c>
      <c r="CY203">
        <v>9</v>
      </c>
      <c r="CZ203">
        <v>6</v>
      </c>
      <c r="DA203">
        <v>6</v>
      </c>
      <c r="DB203">
        <v>3</v>
      </c>
      <c r="DC203">
        <v>9</v>
      </c>
      <c r="DD203">
        <v>0</v>
      </c>
      <c r="DE203">
        <v>9</v>
      </c>
      <c r="DF203">
        <v>3</v>
      </c>
      <c r="DG203">
        <v>3</v>
      </c>
      <c r="DH203">
        <v>4</v>
      </c>
      <c r="DI203">
        <v>8</v>
      </c>
      <c r="DJ203">
        <v>1</v>
      </c>
      <c r="DK203">
        <v>4</v>
      </c>
    </row>
    <row r="204" spans="1:115">
      <c r="A204" s="173">
        <f>Calculations[[#This Row],[Sum t eCO2]]*IF(Calculations[[#This Row],[GHG Scope]]="BIOGENIC",0,1)</f>
        <v>1.4531221850275814E-2</v>
      </c>
      <c r="O204">
        <f t="shared" si="3"/>
        <v>203</v>
      </c>
      <c r="P204">
        <v>5</v>
      </c>
      <c r="Q204">
        <v>10</v>
      </c>
      <c r="R204">
        <v>10</v>
      </c>
      <c r="S204">
        <v>6</v>
      </c>
      <c r="T204">
        <v>4</v>
      </c>
      <c r="U204">
        <v>4</v>
      </c>
      <c r="V204">
        <v>2</v>
      </c>
      <c r="W204">
        <v>1</v>
      </c>
      <c r="X204">
        <v>10</v>
      </c>
      <c r="Y204">
        <v>9</v>
      </c>
      <c r="Z204">
        <v>9</v>
      </c>
      <c r="AA204">
        <v>10</v>
      </c>
      <c r="AB204">
        <v>9</v>
      </c>
      <c r="AC204">
        <v>10</v>
      </c>
      <c r="AD204">
        <v>6</v>
      </c>
      <c r="AE204">
        <v>4</v>
      </c>
      <c r="AF204">
        <v>2</v>
      </c>
      <c r="AG204">
        <v>6</v>
      </c>
      <c r="AH204">
        <v>8</v>
      </c>
      <c r="AI204">
        <v>1</v>
      </c>
      <c r="AJ204">
        <v>1</v>
      </c>
      <c r="AK204">
        <v>1</v>
      </c>
      <c r="AL204">
        <v>10</v>
      </c>
      <c r="AM204">
        <v>4</v>
      </c>
      <c r="AN204">
        <v>0</v>
      </c>
      <c r="AO204">
        <v>5</v>
      </c>
      <c r="AP204">
        <v>4</v>
      </c>
      <c r="AQ204">
        <v>10</v>
      </c>
      <c r="AR204">
        <v>10</v>
      </c>
      <c r="AS204">
        <v>8</v>
      </c>
      <c r="AT204">
        <v>6</v>
      </c>
      <c r="AU204">
        <v>1</v>
      </c>
      <c r="AV204">
        <v>3</v>
      </c>
      <c r="AW204">
        <v>8</v>
      </c>
      <c r="AX204">
        <v>7</v>
      </c>
      <c r="AY204">
        <v>7</v>
      </c>
      <c r="AZ204">
        <v>10</v>
      </c>
      <c r="BA204">
        <v>1</v>
      </c>
      <c r="BB204">
        <v>10</v>
      </c>
      <c r="BC204">
        <v>4</v>
      </c>
      <c r="BD204">
        <v>5</v>
      </c>
      <c r="BE204">
        <v>5</v>
      </c>
      <c r="BF204">
        <v>1</v>
      </c>
      <c r="BG204">
        <v>6</v>
      </c>
      <c r="BH204">
        <v>6</v>
      </c>
      <c r="BI204">
        <v>3</v>
      </c>
      <c r="BJ204">
        <v>10</v>
      </c>
      <c r="BK204">
        <v>10</v>
      </c>
      <c r="BL204">
        <v>0</v>
      </c>
      <c r="BM204">
        <v>2</v>
      </c>
      <c r="BN204">
        <v>7</v>
      </c>
      <c r="BO204">
        <v>5</v>
      </c>
      <c r="BP204">
        <v>10</v>
      </c>
      <c r="BQ204">
        <v>8</v>
      </c>
      <c r="BR204">
        <v>7</v>
      </c>
      <c r="BS204">
        <v>9</v>
      </c>
      <c r="BT204">
        <v>6</v>
      </c>
      <c r="BU204">
        <v>8</v>
      </c>
      <c r="BV204">
        <v>6</v>
      </c>
      <c r="BW204">
        <v>10</v>
      </c>
      <c r="BX204">
        <v>10</v>
      </c>
      <c r="BY204">
        <v>3</v>
      </c>
      <c r="BZ204">
        <v>7</v>
      </c>
      <c r="CA204">
        <v>5</v>
      </c>
      <c r="CB204">
        <v>8</v>
      </c>
      <c r="CC204">
        <v>7</v>
      </c>
      <c r="CD204">
        <v>5</v>
      </c>
      <c r="CE204">
        <v>7</v>
      </c>
      <c r="CF204">
        <v>9</v>
      </c>
      <c r="CG204">
        <v>5</v>
      </c>
      <c r="CH204">
        <v>7</v>
      </c>
      <c r="CI204">
        <v>6</v>
      </c>
      <c r="CJ204">
        <v>6</v>
      </c>
      <c r="CK204">
        <v>8</v>
      </c>
      <c r="CL204">
        <v>5</v>
      </c>
      <c r="CM204">
        <v>2</v>
      </c>
      <c r="CN204">
        <v>4</v>
      </c>
      <c r="CO204">
        <v>5</v>
      </c>
      <c r="CP204">
        <v>7</v>
      </c>
      <c r="CQ204">
        <v>0</v>
      </c>
      <c r="CR204">
        <v>5</v>
      </c>
      <c r="CS204">
        <v>3</v>
      </c>
      <c r="CT204">
        <v>3</v>
      </c>
      <c r="CU204">
        <v>2</v>
      </c>
      <c r="CV204">
        <v>9</v>
      </c>
      <c r="CW204">
        <v>2</v>
      </c>
      <c r="CX204">
        <v>8</v>
      </c>
      <c r="CY204">
        <v>5</v>
      </c>
      <c r="CZ204">
        <v>6</v>
      </c>
      <c r="DA204">
        <v>3</v>
      </c>
      <c r="DB204">
        <v>7</v>
      </c>
      <c r="DC204">
        <v>6</v>
      </c>
      <c r="DD204">
        <v>6</v>
      </c>
      <c r="DE204">
        <v>4</v>
      </c>
      <c r="DF204">
        <v>2</v>
      </c>
      <c r="DG204">
        <v>0</v>
      </c>
      <c r="DH204">
        <v>9</v>
      </c>
      <c r="DI204">
        <v>2</v>
      </c>
      <c r="DJ204">
        <v>3</v>
      </c>
      <c r="DK204">
        <v>10</v>
      </c>
    </row>
    <row r="205" spans="1:115">
      <c r="A205" s="173">
        <f>Calculations[[#This Row],[Sum t eCO2]]*IF(Calculations[[#This Row],[GHG Scope]]="BIOGENIC",0,1)</f>
        <v>5.6627362801046445E-2</v>
      </c>
      <c r="O205">
        <f t="shared" si="3"/>
        <v>204</v>
      </c>
      <c r="P205">
        <v>9</v>
      </c>
      <c r="Q205">
        <v>3</v>
      </c>
      <c r="R205">
        <v>2</v>
      </c>
      <c r="S205">
        <v>5</v>
      </c>
      <c r="T205">
        <v>0</v>
      </c>
      <c r="U205">
        <v>4</v>
      </c>
      <c r="V205">
        <v>1</v>
      </c>
      <c r="W205">
        <v>2</v>
      </c>
      <c r="X205">
        <v>10</v>
      </c>
      <c r="Y205">
        <v>6</v>
      </c>
      <c r="Z205">
        <v>7</v>
      </c>
      <c r="AA205">
        <v>8</v>
      </c>
      <c r="AB205">
        <v>6</v>
      </c>
      <c r="AC205">
        <v>1</v>
      </c>
      <c r="AD205">
        <v>5</v>
      </c>
      <c r="AE205">
        <v>10</v>
      </c>
      <c r="AF205">
        <v>7</v>
      </c>
      <c r="AG205">
        <v>10</v>
      </c>
      <c r="AH205">
        <v>7</v>
      </c>
      <c r="AI205">
        <v>5</v>
      </c>
      <c r="AJ205">
        <v>10</v>
      </c>
      <c r="AK205">
        <v>3</v>
      </c>
      <c r="AL205">
        <v>5</v>
      </c>
      <c r="AM205">
        <v>1</v>
      </c>
      <c r="AN205">
        <v>7</v>
      </c>
      <c r="AO205">
        <v>0</v>
      </c>
      <c r="AP205">
        <v>3</v>
      </c>
      <c r="AQ205">
        <v>5</v>
      </c>
      <c r="AR205">
        <v>10</v>
      </c>
      <c r="AS205">
        <v>5</v>
      </c>
      <c r="AT205">
        <v>3</v>
      </c>
      <c r="AU205">
        <v>1</v>
      </c>
      <c r="AV205">
        <v>7</v>
      </c>
      <c r="AW205">
        <v>5</v>
      </c>
      <c r="AX205">
        <v>9</v>
      </c>
      <c r="AY205">
        <v>0</v>
      </c>
      <c r="AZ205">
        <v>10</v>
      </c>
      <c r="BA205">
        <v>10</v>
      </c>
      <c r="BB205">
        <v>6</v>
      </c>
      <c r="BC205">
        <v>3</v>
      </c>
      <c r="BD205">
        <v>5</v>
      </c>
      <c r="BE205">
        <v>5</v>
      </c>
      <c r="BF205">
        <v>9</v>
      </c>
      <c r="BG205">
        <v>1</v>
      </c>
      <c r="BH205">
        <v>9</v>
      </c>
      <c r="BI205">
        <v>7</v>
      </c>
      <c r="BJ205">
        <v>0</v>
      </c>
      <c r="BK205">
        <v>3</v>
      </c>
      <c r="BL205">
        <v>1</v>
      </c>
      <c r="BM205">
        <v>4</v>
      </c>
      <c r="BN205">
        <v>7</v>
      </c>
      <c r="BO205">
        <v>7</v>
      </c>
      <c r="BP205">
        <v>9</v>
      </c>
      <c r="BQ205">
        <v>6</v>
      </c>
      <c r="BR205">
        <v>3</v>
      </c>
      <c r="BS205">
        <v>7</v>
      </c>
      <c r="BT205">
        <v>7</v>
      </c>
      <c r="BU205">
        <v>6</v>
      </c>
      <c r="BV205">
        <v>3</v>
      </c>
      <c r="BW205">
        <v>9</v>
      </c>
      <c r="BX205">
        <v>0</v>
      </c>
      <c r="BY205">
        <v>3</v>
      </c>
      <c r="BZ205">
        <v>8</v>
      </c>
      <c r="CA205">
        <v>9</v>
      </c>
      <c r="CB205">
        <v>3</v>
      </c>
      <c r="CC205">
        <v>1</v>
      </c>
      <c r="CD205">
        <v>0</v>
      </c>
      <c r="CE205">
        <v>2</v>
      </c>
      <c r="CF205">
        <v>10</v>
      </c>
      <c r="CG205">
        <v>7</v>
      </c>
      <c r="CH205">
        <v>4</v>
      </c>
      <c r="CI205">
        <v>5</v>
      </c>
      <c r="CJ205">
        <v>4</v>
      </c>
      <c r="CK205">
        <v>4</v>
      </c>
      <c r="CL205">
        <v>7</v>
      </c>
      <c r="CM205">
        <v>8</v>
      </c>
      <c r="CN205">
        <v>10</v>
      </c>
      <c r="CO205">
        <v>8</v>
      </c>
      <c r="CP205">
        <v>4</v>
      </c>
      <c r="CQ205">
        <v>3</v>
      </c>
      <c r="CR205">
        <v>4</v>
      </c>
      <c r="CS205">
        <v>2</v>
      </c>
      <c r="CT205">
        <v>4</v>
      </c>
      <c r="CU205">
        <v>8</v>
      </c>
      <c r="CV205">
        <v>0</v>
      </c>
      <c r="CW205">
        <v>6</v>
      </c>
      <c r="CX205">
        <v>7</v>
      </c>
      <c r="CY205">
        <v>4</v>
      </c>
      <c r="CZ205">
        <v>9</v>
      </c>
      <c r="DA205">
        <v>8</v>
      </c>
      <c r="DB205">
        <v>2</v>
      </c>
      <c r="DC205">
        <v>4</v>
      </c>
      <c r="DD205">
        <v>6</v>
      </c>
      <c r="DE205">
        <v>1</v>
      </c>
      <c r="DF205">
        <v>9</v>
      </c>
      <c r="DG205">
        <v>1</v>
      </c>
      <c r="DH205">
        <v>10</v>
      </c>
      <c r="DI205">
        <v>1</v>
      </c>
      <c r="DJ205">
        <v>1</v>
      </c>
      <c r="DK205">
        <v>5</v>
      </c>
    </row>
    <row r="206" spans="1:115">
      <c r="A206" s="173">
        <f>Calculations[[#This Row],[Sum t eCO2]]*IF(Calculations[[#This Row],[GHG Scope]]="BIOGENIC",0,1)</f>
        <v>9.4063603725839986</v>
      </c>
      <c r="O206">
        <f t="shared" si="3"/>
        <v>205</v>
      </c>
      <c r="P206">
        <v>0</v>
      </c>
      <c r="Q206">
        <v>8</v>
      </c>
      <c r="R206">
        <v>7</v>
      </c>
      <c r="S206">
        <v>5</v>
      </c>
      <c r="T206">
        <v>8</v>
      </c>
      <c r="U206">
        <v>10</v>
      </c>
      <c r="V206">
        <v>2</v>
      </c>
      <c r="W206">
        <v>6</v>
      </c>
      <c r="X206">
        <v>6</v>
      </c>
      <c r="Y206">
        <v>7</v>
      </c>
      <c r="Z206">
        <v>6</v>
      </c>
      <c r="AA206">
        <v>9</v>
      </c>
      <c r="AB206">
        <v>10</v>
      </c>
      <c r="AC206">
        <v>10</v>
      </c>
      <c r="AD206">
        <v>4</v>
      </c>
      <c r="AE206">
        <v>3</v>
      </c>
      <c r="AF206">
        <v>2</v>
      </c>
      <c r="AG206">
        <v>4</v>
      </c>
      <c r="AH206">
        <v>7</v>
      </c>
      <c r="AI206">
        <v>7</v>
      </c>
      <c r="AJ206">
        <v>9</v>
      </c>
      <c r="AK206">
        <v>4</v>
      </c>
      <c r="AL206">
        <v>8</v>
      </c>
      <c r="AM206">
        <v>9</v>
      </c>
      <c r="AN206">
        <v>9</v>
      </c>
      <c r="AO206">
        <v>7</v>
      </c>
      <c r="AP206">
        <v>4</v>
      </c>
      <c r="AQ206">
        <v>6</v>
      </c>
      <c r="AR206">
        <v>2</v>
      </c>
      <c r="AS206">
        <v>9</v>
      </c>
      <c r="AT206">
        <v>7</v>
      </c>
      <c r="AU206">
        <v>5</v>
      </c>
      <c r="AV206">
        <v>0</v>
      </c>
      <c r="AW206">
        <v>2</v>
      </c>
      <c r="AX206">
        <v>7</v>
      </c>
      <c r="AY206">
        <v>2</v>
      </c>
      <c r="AZ206">
        <v>0</v>
      </c>
      <c r="BA206">
        <v>3</v>
      </c>
      <c r="BB206">
        <v>8</v>
      </c>
      <c r="BC206">
        <v>5</v>
      </c>
      <c r="BD206">
        <v>6</v>
      </c>
      <c r="BE206">
        <v>4</v>
      </c>
      <c r="BF206">
        <v>8</v>
      </c>
      <c r="BG206">
        <v>8</v>
      </c>
      <c r="BH206">
        <v>3</v>
      </c>
      <c r="BI206">
        <v>4</v>
      </c>
      <c r="BJ206">
        <v>2</v>
      </c>
      <c r="BK206">
        <v>0</v>
      </c>
      <c r="BL206">
        <v>6</v>
      </c>
      <c r="BM206">
        <v>10</v>
      </c>
      <c r="BN206">
        <v>1</v>
      </c>
      <c r="BO206">
        <v>0</v>
      </c>
      <c r="BP206">
        <v>8</v>
      </c>
      <c r="BQ206">
        <v>7</v>
      </c>
      <c r="BR206">
        <v>9</v>
      </c>
      <c r="BS206">
        <v>2</v>
      </c>
      <c r="BT206">
        <v>6</v>
      </c>
      <c r="BU206">
        <v>9</v>
      </c>
      <c r="BV206">
        <v>5</v>
      </c>
      <c r="BW206">
        <v>2</v>
      </c>
      <c r="BX206">
        <v>1</v>
      </c>
      <c r="BY206">
        <v>8</v>
      </c>
      <c r="BZ206">
        <v>5</v>
      </c>
      <c r="CA206">
        <v>4</v>
      </c>
      <c r="CB206">
        <v>2</v>
      </c>
      <c r="CC206">
        <v>7</v>
      </c>
      <c r="CD206">
        <v>10</v>
      </c>
      <c r="CE206">
        <v>1</v>
      </c>
      <c r="CF206">
        <v>4</v>
      </c>
      <c r="CG206">
        <v>10</v>
      </c>
      <c r="CH206">
        <v>10</v>
      </c>
      <c r="CI206">
        <v>9</v>
      </c>
      <c r="CJ206">
        <v>4</v>
      </c>
      <c r="CK206">
        <v>10</v>
      </c>
      <c r="CL206">
        <v>7</v>
      </c>
      <c r="CM206">
        <v>2</v>
      </c>
      <c r="CN206">
        <v>5</v>
      </c>
      <c r="CO206">
        <v>2</v>
      </c>
      <c r="CP206">
        <v>7</v>
      </c>
      <c r="CQ206">
        <v>6</v>
      </c>
      <c r="CR206">
        <v>5</v>
      </c>
      <c r="CS206">
        <v>7</v>
      </c>
      <c r="CT206">
        <v>1</v>
      </c>
      <c r="CU206">
        <v>0</v>
      </c>
      <c r="CV206">
        <v>5</v>
      </c>
      <c r="CW206">
        <v>4</v>
      </c>
      <c r="CX206">
        <v>8</v>
      </c>
      <c r="CY206">
        <v>4</v>
      </c>
      <c r="CZ206">
        <v>4</v>
      </c>
      <c r="DA206">
        <v>7</v>
      </c>
      <c r="DB206">
        <v>6</v>
      </c>
      <c r="DC206">
        <v>4</v>
      </c>
      <c r="DD206">
        <v>4</v>
      </c>
      <c r="DE206">
        <v>9</v>
      </c>
      <c r="DF206">
        <v>0</v>
      </c>
      <c r="DG206">
        <v>1</v>
      </c>
      <c r="DH206">
        <v>5</v>
      </c>
      <c r="DI206">
        <v>7</v>
      </c>
      <c r="DJ206">
        <v>3</v>
      </c>
      <c r="DK206">
        <v>4</v>
      </c>
    </row>
    <row r="207" spans="1:115">
      <c r="A207" s="173">
        <f>Calculations[[#This Row],[Sum t eCO2]]*IF(Calculations[[#This Row],[GHG Scope]]="BIOGENIC",0,1)</f>
        <v>6.5958923049599999E-3</v>
      </c>
      <c r="O207">
        <f t="shared" si="3"/>
        <v>206</v>
      </c>
      <c r="P207">
        <v>5</v>
      </c>
      <c r="Q207">
        <v>5</v>
      </c>
      <c r="R207">
        <v>0</v>
      </c>
      <c r="S207">
        <v>4</v>
      </c>
      <c r="T207">
        <v>5</v>
      </c>
      <c r="U207">
        <v>5</v>
      </c>
      <c r="V207">
        <v>9</v>
      </c>
      <c r="W207">
        <v>9</v>
      </c>
      <c r="X207">
        <v>5</v>
      </c>
      <c r="Y207">
        <v>4</v>
      </c>
      <c r="Z207">
        <v>3</v>
      </c>
      <c r="AA207">
        <v>7</v>
      </c>
      <c r="AB207">
        <v>10</v>
      </c>
      <c r="AC207">
        <v>2</v>
      </c>
      <c r="AD207">
        <v>10</v>
      </c>
      <c r="AE207">
        <v>1</v>
      </c>
      <c r="AF207">
        <v>3</v>
      </c>
      <c r="AG207">
        <v>0</v>
      </c>
      <c r="AH207">
        <v>2</v>
      </c>
      <c r="AI207">
        <v>4</v>
      </c>
      <c r="AJ207">
        <v>7</v>
      </c>
      <c r="AK207">
        <v>2</v>
      </c>
      <c r="AL207">
        <v>10</v>
      </c>
      <c r="AM207">
        <v>6</v>
      </c>
      <c r="AN207">
        <v>4</v>
      </c>
      <c r="AO207">
        <v>2</v>
      </c>
      <c r="AP207">
        <v>8</v>
      </c>
      <c r="AQ207">
        <v>5</v>
      </c>
      <c r="AR207">
        <v>5</v>
      </c>
      <c r="AS207">
        <v>5</v>
      </c>
      <c r="AT207">
        <v>7</v>
      </c>
      <c r="AU207">
        <v>10</v>
      </c>
      <c r="AV207">
        <v>9</v>
      </c>
      <c r="AW207">
        <v>0</v>
      </c>
      <c r="AX207">
        <v>5</v>
      </c>
      <c r="AY207">
        <v>3</v>
      </c>
      <c r="AZ207">
        <v>2</v>
      </c>
      <c r="BA207">
        <v>4</v>
      </c>
      <c r="BB207">
        <v>7</v>
      </c>
      <c r="BC207">
        <v>8</v>
      </c>
      <c r="BD207">
        <v>5</v>
      </c>
      <c r="BE207">
        <v>3</v>
      </c>
      <c r="BF207">
        <v>7</v>
      </c>
      <c r="BG207">
        <v>5</v>
      </c>
      <c r="BH207">
        <v>0</v>
      </c>
      <c r="BI207">
        <v>9</v>
      </c>
      <c r="BJ207">
        <v>3</v>
      </c>
      <c r="BK207">
        <v>4</v>
      </c>
      <c r="BL207">
        <v>9</v>
      </c>
      <c r="BM207">
        <v>0</v>
      </c>
      <c r="BN207">
        <v>1</v>
      </c>
      <c r="BO207">
        <v>0</v>
      </c>
      <c r="BP207">
        <v>10</v>
      </c>
      <c r="BQ207">
        <v>8</v>
      </c>
      <c r="BR207">
        <v>9</v>
      </c>
      <c r="BS207">
        <v>7</v>
      </c>
      <c r="BT207">
        <v>3</v>
      </c>
      <c r="BU207">
        <v>7</v>
      </c>
      <c r="BV207">
        <v>4</v>
      </c>
      <c r="BW207">
        <v>5</v>
      </c>
      <c r="BX207">
        <v>7</v>
      </c>
      <c r="BY207">
        <v>1</v>
      </c>
      <c r="BZ207">
        <v>9</v>
      </c>
      <c r="CA207">
        <v>0</v>
      </c>
      <c r="CB207">
        <v>6</v>
      </c>
      <c r="CC207">
        <v>0</v>
      </c>
      <c r="CD207">
        <v>2</v>
      </c>
      <c r="CE207">
        <v>7</v>
      </c>
      <c r="CF207">
        <v>4</v>
      </c>
      <c r="CG207">
        <v>3</v>
      </c>
      <c r="CH207">
        <v>4</v>
      </c>
      <c r="CI207">
        <v>10</v>
      </c>
      <c r="CJ207">
        <v>3</v>
      </c>
      <c r="CK207">
        <v>7</v>
      </c>
      <c r="CL207">
        <v>10</v>
      </c>
      <c r="CM207">
        <v>3</v>
      </c>
      <c r="CN207">
        <v>8</v>
      </c>
      <c r="CO207">
        <v>8</v>
      </c>
      <c r="CP207">
        <v>2</v>
      </c>
      <c r="CQ207">
        <v>5</v>
      </c>
      <c r="CR207">
        <v>1</v>
      </c>
      <c r="CS207">
        <v>3</v>
      </c>
      <c r="CT207">
        <v>3</v>
      </c>
      <c r="CU207">
        <v>10</v>
      </c>
      <c r="CV207">
        <v>4</v>
      </c>
      <c r="CW207">
        <v>6</v>
      </c>
      <c r="CX207">
        <v>10</v>
      </c>
      <c r="CY207">
        <v>2</v>
      </c>
      <c r="CZ207">
        <v>3</v>
      </c>
      <c r="DA207">
        <v>6</v>
      </c>
      <c r="DB207">
        <v>1</v>
      </c>
      <c r="DC207">
        <v>0</v>
      </c>
      <c r="DD207">
        <v>9</v>
      </c>
      <c r="DE207">
        <v>2</v>
      </c>
      <c r="DF207">
        <v>3</v>
      </c>
      <c r="DG207">
        <v>6</v>
      </c>
      <c r="DH207">
        <v>4</v>
      </c>
      <c r="DI207">
        <v>9</v>
      </c>
      <c r="DJ207">
        <v>7</v>
      </c>
      <c r="DK207">
        <v>7</v>
      </c>
    </row>
    <row r="208" spans="1:115">
      <c r="A208" s="173">
        <f>Calculations[[#This Row],[Sum t eCO2]]*IF(Calculations[[#This Row],[GHG Scope]]="BIOGENIC",0,1)</f>
        <v>2.570382521154E-2</v>
      </c>
      <c r="O208">
        <f t="shared" si="3"/>
        <v>207</v>
      </c>
      <c r="P208">
        <v>2</v>
      </c>
      <c r="Q208">
        <v>1</v>
      </c>
      <c r="R208">
        <v>5</v>
      </c>
      <c r="S208">
        <v>7</v>
      </c>
      <c r="T208">
        <v>0</v>
      </c>
      <c r="U208">
        <v>9</v>
      </c>
      <c r="V208">
        <v>0</v>
      </c>
      <c r="W208">
        <v>10</v>
      </c>
      <c r="X208">
        <v>6</v>
      </c>
      <c r="Y208">
        <v>4</v>
      </c>
      <c r="Z208">
        <v>8</v>
      </c>
      <c r="AA208">
        <v>4</v>
      </c>
      <c r="AB208">
        <v>3</v>
      </c>
      <c r="AC208">
        <v>0</v>
      </c>
      <c r="AD208">
        <v>8</v>
      </c>
      <c r="AE208">
        <v>5</v>
      </c>
      <c r="AF208">
        <v>7</v>
      </c>
      <c r="AG208">
        <v>10</v>
      </c>
      <c r="AH208">
        <v>9</v>
      </c>
      <c r="AI208">
        <v>2</v>
      </c>
      <c r="AJ208">
        <v>0</v>
      </c>
      <c r="AK208">
        <v>5</v>
      </c>
      <c r="AL208">
        <v>0</v>
      </c>
      <c r="AM208">
        <v>0</v>
      </c>
      <c r="AN208">
        <v>10</v>
      </c>
      <c r="AO208">
        <v>8</v>
      </c>
      <c r="AP208">
        <v>6</v>
      </c>
      <c r="AQ208">
        <v>5</v>
      </c>
      <c r="AR208">
        <v>6</v>
      </c>
      <c r="AS208">
        <v>7</v>
      </c>
      <c r="AT208">
        <v>10</v>
      </c>
      <c r="AU208">
        <v>0</v>
      </c>
      <c r="AV208">
        <v>6</v>
      </c>
      <c r="AW208">
        <v>5</v>
      </c>
      <c r="AX208">
        <v>1</v>
      </c>
      <c r="AY208">
        <v>6</v>
      </c>
      <c r="AZ208">
        <v>1</v>
      </c>
      <c r="BA208">
        <v>7</v>
      </c>
      <c r="BB208">
        <v>2</v>
      </c>
      <c r="BC208">
        <v>3</v>
      </c>
      <c r="BD208">
        <v>9</v>
      </c>
      <c r="BE208">
        <v>5</v>
      </c>
      <c r="BF208">
        <v>5</v>
      </c>
      <c r="BG208">
        <v>5</v>
      </c>
      <c r="BH208">
        <v>1</v>
      </c>
      <c r="BI208">
        <v>8</v>
      </c>
      <c r="BJ208">
        <v>6</v>
      </c>
      <c r="BK208">
        <v>5</v>
      </c>
      <c r="BL208">
        <v>0</v>
      </c>
      <c r="BM208">
        <v>4</v>
      </c>
      <c r="BN208">
        <v>3</v>
      </c>
      <c r="BO208">
        <v>6</v>
      </c>
      <c r="BP208">
        <v>1</v>
      </c>
      <c r="BQ208">
        <v>3</v>
      </c>
      <c r="BR208">
        <v>2</v>
      </c>
      <c r="BS208">
        <v>6</v>
      </c>
      <c r="BT208">
        <v>2</v>
      </c>
      <c r="BU208">
        <v>9</v>
      </c>
      <c r="BV208">
        <v>7</v>
      </c>
      <c r="BW208">
        <v>7</v>
      </c>
      <c r="BX208">
        <v>0</v>
      </c>
      <c r="BY208">
        <v>5</v>
      </c>
      <c r="BZ208">
        <v>9</v>
      </c>
      <c r="CA208">
        <v>5</v>
      </c>
      <c r="CB208">
        <v>10</v>
      </c>
      <c r="CC208">
        <v>10</v>
      </c>
      <c r="CD208">
        <v>0</v>
      </c>
      <c r="CE208">
        <v>1</v>
      </c>
      <c r="CF208">
        <v>10</v>
      </c>
      <c r="CG208">
        <v>7</v>
      </c>
      <c r="CH208">
        <v>4</v>
      </c>
      <c r="CI208">
        <v>7</v>
      </c>
      <c r="CJ208">
        <v>7</v>
      </c>
      <c r="CK208">
        <v>1</v>
      </c>
      <c r="CL208">
        <v>1</v>
      </c>
      <c r="CM208">
        <v>4</v>
      </c>
      <c r="CN208">
        <v>0</v>
      </c>
      <c r="CO208">
        <v>1</v>
      </c>
      <c r="CP208">
        <v>5</v>
      </c>
      <c r="CQ208">
        <v>4</v>
      </c>
      <c r="CR208">
        <v>1</v>
      </c>
      <c r="CS208">
        <v>8</v>
      </c>
      <c r="CT208">
        <v>3</v>
      </c>
      <c r="CU208">
        <v>2</v>
      </c>
      <c r="CV208">
        <v>4</v>
      </c>
      <c r="CW208">
        <v>1</v>
      </c>
      <c r="CX208">
        <v>3</v>
      </c>
      <c r="CY208">
        <v>4</v>
      </c>
      <c r="CZ208">
        <v>1</v>
      </c>
      <c r="DA208">
        <v>9</v>
      </c>
      <c r="DB208">
        <v>6</v>
      </c>
      <c r="DC208">
        <v>5</v>
      </c>
      <c r="DD208">
        <v>9</v>
      </c>
      <c r="DE208">
        <v>5</v>
      </c>
      <c r="DF208">
        <v>4</v>
      </c>
      <c r="DG208">
        <v>2</v>
      </c>
      <c r="DH208">
        <v>5</v>
      </c>
      <c r="DI208">
        <v>7</v>
      </c>
      <c r="DJ208">
        <v>9</v>
      </c>
      <c r="DK208">
        <v>7</v>
      </c>
    </row>
    <row r="209" spans="1:115">
      <c r="A209" s="173">
        <f>Calculations[[#This Row],[Sum t eCO2]]*IF(Calculations[[#This Row],[GHG Scope]]="BIOGENIC",0,1)</f>
        <v>20.207451906925996</v>
      </c>
      <c r="O209">
        <f t="shared" si="3"/>
        <v>208</v>
      </c>
      <c r="P209">
        <v>0</v>
      </c>
      <c r="Q209">
        <v>5</v>
      </c>
      <c r="R209">
        <v>0</v>
      </c>
      <c r="S209">
        <v>7</v>
      </c>
      <c r="T209">
        <v>1</v>
      </c>
      <c r="U209">
        <v>1</v>
      </c>
      <c r="V209">
        <v>1</v>
      </c>
      <c r="W209">
        <v>5</v>
      </c>
      <c r="X209">
        <v>7</v>
      </c>
      <c r="Y209">
        <v>8</v>
      </c>
      <c r="Z209">
        <v>5</v>
      </c>
      <c r="AA209">
        <v>3</v>
      </c>
      <c r="AB209">
        <v>4</v>
      </c>
      <c r="AC209">
        <v>3</v>
      </c>
      <c r="AD209">
        <v>1</v>
      </c>
      <c r="AE209">
        <v>9</v>
      </c>
      <c r="AF209">
        <v>3</v>
      </c>
      <c r="AG209">
        <v>8</v>
      </c>
      <c r="AH209">
        <v>7</v>
      </c>
      <c r="AI209">
        <v>3</v>
      </c>
      <c r="AJ209">
        <v>2</v>
      </c>
      <c r="AK209">
        <v>8</v>
      </c>
      <c r="AL209">
        <v>1</v>
      </c>
      <c r="AM209">
        <v>5</v>
      </c>
      <c r="AN209">
        <v>5</v>
      </c>
      <c r="AO209">
        <v>4</v>
      </c>
      <c r="AP209">
        <v>6</v>
      </c>
      <c r="AQ209">
        <v>5</v>
      </c>
      <c r="AR209">
        <v>6</v>
      </c>
      <c r="AS209">
        <v>5</v>
      </c>
      <c r="AT209">
        <v>7</v>
      </c>
      <c r="AU209">
        <v>3</v>
      </c>
      <c r="AV209">
        <v>2</v>
      </c>
      <c r="AW209">
        <v>4</v>
      </c>
      <c r="AX209">
        <v>5</v>
      </c>
      <c r="AY209">
        <v>8</v>
      </c>
      <c r="AZ209">
        <v>1</v>
      </c>
      <c r="BA209">
        <v>1</v>
      </c>
      <c r="BB209">
        <v>1</v>
      </c>
      <c r="BC209">
        <v>10</v>
      </c>
      <c r="BD209">
        <v>3</v>
      </c>
      <c r="BE209">
        <v>5</v>
      </c>
      <c r="BF209">
        <v>9</v>
      </c>
      <c r="BG209">
        <v>1</v>
      </c>
      <c r="BH209">
        <v>8</v>
      </c>
      <c r="BI209">
        <v>4</v>
      </c>
      <c r="BJ209">
        <v>7</v>
      </c>
      <c r="BK209">
        <v>0</v>
      </c>
      <c r="BL209">
        <v>9</v>
      </c>
      <c r="BM209">
        <v>5</v>
      </c>
      <c r="BN209">
        <v>4</v>
      </c>
      <c r="BO209">
        <v>5</v>
      </c>
      <c r="BP209">
        <v>1</v>
      </c>
      <c r="BQ209">
        <v>2</v>
      </c>
      <c r="BR209">
        <v>8</v>
      </c>
      <c r="BS209">
        <v>4</v>
      </c>
      <c r="BT209">
        <v>1</v>
      </c>
      <c r="BU209">
        <v>5</v>
      </c>
      <c r="BV209">
        <v>1</v>
      </c>
      <c r="BW209">
        <v>9</v>
      </c>
      <c r="BX209">
        <v>10</v>
      </c>
      <c r="BY209">
        <v>5</v>
      </c>
      <c r="BZ209">
        <v>10</v>
      </c>
      <c r="CA209">
        <v>0</v>
      </c>
      <c r="CB209">
        <v>5</v>
      </c>
      <c r="CC209">
        <v>9</v>
      </c>
      <c r="CD209">
        <v>4</v>
      </c>
      <c r="CE209">
        <v>0</v>
      </c>
      <c r="CF209">
        <v>5</v>
      </c>
      <c r="CG209">
        <v>2</v>
      </c>
      <c r="CH209">
        <v>9</v>
      </c>
      <c r="CI209">
        <v>2</v>
      </c>
      <c r="CJ209">
        <v>6</v>
      </c>
      <c r="CK209">
        <v>7</v>
      </c>
      <c r="CL209">
        <v>10</v>
      </c>
      <c r="CM209">
        <v>4</v>
      </c>
      <c r="CN209">
        <v>0</v>
      </c>
      <c r="CO209">
        <v>1</v>
      </c>
      <c r="CP209">
        <v>3</v>
      </c>
      <c r="CQ209">
        <v>5</v>
      </c>
      <c r="CR209">
        <v>4</v>
      </c>
      <c r="CS209">
        <v>1</v>
      </c>
      <c r="CT209">
        <v>7</v>
      </c>
      <c r="CU209">
        <v>3</v>
      </c>
      <c r="CV209">
        <v>3</v>
      </c>
      <c r="CW209">
        <v>8</v>
      </c>
      <c r="CX209">
        <v>5</v>
      </c>
      <c r="CY209">
        <v>1</v>
      </c>
      <c r="CZ209">
        <v>1</v>
      </c>
      <c r="DA209">
        <v>8</v>
      </c>
      <c r="DB209">
        <v>0</v>
      </c>
      <c r="DC209">
        <v>8</v>
      </c>
      <c r="DD209">
        <v>4</v>
      </c>
      <c r="DE209">
        <v>10</v>
      </c>
      <c r="DF209">
        <v>9</v>
      </c>
      <c r="DG209">
        <v>9</v>
      </c>
      <c r="DH209">
        <v>4</v>
      </c>
      <c r="DI209">
        <v>9</v>
      </c>
      <c r="DJ209">
        <v>7</v>
      </c>
      <c r="DK209">
        <v>9</v>
      </c>
    </row>
    <row r="210" spans="1:115">
      <c r="A210" s="173">
        <f>Calculations[[#This Row],[Sum t eCO2]]*IF(Calculations[[#This Row],[GHG Scope]]="BIOGENIC",0,1)</f>
        <v>1.4169792699440001E-2</v>
      </c>
      <c r="O210">
        <f t="shared" si="3"/>
        <v>209</v>
      </c>
      <c r="P210">
        <v>5</v>
      </c>
      <c r="Q210">
        <v>0</v>
      </c>
      <c r="R210">
        <v>4</v>
      </c>
      <c r="S210">
        <v>1</v>
      </c>
      <c r="T210">
        <v>8</v>
      </c>
      <c r="U210">
        <v>8</v>
      </c>
      <c r="V210">
        <v>7</v>
      </c>
      <c r="W210">
        <v>0</v>
      </c>
      <c r="X210">
        <v>10</v>
      </c>
      <c r="Y210">
        <v>0</v>
      </c>
      <c r="Z210">
        <v>8</v>
      </c>
      <c r="AA210">
        <v>2</v>
      </c>
      <c r="AB210">
        <v>0</v>
      </c>
      <c r="AC210">
        <v>5</v>
      </c>
      <c r="AD210">
        <v>8</v>
      </c>
      <c r="AE210">
        <v>2</v>
      </c>
      <c r="AF210">
        <v>1</v>
      </c>
      <c r="AG210">
        <v>7</v>
      </c>
      <c r="AH210">
        <v>3</v>
      </c>
      <c r="AI210">
        <v>6</v>
      </c>
      <c r="AJ210">
        <v>4</v>
      </c>
      <c r="AK210">
        <v>1</v>
      </c>
      <c r="AL210">
        <v>9</v>
      </c>
      <c r="AM210">
        <v>7</v>
      </c>
      <c r="AN210">
        <v>8</v>
      </c>
      <c r="AO210">
        <v>7</v>
      </c>
      <c r="AP210">
        <v>6</v>
      </c>
      <c r="AQ210">
        <v>9</v>
      </c>
      <c r="AR210">
        <v>7</v>
      </c>
      <c r="AS210">
        <v>2</v>
      </c>
      <c r="AT210">
        <v>5</v>
      </c>
      <c r="AU210">
        <v>7</v>
      </c>
      <c r="AV210">
        <v>9</v>
      </c>
      <c r="AW210">
        <v>2</v>
      </c>
      <c r="AX210">
        <v>0</v>
      </c>
      <c r="AY210">
        <v>5</v>
      </c>
      <c r="AZ210">
        <v>2</v>
      </c>
      <c r="BA210">
        <v>1</v>
      </c>
      <c r="BB210">
        <v>8</v>
      </c>
      <c r="BC210">
        <v>9</v>
      </c>
      <c r="BD210">
        <v>6</v>
      </c>
      <c r="BE210">
        <v>5</v>
      </c>
      <c r="BF210">
        <v>3</v>
      </c>
      <c r="BG210">
        <v>1</v>
      </c>
      <c r="BH210">
        <v>6</v>
      </c>
      <c r="BI210">
        <v>4</v>
      </c>
      <c r="BJ210">
        <v>3</v>
      </c>
      <c r="BK210">
        <v>0</v>
      </c>
      <c r="BL210">
        <v>6</v>
      </c>
      <c r="BM210">
        <v>7</v>
      </c>
      <c r="BN210">
        <v>7</v>
      </c>
      <c r="BO210">
        <v>10</v>
      </c>
      <c r="BP210">
        <v>3</v>
      </c>
      <c r="BQ210">
        <v>7</v>
      </c>
      <c r="BR210">
        <v>10</v>
      </c>
      <c r="BS210">
        <v>2</v>
      </c>
      <c r="BT210">
        <v>10</v>
      </c>
      <c r="BU210">
        <v>8</v>
      </c>
      <c r="BV210">
        <v>8</v>
      </c>
      <c r="BW210">
        <v>0</v>
      </c>
      <c r="BX210">
        <v>5</v>
      </c>
      <c r="BY210">
        <v>8</v>
      </c>
      <c r="BZ210">
        <v>0</v>
      </c>
      <c r="CA210">
        <v>4</v>
      </c>
      <c r="CB210">
        <v>2</v>
      </c>
      <c r="CC210">
        <v>3</v>
      </c>
      <c r="CD210">
        <v>4</v>
      </c>
      <c r="CE210">
        <v>4</v>
      </c>
      <c r="CF210">
        <v>7</v>
      </c>
      <c r="CG210">
        <v>9</v>
      </c>
      <c r="CH210">
        <v>1</v>
      </c>
      <c r="CI210">
        <v>8</v>
      </c>
      <c r="CJ210">
        <v>0</v>
      </c>
      <c r="CK210">
        <v>0</v>
      </c>
      <c r="CL210">
        <v>9</v>
      </c>
      <c r="CM210">
        <v>3</v>
      </c>
      <c r="CN210">
        <v>7</v>
      </c>
      <c r="CO210">
        <v>7</v>
      </c>
      <c r="CP210">
        <v>3</v>
      </c>
      <c r="CQ210">
        <v>0</v>
      </c>
      <c r="CR210">
        <v>1</v>
      </c>
      <c r="CS210">
        <v>3</v>
      </c>
      <c r="CT210">
        <v>2</v>
      </c>
      <c r="CU210">
        <v>2</v>
      </c>
      <c r="CV210">
        <v>4</v>
      </c>
      <c r="CW210">
        <v>4</v>
      </c>
      <c r="CX210">
        <v>4</v>
      </c>
      <c r="CY210">
        <v>7</v>
      </c>
      <c r="CZ210">
        <v>4</v>
      </c>
      <c r="DA210">
        <v>0</v>
      </c>
      <c r="DB210">
        <v>4</v>
      </c>
      <c r="DC210">
        <v>7</v>
      </c>
      <c r="DD210">
        <v>7</v>
      </c>
      <c r="DE210">
        <v>9</v>
      </c>
      <c r="DF210">
        <v>7</v>
      </c>
      <c r="DG210">
        <v>6</v>
      </c>
      <c r="DH210">
        <v>3</v>
      </c>
      <c r="DI210">
        <v>4</v>
      </c>
      <c r="DJ210">
        <v>9</v>
      </c>
      <c r="DK210">
        <v>10</v>
      </c>
    </row>
    <row r="211" spans="1:115">
      <c r="A211" s="173">
        <f>Calculations[[#This Row],[Sum t eCO2]]*IF(Calculations[[#This Row],[GHG Scope]]="BIOGENIC",0,1)</f>
        <v>5.5218893515935008E-2</v>
      </c>
      <c r="O211">
        <f t="shared" si="3"/>
        <v>210</v>
      </c>
      <c r="P211">
        <v>0</v>
      </c>
      <c r="Q211">
        <v>4</v>
      </c>
      <c r="R211">
        <v>6</v>
      </c>
      <c r="S211">
        <v>1</v>
      </c>
      <c r="T211">
        <v>1</v>
      </c>
      <c r="U211">
        <v>9</v>
      </c>
      <c r="V211">
        <v>7</v>
      </c>
      <c r="W211">
        <v>1</v>
      </c>
      <c r="X211">
        <v>4</v>
      </c>
      <c r="Y211">
        <v>2</v>
      </c>
      <c r="Z211">
        <v>4</v>
      </c>
      <c r="AA211">
        <v>0</v>
      </c>
      <c r="AB211">
        <v>2</v>
      </c>
      <c r="AC211">
        <v>4</v>
      </c>
      <c r="AD211">
        <v>10</v>
      </c>
      <c r="AE211">
        <v>2</v>
      </c>
      <c r="AF211">
        <v>2</v>
      </c>
      <c r="AG211">
        <v>10</v>
      </c>
      <c r="AH211">
        <v>4</v>
      </c>
      <c r="AI211">
        <v>10</v>
      </c>
      <c r="AJ211">
        <v>10</v>
      </c>
      <c r="AK211">
        <v>8</v>
      </c>
      <c r="AL211">
        <v>1</v>
      </c>
      <c r="AM211">
        <v>2</v>
      </c>
      <c r="AN211">
        <v>4</v>
      </c>
      <c r="AO211">
        <v>3</v>
      </c>
      <c r="AP211">
        <v>3</v>
      </c>
      <c r="AQ211">
        <v>3</v>
      </c>
      <c r="AR211">
        <v>3</v>
      </c>
      <c r="AS211">
        <v>3</v>
      </c>
      <c r="AT211">
        <v>4</v>
      </c>
      <c r="AU211">
        <v>5</v>
      </c>
      <c r="AV211">
        <v>2</v>
      </c>
      <c r="AW211">
        <v>10</v>
      </c>
      <c r="AX211">
        <v>8</v>
      </c>
      <c r="AY211">
        <v>9</v>
      </c>
      <c r="AZ211">
        <v>0</v>
      </c>
      <c r="BA211">
        <v>5</v>
      </c>
      <c r="BB211">
        <v>10</v>
      </c>
      <c r="BC211">
        <v>6</v>
      </c>
      <c r="BD211">
        <v>2</v>
      </c>
      <c r="BE211">
        <v>7</v>
      </c>
      <c r="BF211">
        <v>8</v>
      </c>
      <c r="BG211">
        <v>3</v>
      </c>
      <c r="BH211">
        <v>8</v>
      </c>
      <c r="BI211">
        <v>3</v>
      </c>
      <c r="BJ211">
        <v>5</v>
      </c>
      <c r="BK211">
        <v>6</v>
      </c>
      <c r="BL211">
        <v>2</v>
      </c>
      <c r="BM211">
        <v>10</v>
      </c>
      <c r="BN211">
        <v>2</v>
      </c>
      <c r="BO211">
        <v>10</v>
      </c>
      <c r="BP211">
        <v>1</v>
      </c>
      <c r="BQ211">
        <v>3</v>
      </c>
      <c r="BR211">
        <v>7</v>
      </c>
      <c r="BS211">
        <v>2</v>
      </c>
      <c r="BT211">
        <v>1</v>
      </c>
      <c r="BU211">
        <v>9</v>
      </c>
      <c r="BV211">
        <v>0</v>
      </c>
      <c r="BW211">
        <v>3</v>
      </c>
      <c r="BX211">
        <v>0</v>
      </c>
      <c r="BY211">
        <v>6</v>
      </c>
      <c r="BZ211">
        <v>8</v>
      </c>
      <c r="CA211">
        <v>2</v>
      </c>
      <c r="CB211">
        <v>2</v>
      </c>
      <c r="CC211">
        <v>0</v>
      </c>
      <c r="CD211">
        <v>2</v>
      </c>
      <c r="CE211">
        <v>3</v>
      </c>
      <c r="CF211">
        <v>6</v>
      </c>
      <c r="CG211">
        <v>3</v>
      </c>
      <c r="CH211">
        <v>0</v>
      </c>
      <c r="CI211">
        <v>7</v>
      </c>
      <c r="CJ211">
        <v>6</v>
      </c>
      <c r="CK211">
        <v>7</v>
      </c>
      <c r="CL211">
        <v>8</v>
      </c>
      <c r="CM211">
        <v>8</v>
      </c>
      <c r="CN211">
        <v>4</v>
      </c>
      <c r="CO211">
        <v>5</v>
      </c>
      <c r="CP211">
        <v>4</v>
      </c>
      <c r="CQ211">
        <v>7</v>
      </c>
      <c r="CR211">
        <v>2</v>
      </c>
      <c r="CS211">
        <v>1</v>
      </c>
      <c r="CT211">
        <v>0</v>
      </c>
      <c r="CU211">
        <v>0</v>
      </c>
      <c r="CV211">
        <v>8</v>
      </c>
      <c r="CW211">
        <v>8</v>
      </c>
      <c r="CX211">
        <v>3</v>
      </c>
      <c r="CY211">
        <v>7</v>
      </c>
      <c r="CZ211">
        <v>4</v>
      </c>
      <c r="DA211">
        <v>9</v>
      </c>
      <c r="DB211">
        <v>5</v>
      </c>
      <c r="DC211">
        <v>0</v>
      </c>
      <c r="DD211">
        <v>6</v>
      </c>
      <c r="DE211">
        <v>0</v>
      </c>
      <c r="DF211">
        <v>0</v>
      </c>
      <c r="DG211">
        <v>4</v>
      </c>
      <c r="DH211">
        <v>4</v>
      </c>
      <c r="DI211">
        <v>7</v>
      </c>
      <c r="DJ211">
        <v>6</v>
      </c>
      <c r="DK211">
        <v>6</v>
      </c>
    </row>
    <row r="212" spans="1:115">
      <c r="A212" s="173">
        <f>Calculations[[#This Row],[Sum t eCO2]]*IF(Calculations[[#This Row],[GHG Scope]]="BIOGENIC",0,1)</f>
        <v>53.867713021799993</v>
      </c>
      <c r="O212">
        <f t="shared" si="3"/>
        <v>211</v>
      </c>
      <c r="P212">
        <v>2</v>
      </c>
      <c r="Q212">
        <v>9</v>
      </c>
      <c r="R212">
        <v>6</v>
      </c>
      <c r="S212">
        <v>1</v>
      </c>
      <c r="T212">
        <v>10</v>
      </c>
      <c r="U212">
        <v>2</v>
      </c>
      <c r="V212">
        <v>6</v>
      </c>
      <c r="W212">
        <v>5</v>
      </c>
      <c r="X212">
        <v>10</v>
      </c>
      <c r="Y212">
        <v>10</v>
      </c>
      <c r="Z212">
        <v>6</v>
      </c>
      <c r="AA212">
        <v>1</v>
      </c>
      <c r="AB212">
        <v>0</v>
      </c>
      <c r="AC212">
        <v>3</v>
      </c>
      <c r="AD212">
        <v>4</v>
      </c>
      <c r="AE212">
        <v>6</v>
      </c>
      <c r="AF212">
        <v>3</v>
      </c>
      <c r="AG212">
        <v>8</v>
      </c>
      <c r="AH212">
        <v>7</v>
      </c>
      <c r="AI212">
        <v>7</v>
      </c>
      <c r="AJ212">
        <v>2</v>
      </c>
      <c r="AK212">
        <v>6</v>
      </c>
      <c r="AL212">
        <v>3</v>
      </c>
      <c r="AM212">
        <v>2</v>
      </c>
      <c r="AN212">
        <v>0</v>
      </c>
      <c r="AO212">
        <v>9</v>
      </c>
      <c r="AP212">
        <v>1</v>
      </c>
      <c r="AQ212">
        <v>7</v>
      </c>
      <c r="AR212">
        <v>5</v>
      </c>
      <c r="AS212">
        <v>7</v>
      </c>
      <c r="AT212">
        <v>4</v>
      </c>
      <c r="AU212">
        <v>7</v>
      </c>
      <c r="AV212">
        <v>4</v>
      </c>
      <c r="AW212">
        <v>9</v>
      </c>
      <c r="AX212">
        <v>2</v>
      </c>
      <c r="AY212">
        <v>0</v>
      </c>
      <c r="AZ212">
        <v>2</v>
      </c>
      <c r="BA212">
        <v>2</v>
      </c>
      <c r="BB212">
        <v>8</v>
      </c>
      <c r="BC212">
        <v>6</v>
      </c>
      <c r="BD212">
        <v>7</v>
      </c>
      <c r="BE212">
        <v>7</v>
      </c>
      <c r="BF212">
        <v>6</v>
      </c>
      <c r="BG212">
        <v>4</v>
      </c>
      <c r="BH212">
        <v>9</v>
      </c>
      <c r="BI212">
        <v>5</v>
      </c>
      <c r="BJ212">
        <v>10</v>
      </c>
      <c r="BK212">
        <v>1</v>
      </c>
      <c r="BL212">
        <v>10</v>
      </c>
      <c r="BM212">
        <v>6</v>
      </c>
      <c r="BN212">
        <v>0</v>
      </c>
      <c r="BO212">
        <v>8</v>
      </c>
      <c r="BP212">
        <v>5</v>
      </c>
      <c r="BQ212">
        <v>1</v>
      </c>
      <c r="BR212">
        <v>7</v>
      </c>
      <c r="BS212">
        <v>1</v>
      </c>
      <c r="BT212">
        <v>5</v>
      </c>
      <c r="BU212">
        <v>1</v>
      </c>
      <c r="BV212">
        <v>2</v>
      </c>
      <c r="BW212">
        <v>3</v>
      </c>
      <c r="BX212">
        <v>6</v>
      </c>
      <c r="BY212">
        <v>10</v>
      </c>
      <c r="BZ212">
        <v>6</v>
      </c>
      <c r="CA212">
        <v>9</v>
      </c>
      <c r="CB212">
        <v>4</v>
      </c>
      <c r="CC212">
        <v>0</v>
      </c>
      <c r="CD212">
        <v>8</v>
      </c>
      <c r="CE212">
        <v>3</v>
      </c>
      <c r="CF212">
        <v>10</v>
      </c>
      <c r="CG212">
        <v>3</v>
      </c>
      <c r="CH212">
        <v>3</v>
      </c>
      <c r="CI212">
        <v>8</v>
      </c>
      <c r="CJ212">
        <v>2</v>
      </c>
      <c r="CK212">
        <v>1</v>
      </c>
      <c r="CL212">
        <v>8</v>
      </c>
      <c r="CM212">
        <v>0</v>
      </c>
      <c r="CN212">
        <v>1</v>
      </c>
      <c r="CO212">
        <v>9</v>
      </c>
      <c r="CP212">
        <v>8</v>
      </c>
      <c r="CQ212">
        <v>9</v>
      </c>
      <c r="CR212">
        <v>9</v>
      </c>
      <c r="CS212">
        <v>7</v>
      </c>
      <c r="CT212">
        <v>8</v>
      </c>
      <c r="CU212">
        <v>8</v>
      </c>
      <c r="CV212">
        <v>1</v>
      </c>
      <c r="CW212">
        <v>5</v>
      </c>
      <c r="CX212">
        <v>5</v>
      </c>
      <c r="CY212">
        <v>9</v>
      </c>
      <c r="CZ212">
        <v>6</v>
      </c>
      <c r="DA212">
        <v>6</v>
      </c>
      <c r="DB212">
        <v>2</v>
      </c>
      <c r="DC212">
        <v>3</v>
      </c>
      <c r="DD212">
        <v>0</v>
      </c>
      <c r="DE212">
        <v>8</v>
      </c>
      <c r="DF212">
        <v>1</v>
      </c>
      <c r="DG212">
        <v>8</v>
      </c>
      <c r="DH212">
        <v>9</v>
      </c>
      <c r="DI212">
        <v>6</v>
      </c>
      <c r="DJ212">
        <v>2</v>
      </c>
      <c r="DK212">
        <v>6</v>
      </c>
    </row>
    <row r="213" spans="1:115">
      <c r="A213" s="173">
        <f>Calculations[[#This Row],[Sum t eCO2]]*IF(Calculations[[#This Row],[GHG Scope]]="BIOGENIC",0,1)</f>
        <v>3.7772913192000004E-2</v>
      </c>
      <c r="O213">
        <f t="shared" si="3"/>
        <v>212</v>
      </c>
      <c r="P213">
        <v>7</v>
      </c>
      <c r="Q213">
        <v>8</v>
      </c>
      <c r="R213">
        <v>10</v>
      </c>
      <c r="S213">
        <v>8</v>
      </c>
      <c r="T213">
        <v>4</v>
      </c>
      <c r="U213">
        <v>7</v>
      </c>
      <c r="V213">
        <v>4</v>
      </c>
      <c r="W213">
        <v>0</v>
      </c>
      <c r="X213">
        <v>5</v>
      </c>
      <c r="Y213">
        <v>4</v>
      </c>
      <c r="Z213">
        <v>7</v>
      </c>
      <c r="AA213">
        <v>3</v>
      </c>
      <c r="AB213">
        <v>9</v>
      </c>
      <c r="AC213">
        <v>10</v>
      </c>
      <c r="AD213">
        <v>1</v>
      </c>
      <c r="AE213">
        <v>0</v>
      </c>
      <c r="AF213">
        <v>10</v>
      </c>
      <c r="AG213">
        <v>6</v>
      </c>
      <c r="AH213">
        <v>3</v>
      </c>
      <c r="AI213">
        <v>8</v>
      </c>
      <c r="AJ213">
        <v>1</v>
      </c>
      <c r="AK213">
        <v>5</v>
      </c>
      <c r="AL213">
        <v>9</v>
      </c>
      <c r="AM213">
        <v>1</v>
      </c>
      <c r="AN213">
        <v>7</v>
      </c>
      <c r="AO213">
        <v>6</v>
      </c>
      <c r="AP213">
        <v>6</v>
      </c>
      <c r="AQ213">
        <v>3</v>
      </c>
      <c r="AR213">
        <v>0</v>
      </c>
      <c r="AS213">
        <v>0</v>
      </c>
      <c r="AT213">
        <v>7</v>
      </c>
      <c r="AU213">
        <v>8</v>
      </c>
      <c r="AV213">
        <v>5</v>
      </c>
      <c r="AW213">
        <v>6</v>
      </c>
      <c r="AX213">
        <v>0</v>
      </c>
      <c r="AY213">
        <v>6</v>
      </c>
      <c r="AZ213">
        <v>1</v>
      </c>
      <c r="BA213">
        <v>3</v>
      </c>
      <c r="BB213">
        <v>10</v>
      </c>
      <c r="BC213">
        <v>2</v>
      </c>
      <c r="BD213">
        <v>0</v>
      </c>
      <c r="BE213">
        <v>0</v>
      </c>
      <c r="BF213">
        <v>5</v>
      </c>
      <c r="BG213">
        <v>10</v>
      </c>
      <c r="BH213">
        <v>10</v>
      </c>
      <c r="BI213">
        <v>8</v>
      </c>
      <c r="BJ213">
        <v>8</v>
      </c>
      <c r="BK213">
        <v>4</v>
      </c>
      <c r="BL213">
        <v>6</v>
      </c>
      <c r="BM213">
        <v>1</v>
      </c>
      <c r="BN213">
        <v>4</v>
      </c>
      <c r="BO213">
        <v>1</v>
      </c>
      <c r="BP213">
        <v>1</v>
      </c>
      <c r="BQ213">
        <v>7</v>
      </c>
      <c r="BR213">
        <v>10</v>
      </c>
      <c r="BS213">
        <v>6</v>
      </c>
      <c r="BT213">
        <v>9</v>
      </c>
      <c r="BU213">
        <v>7</v>
      </c>
      <c r="BV213">
        <v>10</v>
      </c>
      <c r="BW213">
        <v>9</v>
      </c>
      <c r="BX213">
        <v>5</v>
      </c>
      <c r="BY213">
        <v>8</v>
      </c>
      <c r="BZ213">
        <v>8</v>
      </c>
      <c r="CA213">
        <v>9</v>
      </c>
      <c r="CB213">
        <v>7</v>
      </c>
      <c r="CC213">
        <v>8</v>
      </c>
      <c r="CD213">
        <v>7</v>
      </c>
      <c r="CE213">
        <v>0</v>
      </c>
      <c r="CF213">
        <v>8</v>
      </c>
      <c r="CG213">
        <v>7</v>
      </c>
      <c r="CH213">
        <v>3</v>
      </c>
      <c r="CI213">
        <v>3</v>
      </c>
      <c r="CJ213">
        <v>10</v>
      </c>
      <c r="CK213">
        <v>7</v>
      </c>
      <c r="CL213">
        <v>2</v>
      </c>
      <c r="CM213">
        <v>10</v>
      </c>
      <c r="CN213">
        <v>3</v>
      </c>
      <c r="CO213">
        <v>0</v>
      </c>
      <c r="CP213">
        <v>3</v>
      </c>
      <c r="CQ213">
        <v>1</v>
      </c>
      <c r="CR213">
        <v>8</v>
      </c>
      <c r="CS213">
        <v>7</v>
      </c>
      <c r="CT213">
        <v>6</v>
      </c>
      <c r="CU213">
        <v>3</v>
      </c>
      <c r="CV213">
        <v>0</v>
      </c>
      <c r="CW213">
        <v>1</v>
      </c>
      <c r="CX213">
        <v>9</v>
      </c>
      <c r="CY213">
        <v>1</v>
      </c>
      <c r="CZ213">
        <v>2</v>
      </c>
      <c r="DA213">
        <v>10</v>
      </c>
      <c r="DB213">
        <v>4</v>
      </c>
      <c r="DC213">
        <v>3</v>
      </c>
      <c r="DD213">
        <v>1</v>
      </c>
      <c r="DE213">
        <v>3</v>
      </c>
      <c r="DF213">
        <v>5</v>
      </c>
      <c r="DG213">
        <v>8</v>
      </c>
      <c r="DH213">
        <v>4</v>
      </c>
      <c r="DI213">
        <v>6</v>
      </c>
      <c r="DJ213">
        <v>6</v>
      </c>
      <c r="DK213">
        <v>6</v>
      </c>
    </row>
    <row r="214" spans="1:115">
      <c r="A214" s="173">
        <f>Calculations[[#This Row],[Sum t eCO2]]*IF(Calculations[[#This Row],[GHG Scope]]="BIOGENIC",0,1)</f>
        <v>0.1471989404205</v>
      </c>
      <c r="O214">
        <f t="shared" si="3"/>
        <v>213</v>
      </c>
      <c r="P214">
        <v>7</v>
      </c>
      <c r="Q214">
        <v>4</v>
      </c>
      <c r="R214">
        <v>2</v>
      </c>
      <c r="S214">
        <v>9</v>
      </c>
      <c r="T214">
        <v>6</v>
      </c>
      <c r="U214">
        <v>8</v>
      </c>
      <c r="V214">
        <v>9</v>
      </c>
      <c r="W214">
        <v>0</v>
      </c>
      <c r="X214">
        <v>10</v>
      </c>
      <c r="Y214">
        <v>8</v>
      </c>
      <c r="Z214">
        <v>1</v>
      </c>
      <c r="AA214">
        <v>7</v>
      </c>
      <c r="AB214">
        <v>2</v>
      </c>
      <c r="AC214">
        <v>5</v>
      </c>
      <c r="AD214">
        <v>10</v>
      </c>
      <c r="AE214">
        <v>6</v>
      </c>
      <c r="AF214">
        <v>7</v>
      </c>
      <c r="AG214">
        <v>1</v>
      </c>
      <c r="AH214">
        <v>9</v>
      </c>
      <c r="AI214">
        <v>8</v>
      </c>
      <c r="AJ214">
        <v>8</v>
      </c>
      <c r="AK214">
        <v>10</v>
      </c>
      <c r="AL214">
        <v>4</v>
      </c>
      <c r="AM214">
        <v>0</v>
      </c>
      <c r="AN214">
        <v>10</v>
      </c>
      <c r="AO214">
        <v>7</v>
      </c>
      <c r="AP214">
        <v>2</v>
      </c>
      <c r="AQ214">
        <v>1</v>
      </c>
      <c r="AR214">
        <v>10</v>
      </c>
      <c r="AS214">
        <v>7</v>
      </c>
      <c r="AT214">
        <v>10</v>
      </c>
      <c r="AU214">
        <v>9</v>
      </c>
      <c r="AV214">
        <v>0</v>
      </c>
      <c r="AW214">
        <v>7</v>
      </c>
      <c r="AX214">
        <v>0</v>
      </c>
      <c r="AY214">
        <v>8</v>
      </c>
      <c r="AZ214">
        <v>3</v>
      </c>
      <c r="BA214">
        <v>4</v>
      </c>
      <c r="BB214">
        <v>6</v>
      </c>
      <c r="BC214">
        <v>8</v>
      </c>
      <c r="BD214">
        <v>9</v>
      </c>
      <c r="BE214">
        <v>1</v>
      </c>
      <c r="BF214">
        <v>6</v>
      </c>
      <c r="BG214">
        <v>9</v>
      </c>
      <c r="BH214">
        <v>1</v>
      </c>
      <c r="BI214">
        <v>8</v>
      </c>
      <c r="BJ214">
        <v>3</v>
      </c>
      <c r="BK214">
        <v>8</v>
      </c>
      <c r="BL214">
        <v>0</v>
      </c>
      <c r="BM214">
        <v>6</v>
      </c>
      <c r="BN214">
        <v>2</v>
      </c>
      <c r="BO214">
        <v>2</v>
      </c>
      <c r="BP214">
        <v>4</v>
      </c>
      <c r="BQ214">
        <v>10</v>
      </c>
      <c r="BR214">
        <v>4</v>
      </c>
      <c r="BS214">
        <v>0</v>
      </c>
      <c r="BT214">
        <v>7</v>
      </c>
      <c r="BU214">
        <v>7</v>
      </c>
      <c r="BV214">
        <v>1</v>
      </c>
      <c r="BW214">
        <v>7</v>
      </c>
      <c r="BX214">
        <v>4</v>
      </c>
      <c r="BY214">
        <v>4</v>
      </c>
      <c r="BZ214">
        <v>5</v>
      </c>
      <c r="CA214">
        <v>5</v>
      </c>
      <c r="CB214">
        <v>8</v>
      </c>
      <c r="CC214">
        <v>9</v>
      </c>
      <c r="CD214">
        <v>10</v>
      </c>
      <c r="CE214">
        <v>7</v>
      </c>
      <c r="CF214">
        <v>8</v>
      </c>
      <c r="CG214">
        <v>4</v>
      </c>
      <c r="CH214">
        <v>2</v>
      </c>
      <c r="CI214">
        <v>7</v>
      </c>
      <c r="CJ214">
        <v>1</v>
      </c>
      <c r="CK214">
        <v>3</v>
      </c>
      <c r="CL214">
        <v>10</v>
      </c>
      <c r="CM214">
        <v>8</v>
      </c>
      <c r="CN214">
        <v>9</v>
      </c>
      <c r="CO214">
        <v>3</v>
      </c>
      <c r="CP214">
        <v>0</v>
      </c>
      <c r="CQ214">
        <v>2</v>
      </c>
      <c r="CR214">
        <v>4</v>
      </c>
      <c r="CS214">
        <v>6</v>
      </c>
      <c r="CT214">
        <v>8</v>
      </c>
      <c r="CU214">
        <v>1</v>
      </c>
      <c r="CV214">
        <v>6</v>
      </c>
      <c r="CW214">
        <v>6</v>
      </c>
      <c r="CX214">
        <v>10</v>
      </c>
      <c r="CY214">
        <v>1</v>
      </c>
      <c r="CZ214">
        <v>2</v>
      </c>
      <c r="DA214">
        <v>7</v>
      </c>
      <c r="DB214">
        <v>1</v>
      </c>
      <c r="DC214">
        <v>8</v>
      </c>
      <c r="DD214">
        <v>1</v>
      </c>
      <c r="DE214">
        <v>5</v>
      </c>
      <c r="DF214">
        <v>4</v>
      </c>
      <c r="DG214">
        <v>3</v>
      </c>
      <c r="DH214">
        <v>10</v>
      </c>
      <c r="DI214">
        <v>5</v>
      </c>
      <c r="DJ214">
        <v>7</v>
      </c>
      <c r="DK214">
        <v>10</v>
      </c>
    </row>
    <row r="215" spans="1:115">
      <c r="A215" s="173">
        <f>Calculations[[#This Row],[Sum t eCO2]]*IF(Calculations[[#This Row],[GHG Scope]]="BIOGENIC",0,1)</f>
        <v>12.834625658799999</v>
      </c>
      <c r="O215">
        <f t="shared" si="3"/>
        <v>214</v>
      </c>
      <c r="P215">
        <v>4</v>
      </c>
      <c r="Q215">
        <v>7</v>
      </c>
      <c r="R215">
        <v>9</v>
      </c>
      <c r="S215">
        <v>2</v>
      </c>
      <c r="T215">
        <v>6</v>
      </c>
      <c r="U215">
        <v>4</v>
      </c>
      <c r="V215">
        <v>4</v>
      </c>
      <c r="W215">
        <v>0</v>
      </c>
      <c r="X215">
        <v>5</v>
      </c>
      <c r="Y215">
        <v>8</v>
      </c>
      <c r="Z215">
        <v>6</v>
      </c>
      <c r="AA215">
        <v>5</v>
      </c>
      <c r="AB215">
        <v>7</v>
      </c>
      <c r="AC215">
        <v>9</v>
      </c>
      <c r="AD215">
        <v>6</v>
      </c>
      <c r="AE215">
        <v>0</v>
      </c>
      <c r="AF215">
        <v>8</v>
      </c>
      <c r="AG215">
        <v>3</v>
      </c>
      <c r="AH215">
        <v>7</v>
      </c>
      <c r="AI215">
        <v>0</v>
      </c>
      <c r="AJ215">
        <v>4</v>
      </c>
      <c r="AK215">
        <v>8</v>
      </c>
      <c r="AL215">
        <v>8</v>
      </c>
      <c r="AM215">
        <v>10</v>
      </c>
      <c r="AN215">
        <v>1</v>
      </c>
      <c r="AO215">
        <v>1</v>
      </c>
      <c r="AP215">
        <v>3</v>
      </c>
      <c r="AQ215">
        <v>5</v>
      </c>
      <c r="AR215">
        <v>10</v>
      </c>
      <c r="AS215">
        <v>2</v>
      </c>
      <c r="AT215">
        <v>5</v>
      </c>
      <c r="AU215">
        <v>2</v>
      </c>
      <c r="AV215">
        <v>6</v>
      </c>
      <c r="AW215">
        <v>6</v>
      </c>
      <c r="AX215">
        <v>2</v>
      </c>
      <c r="AY215">
        <v>10</v>
      </c>
      <c r="AZ215">
        <v>8</v>
      </c>
      <c r="BA215">
        <v>4</v>
      </c>
      <c r="BB215">
        <v>2</v>
      </c>
      <c r="BC215">
        <v>6</v>
      </c>
      <c r="BD215">
        <v>9</v>
      </c>
      <c r="BE215">
        <v>7</v>
      </c>
      <c r="BF215">
        <v>5</v>
      </c>
      <c r="BG215">
        <v>5</v>
      </c>
      <c r="BH215">
        <v>5</v>
      </c>
      <c r="BI215">
        <v>10</v>
      </c>
      <c r="BJ215">
        <v>6</v>
      </c>
      <c r="BK215">
        <v>8</v>
      </c>
      <c r="BL215">
        <v>1</v>
      </c>
      <c r="BM215">
        <v>10</v>
      </c>
      <c r="BN215">
        <v>4</v>
      </c>
      <c r="BO215">
        <v>8</v>
      </c>
      <c r="BP215">
        <v>8</v>
      </c>
      <c r="BQ215">
        <v>3</v>
      </c>
      <c r="BR215">
        <v>6</v>
      </c>
      <c r="BS215">
        <v>9</v>
      </c>
      <c r="BT215">
        <v>3</v>
      </c>
      <c r="BU215">
        <v>7</v>
      </c>
      <c r="BV215">
        <v>6</v>
      </c>
      <c r="BW215">
        <v>5</v>
      </c>
      <c r="BX215">
        <v>9</v>
      </c>
      <c r="BY215">
        <v>6</v>
      </c>
      <c r="BZ215">
        <v>10</v>
      </c>
      <c r="CA215">
        <v>0</v>
      </c>
      <c r="CB215">
        <v>6</v>
      </c>
      <c r="CC215">
        <v>7</v>
      </c>
      <c r="CD215">
        <v>7</v>
      </c>
      <c r="CE215">
        <v>2</v>
      </c>
      <c r="CF215">
        <v>4</v>
      </c>
      <c r="CG215">
        <v>3</v>
      </c>
      <c r="CH215">
        <v>0</v>
      </c>
      <c r="CI215">
        <v>3</v>
      </c>
      <c r="CJ215">
        <v>7</v>
      </c>
      <c r="CK215">
        <v>4</v>
      </c>
      <c r="CL215">
        <v>9</v>
      </c>
      <c r="CM215">
        <v>2</v>
      </c>
      <c r="CN215">
        <v>4</v>
      </c>
      <c r="CO215">
        <v>7</v>
      </c>
      <c r="CP215">
        <v>5</v>
      </c>
      <c r="CQ215">
        <v>6</v>
      </c>
      <c r="CR215">
        <v>5</v>
      </c>
      <c r="CS215">
        <v>2</v>
      </c>
      <c r="CT215">
        <v>4</v>
      </c>
      <c r="CU215">
        <v>6</v>
      </c>
      <c r="CV215">
        <v>6</v>
      </c>
      <c r="CW215">
        <v>0</v>
      </c>
      <c r="CX215">
        <v>6</v>
      </c>
      <c r="CY215">
        <v>4</v>
      </c>
      <c r="CZ215">
        <v>9</v>
      </c>
      <c r="DA215">
        <v>6</v>
      </c>
      <c r="DB215">
        <v>9</v>
      </c>
      <c r="DC215">
        <v>7</v>
      </c>
      <c r="DD215">
        <v>10</v>
      </c>
      <c r="DE215">
        <v>4</v>
      </c>
      <c r="DF215">
        <v>3</v>
      </c>
      <c r="DG215">
        <v>9</v>
      </c>
      <c r="DH215">
        <v>6</v>
      </c>
      <c r="DI215">
        <v>8</v>
      </c>
      <c r="DJ215">
        <v>10</v>
      </c>
      <c r="DK215">
        <v>6</v>
      </c>
    </row>
    <row r="216" spans="1:115">
      <c r="A216" s="173">
        <f>Calculations[[#This Row],[Sum t eCO2]]*IF(Calculations[[#This Row],[GHG Scope]]="BIOGENIC",0,1)</f>
        <v>8.9998474720000016E-3</v>
      </c>
      <c r="O216">
        <f t="shared" si="3"/>
        <v>215</v>
      </c>
      <c r="P216">
        <v>6</v>
      </c>
      <c r="Q216">
        <v>0</v>
      </c>
      <c r="R216">
        <v>0</v>
      </c>
      <c r="S216">
        <v>1</v>
      </c>
      <c r="T216">
        <v>3</v>
      </c>
      <c r="U216">
        <v>9</v>
      </c>
      <c r="V216">
        <v>4</v>
      </c>
      <c r="W216">
        <v>3</v>
      </c>
      <c r="X216">
        <v>2</v>
      </c>
      <c r="Y216">
        <v>5</v>
      </c>
      <c r="Z216">
        <v>4</v>
      </c>
      <c r="AA216">
        <v>1</v>
      </c>
      <c r="AB216">
        <v>10</v>
      </c>
      <c r="AC216">
        <v>7</v>
      </c>
      <c r="AD216">
        <v>1</v>
      </c>
      <c r="AE216">
        <v>1</v>
      </c>
      <c r="AF216">
        <v>6</v>
      </c>
      <c r="AG216">
        <v>3</v>
      </c>
      <c r="AH216">
        <v>5</v>
      </c>
      <c r="AI216">
        <v>1</v>
      </c>
      <c r="AJ216">
        <v>0</v>
      </c>
      <c r="AK216">
        <v>6</v>
      </c>
      <c r="AL216">
        <v>5</v>
      </c>
      <c r="AM216">
        <v>6</v>
      </c>
      <c r="AN216">
        <v>1</v>
      </c>
      <c r="AO216">
        <v>10</v>
      </c>
      <c r="AP216">
        <v>4</v>
      </c>
      <c r="AQ216">
        <v>3</v>
      </c>
      <c r="AR216">
        <v>5</v>
      </c>
      <c r="AS216">
        <v>9</v>
      </c>
      <c r="AT216">
        <v>2</v>
      </c>
      <c r="AU216">
        <v>10</v>
      </c>
      <c r="AV216">
        <v>5</v>
      </c>
      <c r="AW216">
        <v>4</v>
      </c>
      <c r="AX216">
        <v>3</v>
      </c>
      <c r="AY216">
        <v>3</v>
      </c>
      <c r="AZ216">
        <v>9</v>
      </c>
      <c r="BA216">
        <v>0</v>
      </c>
      <c r="BB216">
        <v>5</v>
      </c>
      <c r="BC216">
        <v>6</v>
      </c>
      <c r="BD216">
        <v>7</v>
      </c>
      <c r="BE216">
        <v>2</v>
      </c>
      <c r="BF216">
        <v>2</v>
      </c>
      <c r="BG216">
        <v>9</v>
      </c>
      <c r="BH216">
        <v>3</v>
      </c>
      <c r="BI216">
        <v>9</v>
      </c>
      <c r="BJ216">
        <v>3</v>
      </c>
      <c r="BK216">
        <v>6</v>
      </c>
      <c r="BL216">
        <v>1</v>
      </c>
      <c r="BM216">
        <v>5</v>
      </c>
      <c r="BN216">
        <v>9</v>
      </c>
      <c r="BO216">
        <v>3</v>
      </c>
      <c r="BP216">
        <v>6</v>
      </c>
      <c r="BQ216">
        <v>9</v>
      </c>
      <c r="BR216">
        <v>8</v>
      </c>
      <c r="BS216">
        <v>7</v>
      </c>
      <c r="BT216">
        <v>10</v>
      </c>
      <c r="BU216">
        <v>3</v>
      </c>
      <c r="BV216">
        <v>4</v>
      </c>
      <c r="BW216">
        <v>5</v>
      </c>
      <c r="BX216">
        <v>7</v>
      </c>
      <c r="BY216">
        <v>3</v>
      </c>
      <c r="BZ216">
        <v>4</v>
      </c>
      <c r="CA216">
        <v>8</v>
      </c>
      <c r="CB216">
        <v>1</v>
      </c>
      <c r="CC216">
        <v>8</v>
      </c>
      <c r="CD216">
        <v>2</v>
      </c>
      <c r="CE216">
        <v>3</v>
      </c>
      <c r="CF216">
        <v>5</v>
      </c>
      <c r="CG216">
        <v>0</v>
      </c>
      <c r="CH216">
        <v>9</v>
      </c>
      <c r="CI216">
        <v>10</v>
      </c>
      <c r="CJ216">
        <v>6</v>
      </c>
      <c r="CK216">
        <v>8</v>
      </c>
      <c r="CL216">
        <v>4</v>
      </c>
      <c r="CM216">
        <v>9</v>
      </c>
      <c r="CN216">
        <v>8</v>
      </c>
      <c r="CO216">
        <v>8</v>
      </c>
      <c r="CP216">
        <v>3</v>
      </c>
      <c r="CQ216">
        <v>10</v>
      </c>
      <c r="CR216">
        <v>8</v>
      </c>
      <c r="CS216">
        <v>0</v>
      </c>
      <c r="CT216">
        <v>2</v>
      </c>
      <c r="CU216">
        <v>3</v>
      </c>
      <c r="CV216">
        <v>7</v>
      </c>
      <c r="CW216">
        <v>8</v>
      </c>
      <c r="CX216">
        <v>9</v>
      </c>
      <c r="CY216">
        <v>7</v>
      </c>
      <c r="CZ216">
        <v>5</v>
      </c>
      <c r="DA216">
        <v>7</v>
      </c>
      <c r="DB216">
        <v>5</v>
      </c>
      <c r="DC216">
        <v>3</v>
      </c>
      <c r="DD216">
        <v>9</v>
      </c>
      <c r="DE216">
        <v>2</v>
      </c>
      <c r="DF216">
        <v>2</v>
      </c>
      <c r="DG216">
        <v>5</v>
      </c>
      <c r="DH216">
        <v>1</v>
      </c>
      <c r="DI216">
        <v>3</v>
      </c>
      <c r="DJ216">
        <v>8</v>
      </c>
      <c r="DK216">
        <v>5</v>
      </c>
    </row>
    <row r="217" spans="1:115">
      <c r="A217" s="173">
        <f>Calculations[[#This Row],[Sum t eCO2]]*IF(Calculations[[#This Row],[GHG Scope]]="BIOGENIC",0,1)</f>
        <v>3.5071904702999999E-2</v>
      </c>
      <c r="O217">
        <f t="shared" si="3"/>
        <v>216</v>
      </c>
      <c r="P217">
        <v>8</v>
      </c>
      <c r="Q217">
        <v>4</v>
      </c>
      <c r="R217">
        <v>5</v>
      </c>
      <c r="S217">
        <v>2</v>
      </c>
      <c r="T217">
        <v>3</v>
      </c>
      <c r="U217">
        <v>0</v>
      </c>
      <c r="V217">
        <v>1</v>
      </c>
      <c r="W217">
        <v>8</v>
      </c>
      <c r="X217">
        <v>8</v>
      </c>
      <c r="Y217">
        <v>0</v>
      </c>
      <c r="Z217">
        <v>8</v>
      </c>
      <c r="AA217">
        <v>3</v>
      </c>
      <c r="AB217">
        <v>4</v>
      </c>
      <c r="AC217">
        <v>6</v>
      </c>
      <c r="AD217">
        <v>1</v>
      </c>
      <c r="AE217">
        <v>2</v>
      </c>
      <c r="AF217">
        <v>0</v>
      </c>
      <c r="AG217">
        <v>6</v>
      </c>
      <c r="AH217">
        <v>2</v>
      </c>
      <c r="AI217">
        <v>6</v>
      </c>
      <c r="AJ217">
        <v>0</v>
      </c>
      <c r="AK217">
        <v>6</v>
      </c>
      <c r="AL217">
        <v>10</v>
      </c>
      <c r="AM217">
        <v>3</v>
      </c>
      <c r="AN217">
        <v>6</v>
      </c>
      <c r="AO217">
        <v>3</v>
      </c>
      <c r="AP217">
        <v>1</v>
      </c>
      <c r="AQ217">
        <v>0</v>
      </c>
      <c r="AR217">
        <v>10</v>
      </c>
      <c r="AS217">
        <v>3</v>
      </c>
      <c r="AT217">
        <v>10</v>
      </c>
      <c r="AU217">
        <v>7</v>
      </c>
      <c r="AV217">
        <v>9</v>
      </c>
      <c r="AW217">
        <v>4</v>
      </c>
      <c r="AX217">
        <v>3</v>
      </c>
      <c r="AY217">
        <v>1</v>
      </c>
      <c r="AZ217">
        <v>6</v>
      </c>
      <c r="BA217">
        <v>9</v>
      </c>
      <c r="BB217">
        <v>6</v>
      </c>
      <c r="BC217">
        <v>3</v>
      </c>
      <c r="BD217">
        <v>7</v>
      </c>
      <c r="BE217">
        <v>6</v>
      </c>
      <c r="BF217">
        <v>5</v>
      </c>
      <c r="BG217">
        <v>4</v>
      </c>
      <c r="BH217">
        <v>8</v>
      </c>
      <c r="BI217">
        <v>9</v>
      </c>
      <c r="BJ217">
        <v>1</v>
      </c>
      <c r="BK217">
        <v>1</v>
      </c>
      <c r="BL217">
        <v>9</v>
      </c>
      <c r="BM217">
        <v>0</v>
      </c>
      <c r="BN217">
        <v>10</v>
      </c>
      <c r="BO217">
        <v>9</v>
      </c>
      <c r="BP217">
        <v>2</v>
      </c>
      <c r="BQ217">
        <v>3</v>
      </c>
      <c r="BR217">
        <v>5</v>
      </c>
      <c r="BS217">
        <v>4</v>
      </c>
      <c r="BT217">
        <v>7</v>
      </c>
      <c r="BU217">
        <v>6</v>
      </c>
      <c r="BV217">
        <v>5</v>
      </c>
      <c r="BW217">
        <v>8</v>
      </c>
      <c r="BX217">
        <v>8</v>
      </c>
      <c r="BY217">
        <v>10</v>
      </c>
      <c r="BZ217">
        <v>0</v>
      </c>
      <c r="CA217">
        <v>4</v>
      </c>
      <c r="CB217">
        <v>3</v>
      </c>
      <c r="CC217">
        <v>1</v>
      </c>
      <c r="CD217">
        <v>7</v>
      </c>
      <c r="CE217">
        <v>8</v>
      </c>
      <c r="CF217">
        <v>5</v>
      </c>
      <c r="CG217">
        <v>2</v>
      </c>
      <c r="CH217">
        <v>5</v>
      </c>
      <c r="CI217">
        <v>7</v>
      </c>
      <c r="CJ217">
        <v>5</v>
      </c>
      <c r="CK217">
        <v>7</v>
      </c>
      <c r="CL217">
        <v>10</v>
      </c>
      <c r="CM217">
        <v>5</v>
      </c>
      <c r="CN217">
        <v>7</v>
      </c>
      <c r="CO217">
        <v>6</v>
      </c>
      <c r="CP217">
        <v>6</v>
      </c>
      <c r="CQ217">
        <v>3</v>
      </c>
      <c r="CR217">
        <v>7</v>
      </c>
      <c r="CS217">
        <v>0</v>
      </c>
      <c r="CT217">
        <v>1</v>
      </c>
      <c r="CU217">
        <v>8</v>
      </c>
      <c r="CV217">
        <v>2</v>
      </c>
      <c r="CW217">
        <v>10</v>
      </c>
      <c r="CX217">
        <v>9</v>
      </c>
      <c r="CY217">
        <v>2</v>
      </c>
      <c r="CZ217">
        <v>0</v>
      </c>
      <c r="DA217">
        <v>1</v>
      </c>
      <c r="DB217">
        <v>9</v>
      </c>
      <c r="DC217">
        <v>3</v>
      </c>
      <c r="DD217">
        <v>2</v>
      </c>
      <c r="DE217">
        <v>0</v>
      </c>
      <c r="DF217">
        <v>8</v>
      </c>
      <c r="DG217">
        <v>4</v>
      </c>
      <c r="DH217">
        <v>10</v>
      </c>
      <c r="DI217">
        <v>4</v>
      </c>
      <c r="DJ217">
        <v>2</v>
      </c>
      <c r="DK217">
        <v>8</v>
      </c>
    </row>
    <row r="218" spans="1:115">
      <c r="A218" s="173">
        <f>Calculations[[#This Row],[Sum t eCO2]]*IF(Calculations[[#This Row],[GHG Scope]]="BIOGENIC",0,1)</f>
        <v>6302.1659762937998</v>
      </c>
      <c r="O218">
        <f t="shared" si="3"/>
        <v>217</v>
      </c>
      <c r="P218">
        <v>1</v>
      </c>
      <c r="Q218">
        <v>10</v>
      </c>
      <c r="R218">
        <v>3</v>
      </c>
      <c r="S218">
        <v>10</v>
      </c>
      <c r="T218">
        <v>9</v>
      </c>
      <c r="U218">
        <v>8</v>
      </c>
      <c r="V218">
        <v>7</v>
      </c>
      <c r="W218">
        <v>1</v>
      </c>
      <c r="X218">
        <v>0</v>
      </c>
      <c r="Y218">
        <v>0</v>
      </c>
      <c r="Z218">
        <v>5</v>
      </c>
      <c r="AA218">
        <v>4</v>
      </c>
      <c r="AB218">
        <v>7</v>
      </c>
      <c r="AC218">
        <v>10</v>
      </c>
      <c r="AD218">
        <v>0</v>
      </c>
      <c r="AE218">
        <v>0</v>
      </c>
      <c r="AF218">
        <v>7</v>
      </c>
      <c r="AG218">
        <v>10</v>
      </c>
      <c r="AH218">
        <v>8</v>
      </c>
      <c r="AI218">
        <v>1</v>
      </c>
      <c r="AJ218">
        <v>2</v>
      </c>
      <c r="AK218">
        <v>3</v>
      </c>
      <c r="AL218">
        <v>9</v>
      </c>
      <c r="AM218">
        <v>4</v>
      </c>
      <c r="AN218">
        <v>9</v>
      </c>
      <c r="AO218">
        <v>3</v>
      </c>
      <c r="AP218">
        <v>5</v>
      </c>
      <c r="AQ218">
        <v>2</v>
      </c>
      <c r="AR218">
        <v>1</v>
      </c>
      <c r="AS218">
        <v>7</v>
      </c>
      <c r="AT218">
        <v>1</v>
      </c>
      <c r="AU218">
        <v>7</v>
      </c>
      <c r="AV218">
        <v>3</v>
      </c>
      <c r="AW218">
        <v>1</v>
      </c>
      <c r="AX218">
        <v>0</v>
      </c>
      <c r="AY218">
        <v>0</v>
      </c>
      <c r="AZ218">
        <v>8</v>
      </c>
      <c r="BA218">
        <v>9</v>
      </c>
      <c r="BB218">
        <v>10</v>
      </c>
      <c r="BC218">
        <v>3</v>
      </c>
      <c r="BD218">
        <v>6</v>
      </c>
      <c r="BE218">
        <v>2</v>
      </c>
      <c r="BF218">
        <v>1</v>
      </c>
      <c r="BG218">
        <v>4</v>
      </c>
      <c r="BH218">
        <v>8</v>
      </c>
      <c r="BI218">
        <v>9</v>
      </c>
      <c r="BJ218">
        <v>0</v>
      </c>
      <c r="BK218">
        <v>7</v>
      </c>
      <c r="BL218">
        <v>1</v>
      </c>
      <c r="BM218">
        <v>8</v>
      </c>
      <c r="BN218">
        <v>6</v>
      </c>
      <c r="BO218">
        <v>5</v>
      </c>
      <c r="BP218">
        <v>10</v>
      </c>
      <c r="BQ218">
        <v>2</v>
      </c>
      <c r="BR218">
        <v>2</v>
      </c>
      <c r="BS218">
        <v>7</v>
      </c>
      <c r="BT218">
        <v>5</v>
      </c>
      <c r="BU218">
        <v>0</v>
      </c>
      <c r="BV218">
        <v>5</v>
      </c>
      <c r="BW218">
        <v>2</v>
      </c>
      <c r="BX218">
        <v>0</v>
      </c>
      <c r="BY218">
        <v>6</v>
      </c>
      <c r="BZ218">
        <v>2</v>
      </c>
      <c r="CA218">
        <v>5</v>
      </c>
      <c r="CB218">
        <v>6</v>
      </c>
      <c r="CC218">
        <v>0</v>
      </c>
      <c r="CD218">
        <v>5</v>
      </c>
      <c r="CE218">
        <v>2</v>
      </c>
      <c r="CF218">
        <v>1</v>
      </c>
      <c r="CG218">
        <v>7</v>
      </c>
      <c r="CH218">
        <v>8</v>
      </c>
      <c r="CI218">
        <v>6</v>
      </c>
      <c r="CJ218">
        <v>7</v>
      </c>
      <c r="CK218">
        <v>6</v>
      </c>
      <c r="CL218">
        <v>8</v>
      </c>
      <c r="CM218">
        <v>3</v>
      </c>
      <c r="CN218">
        <v>0</v>
      </c>
      <c r="CO218">
        <v>0</v>
      </c>
      <c r="CP218">
        <v>9</v>
      </c>
      <c r="CQ218">
        <v>5</v>
      </c>
      <c r="CR218">
        <v>5</v>
      </c>
      <c r="CS218">
        <v>1</v>
      </c>
      <c r="CT218">
        <v>0</v>
      </c>
      <c r="CU218">
        <v>4</v>
      </c>
      <c r="CV218">
        <v>3</v>
      </c>
      <c r="CW218">
        <v>2</v>
      </c>
      <c r="CX218">
        <v>2</v>
      </c>
      <c r="CY218">
        <v>10</v>
      </c>
      <c r="CZ218">
        <v>7</v>
      </c>
      <c r="DA218">
        <v>9</v>
      </c>
      <c r="DB218">
        <v>5</v>
      </c>
      <c r="DC218">
        <v>10</v>
      </c>
      <c r="DD218">
        <v>8</v>
      </c>
      <c r="DE218">
        <v>8</v>
      </c>
      <c r="DF218">
        <v>0</v>
      </c>
      <c r="DG218">
        <v>4</v>
      </c>
      <c r="DH218">
        <v>2</v>
      </c>
      <c r="DI218">
        <v>2</v>
      </c>
      <c r="DJ218">
        <v>1</v>
      </c>
      <c r="DK218">
        <v>6</v>
      </c>
    </row>
    <row r="219" spans="1:115">
      <c r="A219" s="173">
        <f>Calculations[[#This Row],[Sum t eCO2]]*IF(Calculations[[#This Row],[GHG Scope]]="BIOGENIC",0,1)</f>
        <v>4.4191808968720006</v>
      </c>
      <c r="O219">
        <f t="shared" si="3"/>
        <v>218</v>
      </c>
      <c r="P219">
        <v>6</v>
      </c>
      <c r="Q219">
        <v>3</v>
      </c>
      <c r="R219">
        <v>1</v>
      </c>
      <c r="S219">
        <v>7</v>
      </c>
      <c r="T219">
        <v>8</v>
      </c>
      <c r="U219">
        <v>4</v>
      </c>
      <c r="V219">
        <v>5</v>
      </c>
      <c r="W219">
        <v>7</v>
      </c>
      <c r="X219">
        <v>7</v>
      </c>
      <c r="Y219">
        <v>2</v>
      </c>
      <c r="Z219">
        <v>0</v>
      </c>
      <c r="AA219">
        <v>8</v>
      </c>
      <c r="AB219">
        <v>2</v>
      </c>
      <c r="AC219">
        <v>10</v>
      </c>
      <c r="AD219">
        <v>4</v>
      </c>
      <c r="AE219">
        <v>2</v>
      </c>
      <c r="AF219">
        <v>7</v>
      </c>
      <c r="AG219">
        <v>1</v>
      </c>
      <c r="AH219">
        <v>1</v>
      </c>
      <c r="AI219">
        <v>6</v>
      </c>
      <c r="AJ219">
        <v>9</v>
      </c>
      <c r="AK219">
        <v>5</v>
      </c>
      <c r="AL219">
        <v>5</v>
      </c>
      <c r="AM219">
        <v>7</v>
      </c>
      <c r="AN219">
        <v>4</v>
      </c>
      <c r="AO219">
        <v>5</v>
      </c>
      <c r="AP219">
        <v>7</v>
      </c>
      <c r="AQ219">
        <v>3</v>
      </c>
      <c r="AR219">
        <v>3</v>
      </c>
      <c r="AS219">
        <v>8</v>
      </c>
      <c r="AT219">
        <v>8</v>
      </c>
      <c r="AU219">
        <v>3</v>
      </c>
      <c r="AV219">
        <v>1</v>
      </c>
      <c r="AW219">
        <v>3</v>
      </c>
      <c r="AX219">
        <v>0</v>
      </c>
      <c r="AY219">
        <v>2</v>
      </c>
      <c r="AZ219">
        <v>6</v>
      </c>
      <c r="BA219">
        <v>4</v>
      </c>
      <c r="BB219">
        <v>3</v>
      </c>
      <c r="BC219">
        <v>9</v>
      </c>
      <c r="BD219">
        <v>10</v>
      </c>
      <c r="BE219">
        <v>6</v>
      </c>
      <c r="BF219">
        <v>4</v>
      </c>
      <c r="BG219">
        <v>6</v>
      </c>
      <c r="BH219">
        <v>10</v>
      </c>
      <c r="BI219">
        <v>5</v>
      </c>
      <c r="BJ219">
        <v>1</v>
      </c>
      <c r="BK219">
        <v>3</v>
      </c>
      <c r="BL219">
        <v>0</v>
      </c>
      <c r="BM219">
        <v>9</v>
      </c>
      <c r="BN219">
        <v>1</v>
      </c>
      <c r="BO219">
        <v>6</v>
      </c>
      <c r="BP219">
        <v>3</v>
      </c>
      <c r="BQ219">
        <v>3</v>
      </c>
      <c r="BR219">
        <v>0</v>
      </c>
      <c r="BS219">
        <v>1</v>
      </c>
      <c r="BT219">
        <v>7</v>
      </c>
      <c r="BU219">
        <v>3</v>
      </c>
      <c r="BV219">
        <v>1</v>
      </c>
      <c r="BW219">
        <v>1</v>
      </c>
      <c r="BX219">
        <v>3</v>
      </c>
      <c r="BY219">
        <v>4</v>
      </c>
      <c r="BZ219">
        <v>8</v>
      </c>
      <c r="CA219">
        <v>6</v>
      </c>
      <c r="CB219">
        <v>4</v>
      </c>
      <c r="CC219">
        <v>10</v>
      </c>
      <c r="CD219">
        <v>3</v>
      </c>
      <c r="CE219">
        <v>7</v>
      </c>
      <c r="CF219">
        <v>10</v>
      </c>
      <c r="CG219">
        <v>10</v>
      </c>
      <c r="CH219">
        <v>9</v>
      </c>
      <c r="CI219">
        <v>10</v>
      </c>
      <c r="CJ219">
        <v>6</v>
      </c>
      <c r="CK219">
        <v>4</v>
      </c>
      <c r="CL219">
        <v>9</v>
      </c>
      <c r="CM219">
        <v>6</v>
      </c>
      <c r="CN219">
        <v>6</v>
      </c>
      <c r="CO219">
        <v>2</v>
      </c>
      <c r="CP219">
        <v>3</v>
      </c>
      <c r="CQ219">
        <v>0</v>
      </c>
      <c r="CR219">
        <v>4</v>
      </c>
      <c r="CS219">
        <v>5</v>
      </c>
      <c r="CT219">
        <v>2</v>
      </c>
      <c r="CU219">
        <v>4</v>
      </c>
      <c r="CV219">
        <v>3</v>
      </c>
      <c r="CW219">
        <v>9</v>
      </c>
      <c r="CX219">
        <v>5</v>
      </c>
      <c r="CY219">
        <v>8</v>
      </c>
      <c r="CZ219">
        <v>5</v>
      </c>
      <c r="DA219">
        <v>6</v>
      </c>
      <c r="DB219">
        <v>5</v>
      </c>
      <c r="DC219">
        <v>5</v>
      </c>
      <c r="DD219">
        <v>2</v>
      </c>
      <c r="DE219">
        <v>10</v>
      </c>
      <c r="DF219">
        <v>7</v>
      </c>
      <c r="DG219">
        <v>6</v>
      </c>
      <c r="DH219">
        <v>7</v>
      </c>
      <c r="DI219">
        <v>6</v>
      </c>
      <c r="DJ219">
        <v>8</v>
      </c>
      <c r="DK219">
        <v>6</v>
      </c>
    </row>
    <row r="220" spans="1:115">
      <c r="A220" s="173">
        <f>Calculations[[#This Row],[Sum t eCO2]]*IF(Calculations[[#This Row],[GHG Scope]]="BIOGENIC",0,1)</f>
        <v>17.221302001240502</v>
      </c>
      <c r="O220">
        <f t="shared" si="3"/>
        <v>219</v>
      </c>
      <c r="P220">
        <v>4</v>
      </c>
      <c r="Q220">
        <v>0</v>
      </c>
      <c r="R220">
        <v>10</v>
      </c>
      <c r="S220">
        <v>9</v>
      </c>
      <c r="T220">
        <v>8</v>
      </c>
      <c r="U220">
        <v>1</v>
      </c>
      <c r="V220">
        <v>0</v>
      </c>
      <c r="W220">
        <v>2</v>
      </c>
      <c r="X220">
        <v>9</v>
      </c>
      <c r="Y220">
        <v>7</v>
      </c>
      <c r="Z220">
        <v>9</v>
      </c>
      <c r="AA220">
        <v>2</v>
      </c>
      <c r="AB220">
        <v>1</v>
      </c>
      <c r="AC220">
        <v>7</v>
      </c>
      <c r="AD220">
        <v>6</v>
      </c>
      <c r="AE220">
        <v>10</v>
      </c>
      <c r="AF220">
        <v>4</v>
      </c>
      <c r="AG220">
        <v>1</v>
      </c>
      <c r="AH220">
        <v>1</v>
      </c>
      <c r="AI220">
        <v>2</v>
      </c>
      <c r="AJ220">
        <v>4</v>
      </c>
      <c r="AK220">
        <v>8</v>
      </c>
      <c r="AL220">
        <v>0</v>
      </c>
      <c r="AM220">
        <v>10</v>
      </c>
      <c r="AN220">
        <v>6</v>
      </c>
      <c r="AO220">
        <v>2</v>
      </c>
      <c r="AP220">
        <v>8</v>
      </c>
      <c r="AQ220">
        <v>5</v>
      </c>
      <c r="AR220">
        <v>2</v>
      </c>
      <c r="AS220">
        <v>6</v>
      </c>
      <c r="AT220">
        <v>8</v>
      </c>
      <c r="AU220">
        <v>9</v>
      </c>
      <c r="AV220">
        <v>8</v>
      </c>
      <c r="AW220">
        <v>6</v>
      </c>
      <c r="AX220">
        <v>6</v>
      </c>
      <c r="AY220">
        <v>5</v>
      </c>
      <c r="AZ220">
        <v>7</v>
      </c>
      <c r="BA220">
        <v>7</v>
      </c>
      <c r="BB220">
        <v>7</v>
      </c>
      <c r="BC220">
        <v>1</v>
      </c>
      <c r="BD220">
        <v>7</v>
      </c>
      <c r="BE220">
        <v>5</v>
      </c>
      <c r="BF220">
        <v>7</v>
      </c>
      <c r="BG220">
        <v>0</v>
      </c>
      <c r="BH220">
        <v>10</v>
      </c>
      <c r="BI220">
        <v>10</v>
      </c>
      <c r="BJ220">
        <v>3</v>
      </c>
      <c r="BK220">
        <v>8</v>
      </c>
      <c r="BL220">
        <v>2</v>
      </c>
      <c r="BM220">
        <v>9</v>
      </c>
      <c r="BN220">
        <v>1</v>
      </c>
      <c r="BO220">
        <v>0</v>
      </c>
      <c r="BP220">
        <v>2</v>
      </c>
      <c r="BQ220">
        <v>0</v>
      </c>
      <c r="BR220">
        <v>5</v>
      </c>
      <c r="BS220">
        <v>6</v>
      </c>
      <c r="BT220">
        <v>3</v>
      </c>
      <c r="BU220">
        <v>9</v>
      </c>
      <c r="BV220">
        <v>5</v>
      </c>
      <c r="BW220">
        <v>0</v>
      </c>
      <c r="BX220">
        <v>2</v>
      </c>
      <c r="BY220">
        <v>7</v>
      </c>
      <c r="BZ220">
        <v>7</v>
      </c>
      <c r="CA220">
        <v>10</v>
      </c>
      <c r="CB220">
        <v>7</v>
      </c>
      <c r="CC220">
        <v>5</v>
      </c>
      <c r="CD220">
        <v>3</v>
      </c>
      <c r="CE220">
        <v>4</v>
      </c>
      <c r="CF220">
        <v>3</v>
      </c>
      <c r="CG220">
        <v>4</v>
      </c>
      <c r="CH220">
        <v>10</v>
      </c>
      <c r="CI220">
        <v>0</v>
      </c>
      <c r="CJ220">
        <v>8</v>
      </c>
      <c r="CK220">
        <v>2</v>
      </c>
      <c r="CL220">
        <v>6</v>
      </c>
      <c r="CM220">
        <v>4</v>
      </c>
      <c r="CN220">
        <v>0</v>
      </c>
      <c r="CO220">
        <v>1</v>
      </c>
      <c r="CP220">
        <v>6</v>
      </c>
      <c r="CQ220">
        <v>1</v>
      </c>
      <c r="CR220">
        <v>10</v>
      </c>
      <c r="CS220">
        <v>9</v>
      </c>
      <c r="CT220">
        <v>10</v>
      </c>
      <c r="CU220">
        <v>10</v>
      </c>
      <c r="CV220">
        <v>10</v>
      </c>
      <c r="CW220">
        <v>0</v>
      </c>
      <c r="CX220">
        <v>9</v>
      </c>
      <c r="CY220">
        <v>4</v>
      </c>
      <c r="CZ220">
        <v>1</v>
      </c>
      <c r="DA220">
        <v>8</v>
      </c>
      <c r="DB220">
        <v>4</v>
      </c>
      <c r="DC220">
        <v>10</v>
      </c>
      <c r="DD220">
        <v>5</v>
      </c>
      <c r="DE220">
        <v>4</v>
      </c>
      <c r="DF220">
        <v>10</v>
      </c>
      <c r="DG220">
        <v>5</v>
      </c>
      <c r="DH220">
        <v>5</v>
      </c>
      <c r="DI220">
        <v>9</v>
      </c>
      <c r="DJ220">
        <v>8</v>
      </c>
      <c r="DK220">
        <v>7</v>
      </c>
    </row>
    <row r="221" spans="1:115">
      <c r="A221" s="173">
        <f>Calculations[[#This Row],[Sum t eCO2]]*IF(Calculations[[#This Row],[GHG Scope]]="BIOGENIC",0,1)</f>
        <v>2532.5909959987239</v>
      </c>
      <c r="O221">
        <f t="shared" si="3"/>
        <v>220</v>
      </c>
      <c r="P221">
        <v>3</v>
      </c>
      <c r="Q221">
        <v>3</v>
      </c>
      <c r="R221">
        <v>5</v>
      </c>
      <c r="S221">
        <v>5</v>
      </c>
      <c r="T221">
        <v>0</v>
      </c>
      <c r="U221">
        <v>2</v>
      </c>
      <c r="V221">
        <v>5</v>
      </c>
      <c r="W221">
        <v>9</v>
      </c>
      <c r="X221">
        <v>0</v>
      </c>
      <c r="Y221">
        <v>2</v>
      </c>
      <c r="Z221">
        <v>8</v>
      </c>
      <c r="AA221">
        <v>10</v>
      </c>
      <c r="AB221">
        <v>1</v>
      </c>
      <c r="AC221">
        <v>5</v>
      </c>
      <c r="AD221">
        <v>5</v>
      </c>
      <c r="AE221">
        <v>8</v>
      </c>
      <c r="AF221">
        <v>10</v>
      </c>
      <c r="AG221">
        <v>10</v>
      </c>
      <c r="AH221">
        <v>4</v>
      </c>
      <c r="AI221">
        <v>5</v>
      </c>
      <c r="AJ221">
        <v>7</v>
      </c>
      <c r="AK221">
        <v>2</v>
      </c>
      <c r="AL221">
        <v>5</v>
      </c>
      <c r="AM221">
        <v>7</v>
      </c>
      <c r="AN221">
        <v>5</v>
      </c>
      <c r="AO221">
        <v>8</v>
      </c>
      <c r="AP221">
        <v>6</v>
      </c>
      <c r="AQ221">
        <v>10</v>
      </c>
      <c r="AR221">
        <v>6</v>
      </c>
      <c r="AS221">
        <v>8</v>
      </c>
      <c r="AT221">
        <v>4</v>
      </c>
      <c r="AU221">
        <v>7</v>
      </c>
      <c r="AV221">
        <v>10</v>
      </c>
      <c r="AW221">
        <v>7</v>
      </c>
      <c r="AX221">
        <v>0</v>
      </c>
      <c r="AY221">
        <v>6</v>
      </c>
      <c r="AZ221">
        <v>2</v>
      </c>
      <c r="BA221">
        <v>0</v>
      </c>
      <c r="BB221">
        <v>8</v>
      </c>
      <c r="BC221">
        <v>7</v>
      </c>
      <c r="BD221">
        <v>6</v>
      </c>
      <c r="BE221">
        <v>0</v>
      </c>
      <c r="BF221">
        <v>3</v>
      </c>
      <c r="BG221">
        <v>3</v>
      </c>
      <c r="BH221">
        <v>9</v>
      </c>
      <c r="BI221">
        <v>2</v>
      </c>
      <c r="BJ221">
        <v>8</v>
      </c>
      <c r="BK221">
        <v>8</v>
      </c>
      <c r="BL221">
        <v>3</v>
      </c>
      <c r="BM221">
        <v>9</v>
      </c>
      <c r="BN221">
        <v>3</v>
      </c>
      <c r="BO221">
        <v>0</v>
      </c>
      <c r="BP221">
        <v>8</v>
      </c>
      <c r="BQ221">
        <v>5</v>
      </c>
      <c r="BR221">
        <v>9</v>
      </c>
      <c r="BS221">
        <v>9</v>
      </c>
      <c r="BT221">
        <v>8</v>
      </c>
      <c r="BU221">
        <v>9</v>
      </c>
      <c r="BV221">
        <v>5</v>
      </c>
      <c r="BW221">
        <v>10</v>
      </c>
      <c r="BX221">
        <v>1</v>
      </c>
      <c r="BY221">
        <v>0</v>
      </c>
      <c r="BZ221">
        <v>8</v>
      </c>
      <c r="CA221">
        <v>7</v>
      </c>
      <c r="CB221">
        <v>4</v>
      </c>
      <c r="CC221">
        <v>6</v>
      </c>
      <c r="CD221">
        <v>2</v>
      </c>
      <c r="CE221">
        <v>10</v>
      </c>
      <c r="CF221">
        <v>9</v>
      </c>
      <c r="CG221">
        <v>6</v>
      </c>
      <c r="CH221">
        <v>0</v>
      </c>
      <c r="CI221">
        <v>0</v>
      </c>
      <c r="CJ221">
        <v>3</v>
      </c>
      <c r="CK221">
        <v>4</v>
      </c>
      <c r="CL221">
        <v>8</v>
      </c>
      <c r="CM221">
        <v>4</v>
      </c>
      <c r="CN221">
        <v>3</v>
      </c>
      <c r="CO221">
        <v>10</v>
      </c>
      <c r="CP221">
        <v>1</v>
      </c>
      <c r="CQ221">
        <v>2</v>
      </c>
      <c r="CR221">
        <v>7</v>
      </c>
      <c r="CS221">
        <v>8</v>
      </c>
      <c r="CT221">
        <v>10</v>
      </c>
      <c r="CU221">
        <v>3</v>
      </c>
      <c r="CV221">
        <v>7</v>
      </c>
      <c r="CW221">
        <v>8</v>
      </c>
      <c r="CX221">
        <v>4</v>
      </c>
      <c r="CY221">
        <v>9</v>
      </c>
      <c r="CZ221">
        <v>7</v>
      </c>
      <c r="DA221">
        <v>4</v>
      </c>
      <c r="DB221">
        <v>2</v>
      </c>
      <c r="DC221">
        <v>1</v>
      </c>
      <c r="DD221">
        <v>3</v>
      </c>
      <c r="DE221">
        <v>7</v>
      </c>
      <c r="DF221">
        <v>2</v>
      </c>
      <c r="DG221">
        <v>0</v>
      </c>
      <c r="DH221">
        <v>8</v>
      </c>
      <c r="DI221">
        <v>8</v>
      </c>
      <c r="DJ221">
        <v>9</v>
      </c>
      <c r="DK221">
        <v>5</v>
      </c>
    </row>
    <row r="222" spans="1:115">
      <c r="A222" s="173">
        <f>Calculations[[#This Row],[Sum t eCO2]]*IF(Calculations[[#This Row],[GHG Scope]]="BIOGENIC",0,1)</f>
        <v>1.77589384208656</v>
      </c>
      <c r="O222">
        <f t="shared" si="3"/>
        <v>221</v>
      </c>
      <c r="P222">
        <v>7</v>
      </c>
      <c r="Q222">
        <v>6</v>
      </c>
      <c r="R222">
        <v>7</v>
      </c>
      <c r="S222">
        <v>6</v>
      </c>
      <c r="T222">
        <v>10</v>
      </c>
      <c r="U222">
        <v>8</v>
      </c>
      <c r="V222">
        <v>2</v>
      </c>
      <c r="W222">
        <v>6</v>
      </c>
      <c r="X222">
        <v>6</v>
      </c>
      <c r="Y222">
        <v>8</v>
      </c>
      <c r="Z222">
        <v>3</v>
      </c>
      <c r="AA222">
        <v>8</v>
      </c>
      <c r="AB222">
        <v>0</v>
      </c>
      <c r="AC222">
        <v>9</v>
      </c>
      <c r="AD222">
        <v>1</v>
      </c>
      <c r="AE222">
        <v>3</v>
      </c>
      <c r="AF222">
        <v>1</v>
      </c>
      <c r="AG222">
        <v>3</v>
      </c>
      <c r="AH222">
        <v>0</v>
      </c>
      <c r="AI222">
        <v>7</v>
      </c>
      <c r="AJ222">
        <v>0</v>
      </c>
      <c r="AK222">
        <v>2</v>
      </c>
      <c r="AL222">
        <v>10</v>
      </c>
      <c r="AM222">
        <v>2</v>
      </c>
      <c r="AN222">
        <v>4</v>
      </c>
      <c r="AO222">
        <v>7</v>
      </c>
      <c r="AP222">
        <v>4</v>
      </c>
      <c r="AQ222">
        <v>8</v>
      </c>
      <c r="AR222">
        <v>5</v>
      </c>
      <c r="AS222">
        <v>5</v>
      </c>
      <c r="AT222">
        <v>8</v>
      </c>
      <c r="AU222">
        <v>3</v>
      </c>
      <c r="AV222">
        <v>9</v>
      </c>
      <c r="AW222">
        <v>4</v>
      </c>
      <c r="AX222">
        <v>8</v>
      </c>
      <c r="AY222">
        <v>3</v>
      </c>
      <c r="AZ222">
        <v>4</v>
      </c>
      <c r="BA222">
        <v>9</v>
      </c>
      <c r="BB222">
        <v>4</v>
      </c>
      <c r="BC222">
        <v>2</v>
      </c>
      <c r="BD222">
        <v>10</v>
      </c>
      <c r="BE222">
        <v>8</v>
      </c>
      <c r="BF222">
        <v>3</v>
      </c>
      <c r="BG222">
        <v>0</v>
      </c>
      <c r="BH222">
        <v>3</v>
      </c>
      <c r="BI222">
        <v>1</v>
      </c>
      <c r="BJ222">
        <v>4</v>
      </c>
      <c r="BK222">
        <v>3</v>
      </c>
      <c r="BL222">
        <v>4</v>
      </c>
      <c r="BM222">
        <v>5</v>
      </c>
      <c r="BN222">
        <v>7</v>
      </c>
      <c r="BO222">
        <v>6</v>
      </c>
      <c r="BP222">
        <v>4</v>
      </c>
      <c r="BQ222">
        <v>9</v>
      </c>
      <c r="BR222">
        <v>4</v>
      </c>
      <c r="BS222">
        <v>9</v>
      </c>
      <c r="BT222">
        <v>9</v>
      </c>
      <c r="BU222">
        <v>4</v>
      </c>
      <c r="BV222">
        <v>2</v>
      </c>
      <c r="BW222">
        <v>10</v>
      </c>
      <c r="BX222">
        <v>10</v>
      </c>
      <c r="BY222">
        <v>4</v>
      </c>
      <c r="BZ222">
        <v>7</v>
      </c>
      <c r="CA222">
        <v>9</v>
      </c>
      <c r="CB222">
        <v>8</v>
      </c>
      <c r="CC222">
        <v>10</v>
      </c>
      <c r="CD222">
        <v>9</v>
      </c>
      <c r="CE222">
        <v>1</v>
      </c>
      <c r="CF222">
        <v>1</v>
      </c>
      <c r="CG222">
        <v>4</v>
      </c>
      <c r="CH222">
        <v>3</v>
      </c>
      <c r="CI222">
        <v>2</v>
      </c>
      <c r="CJ222">
        <v>8</v>
      </c>
      <c r="CK222">
        <v>10</v>
      </c>
      <c r="CL222">
        <v>7</v>
      </c>
      <c r="CM222">
        <v>7</v>
      </c>
      <c r="CN222">
        <v>4</v>
      </c>
      <c r="CO222">
        <v>10</v>
      </c>
      <c r="CP222">
        <v>8</v>
      </c>
      <c r="CQ222">
        <v>1</v>
      </c>
      <c r="CR222">
        <v>5</v>
      </c>
      <c r="CS222">
        <v>6</v>
      </c>
      <c r="CT222">
        <v>10</v>
      </c>
      <c r="CU222">
        <v>1</v>
      </c>
      <c r="CV222">
        <v>6</v>
      </c>
      <c r="CW222">
        <v>2</v>
      </c>
      <c r="CX222">
        <v>8</v>
      </c>
      <c r="CY222">
        <v>10</v>
      </c>
      <c r="CZ222">
        <v>8</v>
      </c>
      <c r="DA222">
        <v>0</v>
      </c>
      <c r="DB222">
        <v>3</v>
      </c>
      <c r="DC222">
        <v>8</v>
      </c>
      <c r="DD222">
        <v>4</v>
      </c>
      <c r="DE222">
        <v>6</v>
      </c>
      <c r="DF222">
        <v>6</v>
      </c>
      <c r="DG222">
        <v>1</v>
      </c>
      <c r="DH222">
        <v>3</v>
      </c>
      <c r="DI222">
        <v>3</v>
      </c>
      <c r="DJ222">
        <v>1</v>
      </c>
      <c r="DK222">
        <v>8</v>
      </c>
    </row>
    <row r="223" spans="1:115">
      <c r="A223" s="173">
        <f>Calculations[[#This Row],[Sum t eCO2]]*IF(Calculations[[#This Row],[GHG Scope]]="BIOGENIC",0,1)</f>
        <v>6.92055946348869</v>
      </c>
      <c r="O223">
        <f t="shared" si="3"/>
        <v>222</v>
      </c>
      <c r="P223">
        <v>4</v>
      </c>
      <c r="Q223">
        <v>6</v>
      </c>
      <c r="R223">
        <v>4</v>
      </c>
      <c r="S223">
        <v>3</v>
      </c>
      <c r="T223">
        <v>4</v>
      </c>
      <c r="U223">
        <v>3</v>
      </c>
      <c r="V223">
        <v>8</v>
      </c>
      <c r="W223">
        <v>5</v>
      </c>
      <c r="X223">
        <v>10</v>
      </c>
      <c r="Y223">
        <v>2</v>
      </c>
      <c r="Z223">
        <v>2</v>
      </c>
      <c r="AA223">
        <v>5</v>
      </c>
      <c r="AB223">
        <v>7</v>
      </c>
      <c r="AC223">
        <v>7</v>
      </c>
      <c r="AD223">
        <v>9</v>
      </c>
      <c r="AE223">
        <v>8</v>
      </c>
      <c r="AF223">
        <v>1</v>
      </c>
      <c r="AG223">
        <v>6</v>
      </c>
      <c r="AH223">
        <v>9</v>
      </c>
      <c r="AI223">
        <v>7</v>
      </c>
      <c r="AJ223">
        <v>1</v>
      </c>
      <c r="AK223">
        <v>1</v>
      </c>
      <c r="AL223">
        <v>5</v>
      </c>
      <c r="AM223">
        <v>7</v>
      </c>
      <c r="AN223">
        <v>10</v>
      </c>
      <c r="AO223">
        <v>7</v>
      </c>
      <c r="AP223">
        <v>9</v>
      </c>
      <c r="AQ223">
        <v>10</v>
      </c>
      <c r="AR223">
        <v>0</v>
      </c>
      <c r="AS223">
        <v>1</v>
      </c>
      <c r="AT223">
        <v>6</v>
      </c>
      <c r="AU223">
        <v>9</v>
      </c>
      <c r="AV223">
        <v>3</v>
      </c>
      <c r="AW223">
        <v>9</v>
      </c>
      <c r="AX223">
        <v>2</v>
      </c>
      <c r="AY223">
        <v>2</v>
      </c>
      <c r="AZ223">
        <v>0</v>
      </c>
      <c r="BA223">
        <v>8</v>
      </c>
      <c r="BB223">
        <v>8</v>
      </c>
      <c r="BC223">
        <v>1</v>
      </c>
      <c r="BD223">
        <v>3</v>
      </c>
      <c r="BE223">
        <v>4</v>
      </c>
      <c r="BF223">
        <v>9</v>
      </c>
      <c r="BG223">
        <v>7</v>
      </c>
      <c r="BH223">
        <v>9</v>
      </c>
      <c r="BI223">
        <v>0</v>
      </c>
      <c r="BJ223">
        <v>0</v>
      </c>
      <c r="BK223">
        <v>6</v>
      </c>
      <c r="BL223">
        <v>1</v>
      </c>
      <c r="BM223">
        <v>9</v>
      </c>
      <c r="BN223">
        <v>5</v>
      </c>
      <c r="BO223">
        <v>4</v>
      </c>
      <c r="BP223">
        <v>9</v>
      </c>
      <c r="BQ223">
        <v>5</v>
      </c>
      <c r="BR223">
        <v>10</v>
      </c>
      <c r="BS223">
        <v>0</v>
      </c>
      <c r="BT223">
        <v>7</v>
      </c>
      <c r="BU223">
        <v>5</v>
      </c>
      <c r="BV223">
        <v>4</v>
      </c>
      <c r="BW223">
        <v>7</v>
      </c>
      <c r="BX223">
        <v>4</v>
      </c>
      <c r="BY223">
        <v>1</v>
      </c>
      <c r="BZ223">
        <v>2</v>
      </c>
      <c r="CA223">
        <v>4</v>
      </c>
      <c r="CB223">
        <v>6</v>
      </c>
      <c r="CC223">
        <v>0</v>
      </c>
      <c r="CD223">
        <v>0</v>
      </c>
      <c r="CE223">
        <v>4</v>
      </c>
      <c r="CF223">
        <v>5</v>
      </c>
      <c r="CG223">
        <v>2</v>
      </c>
      <c r="CH223">
        <v>9</v>
      </c>
      <c r="CI223">
        <v>3</v>
      </c>
      <c r="CJ223">
        <v>10</v>
      </c>
      <c r="CK223">
        <v>0</v>
      </c>
      <c r="CL223">
        <v>6</v>
      </c>
      <c r="CM223">
        <v>9</v>
      </c>
      <c r="CN223">
        <v>0</v>
      </c>
      <c r="CO223">
        <v>1</v>
      </c>
      <c r="CP223">
        <v>0</v>
      </c>
      <c r="CQ223">
        <v>2</v>
      </c>
      <c r="CR223">
        <v>3</v>
      </c>
      <c r="CS223">
        <v>10</v>
      </c>
      <c r="CT223">
        <v>8</v>
      </c>
      <c r="CU223">
        <v>9</v>
      </c>
      <c r="CV223">
        <v>8</v>
      </c>
      <c r="CW223">
        <v>1</v>
      </c>
      <c r="CX223">
        <v>7</v>
      </c>
      <c r="CY223">
        <v>1</v>
      </c>
      <c r="CZ223">
        <v>8</v>
      </c>
      <c r="DA223">
        <v>1</v>
      </c>
      <c r="DB223">
        <v>6</v>
      </c>
      <c r="DC223">
        <v>5</v>
      </c>
      <c r="DD223">
        <v>1</v>
      </c>
      <c r="DE223">
        <v>7</v>
      </c>
      <c r="DF223">
        <v>10</v>
      </c>
      <c r="DG223">
        <v>3</v>
      </c>
      <c r="DH223">
        <v>9</v>
      </c>
      <c r="DI223">
        <v>1</v>
      </c>
      <c r="DJ223">
        <v>0</v>
      </c>
      <c r="DK223">
        <v>0</v>
      </c>
    </row>
    <row r="224" spans="1:115">
      <c r="A224" s="173">
        <f>Calculations[[#This Row],[Sum t eCO2]]*IF(Calculations[[#This Row],[GHG Scope]]="BIOGENIC",0,1)</f>
        <v>738.46138225900199</v>
      </c>
      <c r="O224">
        <f t="shared" si="3"/>
        <v>223</v>
      </c>
      <c r="P224">
        <v>2</v>
      </c>
      <c r="Q224">
        <v>6</v>
      </c>
      <c r="R224">
        <v>3</v>
      </c>
      <c r="S224">
        <v>6</v>
      </c>
      <c r="T224">
        <v>1</v>
      </c>
      <c r="U224">
        <v>7</v>
      </c>
      <c r="V224">
        <v>0</v>
      </c>
      <c r="W224">
        <v>3</v>
      </c>
      <c r="X224">
        <v>9</v>
      </c>
      <c r="Y224">
        <v>10</v>
      </c>
      <c r="Z224">
        <v>2</v>
      </c>
      <c r="AA224">
        <v>10</v>
      </c>
      <c r="AB224">
        <v>7</v>
      </c>
      <c r="AC224">
        <v>3</v>
      </c>
      <c r="AD224">
        <v>2</v>
      </c>
      <c r="AE224">
        <v>4</v>
      </c>
      <c r="AF224">
        <v>3</v>
      </c>
      <c r="AG224">
        <v>3</v>
      </c>
      <c r="AH224">
        <v>0</v>
      </c>
      <c r="AI224">
        <v>0</v>
      </c>
      <c r="AJ224">
        <v>5</v>
      </c>
      <c r="AK224">
        <v>4</v>
      </c>
      <c r="AL224">
        <v>1</v>
      </c>
      <c r="AM224">
        <v>1</v>
      </c>
      <c r="AN224">
        <v>10</v>
      </c>
      <c r="AO224">
        <v>0</v>
      </c>
      <c r="AP224">
        <v>10</v>
      </c>
      <c r="AQ224">
        <v>3</v>
      </c>
      <c r="AR224">
        <v>4</v>
      </c>
      <c r="AS224">
        <v>2</v>
      </c>
      <c r="AT224">
        <v>10</v>
      </c>
      <c r="AU224">
        <v>9</v>
      </c>
      <c r="AV224">
        <v>6</v>
      </c>
      <c r="AW224">
        <v>3</v>
      </c>
      <c r="AX224">
        <v>5</v>
      </c>
      <c r="AY224">
        <v>7</v>
      </c>
      <c r="AZ224">
        <v>1</v>
      </c>
      <c r="BA224">
        <v>9</v>
      </c>
      <c r="BB224">
        <v>2</v>
      </c>
      <c r="BC224">
        <v>9</v>
      </c>
      <c r="BD224">
        <v>5</v>
      </c>
      <c r="BE224">
        <v>3</v>
      </c>
      <c r="BF224">
        <v>10</v>
      </c>
      <c r="BG224">
        <v>8</v>
      </c>
      <c r="BH224">
        <v>5</v>
      </c>
      <c r="BI224">
        <v>1</v>
      </c>
      <c r="BJ224">
        <v>1</v>
      </c>
      <c r="BK224">
        <v>1</v>
      </c>
      <c r="BL224">
        <v>5</v>
      </c>
      <c r="BM224">
        <v>6</v>
      </c>
      <c r="BN224">
        <v>6</v>
      </c>
      <c r="BO224">
        <v>9</v>
      </c>
      <c r="BP224">
        <v>3</v>
      </c>
      <c r="BQ224">
        <v>1</v>
      </c>
      <c r="BR224">
        <v>3</v>
      </c>
      <c r="BS224">
        <v>6</v>
      </c>
      <c r="BT224">
        <v>3</v>
      </c>
      <c r="BU224">
        <v>3</v>
      </c>
      <c r="BV224">
        <v>6</v>
      </c>
      <c r="BW224">
        <v>3</v>
      </c>
      <c r="BX224">
        <v>7</v>
      </c>
      <c r="BY224">
        <v>3</v>
      </c>
      <c r="BZ224">
        <v>1</v>
      </c>
      <c r="CA224">
        <v>10</v>
      </c>
      <c r="CB224">
        <v>7</v>
      </c>
      <c r="CC224">
        <v>0</v>
      </c>
      <c r="CD224">
        <v>3</v>
      </c>
      <c r="CE224">
        <v>2</v>
      </c>
      <c r="CF224">
        <v>5</v>
      </c>
      <c r="CG224">
        <v>10</v>
      </c>
      <c r="CH224">
        <v>10</v>
      </c>
      <c r="CI224">
        <v>4</v>
      </c>
      <c r="CJ224">
        <v>1</v>
      </c>
      <c r="CK224">
        <v>10</v>
      </c>
      <c r="CL224">
        <v>1</v>
      </c>
      <c r="CM224">
        <v>4</v>
      </c>
      <c r="CN224">
        <v>9</v>
      </c>
      <c r="CO224">
        <v>10</v>
      </c>
      <c r="CP224">
        <v>9</v>
      </c>
      <c r="CQ224">
        <v>0</v>
      </c>
      <c r="CR224">
        <v>6</v>
      </c>
      <c r="CS224">
        <v>10</v>
      </c>
      <c r="CT224">
        <v>9</v>
      </c>
      <c r="CU224">
        <v>6</v>
      </c>
      <c r="CV224">
        <v>4</v>
      </c>
      <c r="CW224">
        <v>5</v>
      </c>
      <c r="CX224">
        <v>7</v>
      </c>
      <c r="CY224">
        <v>6</v>
      </c>
      <c r="CZ224">
        <v>4</v>
      </c>
      <c r="DA224">
        <v>4</v>
      </c>
      <c r="DB224">
        <v>3</v>
      </c>
      <c r="DC224">
        <v>8</v>
      </c>
      <c r="DD224">
        <v>9</v>
      </c>
      <c r="DE224">
        <v>4</v>
      </c>
      <c r="DF224">
        <v>1</v>
      </c>
      <c r="DG224">
        <v>1</v>
      </c>
      <c r="DH224">
        <v>7</v>
      </c>
      <c r="DI224">
        <v>0</v>
      </c>
      <c r="DJ224">
        <v>4</v>
      </c>
      <c r="DK224">
        <v>4</v>
      </c>
    </row>
    <row r="225" spans="1:115">
      <c r="A225" s="173">
        <f>Calculations[[#This Row],[Sum t eCO2]]*IF(Calculations[[#This Row],[GHG Scope]]="BIOGENIC",0,1)</f>
        <v>0.51782108656488002</v>
      </c>
      <c r="O225">
        <f t="shared" si="3"/>
        <v>224</v>
      </c>
      <c r="P225">
        <v>10</v>
      </c>
      <c r="Q225">
        <v>2</v>
      </c>
      <c r="R225">
        <v>2</v>
      </c>
      <c r="S225">
        <v>5</v>
      </c>
      <c r="T225">
        <v>5</v>
      </c>
      <c r="U225">
        <v>1</v>
      </c>
      <c r="V225">
        <v>3</v>
      </c>
      <c r="W225">
        <v>6</v>
      </c>
      <c r="X225">
        <v>0</v>
      </c>
      <c r="Y225">
        <v>8</v>
      </c>
      <c r="Z225">
        <v>10</v>
      </c>
      <c r="AA225">
        <v>7</v>
      </c>
      <c r="AB225">
        <v>0</v>
      </c>
      <c r="AC225">
        <v>7</v>
      </c>
      <c r="AD225">
        <v>9</v>
      </c>
      <c r="AE225">
        <v>5</v>
      </c>
      <c r="AF225">
        <v>5</v>
      </c>
      <c r="AG225">
        <v>0</v>
      </c>
      <c r="AH225">
        <v>10</v>
      </c>
      <c r="AI225">
        <v>10</v>
      </c>
      <c r="AJ225">
        <v>2</v>
      </c>
      <c r="AK225">
        <v>5</v>
      </c>
      <c r="AL225">
        <v>6</v>
      </c>
      <c r="AM225">
        <v>9</v>
      </c>
      <c r="AN225">
        <v>4</v>
      </c>
      <c r="AO225">
        <v>10</v>
      </c>
      <c r="AP225">
        <v>8</v>
      </c>
      <c r="AQ225">
        <v>2</v>
      </c>
      <c r="AR225">
        <v>7</v>
      </c>
      <c r="AS225">
        <v>0</v>
      </c>
      <c r="AT225">
        <v>1</v>
      </c>
      <c r="AU225">
        <v>4</v>
      </c>
      <c r="AV225">
        <v>7</v>
      </c>
      <c r="AW225">
        <v>4</v>
      </c>
      <c r="AX225">
        <v>6</v>
      </c>
      <c r="AY225">
        <v>0</v>
      </c>
      <c r="AZ225">
        <v>8</v>
      </c>
      <c r="BA225">
        <v>6</v>
      </c>
      <c r="BB225">
        <v>0</v>
      </c>
      <c r="BC225">
        <v>6</v>
      </c>
      <c r="BD225">
        <v>9</v>
      </c>
      <c r="BE225">
        <v>9</v>
      </c>
      <c r="BF225">
        <v>8</v>
      </c>
      <c r="BG225">
        <v>0</v>
      </c>
      <c r="BH225">
        <v>8</v>
      </c>
      <c r="BI225">
        <v>7</v>
      </c>
      <c r="BJ225">
        <v>1</v>
      </c>
      <c r="BK225">
        <v>6</v>
      </c>
      <c r="BL225">
        <v>5</v>
      </c>
      <c r="BM225">
        <v>1</v>
      </c>
      <c r="BN225">
        <v>2</v>
      </c>
      <c r="BO225">
        <v>6</v>
      </c>
      <c r="BP225">
        <v>4</v>
      </c>
      <c r="BQ225">
        <v>2</v>
      </c>
      <c r="BR225">
        <v>7</v>
      </c>
      <c r="BS225">
        <v>8</v>
      </c>
      <c r="BT225">
        <v>9</v>
      </c>
      <c r="BU225">
        <v>3</v>
      </c>
      <c r="BV225">
        <v>10</v>
      </c>
      <c r="BW225">
        <v>2</v>
      </c>
      <c r="BX225">
        <v>0</v>
      </c>
      <c r="BY225">
        <v>2</v>
      </c>
      <c r="BZ225">
        <v>6</v>
      </c>
      <c r="CA225">
        <v>8</v>
      </c>
      <c r="CB225">
        <v>2</v>
      </c>
      <c r="CC225">
        <v>7</v>
      </c>
      <c r="CD225">
        <v>9</v>
      </c>
      <c r="CE225">
        <v>1</v>
      </c>
      <c r="CF225">
        <v>5</v>
      </c>
      <c r="CG225">
        <v>3</v>
      </c>
      <c r="CH225">
        <v>5</v>
      </c>
      <c r="CI225">
        <v>8</v>
      </c>
      <c r="CJ225">
        <v>7</v>
      </c>
      <c r="CK225">
        <v>3</v>
      </c>
      <c r="CL225">
        <v>7</v>
      </c>
      <c r="CM225">
        <v>3</v>
      </c>
      <c r="CN225">
        <v>7</v>
      </c>
      <c r="CO225">
        <v>6</v>
      </c>
      <c r="CP225">
        <v>9</v>
      </c>
      <c r="CQ225">
        <v>8</v>
      </c>
      <c r="CR225">
        <v>10</v>
      </c>
      <c r="CS225">
        <v>7</v>
      </c>
      <c r="CT225">
        <v>5</v>
      </c>
      <c r="CU225">
        <v>9</v>
      </c>
      <c r="CV225">
        <v>8</v>
      </c>
      <c r="CW225">
        <v>9</v>
      </c>
      <c r="CX225">
        <v>3</v>
      </c>
      <c r="CY225">
        <v>1</v>
      </c>
      <c r="CZ225">
        <v>1</v>
      </c>
      <c r="DA225">
        <v>4</v>
      </c>
      <c r="DB225">
        <v>2</v>
      </c>
      <c r="DC225">
        <v>7</v>
      </c>
      <c r="DD225">
        <v>6</v>
      </c>
      <c r="DE225">
        <v>9</v>
      </c>
      <c r="DF225">
        <v>8</v>
      </c>
      <c r="DG225">
        <v>4</v>
      </c>
      <c r="DH225">
        <v>4</v>
      </c>
      <c r="DI225">
        <v>5</v>
      </c>
      <c r="DJ225">
        <v>0</v>
      </c>
      <c r="DK225">
        <v>2</v>
      </c>
    </row>
    <row r="226" spans="1:115">
      <c r="A226" s="173">
        <f>Calculations[[#This Row],[Sum t eCO2]]*IF(Calculations[[#This Row],[GHG Scope]]="BIOGENIC",0,1)</f>
        <v>2.0179199545002451</v>
      </c>
      <c r="O226">
        <f t="shared" si="3"/>
        <v>225</v>
      </c>
      <c r="P226">
        <v>10</v>
      </c>
      <c r="Q226">
        <v>10</v>
      </c>
      <c r="R226">
        <v>1</v>
      </c>
      <c r="S226">
        <v>2</v>
      </c>
      <c r="T226">
        <v>7</v>
      </c>
      <c r="U226">
        <v>10</v>
      </c>
      <c r="V226">
        <v>4</v>
      </c>
      <c r="W226">
        <v>1</v>
      </c>
      <c r="X226">
        <v>3</v>
      </c>
      <c r="Y226">
        <v>4</v>
      </c>
      <c r="Z226">
        <v>9</v>
      </c>
      <c r="AA226">
        <v>8</v>
      </c>
      <c r="AB226">
        <v>10</v>
      </c>
      <c r="AC226">
        <v>10</v>
      </c>
      <c r="AD226">
        <v>10</v>
      </c>
      <c r="AE226">
        <v>6</v>
      </c>
      <c r="AF226">
        <v>0</v>
      </c>
      <c r="AG226">
        <v>2</v>
      </c>
      <c r="AH226">
        <v>2</v>
      </c>
      <c r="AI226">
        <v>2</v>
      </c>
      <c r="AJ226">
        <v>5</v>
      </c>
      <c r="AK226">
        <v>3</v>
      </c>
      <c r="AL226">
        <v>10</v>
      </c>
      <c r="AM226">
        <v>3</v>
      </c>
      <c r="AN226">
        <v>0</v>
      </c>
      <c r="AO226">
        <v>0</v>
      </c>
      <c r="AP226">
        <v>7</v>
      </c>
      <c r="AQ226">
        <v>7</v>
      </c>
      <c r="AR226">
        <v>1</v>
      </c>
      <c r="AS226">
        <v>5</v>
      </c>
      <c r="AT226">
        <v>6</v>
      </c>
      <c r="AU226">
        <v>6</v>
      </c>
      <c r="AV226">
        <v>8</v>
      </c>
      <c r="AW226">
        <v>9</v>
      </c>
      <c r="AX226">
        <v>5</v>
      </c>
      <c r="AY226">
        <v>6</v>
      </c>
      <c r="AZ226">
        <v>2</v>
      </c>
      <c r="BA226">
        <v>4</v>
      </c>
      <c r="BB226">
        <v>7</v>
      </c>
      <c r="BC226">
        <v>2</v>
      </c>
      <c r="BD226">
        <v>4</v>
      </c>
      <c r="BE226">
        <v>3</v>
      </c>
      <c r="BF226">
        <v>10</v>
      </c>
      <c r="BG226">
        <v>0</v>
      </c>
      <c r="BH226">
        <v>8</v>
      </c>
      <c r="BI226">
        <v>3</v>
      </c>
      <c r="BJ226">
        <v>5</v>
      </c>
      <c r="BK226">
        <v>8</v>
      </c>
      <c r="BL226">
        <v>1</v>
      </c>
      <c r="BM226">
        <v>0</v>
      </c>
      <c r="BN226">
        <v>1</v>
      </c>
      <c r="BO226">
        <v>6</v>
      </c>
      <c r="BP226">
        <v>8</v>
      </c>
      <c r="BQ226">
        <v>3</v>
      </c>
      <c r="BR226">
        <v>3</v>
      </c>
      <c r="BS226">
        <v>8</v>
      </c>
      <c r="BT226">
        <v>3</v>
      </c>
      <c r="BU226">
        <v>6</v>
      </c>
      <c r="BV226">
        <v>3</v>
      </c>
      <c r="BW226">
        <v>0</v>
      </c>
      <c r="BX226">
        <v>0</v>
      </c>
      <c r="BY226">
        <v>0</v>
      </c>
      <c r="BZ226">
        <v>8</v>
      </c>
      <c r="CA226">
        <v>2</v>
      </c>
      <c r="CB226">
        <v>10</v>
      </c>
      <c r="CC226">
        <v>6</v>
      </c>
      <c r="CD226">
        <v>6</v>
      </c>
      <c r="CE226">
        <v>7</v>
      </c>
      <c r="CF226">
        <v>0</v>
      </c>
      <c r="CG226">
        <v>6</v>
      </c>
      <c r="CH226">
        <v>3</v>
      </c>
      <c r="CI226">
        <v>1</v>
      </c>
      <c r="CJ226">
        <v>4</v>
      </c>
      <c r="CK226">
        <v>6</v>
      </c>
      <c r="CL226">
        <v>9</v>
      </c>
      <c r="CM226">
        <v>2</v>
      </c>
      <c r="CN226">
        <v>7</v>
      </c>
      <c r="CO226">
        <v>6</v>
      </c>
      <c r="CP226">
        <v>2</v>
      </c>
      <c r="CQ226">
        <v>0</v>
      </c>
      <c r="CR226">
        <v>7</v>
      </c>
      <c r="CS226">
        <v>8</v>
      </c>
      <c r="CT226">
        <v>5</v>
      </c>
      <c r="CU226">
        <v>7</v>
      </c>
      <c r="CV226">
        <v>0</v>
      </c>
      <c r="CW226">
        <v>9</v>
      </c>
      <c r="CX226">
        <v>5</v>
      </c>
      <c r="CY226">
        <v>4</v>
      </c>
      <c r="CZ226">
        <v>2</v>
      </c>
      <c r="DA226">
        <v>1</v>
      </c>
      <c r="DB226">
        <v>4</v>
      </c>
      <c r="DC226">
        <v>9</v>
      </c>
      <c r="DD226">
        <v>7</v>
      </c>
      <c r="DE226">
        <v>7</v>
      </c>
      <c r="DF226">
        <v>9</v>
      </c>
      <c r="DG226">
        <v>6</v>
      </c>
      <c r="DH226">
        <v>6</v>
      </c>
      <c r="DI226">
        <v>9</v>
      </c>
      <c r="DJ226">
        <v>8</v>
      </c>
      <c r="DK226">
        <v>9</v>
      </c>
    </row>
    <row r="227" spans="1:115">
      <c r="A227" s="173">
        <f>Calculations[[#This Row],[Sum t eCO2]]*IF(Calculations[[#This Row],[GHG Scope]]="BIOGENIC",0,1)</f>
        <v>1.9862188885332899</v>
      </c>
      <c r="O227">
        <f t="shared" si="3"/>
        <v>226</v>
      </c>
      <c r="P227">
        <v>10</v>
      </c>
      <c r="Q227">
        <v>0</v>
      </c>
      <c r="R227">
        <v>6</v>
      </c>
      <c r="S227">
        <v>7</v>
      </c>
      <c r="T227">
        <v>0</v>
      </c>
      <c r="U227">
        <v>0</v>
      </c>
      <c r="V227">
        <v>1</v>
      </c>
      <c r="W227">
        <v>6</v>
      </c>
      <c r="X227">
        <v>5</v>
      </c>
      <c r="Y227">
        <v>6</v>
      </c>
      <c r="Z227">
        <v>0</v>
      </c>
      <c r="AA227">
        <v>0</v>
      </c>
      <c r="AB227">
        <v>4</v>
      </c>
      <c r="AC227">
        <v>10</v>
      </c>
      <c r="AD227">
        <v>3</v>
      </c>
      <c r="AE227">
        <v>6</v>
      </c>
      <c r="AF227">
        <v>1</v>
      </c>
      <c r="AG227">
        <v>7</v>
      </c>
      <c r="AH227">
        <v>0</v>
      </c>
      <c r="AI227">
        <v>0</v>
      </c>
      <c r="AJ227">
        <v>7</v>
      </c>
      <c r="AK227">
        <v>4</v>
      </c>
      <c r="AL227">
        <v>10</v>
      </c>
      <c r="AM227">
        <v>7</v>
      </c>
      <c r="AN227">
        <v>1</v>
      </c>
      <c r="AO227">
        <v>3</v>
      </c>
      <c r="AP227">
        <v>3</v>
      </c>
      <c r="AQ227">
        <v>7</v>
      </c>
      <c r="AR227">
        <v>6</v>
      </c>
      <c r="AS227">
        <v>6</v>
      </c>
      <c r="AT227">
        <v>5</v>
      </c>
      <c r="AU227">
        <v>2</v>
      </c>
      <c r="AV227">
        <v>5</v>
      </c>
      <c r="AW227">
        <v>7</v>
      </c>
      <c r="AX227">
        <v>4</v>
      </c>
      <c r="AY227">
        <v>0</v>
      </c>
      <c r="AZ227">
        <v>3</v>
      </c>
      <c r="BA227">
        <v>0</v>
      </c>
      <c r="BB227">
        <v>9</v>
      </c>
      <c r="BC227">
        <v>2</v>
      </c>
      <c r="BD227">
        <v>7</v>
      </c>
      <c r="BE227">
        <v>8</v>
      </c>
      <c r="BF227">
        <v>7</v>
      </c>
      <c r="BG227">
        <v>2</v>
      </c>
      <c r="BH227">
        <v>0</v>
      </c>
      <c r="BI227">
        <v>4</v>
      </c>
      <c r="BJ227">
        <v>2</v>
      </c>
      <c r="BK227">
        <v>8</v>
      </c>
      <c r="BL227">
        <v>4</v>
      </c>
      <c r="BM227">
        <v>3</v>
      </c>
      <c r="BN227">
        <v>8</v>
      </c>
      <c r="BO227">
        <v>8</v>
      </c>
      <c r="BP227">
        <v>3</v>
      </c>
      <c r="BQ227">
        <v>10</v>
      </c>
      <c r="BR227">
        <v>2</v>
      </c>
      <c r="BS227">
        <v>0</v>
      </c>
      <c r="BT227">
        <v>6</v>
      </c>
      <c r="BU227">
        <v>9</v>
      </c>
      <c r="BV227">
        <v>6</v>
      </c>
      <c r="BW227">
        <v>0</v>
      </c>
      <c r="BX227">
        <v>5</v>
      </c>
      <c r="BY227">
        <v>9</v>
      </c>
      <c r="BZ227">
        <v>9</v>
      </c>
      <c r="CA227">
        <v>2</v>
      </c>
      <c r="CB227">
        <v>1</v>
      </c>
      <c r="CC227">
        <v>1</v>
      </c>
      <c r="CD227">
        <v>3</v>
      </c>
      <c r="CE227">
        <v>3</v>
      </c>
      <c r="CF227">
        <v>5</v>
      </c>
      <c r="CG227">
        <v>5</v>
      </c>
      <c r="CH227">
        <v>8</v>
      </c>
      <c r="CI227">
        <v>4</v>
      </c>
      <c r="CJ227">
        <v>5</v>
      </c>
      <c r="CK227">
        <v>4</v>
      </c>
      <c r="CL227">
        <v>5</v>
      </c>
      <c r="CM227">
        <v>9</v>
      </c>
      <c r="CN227">
        <v>6</v>
      </c>
      <c r="CO227">
        <v>0</v>
      </c>
      <c r="CP227">
        <v>9</v>
      </c>
      <c r="CQ227">
        <v>1</v>
      </c>
      <c r="CR227">
        <v>1</v>
      </c>
      <c r="CS227">
        <v>4</v>
      </c>
      <c r="CT227">
        <v>7</v>
      </c>
      <c r="CU227">
        <v>9</v>
      </c>
      <c r="CV227">
        <v>4</v>
      </c>
      <c r="CW227">
        <v>0</v>
      </c>
      <c r="CX227">
        <v>10</v>
      </c>
      <c r="CY227">
        <v>7</v>
      </c>
      <c r="CZ227">
        <v>7</v>
      </c>
      <c r="DA227">
        <v>9</v>
      </c>
      <c r="DB227">
        <v>8</v>
      </c>
      <c r="DC227">
        <v>7</v>
      </c>
      <c r="DD227">
        <v>9</v>
      </c>
      <c r="DE227">
        <v>1</v>
      </c>
      <c r="DF227">
        <v>8</v>
      </c>
      <c r="DG227">
        <v>10</v>
      </c>
      <c r="DH227">
        <v>1</v>
      </c>
      <c r="DI227">
        <v>5</v>
      </c>
      <c r="DJ227">
        <v>2</v>
      </c>
      <c r="DK227">
        <v>2</v>
      </c>
    </row>
    <row r="228" spans="1:115">
      <c r="A228" s="173">
        <f>Calculations[[#This Row],[Sum t eCO2]]*IF(Calculations[[#This Row],[GHG Scope]]="BIOGENIC",0,1)</f>
        <v>1.3927688674385773E-3</v>
      </c>
      <c r="O228">
        <f t="shared" si="3"/>
        <v>227</v>
      </c>
      <c r="P228">
        <v>0</v>
      </c>
      <c r="Q228">
        <v>9</v>
      </c>
      <c r="R228">
        <v>6</v>
      </c>
      <c r="S228">
        <v>5</v>
      </c>
      <c r="T228">
        <v>3</v>
      </c>
      <c r="U228">
        <v>2</v>
      </c>
      <c r="V228">
        <v>8</v>
      </c>
      <c r="W228">
        <v>3</v>
      </c>
      <c r="X228">
        <v>1</v>
      </c>
      <c r="Y228">
        <v>1</v>
      </c>
      <c r="Z228">
        <v>4</v>
      </c>
      <c r="AA228">
        <v>7</v>
      </c>
      <c r="AB228">
        <v>4</v>
      </c>
      <c r="AC228">
        <v>6</v>
      </c>
      <c r="AD228">
        <v>9</v>
      </c>
      <c r="AE228">
        <v>9</v>
      </c>
      <c r="AF228">
        <v>8</v>
      </c>
      <c r="AG228">
        <v>2</v>
      </c>
      <c r="AH228">
        <v>10</v>
      </c>
      <c r="AI228">
        <v>3</v>
      </c>
      <c r="AJ228">
        <v>1</v>
      </c>
      <c r="AK228">
        <v>3</v>
      </c>
      <c r="AL228">
        <v>5</v>
      </c>
      <c r="AM228">
        <v>6</v>
      </c>
      <c r="AN228">
        <v>4</v>
      </c>
      <c r="AO228">
        <v>4</v>
      </c>
      <c r="AP228">
        <v>2</v>
      </c>
      <c r="AQ228">
        <v>10</v>
      </c>
      <c r="AR228">
        <v>9</v>
      </c>
      <c r="AS228">
        <v>1</v>
      </c>
      <c r="AT228">
        <v>7</v>
      </c>
      <c r="AU228">
        <v>4</v>
      </c>
      <c r="AV228">
        <v>5</v>
      </c>
      <c r="AW228">
        <v>2</v>
      </c>
      <c r="AX228">
        <v>4</v>
      </c>
      <c r="AY228">
        <v>4</v>
      </c>
      <c r="AZ228">
        <v>8</v>
      </c>
      <c r="BA228">
        <v>7</v>
      </c>
      <c r="BB228">
        <v>10</v>
      </c>
      <c r="BC228">
        <v>7</v>
      </c>
      <c r="BD228">
        <v>7</v>
      </c>
      <c r="BE228">
        <v>4</v>
      </c>
      <c r="BF228">
        <v>1</v>
      </c>
      <c r="BG228">
        <v>0</v>
      </c>
      <c r="BH228">
        <v>1</v>
      </c>
      <c r="BI228">
        <v>0</v>
      </c>
      <c r="BJ228">
        <v>3</v>
      </c>
      <c r="BK228">
        <v>0</v>
      </c>
      <c r="BL228">
        <v>0</v>
      </c>
      <c r="BM228">
        <v>0</v>
      </c>
      <c r="BN228">
        <v>7</v>
      </c>
      <c r="BO228">
        <v>4</v>
      </c>
      <c r="BP228">
        <v>0</v>
      </c>
      <c r="BQ228">
        <v>6</v>
      </c>
      <c r="BR228">
        <v>5</v>
      </c>
      <c r="BS228">
        <v>5</v>
      </c>
      <c r="BT228">
        <v>8</v>
      </c>
      <c r="BU228">
        <v>2</v>
      </c>
      <c r="BV228">
        <v>7</v>
      </c>
      <c r="BW228">
        <v>4</v>
      </c>
      <c r="BX228">
        <v>3</v>
      </c>
      <c r="BY228">
        <v>4</v>
      </c>
      <c r="BZ228">
        <v>6</v>
      </c>
      <c r="CA228">
        <v>1</v>
      </c>
      <c r="CB228">
        <v>1</v>
      </c>
      <c r="CC228">
        <v>9</v>
      </c>
      <c r="CD228">
        <v>5</v>
      </c>
      <c r="CE228">
        <v>5</v>
      </c>
      <c r="CF228">
        <v>9</v>
      </c>
      <c r="CG228">
        <v>3</v>
      </c>
      <c r="CH228">
        <v>5</v>
      </c>
      <c r="CI228">
        <v>9</v>
      </c>
      <c r="CJ228">
        <v>8</v>
      </c>
      <c r="CK228">
        <v>9</v>
      </c>
      <c r="CL228">
        <v>6</v>
      </c>
      <c r="CM228">
        <v>2</v>
      </c>
      <c r="CN228">
        <v>4</v>
      </c>
      <c r="CO228">
        <v>6</v>
      </c>
      <c r="CP228">
        <v>0</v>
      </c>
      <c r="CQ228">
        <v>8</v>
      </c>
      <c r="CR228">
        <v>9</v>
      </c>
      <c r="CS228">
        <v>5</v>
      </c>
      <c r="CT228">
        <v>7</v>
      </c>
      <c r="CU228">
        <v>5</v>
      </c>
      <c r="CV228">
        <v>7</v>
      </c>
      <c r="CW228">
        <v>1</v>
      </c>
      <c r="CX228">
        <v>4</v>
      </c>
      <c r="CY228">
        <v>8</v>
      </c>
      <c r="CZ228">
        <v>4</v>
      </c>
      <c r="DA228">
        <v>2</v>
      </c>
      <c r="DB228">
        <v>0</v>
      </c>
      <c r="DC228">
        <v>6</v>
      </c>
      <c r="DD228">
        <v>6</v>
      </c>
      <c r="DE228">
        <v>2</v>
      </c>
      <c r="DF228">
        <v>6</v>
      </c>
      <c r="DG228">
        <v>3</v>
      </c>
      <c r="DH228">
        <v>10</v>
      </c>
      <c r="DI228">
        <v>6</v>
      </c>
      <c r="DJ228">
        <v>6</v>
      </c>
      <c r="DK228">
        <v>5</v>
      </c>
    </row>
    <row r="229" spans="1:115">
      <c r="A229" s="173">
        <f>Calculations[[#This Row],[Sum t eCO2]]*IF(Calculations[[#This Row],[GHG Scope]]="BIOGENIC",0,1)</f>
        <v>5.4275427604836887E-3</v>
      </c>
      <c r="O229">
        <f t="shared" si="3"/>
        <v>228</v>
      </c>
      <c r="P229">
        <v>2</v>
      </c>
      <c r="Q229">
        <v>10</v>
      </c>
      <c r="R229">
        <v>2</v>
      </c>
      <c r="S229">
        <v>1</v>
      </c>
      <c r="T229">
        <v>9</v>
      </c>
      <c r="U229">
        <v>8</v>
      </c>
      <c r="V229">
        <v>5</v>
      </c>
      <c r="W229">
        <v>0</v>
      </c>
      <c r="X229">
        <v>0</v>
      </c>
      <c r="Y229">
        <v>9</v>
      </c>
      <c r="Z229">
        <v>4</v>
      </c>
      <c r="AA229">
        <v>4</v>
      </c>
      <c r="AB229">
        <v>4</v>
      </c>
      <c r="AC229">
        <v>2</v>
      </c>
      <c r="AD229">
        <v>8</v>
      </c>
      <c r="AE229">
        <v>9</v>
      </c>
      <c r="AF229">
        <v>5</v>
      </c>
      <c r="AG229">
        <v>7</v>
      </c>
      <c r="AH229">
        <v>5</v>
      </c>
      <c r="AI229">
        <v>6</v>
      </c>
      <c r="AJ229">
        <v>9</v>
      </c>
      <c r="AK229">
        <v>7</v>
      </c>
      <c r="AL229">
        <v>5</v>
      </c>
      <c r="AM229">
        <v>0</v>
      </c>
      <c r="AN229">
        <v>5</v>
      </c>
      <c r="AO229">
        <v>0</v>
      </c>
      <c r="AP229">
        <v>10</v>
      </c>
      <c r="AQ229">
        <v>10</v>
      </c>
      <c r="AR229">
        <v>8</v>
      </c>
      <c r="AS229">
        <v>6</v>
      </c>
      <c r="AT229">
        <v>5</v>
      </c>
      <c r="AU229">
        <v>10</v>
      </c>
      <c r="AV229">
        <v>7</v>
      </c>
      <c r="AW229">
        <v>2</v>
      </c>
      <c r="AX229">
        <v>6</v>
      </c>
      <c r="AY229">
        <v>9</v>
      </c>
      <c r="AZ229">
        <v>6</v>
      </c>
      <c r="BA229">
        <v>5</v>
      </c>
      <c r="BB229">
        <v>5</v>
      </c>
      <c r="BC229">
        <v>1</v>
      </c>
      <c r="BD229">
        <v>5</v>
      </c>
      <c r="BE229">
        <v>9</v>
      </c>
      <c r="BF229">
        <v>2</v>
      </c>
      <c r="BG229">
        <v>9</v>
      </c>
      <c r="BH229">
        <v>4</v>
      </c>
      <c r="BI229">
        <v>7</v>
      </c>
      <c r="BJ229">
        <v>1</v>
      </c>
      <c r="BK229">
        <v>8</v>
      </c>
      <c r="BL229">
        <v>8</v>
      </c>
      <c r="BM229">
        <v>1</v>
      </c>
      <c r="BN229">
        <v>4</v>
      </c>
      <c r="BO229">
        <v>7</v>
      </c>
      <c r="BP229">
        <v>5</v>
      </c>
      <c r="BQ229">
        <v>5</v>
      </c>
      <c r="BR229">
        <v>7</v>
      </c>
      <c r="BS229">
        <v>10</v>
      </c>
      <c r="BT229">
        <v>3</v>
      </c>
      <c r="BU229">
        <v>9</v>
      </c>
      <c r="BV229">
        <v>0</v>
      </c>
      <c r="BW229">
        <v>3</v>
      </c>
      <c r="BX229">
        <v>9</v>
      </c>
      <c r="BY229">
        <v>6</v>
      </c>
      <c r="BZ229">
        <v>2</v>
      </c>
      <c r="CA229">
        <v>6</v>
      </c>
      <c r="CB229">
        <v>3</v>
      </c>
      <c r="CC229">
        <v>7</v>
      </c>
      <c r="CD229">
        <v>4</v>
      </c>
      <c r="CE229">
        <v>3</v>
      </c>
      <c r="CF229">
        <v>3</v>
      </c>
      <c r="CG229">
        <v>0</v>
      </c>
      <c r="CH229">
        <v>2</v>
      </c>
      <c r="CI229">
        <v>0</v>
      </c>
      <c r="CJ229">
        <v>0</v>
      </c>
      <c r="CK229">
        <v>5</v>
      </c>
      <c r="CL229">
        <v>1</v>
      </c>
      <c r="CM229">
        <v>2</v>
      </c>
      <c r="CN229">
        <v>7</v>
      </c>
      <c r="CO229">
        <v>8</v>
      </c>
      <c r="CP229">
        <v>0</v>
      </c>
      <c r="CQ229">
        <v>9</v>
      </c>
      <c r="CR229">
        <v>1</v>
      </c>
      <c r="CS229">
        <v>3</v>
      </c>
      <c r="CT229">
        <v>10</v>
      </c>
      <c r="CU229">
        <v>2</v>
      </c>
      <c r="CV229">
        <v>3</v>
      </c>
      <c r="CW229">
        <v>2</v>
      </c>
      <c r="CX229">
        <v>9</v>
      </c>
      <c r="CY229">
        <v>7</v>
      </c>
      <c r="CZ229">
        <v>0</v>
      </c>
      <c r="DA229">
        <v>3</v>
      </c>
      <c r="DB229">
        <v>6</v>
      </c>
      <c r="DC229">
        <v>1</v>
      </c>
      <c r="DD229">
        <v>6</v>
      </c>
      <c r="DE229">
        <v>9</v>
      </c>
      <c r="DF229">
        <v>2</v>
      </c>
      <c r="DG229">
        <v>5</v>
      </c>
      <c r="DH229">
        <v>4</v>
      </c>
      <c r="DI229">
        <v>2</v>
      </c>
      <c r="DJ229">
        <v>4</v>
      </c>
      <c r="DK229">
        <v>8</v>
      </c>
    </row>
    <row r="230" spans="1:115">
      <c r="A230" s="173">
        <f>Calculations[[#This Row],[Sum t eCO2]]*IF(Calculations[[#This Row],[GHG Scope]]="BIOGENIC",0,1)</f>
        <v>8.3994109881174008</v>
      </c>
      <c r="O230">
        <f t="shared" si="3"/>
        <v>229</v>
      </c>
      <c r="P230">
        <v>1</v>
      </c>
      <c r="Q230">
        <v>8</v>
      </c>
      <c r="R230">
        <v>6</v>
      </c>
      <c r="S230">
        <v>5</v>
      </c>
      <c r="T230">
        <v>5</v>
      </c>
      <c r="U230">
        <v>7</v>
      </c>
      <c r="V230">
        <v>8</v>
      </c>
      <c r="W230">
        <v>3</v>
      </c>
      <c r="X230">
        <v>3</v>
      </c>
      <c r="Y230">
        <v>1</v>
      </c>
      <c r="Z230">
        <v>3</v>
      </c>
      <c r="AA230">
        <v>6</v>
      </c>
      <c r="AB230">
        <v>10</v>
      </c>
      <c r="AC230">
        <v>5</v>
      </c>
      <c r="AD230">
        <v>5</v>
      </c>
      <c r="AE230">
        <v>2</v>
      </c>
      <c r="AF230">
        <v>6</v>
      </c>
      <c r="AG230">
        <v>8</v>
      </c>
      <c r="AH230">
        <v>5</v>
      </c>
      <c r="AI230">
        <v>8</v>
      </c>
      <c r="AJ230">
        <v>6</v>
      </c>
      <c r="AK230">
        <v>6</v>
      </c>
      <c r="AL230">
        <v>0</v>
      </c>
      <c r="AM230">
        <v>6</v>
      </c>
      <c r="AN230">
        <v>9</v>
      </c>
      <c r="AO230">
        <v>2</v>
      </c>
      <c r="AP230">
        <v>8</v>
      </c>
      <c r="AQ230">
        <v>3</v>
      </c>
      <c r="AR230">
        <v>7</v>
      </c>
      <c r="AS230">
        <v>4</v>
      </c>
      <c r="AT230">
        <v>10</v>
      </c>
      <c r="AU230">
        <v>5</v>
      </c>
      <c r="AV230">
        <v>2</v>
      </c>
      <c r="AW230">
        <v>6</v>
      </c>
      <c r="AX230">
        <v>9</v>
      </c>
      <c r="AY230">
        <v>8</v>
      </c>
      <c r="AZ230">
        <v>0</v>
      </c>
      <c r="BA230">
        <v>7</v>
      </c>
      <c r="BB230">
        <v>1</v>
      </c>
      <c r="BC230">
        <v>6</v>
      </c>
      <c r="BD230">
        <v>5</v>
      </c>
      <c r="BE230">
        <v>4</v>
      </c>
      <c r="BF230">
        <v>9</v>
      </c>
      <c r="BG230">
        <v>6</v>
      </c>
      <c r="BH230">
        <v>3</v>
      </c>
      <c r="BI230">
        <v>4</v>
      </c>
      <c r="BJ230">
        <v>2</v>
      </c>
      <c r="BK230">
        <v>9</v>
      </c>
      <c r="BL230">
        <v>8</v>
      </c>
      <c r="BM230">
        <v>8</v>
      </c>
      <c r="BN230">
        <v>5</v>
      </c>
      <c r="BO230">
        <v>3</v>
      </c>
      <c r="BP230">
        <v>2</v>
      </c>
      <c r="BQ230">
        <v>9</v>
      </c>
      <c r="BR230">
        <v>6</v>
      </c>
      <c r="BS230">
        <v>7</v>
      </c>
      <c r="BT230">
        <v>1</v>
      </c>
      <c r="BU230">
        <v>8</v>
      </c>
      <c r="BV230">
        <v>10</v>
      </c>
      <c r="BW230">
        <v>2</v>
      </c>
      <c r="BX230">
        <v>6</v>
      </c>
      <c r="BY230">
        <v>9</v>
      </c>
      <c r="BZ230">
        <v>6</v>
      </c>
      <c r="CA230">
        <v>5</v>
      </c>
      <c r="CB230">
        <v>6</v>
      </c>
      <c r="CC230">
        <v>1</v>
      </c>
      <c r="CD230">
        <v>0</v>
      </c>
      <c r="CE230">
        <v>0</v>
      </c>
      <c r="CF230">
        <v>8</v>
      </c>
      <c r="CG230">
        <v>7</v>
      </c>
      <c r="CH230">
        <v>1</v>
      </c>
      <c r="CI230">
        <v>10</v>
      </c>
      <c r="CJ230">
        <v>2</v>
      </c>
      <c r="CK230">
        <v>10</v>
      </c>
      <c r="CL230">
        <v>8</v>
      </c>
      <c r="CM230">
        <v>3</v>
      </c>
      <c r="CN230">
        <v>0</v>
      </c>
      <c r="CO230">
        <v>7</v>
      </c>
      <c r="CP230">
        <v>0</v>
      </c>
      <c r="CQ230">
        <v>9</v>
      </c>
      <c r="CR230">
        <v>0</v>
      </c>
      <c r="CS230">
        <v>4</v>
      </c>
      <c r="CT230">
        <v>7</v>
      </c>
      <c r="CU230">
        <v>10</v>
      </c>
      <c r="CV230">
        <v>10</v>
      </c>
      <c r="CW230">
        <v>8</v>
      </c>
      <c r="CX230">
        <v>8</v>
      </c>
      <c r="CY230">
        <v>0</v>
      </c>
      <c r="CZ230">
        <v>8</v>
      </c>
      <c r="DA230">
        <v>4</v>
      </c>
      <c r="DB230">
        <v>9</v>
      </c>
      <c r="DC230">
        <v>4</v>
      </c>
      <c r="DD230">
        <v>7</v>
      </c>
      <c r="DE230">
        <v>4</v>
      </c>
      <c r="DF230">
        <v>9</v>
      </c>
      <c r="DG230">
        <v>7</v>
      </c>
      <c r="DH230">
        <v>2</v>
      </c>
      <c r="DI230">
        <v>3</v>
      </c>
      <c r="DJ230">
        <v>4</v>
      </c>
      <c r="DK230">
        <v>3</v>
      </c>
    </row>
    <row r="231" spans="1:115">
      <c r="A231" s="173">
        <f>Calculations[[#This Row],[Sum t eCO2]]*IF(Calculations[[#This Row],[GHG Scope]]="BIOGENIC",0,1)</f>
        <v>67.72807788009672</v>
      </c>
      <c r="O231">
        <f t="shared" si="3"/>
        <v>230</v>
      </c>
      <c r="P231">
        <v>3</v>
      </c>
      <c r="Q231">
        <v>4</v>
      </c>
      <c r="R231">
        <v>8</v>
      </c>
      <c r="S231">
        <v>4</v>
      </c>
      <c r="T231">
        <v>5</v>
      </c>
      <c r="U231">
        <v>6</v>
      </c>
      <c r="V231">
        <v>5</v>
      </c>
      <c r="W231">
        <v>6</v>
      </c>
      <c r="X231">
        <v>4</v>
      </c>
      <c r="Y231">
        <v>3</v>
      </c>
      <c r="Z231">
        <v>9</v>
      </c>
      <c r="AA231">
        <v>9</v>
      </c>
      <c r="AB231">
        <v>2</v>
      </c>
      <c r="AC231">
        <v>10</v>
      </c>
      <c r="AD231">
        <v>4</v>
      </c>
      <c r="AE231">
        <v>5</v>
      </c>
      <c r="AF231">
        <v>4</v>
      </c>
      <c r="AG231">
        <v>1</v>
      </c>
      <c r="AH231">
        <v>8</v>
      </c>
      <c r="AI231">
        <v>5</v>
      </c>
      <c r="AJ231">
        <v>5</v>
      </c>
      <c r="AK231">
        <v>5</v>
      </c>
      <c r="AL231">
        <v>2</v>
      </c>
      <c r="AM231">
        <v>2</v>
      </c>
      <c r="AN231">
        <v>5</v>
      </c>
      <c r="AO231">
        <v>6</v>
      </c>
      <c r="AP231">
        <v>10</v>
      </c>
      <c r="AQ231">
        <v>7</v>
      </c>
      <c r="AR231">
        <v>10</v>
      </c>
      <c r="AS231">
        <v>6</v>
      </c>
      <c r="AT231">
        <v>6</v>
      </c>
      <c r="AU231">
        <v>10</v>
      </c>
      <c r="AV231">
        <v>4</v>
      </c>
      <c r="AW231">
        <v>2</v>
      </c>
      <c r="AX231">
        <v>1</v>
      </c>
      <c r="AY231">
        <v>2</v>
      </c>
      <c r="AZ231">
        <v>5</v>
      </c>
      <c r="BA231">
        <v>8</v>
      </c>
      <c r="BB231">
        <v>9</v>
      </c>
      <c r="BC231">
        <v>7</v>
      </c>
      <c r="BD231">
        <v>3</v>
      </c>
      <c r="BE231">
        <v>7</v>
      </c>
      <c r="BF231">
        <v>3</v>
      </c>
      <c r="BG231">
        <v>9</v>
      </c>
      <c r="BH231">
        <v>7</v>
      </c>
      <c r="BI231">
        <v>7</v>
      </c>
      <c r="BJ231">
        <v>5</v>
      </c>
      <c r="BK231">
        <v>8</v>
      </c>
      <c r="BL231">
        <v>8</v>
      </c>
      <c r="BM231">
        <v>0</v>
      </c>
      <c r="BN231">
        <v>5</v>
      </c>
      <c r="BO231">
        <v>0</v>
      </c>
      <c r="BP231">
        <v>10</v>
      </c>
      <c r="BQ231">
        <v>10</v>
      </c>
      <c r="BR231">
        <v>5</v>
      </c>
      <c r="BS231">
        <v>10</v>
      </c>
      <c r="BT231">
        <v>8</v>
      </c>
      <c r="BU231">
        <v>10</v>
      </c>
      <c r="BV231">
        <v>3</v>
      </c>
      <c r="BW231">
        <v>10</v>
      </c>
      <c r="BX231">
        <v>8</v>
      </c>
      <c r="BY231">
        <v>6</v>
      </c>
      <c r="BZ231">
        <v>2</v>
      </c>
      <c r="CA231">
        <v>6</v>
      </c>
      <c r="CB231">
        <v>6</v>
      </c>
      <c r="CC231">
        <v>6</v>
      </c>
      <c r="CD231">
        <v>0</v>
      </c>
      <c r="CE231">
        <v>1</v>
      </c>
      <c r="CF231">
        <v>10</v>
      </c>
      <c r="CG231">
        <v>2</v>
      </c>
      <c r="CH231">
        <v>7</v>
      </c>
      <c r="CI231">
        <v>8</v>
      </c>
      <c r="CJ231">
        <v>6</v>
      </c>
      <c r="CK231">
        <v>3</v>
      </c>
      <c r="CL231">
        <v>2</v>
      </c>
      <c r="CM231">
        <v>8</v>
      </c>
      <c r="CN231">
        <v>0</v>
      </c>
      <c r="CO231">
        <v>9</v>
      </c>
      <c r="CP231">
        <v>4</v>
      </c>
      <c r="CQ231">
        <v>1</v>
      </c>
      <c r="CR231">
        <v>2</v>
      </c>
      <c r="CS231">
        <v>0</v>
      </c>
      <c r="CT231">
        <v>0</v>
      </c>
      <c r="CU231">
        <v>5</v>
      </c>
      <c r="CV231">
        <v>7</v>
      </c>
      <c r="CW231">
        <v>3</v>
      </c>
      <c r="CX231">
        <v>5</v>
      </c>
      <c r="CY231">
        <v>5</v>
      </c>
      <c r="CZ231">
        <v>5</v>
      </c>
      <c r="DA231">
        <v>6</v>
      </c>
      <c r="DB231">
        <v>0</v>
      </c>
      <c r="DC231">
        <v>0</v>
      </c>
      <c r="DD231">
        <v>9</v>
      </c>
      <c r="DE231">
        <v>7</v>
      </c>
      <c r="DF231">
        <v>9</v>
      </c>
      <c r="DG231">
        <v>10</v>
      </c>
      <c r="DH231">
        <v>2</v>
      </c>
      <c r="DI231">
        <v>10</v>
      </c>
      <c r="DJ231">
        <v>8</v>
      </c>
      <c r="DK231">
        <v>4</v>
      </c>
    </row>
    <row r="232" spans="1:115">
      <c r="A232" s="173">
        <f>Calculations[[#This Row],[Sum t eCO2]]*IF(Calculations[[#This Row],[GHG Scope]]="BIOGENIC",0,1)</f>
        <v>4.7492025610788101E-2</v>
      </c>
      <c r="O232">
        <f t="shared" si="3"/>
        <v>231</v>
      </c>
      <c r="P232">
        <v>3</v>
      </c>
      <c r="Q232">
        <v>7</v>
      </c>
      <c r="R232">
        <v>0</v>
      </c>
      <c r="S232">
        <v>8</v>
      </c>
      <c r="T232">
        <v>9</v>
      </c>
      <c r="U232">
        <v>0</v>
      </c>
      <c r="V232">
        <v>2</v>
      </c>
      <c r="W232">
        <v>7</v>
      </c>
      <c r="X232">
        <v>9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9</v>
      </c>
      <c r="AE232">
        <v>1</v>
      </c>
      <c r="AF232">
        <v>7</v>
      </c>
      <c r="AG232">
        <v>4</v>
      </c>
      <c r="AH232">
        <v>10</v>
      </c>
      <c r="AI232">
        <v>4</v>
      </c>
      <c r="AJ232">
        <v>3</v>
      </c>
      <c r="AK232">
        <v>10</v>
      </c>
      <c r="AL232">
        <v>2</v>
      </c>
      <c r="AM232">
        <v>4</v>
      </c>
      <c r="AN232">
        <v>5</v>
      </c>
      <c r="AO232">
        <v>6</v>
      </c>
      <c r="AP232">
        <v>2</v>
      </c>
      <c r="AQ232">
        <v>3</v>
      </c>
      <c r="AR232">
        <v>3</v>
      </c>
      <c r="AS232">
        <v>7</v>
      </c>
      <c r="AT232">
        <v>1</v>
      </c>
      <c r="AU232">
        <v>4</v>
      </c>
      <c r="AV232">
        <v>1</v>
      </c>
      <c r="AW232">
        <v>6</v>
      </c>
      <c r="AX232">
        <v>10</v>
      </c>
      <c r="AY232">
        <v>1</v>
      </c>
      <c r="AZ232">
        <v>0</v>
      </c>
      <c r="BA232">
        <v>10</v>
      </c>
      <c r="BB232">
        <v>0</v>
      </c>
      <c r="BC232">
        <v>6</v>
      </c>
      <c r="BD232">
        <v>3</v>
      </c>
      <c r="BE232">
        <v>6</v>
      </c>
      <c r="BF232">
        <v>4</v>
      </c>
      <c r="BG232">
        <v>4</v>
      </c>
      <c r="BH232">
        <v>4</v>
      </c>
      <c r="BI232">
        <v>3</v>
      </c>
      <c r="BJ232">
        <v>9</v>
      </c>
      <c r="BK232">
        <v>9</v>
      </c>
      <c r="BL232">
        <v>4</v>
      </c>
      <c r="BM232">
        <v>1</v>
      </c>
      <c r="BN232">
        <v>2</v>
      </c>
      <c r="BO232">
        <v>7</v>
      </c>
      <c r="BP232">
        <v>6</v>
      </c>
      <c r="BQ232">
        <v>1</v>
      </c>
      <c r="BR232">
        <v>8</v>
      </c>
      <c r="BS232">
        <v>2</v>
      </c>
      <c r="BT232">
        <v>1</v>
      </c>
      <c r="BU232">
        <v>10</v>
      </c>
      <c r="BV232">
        <v>1</v>
      </c>
      <c r="BW232">
        <v>5</v>
      </c>
      <c r="BX232">
        <v>10</v>
      </c>
      <c r="BY232">
        <v>2</v>
      </c>
      <c r="BZ232">
        <v>4</v>
      </c>
      <c r="CA232">
        <v>5</v>
      </c>
      <c r="CB232">
        <v>1</v>
      </c>
      <c r="CC232">
        <v>7</v>
      </c>
      <c r="CD232">
        <v>10</v>
      </c>
      <c r="CE232">
        <v>6</v>
      </c>
      <c r="CF232">
        <v>9</v>
      </c>
      <c r="CG232">
        <v>1</v>
      </c>
      <c r="CH232">
        <v>0</v>
      </c>
      <c r="CI232">
        <v>7</v>
      </c>
      <c r="CJ232">
        <v>0</v>
      </c>
      <c r="CK232">
        <v>0</v>
      </c>
      <c r="CL232">
        <v>9</v>
      </c>
      <c r="CM232">
        <v>9</v>
      </c>
      <c r="CN232">
        <v>4</v>
      </c>
      <c r="CO232">
        <v>0</v>
      </c>
      <c r="CP232">
        <v>1</v>
      </c>
      <c r="CQ232">
        <v>2</v>
      </c>
      <c r="CR232">
        <v>5</v>
      </c>
      <c r="CS232">
        <v>3</v>
      </c>
      <c r="CT232">
        <v>4</v>
      </c>
      <c r="CU232">
        <v>4</v>
      </c>
      <c r="CV232">
        <v>1</v>
      </c>
      <c r="CW232">
        <v>8</v>
      </c>
      <c r="CX232">
        <v>10</v>
      </c>
      <c r="CY232">
        <v>3</v>
      </c>
      <c r="CZ232">
        <v>8</v>
      </c>
      <c r="DA232">
        <v>0</v>
      </c>
      <c r="DB232">
        <v>7</v>
      </c>
      <c r="DC232">
        <v>7</v>
      </c>
      <c r="DD232">
        <v>2</v>
      </c>
      <c r="DE232">
        <v>0</v>
      </c>
      <c r="DF232">
        <v>6</v>
      </c>
      <c r="DG232">
        <v>5</v>
      </c>
      <c r="DH232">
        <v>10</v>
      </c>
      <c r="DI232">
        <v>3</v>
      </c>
      <c r="DJ232">
        <v>0</v>
      </c>
      <c r="DK232">
        <v>2</v>
      </c>
    </row>
    <row r="233" spans="1:115">
      <c r="A233" s="173">
        <f>Calculations[[#This Row],[Sum t eCO2]]*IF(Calculations[[#This Row],[GHG Scope]]="BIOGENIC",0,1)</f>
        <v>0.18507378058973351</v>
      </c>
      <c r="O233">
        <f t="shared" si="3"/>
        <v>232</v>
      </c>
      <c r="P233">
        <v>0</v>
      </c>
      <c r="Q233">
        <v>4</v>
      </c>
      <c r="R233">
        <v>9</v>
      </c>
      <c r="S233">
        <v>1</v>
      </c>
      <c r="T233">
        <v>10</v>
      </c>
      <c r="U233">
        <v>6</v>
      </c>
      <c r="V233">
        <v>4</v>
      </c>
      <c r="W233">
        <v>3</v>
      </c>
      <c r="X233">
        <v>4</v>
      </c>
      <c r="Y233">
        <v>9</v>
      </c>
      <c r="Z233">
        <v>8</v>
      </c>
      <c r="AA233">
        <v>10</v>
      </c>
      <c r="AB233">
        <v>0</v>
      </c>
      <c r="AC233">
        <v>7</v>
      </c>
      <c r="AD233">
        <v>3</v>
      </c>
      <c r="AE233">
        <v>4</v>
      </c>
      <c r="AF233">
        <v>10</v>
      </c>
      <c r="AG233">
        <v>6</v>
      </c>
      <c r="AH233">
        <v>0</v>
      </c>
      <c r="AI233">
        <v>10</v>
      </c>
      <c r="AJ233">
        <v>6</v>
      </c>
      <c r="AK233">
        <v>10</v>
      </c>
      <c r="AL233">
        <v>2</v>
      </c>
      <c r="AM233">
        <v>3</v>
      </c>
      <c r="AN233">
        <v>2</v>
      </c>
      <c r="AO233">
        <v>2</v>
      </c>
      <c r="AP233">
        <v>2</v>
      </c>
      <c r="AQ233">
        <v>5</v>
      </c>
      <c r="AR233">
        <v>6</v>
      </c>
      <c r="AS233">
        <v>7</v>
      </c>
      <c r="AT233">
        <v>8</v>
      </c>
      <c r="AU233">
        <v>7</v>
      </c>
      <c r="AV233">
        <v>2</v>
      </c>
      <c r="AW233">
        <v>4</v>
      </c>
      <c r="AX233">
        <v>1</v>
      </c>
      <c r="AY233">
        <v>9</v>
      </c>
      <c r="AZ233">
        <v>4</v>
      </c>
      <c r="BA233">
        <v>7</v>
      </c>
      <c r="BB233">
        <v>3</v>
      </c>
      <c r="BC233">
        <v>8</v>
      </c>
      <c r="BD233">
        <v>9</v>
      </c>
      <c r="BE233">
        <v>10</v>
      </c>
      <c r="BF233">
        <v>0</v>
      </c>
      <c r="BG233">
        <v>6</v>
      </c>
      <c r="BH233">
        <v>4</v>
      </c>
      <c r="BI233">
        <v>3</v>
      </c>
      <c r="BJ233">
        <v>3</v>
      </c>
      <c r="BK233">
        <v>3</v>
      </c>
      <c r="BL233">
        <v>0</v>
      </c>
      <c r="BM233">
        <v>10</v>
      </c>
      <c r="BN233">
        <v>2</v>
      </c>
      <c r="BO233">
        <v>8</v>
      </c>
      <c r="BP233">
        <v>5</v>
      </c>
      <c r="BQ233">
        <v>8</v>
      </c>
      <c r="BR233">
        <v>1</v>
      </c>
      <c r="BS233">
        <v>8</v>
      </c>
      <c r="BT233">
        <v>9</v>
      </c>
      <c r="BU233">
        <v>3</v>
      </c>
      <c r="BV233">
        <v>10</v>
      </c>
      <c r="BW233">
        <v>3</v>
      </c>
      <c r="BX233">
        <v>9</v>
      </c>
      <c r="BY233">
        <v>10</v>
      </c>
      <c r="BZ233">
        <v>10</v>
      </c>
      <c r="CA233">
        <v>3</v>
      </c>
      <c r="CB233">
        <v>1</v>
      </c>
      <c r="CC233">
        <v>9</v>
      </c>
      <c r="CD233">
        <v>7</v>
      </c>
      <c r="CE233">
        <v>1</v>
      </c>
      <c r="CF233">
        <v>7</v>
      </c>
      <c r="CG233">
        <v>6</v>
      </c>
      <c r="CH233">
        <v>6</v>
      </c>
      <c r="CI233">
        <v>6</v>
      </c>
      <c r="CJ233">
        <v>1</v>
      </c>
      <c r="CK233">
        <v>2</v>
      </c>
      <c r="CL233">
        <v>1</v>
      </c>
      <c r="CM233">
        <v>9</v>
      </c>
      <c r="CN233">
        <v>1</v>
      </c>
      <c r="CO233">
        <v>2</v>
      </c>
      <c r="CP233">
        <v>0</v>
      </c>
      <c r="CQ233">
        <v>2</v>
      </c>
      <c r="CR233">
        <v>7</v>
      </c>
      <c r="CS233">
        <v>6</v>
      </c>
      <c r="CT233">
        <v>10</v>
      </c>
      <c r="CU233">
        <v>10</v>
      </c>
      <c r="CV233">
        <v>0</v>
      </c>
      <c r="CW233">
        <v>3</v>
      </c>
      <c r="CX233">
        <v>1</v>
      </c>
      <c r="CY233">
        <v>6</v>
      </c>
      <c r="CZ233">
        <v>7</v>
      </c>
      <c r="DA233">
        <v>5</v>
      </c>
      <c r="DB233">
        <v>6</v>
      </c>
      <c r="DC233">
        <v>9</v>
      </c>
      <c r="DD233">
        <v>7</v>
      </c>
      <c r="DE233">
        <v>8</v>
      </c>
      <c r="DF233">
        <v>7</v>
      </c>
      <c r="DG233">
        <v>2</v>
      </c>
      <c r="DH233">
        <v>4</v>
      </c>
      <c r="DI233">
        <v>6</v>
      </c>
      <c r="DJ233">
        <v>1</v>
      </c>
      <c r="DK233">
        <v>2</v>
      </c>
    </row>
    <row r="234" spans="1:115">
      <c r="A234" s="173">
        <f>Calculations[[#This Row],[Sum t eCO2]]*IF(Calculations[[#This Row],[GHG Scope]]="BIOGENIC",0,1)</f>
        <v>1024.3909515470821</v>
      </c>
      <c r="O234">
        <f t="shared" si="3"/>
        <v>233</v>
      </c>
      <c r="P234">
        <v>1</v>
      </c>
      <c r="Q234">
        <v>7</v>
      </c>
      <c r="R234">
        <v>7</v>
      </c>
      <c r="S234">
        <v>8</v>
      </c>
      <c r="T234">
        <v>1</v>
      </c>
      <c r="U234">
        <v>4</v>
      </c>
      <c r="V234">
        <v>5</v>
      </c>
      <c r="W234">
        <v>1</v>
      </c>
      <c r="X234">
        <v>4</v>
      </c>
      <c r="Y234">
        <v>8</v>
      </c>
      <c r="Z234">
        <v>4</v>
      </c>
      <c r="AA234">
        <v>5</v>
      </c>
      <c r="AB234">
        <v>5</v>
      </c>
      <c r="AC234">
        <v>10</v>
      </c>
      <c r="AD234">
        <v>10</v>
      </c>
      <c r="AE234">
        <v>9</v>
      </c>
      <c r="AF234">
        <v>8</v>
      </c>
      <c r="AG234">
        <v>7</v>
      </c>
      <c r="AH234">
        <v>3</v>
      </c>
      <c r="AI234">
        <v>7</v>
      </c>
      <c r="AJ234">
        <v>2</v>
      </c>
      <c r="AK234">
        <v>8</v>
      </c>
      <c r="AL234">
        <v>8</v>
      </c>
      <c r="AM234">
        <v>9</v>
      </c>
      <c r="AN234">
        <v>4</v>
      </c>
      <c r="AO234">
        <v>7</v>
      </c>
      <c r="AP234">
        <v>10</v>
      </c>
      <c r="AQ234">
        <v>5</v>
      </c>
      <c r="AR234">
        <v>3</v>
      </c>
      <c r="AS234">
        <v>8</v>
      </c>
      <c r="AT234">
        <v>2</v>
      </c>
      <c r="AU234">
        <v>5</v>
      </c>
      <c r="AV234">
        <v>4</v>
      </c>
      <c r="AW234">
        <v>8</v>
      </c>
      <c r="AX234">
        <v>4</v>
      </c>
      <c r="AY234">
        <v>10</v>
      </c>
      <c r="AZ234">
        <v>10</v>
      </c>
      <c r="BA234">
        <v>3</v>
      </c>
      <c r="BB234">
        <v>8</v>
      </c>
      <c r="BC234">
        <v>7</v>
      </c>
      <c r="BD234">
        <v>6</v>
      </c>
      <c r="BE234">
        <v>0</v>
      </c>
      <c r="BF234">
        <v>9</v>
      </c>
      <c r="BG234">
        <v>4</v>
      </c>
      <c r="BH234">
        <v>1</v>
      </c>
      <c r="BI234">
        <v>6</v>
      </c>
      <c r="BJ234">
        <v>9</v>
      </c>
      <c r="BK234">
        <v>6</v>
      </c>
      <c r="BL234">
        <v>10</v>
      </c>
      <c r="BM234">
        <v>0</v>
      </c>
      <c r="BN234">
        <v>2</v>
      </c>
      <c r="BO234">
        <v>0</v>
      </c>
      <c r="BP234">
        <v>6</v>
      </c>
      <c r="BQ234">
        <v>7</v>
      </c>
      <c r="BR234">
        <v>2</v>
      </c>
      <c r="BS234">
        <v>4</v>
      </c>
      <c r="BT234">
        <v>8</v>
      </c>
      <c r="BU234">
        <v>7</v>
      </c>
      <c r="BV234">
        <v>3</v>
      </c>
      <c r="BW234">
        <v>4</v>
      </c>
      <c r="BX234">
        <v>3</v>
      </c>
      <c r="BY234">
        <v>5</v>
      </c>
      <c r="BZ234">
        <v>9</v>
      </c>
      <c r="CA234">
        <v>10</v>
      </c>
      <c r="CB234">
        <v>9</v>
      </c>
      <c r="CC234">
        <v>6</v>
      </c>
      <c r="CD234">
        <v>4</v>
      </c>
      <c r="CE234">
        <v>3</v>
      </c>
      <c r="CF234">
        <v>1</v>
      </c>
      <c r="CG234">
        <v>10</v>
      </c>
      <c r="CH234">
        <v>2</v>
      </c>
      <c r="CI234">
        <v>7</v>
      </c>
      <c r="CJ234">
        <v>10</v>
      </c>
      <c r="CK234">
        <v>5</v>
      </c>
      <c r="CL234">
        <v>0</v>
      </c>
      <c r="CM234">
        <v>3</v>
      </c>
      <c r="CN234">
        <v>7</v>
      </c>
      <c r="CO234">
        <v>3</v>
      </c>
      <c r="CP234">
        <v>9</v>
      </c>
      <c r="CQ234">
        <v>5</v>
      </c>
      <c r="CR234">
        <v>5</v>
      </c>
      <c r="CS234">
        <v>7</v>
      </c>
      <c r="CT234">
        <v>6</v>
      </c>
      <c r="CU234">
        <v>9</v>
      </c>
      <c r="CV234">
        <v>4</v>
      </c>
      <c r="CW234">
        <v>2</v>
      </c>
      <c r="CX234">
        <v>9</v>
      </c>
      <c r="CY234">
        <v>0</v>
      </c>
      <c r="CZ234">
        <v>8</v>
      </c>
      <c r="DA234">
        <v>5</v>
      </c>
      <c r="DB234">
        <v>4</v>
      </c>
      <c r="DC234">
        <v>3</v>
      </c>
      <c r="DD234">
        <v>9</v>
      </c>
      <c r="DE234">
        <v>2</v>
      </c>
      <c r="DF234">
        <v>8</v>
      </c>
      <c r="DG234">
        <v>1</v>
      </c>
      <c r="DH234">
        <v>7</v>
      </c>
      <c r="DI234">
        <v>2</v>
      </c>
      <c r="DJ234">
        <v>8</v>
      </c>
      <c r="DK234">
        <v>4</v>
      </c>
    </row>
    <row r="235" spans="1:115">
      <c r="A235" s="173">
        <f>Calculations[[#This Row],[Sum t eCO2]]*IF(Calculations[[#This Row],[GHG Scope]]="BIOGENIC",0,1)</f>
        <v>0.71831953348008015</v>
      </c>
      <c r="O235">
        <f t="shared" si="3"/>
        <v>234</v>
      </c>
      <c r="P235">
        <v>7</v>
      </c>
      <c r="Q235">
        <v>7</v>
      </c>
      <c r="R235">
        <v>6</v>
      </c>
      <c r="S235">
        <v>8</v>
      </c>
      <c r="T235">
        <v>4</v>
      </c>
      <c r="U235">
        <v>6</v>
      </c>
      <c r="V235">
        <v>1</v>
      </c>
      <c r="W235">
        <v>3</v>
      </c>
      <c r="X235">
        <v>7</v>
      </c>
      <c r="Y235">
        <v>7</v>
      </c>
      <c r="Z235">
        <v>5</v>
      </c>
      <c r="AA235">
        <v>8</v>
      </c>
      <c r="AB235">
        <v>10</v>
      </c>
      <c r="AC235">
        <v>10</v>
      </c>
      <c r="AD235">
        <v>6</v>
      </c>
      <c r="AE235">
        <v>1</v>
      </c>
      <c r="AF235">
        <v>3</v>
      </c>
      <c r="AG235">
        <v>4</v>
      </c>
      <c r="AH235">
        <v>8</v>
      </c>
      <c r="AI235">
        <v>6</v>
      </c>
      <c r="AJ235">
        <v>3</v>
      </c>
      <c r="AK235">
        <v>4</v>
      </c>
      <c r="AL235">
        <v>3</v>
      </c>
      <c r="AM235">
        <v>9</v>
      </c>
      <c r="AN235">
        <v>4</v>
      </c>
      <c r="AO235">
        <v>7</v>
      </c>
      <c r="AP235">
        <v>10</v>
      </c>
      <c r="AQ235">
        <v>3</v>
      </c>
      <c r="AR235">
        <v>3</v>
      </c>
      <c r="AS235">
        <v>0</v>
      </c>
      <c r="AT235">
        <v>3</v>
      </c>
      <c r="AU235">
        <v>4</v>
      </c>
      <c r="AV235">
        <v>4</v>
      </c>
      <c r="AW235">
        <v>1</v>
      </c>
      <c r="AX235">
        <v>8</v>
      </c>
      <c r="AY235">
        <v>10</v>
      </c>
      <c r="AZ235">
        <v>4</v>
      </c>
      <c r="BA235">
        <v>3</v>
      </c>
      <c r="BB235">
        <v>2</v>
      </c>
      <c r="BC235">
        <v>3</v>
      </c>
      <c r="BD235">
        <v>6</v>
      </c>
      <c r="BE235">
        <v>2</v>
      </c>
      <c r="BF235">
        <v>1</v>
      </c>
      <c r="BG235">
        <v>10</v>
      </c>
      <c r="BH235">
        <v>0</v>
      </c>
      <c r="BI235">
        <v>6</v>
      </c>
      <c r="BJ235">
        <v>8</v>
      </c>
      <c r="BK235">
        <v>8</v>
      </c>
      <c r="BL235">
        <v>6</v>
      </c>
      <c r="BM235">
        <v>1</v>
      </c>
      <c r="BN235">
        <v>2</v>
      </c>
      <c r="BO235">
        <v>8</v>
      </c>
      <c r="BP235">
        <v>1</v>
      </c>
      <c r="BQ235">
        <v>1</v>
      </c>
      <c r="BR235">
        <v>8</v>
      </c>
      <c r="BS235">
        <v>3</v>
      </c>
      <c r="BT235">
        <v>0</v>
      </c>
      <c r="BU235">
        <v>10</v>
      </c>
      <c r="BV235">
        <v>9</v>
      </c>
      <c r="BW235">
        <v>1</v>
      </c>
      <c r="BX235">
        <v>6</v>
      </c>
      <c r="BY235">
        <v>5</v>
      </c>
      <c r="BZ235">
        <v>1</v>
      </c>
      <c r="CA235">
        <v>2</v>
      </c>
      <c r="CB235">
        <v>3</v>
      </c>
      <c r="CC235">
        <v>7</v>
      </c>
      <c r="CD235">
        <v>4</v>
      </c>
      <c r="CE235">
        <v>8</v>
      </c>
      <c r="CF235">
        <v>2</v>
      </c>
      <c r="CG235">
        <v>6</v>
      </c>
      <c r="CH235">
        <v>6</v>
      </c>
      <c r="CI235">
        <v>2</v>
      </c>
      <c r="CJ235">
        <v>1</v>
      </c>
      <c r="CK235">
        <v>0</v>
      </c>
      <c r="CL235">
        <v>5</v>
      </c>
      <c r="CM235">
        <v>0</v>
      </c>
      <c r="CN235">
        <v>10</v>
      </c>
      <c r="CO235">
        <v>8</v>
      </c>
      <c r="CP235">
        <v>10</v>
      </c>
      <c r="CQ235">
        <v>6</v>
      </c>
      <c r="CR235">
        <v>3</v>
      </c>
      <c r="CS235">
        <v>7</v>
      </c>
      <c r="CT235">
        <v>9</v>
      </c>
      <c r="CU235">
        <v>9</v>
      </c>
      <c r="CV235">
        <v>2</v>
      </c>
      <c r="CW235">
        <v>4</v>
      </c>
      <c r="CX235">
        <v>5</v>
      </c>
      <c r="CY235">
        <v>10</v>
      </c>
      <c r="CZ235">
        <v>6</v>
      </c>
      <c r="DA235">
        <v>8</v>
      </c>
      <c r="DB235">
        <v>7</v>
      </c>
      <c r="DC235">
        <v>9</v>
      </c>
      <c r="DD235">
        <v>6</v>
      </c>
      <c r="DE235">
        <v>9</v>
      </c>
      <c r="DF235">
        <v>2</v>
      </c>
      <c r="DG235">
        <v>10</v>
      </c>
      <c r="DH235">
        <v>3</v>
      </c>
      <c r="DI235">
        <v>5</v>
      </c>
      <c r="DJ235">
        <v>8</v>
      </c>
      <c r="DK235">
        <v>8</v>
      </c>
    </row>
    <row r="236" spans="1:115">
      <c r="A236" s="173">
        <f>Calculations[[#This Row],[Sum t eCO2]]*IF(Calculations[[#This Row],[GHG Scope]]="BIOGENIC",0,1)</f>
        <v>2.7992512431900458</v>
      </c>
      <c r="O236">
        <f t="shared" si="3"/>
        <v>235</v>
      </c>
      <c r="P236">
        <v>7</v>
      </c>
      <c r="Q236">
        <v>6</v>
      </c>
      <c r="R236">
        <v>0</v>
      </c>
      <c r="S236">
        <v>10</v>
      </c>
      <c r="T236">
        <v>10</v>
      </c>
      <c r="U236">
        <v>3</v>
      </c>
      <c r="V236">
        <v>1</v>
      </c>
      <c r="W236">
        <v>3</v>
      </c>
      <c r="X236">
        <v>9</v>
      </c>
      <c r="Y236">
        <v>4</v>
      </c>
      <c r="Z236">
        <v>5</v>
      </c>
      <c r="AA236">
        <v>0</v>
      </c>
      <c r="AB236">
        <v>8</v>
      </c>
      <c r="AC236">
        <v>1</v>
      </c>
      <c r="AD236">
        <v>7</v>
      </c>
      <c r="AE236">
        <v>5</v>
      </c>
      <c r="AF236">
        <v>5</v>
      </c>
      <c r="AG236">
        <v>0</v>
      </c>
      <c r="AH236">
        <v>2</v>
      </c>
      <c r="AI236">
        <v>10</v>
      </c>
      <c r="AJ236">
        <v>2</v>
      </c>
      <c r="AK236">
        <v>3</v>
      </c>
      <c r="AL236">
        <v>7</v>
      </c>
      <c r="AM236">
        <v>3</v>
      </c>
      <c r="AN236">
        <v>7</v>
      </c>
      <c r="AO236">
        <v>4</v>
      </c>
      <c r="AP236">
        <v>3</v>
      </c>
      <c r="AQ236">
        <v>10</v>
      </c>
      <c r="AR236">
        <v>6</v>
      </c>
      <c r="AS236">
        <v>7</v>
      </c>
      <c r="AT236">
        <v>7</v>
      </c>
      <c r="AU236">
        <v>0</v>
      </c>
      <c r="AV236">
        <v>8</v>
      </c>
      <c r="AW236">
        <v>6</v>
      </c>
      <c r="AX236">
        <v>4</v>
      </c>
      <c r="AY236">
        <v>9</v>
      </c>
      <c r="AZ236">
        <v>7</v>
      </c>
      <c r="BA236">
        <v>8</v>
      </c>
      <c r="BB236">
        <v>4</v>
      </c>
      <c r="BC236">
        <v>10</v>
      </c>
      <c r="BD236">
        <v>3</v>
      </c>
      <c r="BE236">
        <v>2</v>
      </c>
      <c r="BF236">
        <v>1</v>
      </c>
      <c r="BG236">
        <v>9</v>
      </c>
      <c r="BH236">
        <v>10</v>
      </c>
      <c r="BI236">
        <v>0</v>
      </c>
      <c r="BJ236">
        <v>10</v>
      </c>
      <c r="BK236">
        <v>5</v>
      </c>
      <c r="BL236">
        <v>0</v>
      </c>
      <c r="BM236">
        <v>3</v>
      </c>
      <c r="BN236">
        <v>4</v>
      </c>
      <c r="BO236">
        <v>0</v>
      </c>
      <c r="BP236">
        <v>6</v>
      </c>
      <c r="BQ236">
        <v>7</v>
      </c>
      <c r="BR236">
        <v>9</v>
      </c>
      <c r="BS236">
        <v>9</v>
      </c>
      <c r="BT236">
        <v>7</v>
      </c>
      <c r="BU236">
        <v>6</v>
      </c>
      <c r="BV236">
        <v>0</v>
      </c>
      <c r="BW236">
        <v>0</v>
      </c>
      <c r="BX236">
        <v>9</v>
      </c>
      <c r="BY236">
        <v>3</v>
      </c>
      <c r="BZ236">
        <v>7</v>
      </c>
      <c r="CA236">
        <v>3</v>
      </c>
      <c r="CB236">
        <v>6</v>
      </c>
      <c r="CC236">
        <v>10</v>
      </c>
      <c r="CD236">
        <v>8</v>
      </c>
      <c r="CE236">
        <v>6</v>
      </c>
      <c r="CF236">
        <v>4</v>
      </c>
      <c r="CG236">
        <v>4</v>
      </c>
      <c r="CH236">
        <v>3</v>
      </c>
      <c r="CI236">
        <v>6</v>
      </c>
      <c r="CJ236">
        <v>5</v>
      </c>
      <c r="CK236">
        <v>0</v>
      </c>
      <c r="CL236">
        <v>7</v>
      </c>
      <c r="CM236">
        <v>9</v>
      </c>
      <c r="CN236">
        <v>2</v>
      </c>
      <c r="CO236">
        <v>6</v>
      </c>
      <c r="CP236">
        <v>8</v>
      </c>
      <c r="CQ236">
        <v>2</v>
      </c>
      <c r="CR236">
        <v>10</v>
      </c>
      <c r="CS236">
        <v>6</v>
      </c>
      <c r="CT236">
        <v>8</v>
      </c>
      <c r="CU236">
        <v>4</v>
      </c>
      <c r="CV236">
        <v>4</v>
      </c>
      <c r="CW236">
        <v>0</v>
      </c>
      <c r="CX236">
        <v>4</v>
      </c>
      <c r="CY236">
        <v>6</v>
      </c>
      <c r="CZ236">
        <v>4</v>
      </c>
      <c r="DA236">
        <v>8</v>
      </c>
      <c r="DB236">
        <v>2</v>
      </c>
      <c r="DC236">
        <v>2</v>
      </c>
      <c r="DD236">
        <v>7</v>
      </c>
      <c r="DE236">
        <v>3</v>
      </c>
      <c r="DF236">
        <v>6</v>
      </c>
      <c r="DG236">
        <v>3</v>
      </c>
      <c r="DH236">
        <v>1</v>
      </c>
      <c r="DI236">
        <v>8</v>
      </c>
      <c r="DJ236">
        <v>0</v>
      </c>
      <c r="DK236">
        <v>9</v>
      </c>
    </row>
    <row r="237" spans="1:115">
      <c r="A237" s="173">
        <f>Calculations[[#This Row],[Sum t eCO2]]*IF(Calculations[[#This Row],[GHG Scope]]="BIOGENIC",0,1)</f>
        <v>4291.4790238863561</v>
      </c>
      <c r="O237">
        <f t="shared" si="3"/>
        <v>236</v>
      </c>
      <c r="P237">
        <v>4</v>
      </c>
      <c r="Q237">
        <v>3</v>
      </c>
      <c r="R237">
        <v>5</v>
      </c>
      <c r="S237">
        <v>1</v>
      </c>
      <c r="T237">
        <v>6</v>
      </c>
      <c r="U237">
        <v>0</v>
      </c>
      <c r="V237">
        <v>6</v>
      </c>
      <c r="W237">
        <v>9</v>
      </c>
      <c r="X237">
        <v>9</v>
      </c>
      <c r="Y237">
        <v>6</v>
      </c>
      <c r="Z237">
        <v>2</v>
      </c>
      <c r="AA237">
        <v>1</v>
      </c>
      <c r="AB237">
        <v>8</v>
      </c>
      <c r="AC237">
        <v>4</v>
      </c>
      <c r="AD237">
        <v>7</v>
      </c>
      <c r="AE237">
        <v>10</v>
      </c>
      <c r="AF237">
        <v>5</v>
      </c>
      <c r="AG237">
        <v>4</v>
      </c>
      <c r="AH237">
        <v>10</v>
      </c>
      <c r="AI237">
        <v>10</v>
      </c>
      <c r="AJ237">
        <v>5</v>
      </c>
      <c r="AK237">
        <v>0</v>
      </c>
      <c r="AL237">
        <v>8</v>
      </c>
      <c r="AM237">
        <v>9</v>
      </c>
      <c r="AN237">
        <v>5</v>
      </c>
      <c r="AO237">
        <v>7</v>
      </c>
      <c r="AP237">
        <v>9</v>
      </c>
      <c r="AQ237">
        <v>5</v>
      </c>
      <c r="AR237">
        <v>3</v>
      </c>
      <c r="AS237">
        <v>6</v>
      </c>
      <c r="AT237">
        <v>4</v>
      </c>
      <c r="AU237">
        <v>7</v>
      </c>
      <c r="AV237">
        <v>4</v>
      </c>
      <c r="AW237">
        <v>3</v>
      </c>
      <c r="AX237">
        <v>5</v>
      </c>
      <c r="AY237">
        <v>6</v>
      </c>
      <c r="AZ237">
        <v>7</v>
      </c>
      <c r="BA237">
        <v>4</v>
      </c>
      <c r="BB237">
        <v>3</v>
      </c>
      <c r="BC237">
        <v>3</v>
      </c>
      <c r="BD237">
        <v>0</v>
      </c>
      <c r="BE237">
        <v>8</v>
      </c>
      <c r="BF237">
        <v>5</v>
      </c>
      <c r="BG237">
        <v>7</v>
      </c>
      <c r="BH237">
        <v>0</v>
      </c>
      <c r="BI237">
        <v>0</v>
      </c>
      <c r="BJ237">
        <v>5</v>
      </c>
      <c r="BK237">
        <v>3</v>
      </c>
      <c r="BL237">
        <v>1</v>
      </c>
      <c r="BM237">
        <v>5</v>
      </c>
      <c r="BN237">
        <v>10</v>
      </c>
      <c r="BO237">
        <v>1</v>
      </c>
      <c r="BP237">
        <v>3</v>
      </c>
      <c r="BQ237">
        <v>9</v>
      </c>
      <c r="BR237">
        <v>7</v>
      </c>
      <c r="BS237">
        <v>5</v>
      </c>
      <c r="BT237">
        <v>2</v>
      </c>
      <c r="BU237">
        <v>4</v>
      </c>
      <c r="BV237">
        <v>0</v>
      </c>
      <c r="BW237">
        <v>6</v>
      </c>
      <c r="BX237">
        <v>3</v>
      </c>
      <c r="BY237">
        <v>0</v>
      </c>
      <c r="BZ237">
        <v>5</v>
      </c>
      <c r="CA237">
        <v>2</v>
      </c>
      <c r="CB237">
        <v>3</v>
      </c>
      <c r="CC237">
        <v>5</v>
      </c>
      <c r="CD237">
        <v>1</v>
      </c>
      <c r="CE237">
        <v>6</v>
      </c>
      <c r="CF237">
        <v>10</v>
      </c>
      <c r="CG237">
        <v>0</v>
      </c>
      <c r="CH237">
        <v>3</v>
      </c>
      <c r="CI237">
        <v>3</v>
      </c>
      <c r="CJ237">
        <v>2</v>
      </c>
      <c r="CK237">
        <v>10</v>
      </c>
      <c r="CL237">
        <v>2</v>
      </c>
      <c r="CM237">
        <v>5</v>
      </c>
      <c r="CN237">
        <v>2</v>
      </c>
      <c r="CO237">
        <v>1</v>
      </c>
      <c r="CP237">
        <v>3</v>
      </c>
      <c r="CQ237">
        <v>9</v>
      </c>
      <c r="CR237">
        <v>3</v>
      </c>
      <c r="CS237">
        <v>10</v>
      </c>
      <c r="CT237">
        <v>2</v>
      </c>
      <c r="CU237">
        <v>9</v>
      </c>
      <c r="CV237">
        <v>5</v>
      </c>
      <c r="CW237">
        <v>3</v>
      </c>
      <c r="CX237">
        <v>9</v>
      </c>
      <c r="CY237">
        <v>9</v>
      </c>
      <c r="CZ237">
        <v>2</v>
      </c>
      <c r="DA237">
        <v>8</v>
      </c>
      <c r="DB237">
        <v>9</v>
      </c>
      <c r="DC237">
        <v>5</v>
      </c>
      <c r="DD237">
        <v>0</v>
      </c>
      <c r="DE237">
        <v>7</v>
      </c>
      <c r="DF237">
        <v>8</v>
      </c>
      <c r="DG237">
        <v>9</v>
      </c>
      <c r="DH237">
        <v>10</v>
      </c>
      <c r="DI237">
        <v>6</v>
      </c>
      <c r="DJ237">
        <v>3</v>
      </c>
      <c r="DK237">
        <v>8</v>
      </c>
    </row>
    <row r="238" spans="1:115">
      <c r="A238" s="173">
        <f>Calculations[[#This Row],[Sum t eCO2]]*IF(Calculations[[#This Row],[GHG Scope]]="BIOGENIC",0,1)</f>
        <v>3.0092546265876647</v>
      </c>
      <c r="O238">
        <f t="shared" si="3"/>
        <v>237</v>
      </c>
      <c r="P238">
        <v>6</v>
      </c>
      <c r="Q238">
        <v>3</v>
      </c>
      <c r="R238">
        <v>0</v>
      </c>
      <c r="S238">
        <v>7</v>
      </c>
      <c r="T238">
        <v>9</v>
      </c>
      <c r="U238">
        <v>9</v>
      </c>
      <c r="V238">
        <v>3</v>
      </c>
      <c r="W238">
        <v>8</v>
      </c>
      <c r="X238">
        <v>5</v>
      </c>
      <c r="Y238">
        <v>5</v>
      </c>
      <c r="Z238">
        <v>3</v>
      </c>
      <c r="AA238">
        <v>4</v>
      </c>
      <c r="AB238">
        <v>9</v>
      </c>
      <c r="AC238">
        <v>4</v>
      </c>
      <c r="AD238">
        <v>8</v>
      </c>
      <c r="AE238">
        <v>6</v>
      </c>
      <c r="AF238">
        <v>5</v>
      </c>
      <c r="AG238">
        <v>9</v>
      </c>
      <c r="AH238">
        <v>8</v>
      </c>
      <c r="AI238">
        <v>4</v>
      </c>
      <c r="AJ238">
        <v>3</v>
      </c>
      <c r="AK238">
        <v>5</v>
      </c>
      <c r="AL238">
        <v>3</v>
      </c>
      <c r="AM238">
        <v>5</v>
      </c>
      <c r="AN238">
        <v>8</v>
      </c>
      <c r="AO238">
        <v>6</v>
      </c>
      <c r="AP238">
        <v>6</v>
      </c>
      <c r="AQ238">
        <v>7</v>
      </c>
      <c r="AR238">
        <v>5</v>
      </c>
      <c r="AS238">
        <v>4</v>
      </c>
      <c r="AT238">
        <v>8</v>
      </c>
      <c r="AU238">
        <v>4</v>
      </c>
      <c r="AV238">
        <v>3</v>
      </c>
      <c r="AW238">
        <v>5</v>
      </c>
      <c r="AX238">
        <v>5</v>
      </c>
      <c r="AY238">
        <v>2</v>
      </c>
      <c r="AZ238">
        <v>9</v>
      </c>
      <c r="BA238">
        <v>10</v>
      </c>
      <c r="BB238">
        <v>6</v>
      </c>
      <c r="BC238">
        <v>4</v>
      </c>
      <c r="BD238">
        <v>8</v>
      </c>
      <c r="BE238">
        <v>2</v>
      </c>
      <c r="BF238">
        <v>9</v>
      </c>
      <c r="BG238">
        <v>2</v>
      </c>
      <c r="BH238">
        <v>10</v>
      </c>
      <c r="BI238">
        <v>0</v>
      </c>
      <c r="BJ238">
        <v>7</v>
      </c>
      <c r="BK238">
        <v>9</v>
      </c>
      <c r="BL238">
        <v>7</v>
      </c>
      <c r="BM238">
        <v>6</v>
      </c>
      <c r="BN238">
        <v>8</v>
      </c>
      <c r="BO238">
        <v>3</v>
      </c>
      <c r="BP238">
        <v>10</v>
      </c>
      <c r="BQ238">
        <v>3</v>
      </c>
      <c r="BR238">
        <v>2</v>
      </c>
      <c r="BS238">
        <v>9</v>
      </c>
      <c r="BT238">
        <v>3</v>
      </c>
      <c r="BU238">
        <v>10</v>
      </c>
      <c r="BV238">
        <v>3</v>
      </c>
      <c r="BW238">
        <v>10</v>
      </c>
      <c r="BX238">
        <v>1</v>
      </c>
      <c r="BY238">
        <v>4</v>
      </c>
      <c r="BZ238">
        <v>0</v>
      </c>
      <c r="CA238">
        <v>10</v>
      </c>
      <c r="CB238">
        <v>3</v>
      </c>
      <c r="CC238">
        <v>9</v>
      </c>
      <c r="CD238">
        <v>5</v>
      </c>
      <c r="CE238">
        <v>3</v>
      </c>
      <c r="CF238">
        <v>4</v>
      </c>
      <c r="CG238">
        <v>3</v>
      </c>
      <c r="CH238">
        <v>8</v>
      </c>
      <c r="CI238">
        <v>1</v>
      </c>
      <c r="CJ238">
        <v>10</v>
      </c>
      <c r="CK238">
        <v>8</v>
      </c>
      <c r="CL238">
        <v>7</v>
      </c>
      <c r="CM238">
        <v>5</v>
      </c>
      <c r="CN238">
        <v>7</v>
      </c>
      <c r="CO238">
        <v>6</v>
      </c>
      <c r="CP238">
        <v>9</v>
      </c>
      <c r="CQ238">
        <v>6</v>
      </c>
      <c r="CR238">
        <v>6</v>
      </c>
      <c r="CS238">
        <v>10</v>
      </c>
      <c r="CT238">
        <v>0</v>
      </c>
      <c r="CU238">
        <v>6</v>
      </c>
      <c r="CV238">
        <v>6</v>
      </c>
      <c r="CW238">
        <v>1</v>
      </c>
      <c r="CX238">
        <v>0</v>
      </c>
      <c r="CY238">
        <v>0</v>
      </c>
      <c r="CZ238">
        <v>0</v>
      </c>
      <c r="DA238">
        <v>7</v>
      </c>
      <c r="DB238">
        <v>2</v>
      </c>
      <c r="DC238">
        <v>4</v>
      </c>
      <c r="DD238">
        <v>6</v>
      </c>
      <c r="DE238">
        <v>9</v>
      </c>
      <c r="DF238">
        <v>5</v>
      </c>
      <c r="DG238">
        <v>3</v>
      </c>
      <c r="DH238">
        <v>5</v>
      </c>
      <c r="DI238">
        <v>8</v>
      </c>
      <c r="DJ238">
        <v>0</v>
      </c>
      <c r="DK238">
        <v>4</v>
      </c>
    </row>
    <row r="239" spans="1:115">
      <c r="A239" s="173">
        <f>Calculations[[#This Row],[Sum t eCO2]]*IF(Calculations[[#This Row],[GHG Scope]]="BIOGENIC",0,1)</f>
        <v>11.726897796779063</v>
      </c>
      <c r="O239">
        <f t="shared" si="3"/>
        <v>238</v>
      </c>
      <c r="P239">
        <v>0</v>
      </c>
      <c r="Q239">
        <v>3</v>
      </c>
      <c r="R239">
        <v>1</v>
      </c>
      <c r="S239">
        <v>1</v>
      </c>
      <c r="T239">
        <v>9</v>
      </c>
      <c r="U239">
        <v>7</v>
      </c>
      <c r="V239">
        <v>6</v>
      </c>
      <c r="W239">
        <v>3</v>
      </c>
      <c r="X239">
        <v>5</v>
      </c>
      <c r="Y239">
        <v>3</v>
      </c>
      <c r="Z239">
        <v>9</v>
      </c>
      <c r="AA239">
        <v>10</v>
      </c>
      <c r="AB239">
        <v>8</v>
      </c>
      <c r="AC239">
        <v>10</v>
      </c>
      <c r="AD239">
        <v>0</v>
      </c>
      <c r="AE239">
        <v>1</v>
      </c>
      <c r="AF239">
        <v>8</v>
      </c>
      <c r="AG239">
        <v>7</v>
      </c>
      <c r="AH239">
        <v>8</v>
      </c>
      <c r="AI239">
        <v>4</v>
      </c>
      <c r="AJ239">
        <v>4</v>
      </c>
      <c r="AK239">
        <v>10</v>
      </c>
      <c r="AL239">
        <v>6</v>
      </c>
      <c r="AM239">
        <v>2</v>
      </c>
      <c r="AN239">
        <v>2</v>
      </c>
      <c r="AO239">
        <v>4</v>
      </c>
      <c r="AP239">
        <v>4</v>
      </c>
      <c r="AQ239">
        <v>5</v>
      </c>
      <c r="AR239">
        <v>3</v>
      </c>
      <c r="AS239">
        <v>4</v>
      </c>
      <c r="AT239">
        <v>5</v>
      </c>
      <c r="AU239">
        <v>4</v>
      </c>
      <c r="AV239">
        <v>9</v>
      </c>
      <c r="AW239">
        <v>0</v>
      </c>
      <c r="AX239">
        <v>1</v>
      </c>
      <c r="AY239">
        <v>8</v>
      </c>
      <c r="AZ239">
        <v>10</v>
      </c>
      <c r="BA239">
        <v>1</v>
      </c>
      <c r="BB239">
        <v>3</v>
      </c>
      <c r="BC239">
        <v>7</v>
      </c>
      <c r="BD239">
        <v>5</v>
      </c>
      <c r="BE239">
        <v>0</v>
      </c>
      <c r="BF239">
        <v>1</v>
      </c>
      <c r="BG239">
        <v>7</v>
      </c>
      <c r="BH239">
        <v>8</v>
      </c>
      <c r="BI239">
        <v>10</v>
      </c>
      <c r="BJ239">
        <v>9</v>
      </c>
      <c r="BK239">
        <v>6</v>
      </c>
      <c r="BL239">
        <v>3</v>
      </c>
      <c r="BM239">
        <v>8</v>
      </c>
      <c r="BN239">
        <v>2</v>
      </c>
      <c r="BO239">
        <v>0</v>
      </c>
      <c r="BP239">
        <v>0</v>
      </c>
      <c r="BQ239">
        <v>1</v>
      </c>
      <c r="BR239">
        <v>7</v>
      </c>
      <c r="BS239">
        <v>9</v>
      </c>
      <c r="BT239">
        <v>1</v>
      </c>
      <c r="BU239">
        <v>9</v>
      </c>
      <c r="BV239">
        <v>0</v>
      </c>
      <c r="BW239">
        <v>0</v>
      </c>
      <c r="BX239">
        <v>8</v>
      </c>
      <c r="BY239">
        <v>9</v>
      </c>
      <c r="BZ239">
        <v>0</v>
      </c>
      <c r="CA239">
        <v>6</v>
      </c>
      <c r="CB239">
        <v>6</v>
      </c>
      <c r="CC239">
        <v>2</v>
      </c>
      <c r="CD239">
        <v>6</v>
      </c>
      <c r="CE239">
        <v>9</v>
      </c>
      <c r="CF239">
        <v>4</v>
      </c>
      <c r="CG239">
        <v>2</v>
      </c>
      <c r="CH239">
        <v>2</v>
      </c>
      <c r="CI239">
        <v>6</v>
      </c>
      <c r="CJ239">
        <v>6</v>
      </c>
      <c r="CK239">
        <v>3</v>
      </c>
      <c r="CL239">
        <v>6</v>
      </c>
      <c r="CM239">
        <v>9</v>
      </c>
      <c r="CN239">
        <v>6</v>
      </c>
      <c r="CO239">
        <v>3</v>
      </c>
      <c r="CP239">
        <v>1</v>
      </c>
      <c r="CQ239">
        <v>7</v>
      </c>
      <c r="CR239">
        <v>4</v>
      </c>
      <c r="CS239">
        <v>4</v>
      </c>
      <c r="CT239">
        <v>2</v>
      </c>
      <c r="CU239">
        <v>3</v>
      </c>
      <c r="CV239">
        <v>5</v>
      </c>
      <c r="CW239">
        <v>3</v>
      </c>
      <c r="CX239">
        <v>2</v>
      </c>
      <c r="CY239">
        <v>7</v>
      </c>
      <c r="CZ239">
        <v>1</v>
      </c>
      <c r="DA239">
        <v>5</v>
      </c>
      <c r="DB239">
        <v>4</v>
      </c>
      <c r="DC239">
        <v>0</v>
      </c>
      <c r="DD239">
        <v>1</v>
      </c>
      <c r="DE239">
        <v>4</v>
      </c>
      <c r="DF239">
        <v>3</v>
      </c>
      <c r="DG239">
        <v>8</v>
      </c>
      <c r="DH239">
        <v>0</v>
      </c>
      <c r="DI239">
        <v>3</v>
      </c>
      <c r="DJ239">
        <v>2</v>
      </c>
      <c r="DK239">
        <v>10</v>
      </c>
    </row>
    <row r="240" spans="1:115">
      <c r="A240" s="173">
        <f>Calculations[[#This Row],[Sum t eCO2]]*IF(Calculations[[#This Row],[GHG Scope]]="BIOGENIC",0,1)</f>
        <v>66.188367990199993</v>
      </c>
      <c r="O240">
        <f t="shared" si="3"/>
        <v>239</v>
      </c>
      <c r="P240">
        <v>0</v>
      </c>
      <c r="Q240">
        <v>3</v>
      </c>
      <c r="R240">
        <v>8</v>
      </c>
      <c r="S240">
        <v>8</v>
      </c>
      <c r="T240">
        <v>5</v>
      </c>
      <c r="U240">
        <v>8</v>
      </c>
      <c r="V240">
        <v>0</v>
      </c>
      <c r="W240">
        <v>7</v>
      </c>
      <c r="X240">
        <v>5</v>
      </c>
      <c r="Y240">
        <v>5</v>
      </c>
      <c r="Z240">
        <v>6</v>
      </c>
      <c r="AA240">
        <v>1</v>
      </c>
      <c r="AB240">
        <v>0</v>
      </c>
      <c r="AC240">
        <v>3</v>
      </c>
      <c r="AD240">
        <v>9</v>
      </c>
      <c r="AE240">
        <v>8</v>
      </c>
      <c r="AF240">
        <v>7</v>
      </c>
      <c r="AG240">
        <v>1</v>
      </c>
      <c r="AH240">
        <v>7</v>
      </c>
      <c r="AI240">
        <v>2</v>
      </c>
      <c r="AJ240">
        <v>0</v>
      </c>
      <c r="AK240">
        <v>3</v>
      </c>
      <c r="AL240">
        <v>9</v>
      </c>
      <c r="AM240">
        <v>10</v>
      </c>
      <c r="AN240">
        <v>10</v>
      </c>
      <c r="AO240">
        <v>10</v>
      </c>
      <c r="AP240">
        <v>6</v>
      </c>
      <c r="AQ240">
        <v>7</v>
      </c>
      <c r="AR240">
        <v>9</v>
      </c>
      <c r="AS240">
        <v>6</v>
      </c>
      <c r="AT240">
        <v>6</v>
      </c>
      <c r="AU240">
        <v>7</v>
      </c>
      <c r="AV240">
        <v>6</v>
      </c>
      <c r="AW240">
        <v>5</v>
      </c>
      <c r="AX240">
        <v>6</v>
      </c>
      <c r="AY240">
        <v>3</v>
      </c>
      <c r="AZ240">
        <v>3</v>
      </c>
      <c r="BA240">
        <v>8</v>
      </c>
      <c r="BB240">
        <v>4</v>
      </c>
      <c r="BC240">
        <v>9</v>
      </c>
      <c r="BD240">
        <v>0</v>
      </c>
      <c r="BE240">
        <v>3</v>
      </c>
      <c r="BF240">
        <v>6</v>
      </c>
      <c r="BG240">
        <v>2</v>
      </c>
      <c r="BH240">
        <v>4</v>
      </c>
      <c r="BI240">
        <v>6</v>
      </c>
      <c r="BJ240">
        <v>2</v>
      </c>
      <c r="BK240">
        <v>5</v>
      </c>
      <c r="BL240">
        <v>10</v>
      </c>
      <c r="BM240">
        <v>2</v>
      </c>
      <c r="BN240">
        <v>6</v>
      </c>
      <c r="BO240">
        <v>4</v>
      </c>
      <c r="BP240">
        <v>3</v>
      </c>
      <c r="BQ240">
        <v>4</v>
      </c>
      <c r="BR240">
        <v>2</v>
      </c>
      <c r="BS240">
        <v>7</v>
      </c>
      <c r="BT240">
        <v>4</v>
      </c>
      <c r="BU240">
        <v>10</v>
      </c>
      <c r="BV240">
        <v>7</v>
      </c>
      <c r="BW240">
        <v>2</v>
      </c>
      <c r="BX240">
        <v>5</v>
      </c>
      <c r="BY240">
        <v>5</v>
      </c>
      <c r="BZ240">
        <v>2</v>
      </c>
      <c r="CA240">
        <v>8</v>
      </c>
      <c r="CB240">
        <v>2</v>
      </c>
      <c r="CC240">
        <v>10</v>
      </c>
      <c r="CD240">
        <v>10</v>
      </c>
      <c r="CE240">
        <v>10</v>
      </c>
      <c r="CF240">
        <v>3</v>
      </c>
      <c r="CG240">
        <v>7</v>
      </c>
      <c r="CH240">
        <v>0</v>
      </c>
      <c r="CI240">
        <v>6</v>
      </c>
      <c r="CJ240">
        <v>7</v>
      </c>
      <c r="CK240">
        <v>1</v>
      </c>
      <c r="CL240">
        <v>7</v>
      </c>
      <c r="CM240">
        <v>6</v>
      </c>
      <c r="CN240">
        <v>9</v>
      </c>
      <c r="CO240">
        <v>5</v>
      </c>
      <c r="CP240">
        <v>3</v>
      </c>
      <c r="CQ240">
        <v>4</v>
      </c>
      <c r="CR240">
        <v>7</v>
      </c>
      <c r="CS240">
        <v>8</v>
      </c>
      <c r="CT240">
        <v>8</v>
      </c>
      <c r="CU240">
        <v>1</v>
      </c>
      <c r="CV240">
        <v>7</v>
      </c>
      <c r="CW240">
        <v>1</v>
      </c>
      <c r="CX240">
        <v>5</v>
      </c>
      <c r="CY240">
        <v>3</v>
      </c>
      <c r="CZ240">
        <v>4</v>
      </c>
      <c r="DA240">
        <v>9</v>
      </c>
      <c r="DB240">
        <v>1</v>
      </c>
      <c r="DC240">
        <v>9</v>
      </c>
      <c r="DD240">
        <v>8</v>
      </c>
      <c r="DE240">
        <v>2</v>
      </c>
      <c r="DF240">
        <v>6</v>
      </c>
      <c r="DG240">
        <v>2</v>
      </c>
      <c r="DH240">
        <v>1</v>
      </c>
      <c r="DI240">
        <v>9</v>
      </c>
      <c r="DJ240">
        <v>5</v>
      </c>
      <c r="DK240">
        <v>0</v>
      </c>
    </row>
    <row r="241" spans="1:115">
      <c r="A241" s="173">
        <f>Calculations[[#This Row],[Sum t eCO2]]*IF(Calculations[[#This Row],[GHG Scope]]="BIOGENIC",0,1)</f>
        <v>4.6412356087999998E-2</v>
      </c>
      <c r="O241">
        <f t="shared" si="3"/>
        <v>240</v>
      </c>
      <c r="P241">
        <v>3</v>
      </c>
      <c r="Q241">
        <v>8</v>
      </c>
      <c r="R241">
        <v>9</v>
      </c>
      <c r="S241">
        <v>8</v>
      </c>
      <c r="T241">
        <v>5</v>
      </c>
      <c r="U241">
        <v>4</v>
      </c>
      <c r="V241">
        <v>9</v>
      </c>
      <c r="W241">
        <v>8</v>
      </c>
      <c r="X241">
        <v>9</v>
      </c>
      <c r="Y241">
        <v>6</v>
      </c>
      <c r="Z241">
        <v>4</v>
      </c>
      <c r="AA241">
        <v>3</v>
      </c>
      <c r="AB241">
        <v>0</v>
      </c>
      <c r="AC241">
        <v>8</v>
      </c>
      <c r="AD241">
        <v>2</v>
      </c>
      <c r="AE241">
        <v>4</v>
      </c>
      <c r="AF241">
        <v>5</v>
      </c>
      <c r="AG241">
        <v>6</v>
      </c>
      <c r="AH241">
        <v>5</v>
      </c>
      <c r="AI241">
        <v>1</v>
      </c>
      <c r="AJ241">
        <v>0</v>
      </c>
      <c r="AK241">
        <v>2</v>
      </c>
      <c r="AL241">
        <v>4</v>
      </c>
      <c r="AM241">
        <v>0</v>
      </c>
      <c r="AN241">
        <v>8</v>
      </c>
      <c r="AO241">
        <v>5</v>
      </c>
      <c r="AP241">
        <v>9</v>
      </c>
      <c r="AQ241">
        <v>4</v>
      </c>
      <c r="AR241">
        <v>10</v>
      </c>
      <c r="AS241">
        <v>0</v>
      </c>
      <c r="AT241">
        <v>1</v>
      </c>
      <c r="AU241">
        <v>1</v>
      </c>
      <c r="AV241">
        <v>0</v>
      </c>
      <c r="AW241">
        <v>6</v>
      </c>
      <c r="AX241">
        <v>4</v>
      </c>
      <c r="AY241">
        <v>2</v>
      </c>
      <c r="AZ241">
        <v>2</v>
      </c>
      <c r="BA241">
        <v>2</v>
      </c>
      <c r="BB241">
        <v>2</v>
      </c>
      <c r="BC241">
        <v>5</v>
      </c>
      <c r="BD241">
        <v>3</v>
      </c>
      <c r="BE241">
        <v>1</v>
      </c>
      <c r="BF241">
        <v>8</v>
      </c>
      <c r="BG241">
        <v>1</v>
      </c>
      <c r="BH241">
        <v>2</v>
      </c>
      <c r="BI241">
        <v>0</v>
      </c>
      <c r="BJ241">
        <v>5</v>
      </c>
      <c r="BK241">
        <v>1</v>
      </c>
      <c r="BL241">
        <v>6</v>
      </c>
      <c r="BM241">
        <v>9</v>
      </c>
      <c r="BN241">
        <v>5</v>
      </c>
      <c r="BO241">
        <v>5</v>
      </c>
      <c r="BP241">
        <v>7</v>
      </c>
      <c r="BQ241">
        <v>0</v>
      </c>
      <c r="BR241">
        <v>10</v>
      </c>
      <c r="BS241">
        <v>3</v>
      </c>
      <c r="BT241">
        <v>6</v>
      </c>
      <c r="BU241">
        <v>4</v>
      </c>
      <c r="BV241">
        <v>6</v>
      </c>
      <c r="BW241">
        <v>10</v>
      </c>
      <c r="BX241">
        <v>7</v>
      </c>
      <c r="BY241">
        <v>7</v>
      </c>
      <c r="BZ241">
        <v>0</v>
      </c>
      <c r="CA241">
        <v>8</v>
      </c>
      <c r="CB241">
        <v>6</v>
      </c>
      <c r="CC241">
        <v>7</v>
      </c>
      <c r="CD241">
        <v>2</v>
      </c>
      <c r="CE241">
        <v>7</v>
      </c>
      <c r="CF241">
        <v>1</v>
      </c>
      <c r="CG241">
        <v>4</v>
      </c>
      <c r="CH241">
        <v>2</v>
      </c>
      <c r="CI241">
        <v>1</v>
      </c>
      <c r="CJ241">
        <v>2</v>
      </c>
      <c r="CK241">
        <v>3</v>
      </c>
      <c r="CL241">
        <v>2</v>
      </c>
      <c r="CM241">
        <v>10</v>
      </c>
      <c r="CN241">
        <v>0</v>
      </c>
      <c r="CO241">
        <v>4</v>
      </c>
      <c r="CP241">
        <v>8</v>
      </c>
      <c r="CQ241">
        <v>7</v>
      </c>
      <c r="CR241">
        <v>8</v>
      </c>
      <c r="CS241">
        <v>1</v>
      </c>
      <c r="CT241">
        <v>4</v>
      </c>
      <c r="CU241">
        <v>5</v>
      </c>
      <c r="CV241">
        <v>5</v>
      </c>
      <c r="CW241">
        <v>7</v>
      </c>
      <c r="CX241">
        <v>10</v>
      </c>
      <c r="CY241">
        <v>9</v>
      </c>
      <c r="CZ241">
        <v>0</v>
      </c>
      <c r="DA241">
        <v>7</v>
      </c>
      <c r="DB241">
        <v>6</v>
      </c>
      <c r="DC241">
        <v>2</v>
      </c>
      <c r="DD241">
        <v>10</v>
      </c>
      <c r="DE241">
        <v>8</v>
      </c>
      <c r="DF241">
        <v>6</v>
      </c>
      <c r="DG241">
        <v>1</v>
      </c>
      <c r="DH241">
        <v>9</v>
      </c>
      <c r="DI241">
        <v>9</v>
      </c>
      <c r="DJ241">
        <v>9</v>
      </c>
      <c r="DK241">
        <v>5</v>
      </c>
    </row>
    <row r="242" spans="1:115">
      <c r="A242" s="173">
        <f>Calculations[[#This Row],[Sum t eCO2]]*IF(Calculations[[#This Row],[GHG Scope]]="BIOGENIC",0,1)</f>
        <v>0.18086636854950003</v>
      </c>
      <c r="O242">
        <f t="shared" si="3"/>
        <v>241</v>
      </c>
      <c r="P242">
        <v>6</v>
      </c>
      <c r="Q242">
        <v>8</v>
      </c>
      <c r="R242">
        <v>2</v>
      </c>
      <c r="S242">
        <v>6</v>
      </c>
      <c r="T242">
        <v>2</v>
      </c>
      <c r="U242">
        <v>7</v>
      </c>
      <c r="V242">
        <v>3</v>
      </c>
      <c r="W242">
        <v>1</v>
      </c>
      <c r="X242">
        <v>9</v>
      </c>
      <c r="Y242">
        <v>10</v>
      </c>
      <c r="Z242">
        <v>10</v>
      </c>
      <c r="AA242">
        <v>4</v>
      </c>
      <c r="AB242">
        <v>9</v>
      </c>
      <c r="AC242">
        <v>5</v>
      </c>
      <c r="AD242">
        <v>10</v>
      </c>
      <c r="AE242">
        <v>5</v>
      </c>
      <c r="AF242">
        <v>4</v>
      </c>
      <c r="AG242">
        <v>1</v>
      </c>
      <c r="AH242">
        <v>4</v>
      </c>
      <c r="AI242">
        <v>7</v>
      </c>
      <c r="AJ242">
        <v>3</v>
      </c>
      <c r="AK242">
        <v>5</v>
      </c>
      <c r="AL242">
        <v>10</v>
      </c>
      <c r="AM242">
        <v>0</v>
      </c>
      <c r="AN242">
        <v>5</v>
      </c>
      <c r="AO242">
        <v>2</v>
      </c>
      <c r="AP242">
        <v>5</v>
      </c>
      <c r="AQ242">
        <v>10</v>
      </c>
      <c r="AR242">
        <v>5</v>
      </c>
      <c r="AS242">
        <v>1</v>
      </c>
      <c r="AT242">
        <v>2</v>
      </c>
      <c r="AU242">
        <v>8</v>
      </c>
      <c r="AV242">
        <v>9</v>
      </c>
      <c r="AW242">
        <v>6</v>
      </c>
      <c r="AX242">
        <v>0</v>
      </c>
      <c r="AY242">
        <v>8</v>
      </c>
      <c r="AZ242">
        <v>1</v>
      </c>
      <c r="BA242">
        <v>3</v>
      </c>
      <c r="BB242">
        <v>7</v>
      </c>
      <c r="BC242">
        <v>1</v>
      </c>
      <c r="BD242">
        <v>0</v>
      </c>
      <c r="BE242">
        <v>0</v>
      </c>
      <c r="BF242">
        <v>9</v>
      </c>
      <c r="BG242">
        <v>4</v>
      </c>
      <c r="BH242">
        <v>3</v>
      </c>
      <c r="BI242">
        <v>6</v>
      </c>
      <c r="BJ242">
        <v>8</v>
      </c>
      <c r="BK242">
        <v>5</v>
      </c>
      <c r="BL242">
        <v>6</v>
      </c>
      <c r="BM242">
        <v>10</v>
      </c>
      <c r="BN242">
        <v>4</v>
      </c>
      <c r="BO242">
        <v>4</v>
      </c>
      <c r="BP242">
        <v>3</v>
      </c>
      <c r="BQ242">
        <v>10</v>
      </c>
      <c r="BR242">
        <v>5</v>
      </c>
      <c r="BS242">
        <v>7</v>
      </c>
      <c r="BT242">
        <v>7</v>
      </c>
      <c r="BU242">
        <v>10</v>
      </c>
      <c r="BV242">
        <v>6</v>
      </c>
      <c r="BW242">
        <v>3</v>
      </c>
      <c r="BX242">
        <v>3</v>
      </c>
      <c r="BY242">
        <v>2</v>
      </c>
      <c r="BZ242">
        <v>1</v>
      </c>
      <c r="CA242">
        <v>10</v>
      </c>
      <c r="CB242">
        <v>3</v>
      </c>
      <c r="CC242">
        <v>8</v>
      </c>
      <c r="CD242">
        <v>3</v>
      </c>
      <c r="CE242">
        <v>5</v>
      </c>
      <c r="CF242">
        <v>10</v>
      </c>
      <c r="CG242">
        <v>2</v>
      </c>
      <c r="CH242">
        <v>0</v>
      </c>
      <c r="CI242">
        <v>0</v>
      </c>
      <c r="CJ242">
        <v>9</v>
      </c>
      <c r="CK242">
        <v>0</v>
      </c>
      <c r="CL242">
        <v>2</v>
      </c>
      <c r="CM242">
        <v>4</v>
      </c>
      <c r="CN242">
        <v>8</v>
      </c>
      <c r="CO242">
        <v>5</v>
      </c>
      <c r="CP242">
        <v>2</v>
      </c>
      <c r="CQ242">
        <v>4</v>
      </c>
      <c r="CR242">
        <v>0</v>
      </c>
      <c r="CS242">
        <v>0</v>
      </c>
      <c r="CT242">
        <v>2</v>
      </c>
      <c r="CU242">
        <v>2</v>
      </c>
      <c r="CV242">
        <v>7</v>
      </c>
      <c r="CW242">
        <v>0</v>
      </c>
      <c r="CX242">
        <v>7</v>
      </c>
      <c r="CY242">
        <v>3</v>
      </c>
      <c r="CZ242">
        <v>10</v>
      </c>
      <c r="DA242">
        <v>0</v>
      </c>
      <c r="DB242">
        <v>7</v>
      </c>
      <c r="DC242">
        <v>4</v>
      </c>
      <c r="DD242">
        <v>6</v>
      </c>
      <c r="DE242">
        <v>2</v>
      </c>
      <c r="DF242">
        <v>0</v>
      </c>
      <c r="DG242">
        <v>7</v>
      </c>
      <c r="DH242">
        <v>7</v>
      </c>
      <c r="DI242">
        <v>1</v>
      </c>
      <c r="DJ242">
        <v>4</v>
      </c>
      <c r="DK242">
        <v>7</v>
      </c>
    </row>
    <row r="243" spans="1:115">
      <c r="A243" s="173">
        <f>Calculations[[#This Row],[Sum t eCO2]]*IF(Calculations[[#This Row],[GHG Scope]]="BIOGENIC",0,1)</f>
        <v>536.36168720891988</v>
      </c>
      <c r="O243">
        <f t="shared" si="3"/>
        <v>242</v>
      </c>
      <c r="P243">
        <v>5</v>
      </c>
      <c r="Q243">
        <v>5</v>
      </c>
      <c r="R243">
        <v>4</v>
      </c>
      <c r="S243">
        <v>0</v>
      </c>
      <c r="T243">
        <v>9</v>
      </c>
      <c r="U243">
        <v>0</v>
      </c>
      <c r="V243">
        <v>8</v>
      </c>
      <c r="W243">
        <v>10</v>
      </c>
      <c r="X243">
        <v>9</v>
      </c>
      <c r="Y243">
        <v>7</v>
      </c>
      <c r="Z243">
        <v>0</v>
      </c>
      <c r="AA243">
        <v>8</v>
      </c>
      <c r="AB243">
        <v>1</v>
      </c>
      <c r="AC243">
        <v>10</v>
      </c>
      <c r="AD243">
        <v>7</v>
      </c>
      <c r="AE243">
        <v>7</v>
      </c>
      <c r="AF243">
        <v>10</v>
      </c>
      <c r="AG243">
        <v>4</v>
      </c>
      <c r="AH243">
        <v>5</v>
      </c>
      <c r="AI243">
        <v>6</v>
      </c>
      <c r="AJ243">
        <v>4</v>
      </c>
      <c r="AK243">
        <v>8</v>
      </c>
      <c r="AL243">
        <v>8</v>
      </c>
      <c r="AM243">
        <v>6</v>
      </c>
      <c r="AN243">
        <v>6</v>
      </c>
      <c r="AO243">
        <v>7</v>
      </c>
      <c r="AP243">
        <v>4</v>
      </c>
      <c r="AQ243">
        <v>10</v>
      </c>
      <c r="AR243">
        <v>9</v>
      </c>
      <c r="AS243">
        <v>0</v>
      </c>
      <c r="AT243">
        <v>4</v>
      </c>
      <c r="AU243">
        <v>1</v>
      </c>
      <c r="AV243">
        <v>3</v>
      </c>
      <c r="AW243">
        <v>1</v>
      </c>
      <c r="AX243">
        <v>2</v>
      </c>
      <c r="AY243">
        <v>1</v>
      </c>
      <c r="AZ243">
        <v>1</v>
      </c>
      <c r="BA243">
        <v>8</v>
      </c>
      <c r="BB243">
        <v>9</v>
      </c>
      <c r="BC243">
        <v>6</v>
      </c>
      <c r="BD243">
        <v>10</v>
      </c>
      <c r="BE243">
        <v>3</v>
      </c>
      <c r="BF243">
        <v>2</v>
      </c>
      <c r="BG243">
        <v>1</v>
      </c>
      <c r="BH243">
        <v>0</v>
      </c>
      <c r="BI243">
        <v>5</v>
      </c>
      <c r="BJ243">
        <v>9</v>
      </c>
      <c r="BK243">
        <v>2</v>
      </c>
      <c r="BL243">
        <v>6</v>
      </c>
      <c r="BM243">
        <v>3</v>
      </c>
      <c r="BN243">
        <v>10</v>
      </c>
      <c r="BO243">
        <v>3</v>
      </c>
      <c r="BP243">
        <v>9</v>
      </c>
      <c r="BQ243">
        <v>6</v>
      </c>
      <c r="BR243">
        <v>1</v>
      </c>
      <c r="BS243">
        <v>3</v>
      </c>
      <c r="BT243">
        <v>3</v>
      </c>
      <c r="BU243">
        <v>1</v>
      </c>
      <c r="BV243">
        <v>4</v>
      </c>
      <c r="BW243">
        <v>8</v>
      </c>
      <c r="BX243">
        <v>6</v>
      </c>
      <c r="BY243">
        <v>5</v>
      </c>
      <c r="BZ243">
        <v>1</v>
      </c>
      <c r="CA243">
        <v>3</v>
      </c>
      <c r="CB243">
        <v>8</v>
      </c>
      <c r="CC243">
        <v>3</v>
      </c>
      <c r="CD243">
        <v>6</v>
      </c>
      <c r="CE243">
        <v>7</v>
      </c>
      <c r="CF243">
        <v>6</v>
      </c>
      <c r="CG243">
        <v>10</v>
      </c>
      <c r="CH243">
        <v>6</v>
      </c>
      <c r="CI243">
        <v>6</v>
      </c>
      <c r="CJ243">
        <v>9</v>
      </c>
      <c r="CK243">
        <v>1</v>
      </c>
      <c r="CL243">
        <v>0</v>
      </c>
      <c r="CM243">
        <v>3</v>
      </c>
      <c r="CN243">
        <v>8</v>
      </c>
      <c r="CO243">
        <v>4</v>
      </c>
      <c r="CP243">
        <v>7</v>
      </c>
      <c r="CQ243">
        <v>2</v>
      </c>
      <c r="CR243">
        <v>5</v>
      </c>
      <c r="CS243">
        <v>2</v>
      </c>
      <c r="CT243">
        <v>6</v>
      </c>
      <c r="CU243">
        <v>10</v>
      </c>
      <c r="CV243">
        <v>3</v>
      </c>
      <c r="CW243">
        <v>5</v>
      </c>
      <c r="CX243">
        <v>0</v>
      </c>
      <c r="CY243">
        <v>0</v>
      </c>
      <c r="CZ243">
        <v>8</v>
      </c>
      <c r="DA243">
        <v>10</v>
      </c>
      <c r="DB243">
        <v>2</v>
      </c>
      <c r="DC243">
        <v>3</v>
      </c>
      <c r="DD243">
        <v>3</v>
      </c>
      <c r="DE243">
        <v>6</v>
      </c>
      <c r="DF243">
        <v>2</v>
      </c>
      <c r="DG243">
        <v>3</v>
      </c>
      <c r="DH243">
        <v>4</v>
      </c>
      <c r="DI243">
        <v>3</v>
      </c>
      <c r="DJ243">
        <v>2</v>
      </c>
      <c r="DK243">
        <v>4</v>
      </c>
    </row>
    <row r="244" spans="1:115">
      <c r="A244" s="173">
        <f>Calculations[[#This Row],[Sum t eCO2]]*IF(Calculations[[#This Row],[GHG Scope]]="BIOGENIC",0,1)</f>
        <v>0.37610550576480001</v>
      </c>
      <c r="O244">
        <f t="shared" si="3"/>
        <v>243</v>
      </c>
      <c r="P244">
        <v>7</v>
      </c>
      <c r="Q244">
        <v>8</v>
      </c>
      <c r="R244">
        <v>10</v>
      </c>
      <c r="S244">
        <v>10</v>
      </c>
      <c r="T244">
        <v>8</v>
      </c>
      <c r="U244">
        <v>10</v>
      </c>
      <c r="V244">
        <v>4</v>
      </c>
      <c r="W244">
        <v>2</v>
      </c>
      <c r="X244">
        <v>0</v>
      </c>
      <c r="Y244">
        <v>5</v>
      </c>
      <c r="Z244">
        <v>8</v>
      </c>
      <c r="AA244">
        <v>1</v>
      </c>
      <c r="AB244">
        <v>8</v>
      </c>
      <c r="AC244">
        <v>4</v>
      </c>
      <c r="AD244">
        <v>1</v>
      </c>
      <c r="AE244">
        <v>10</v>
      </c>
      <c r="AF244">
        <v>10</v>
      </c>
      <c r="AG244">
        <v>2</v>
      </c>
      <c r="AH244">
        <v>3</v>
      </c>
      <c r="AI244">
        <v>4</v>
      </c>
      <c r="AJ244">
        <v>2</v>
      </c>
      <c r="AK244">
        <v>5</v>
      </c>
      <c r="AL244">
        <v>7</v>
      </c>
      <c r="AM244">
        <v>0</v>
      </c>
      <c r="AN244">
        <v>2</v>
      </c>
      <c r="AO244">
        <v>8</v>
      </c>
      <c r="AP244">
        <v>3</v>
      </c>
      <c r="AQ244">
        <v>1</v>
      </c>
      <c r="AR244">
        <v>8</v>
      </c>
      <c r="AS244">
        <v>5</v>
      </c>
      <c r="AT244">
        <v>0</v>
      </c>
      <c r="AU244">
        <v>9</v>
      </c>
      <c r="AV244">
        <v>8</v>
      </c>
      <c r="AW244">
        <v>7</v>
      </c>
      <c r="AX244">
        <v>2</v>
      </c>
      <c r="AY244">
        <v>1</v>
      </c>
      <c r="AZ244">
        <v>5</v>
      </c>
      <c r="BA244">
        <v>0</v>
      </c>
      <c r="BB244">
        <v>3</v>
      </c>
      <c r="BC244">
        <v>8</v>
      </c>
      <c r="BD244">
        <v>4</v>
      </c>
      <c r="BE244">
        <v>6</v>
      </c>
      <c r="BF244">
        <v>10</v>
      </c>
      <c r="BG244">
        <v>5</v>
      </c>
      <c r="BH244">
        <v>6</v>
      </c>
      <c r="BI244">
        <v>6</v>
      </c>
      <c r="BJ244">
        <v>0</v>
      </c>
      <c r="BK244">
        <v>1</v>
      </c>
      <c r="BL244">
        <v>2</v>
      </c>
      <c r="BM244">
        <v>6</v>
      </c>
      <c r="BN244">
        <v>7</v>
      </c>
      <c r="BO244">
        <v>6</v>
      </c>
      <c r="BP244">
        <v>5</v>
      </c>
      <c r="BQ244">
        <v>2</v>
      </c>
      <c r="BR244">
        <v>8</v>
      </c>
      <c r="BS244">
        <v>5</v>
      </c>
      <c r="BT244">
        <v>6</v>
      </c>
      <c r="BU244">
        <v>6</v>
      </c>
      <c r="BV244">
        <v>3</v>
      </c>
      <c r="BW244">
        <v>1</v>
      </c>
      <c r="BX244">
        <v>5</v>
      </c>
      <c r="BY244">
        <v>8</v>
      </c>
      <c r="BZ244">
        <v>10</v>
      </c>
      <c r="CA244">
        <v>7</v>
      </c>
      <c r="CB244">
        <v>0</v>
      </c>
      <c r="CC244">
        <v>7</v>
      </c>
      <c r="CD244">
        <v>2</v>
      </c>
      <c r="CE244">
        <v>2</v>
      </c>
      <c r="CF244">
        <v>1</v>
      </c>
      <c r="CG244">
        <v>10</v>
      </c>
      <c r="CH244">
        <v>5</v>
      </c>
      <c r="CI244">
        <v>4</v>
      </c>
      <c r="CJ244">
        <v>4</v>
      </c>
      <c r="CK244">
        <v>1</v>
      </c>
      <c r="CL244">
        <v>0</v>
      </c>
      <c r="CM244">
        <v>2</v>
      </c>
      <c r="CN244">
        <v>9</v>
      </c>
      <c r="CO244">
        <v>1</v>
      </c>
      <c r="CP244">
        <v>6</v>
      </c>
      <c r="CQ244">
        <v>6</v>
      </c>
      <c r="CR244">
        <v>6</v>
      </c>
      <c r="CS244">
        <v>3</v>
      </c>
      <c r="CT244">
        <v>8</v>
      </c>
      <c r="CU244">
        <v>1</v>
      </c>
      <c r="CV244">
        <v>2</v>
      </c>
      <c r="CW244">
        <v>1</v>
      </c>
      <c r="CX244">
        <v>9</v>
      </c>
      <c r="CY244">
        <v>10</v>
      </c>
      <c r="CZ244">
        <v>7</v>
      </c>
      <c r="DA244">
        <v>7</v>
      </c>
      <c r="DB244">
        <v>6</v>
      </c>
      <c r="DC244">
        <v>6</v>
      </c>
      <c r="DD244">
        <v>7</v>
      </c>
      <c r="DE244">
        <v>9</v>
      </c>
      <c r="DF244">
        <v>3</v>
      </c>
      <c r="DG244">
        <v>1</v>
      </c>
      <c r="DH244">
        <v>8</v>
      </c>
      <c r="DI244">
        <v>2</v>
      </c>
      <c r="DJ244">
        <v>10</v>
      </c>
      <c r="DK244">
        <v>4</v>
      </c>
    </row>
    <row r="245" spans="1:115">
      <c r="A245" s="173">
        <f>Calculations[[#This Row],[Sum t eCO2]]*IF(Calculations[[#This Row],[GHG Scope]]="BIOGENIC",0,1)</f>
        <v>1.4656622234427001</v>
      </c>
      <c r="O245">
        <f t="shared" si="3"/>
        <v>244</v>
      </c>
      <c r="P245">
        <v>1</v>
      </c>
      <c r="Q245">
        <v>1</v>
      </c>
      <c r="R245">
        <v>6</v>
      </c>
      <c r="S245">
        <v>9</v>
      </c>
      <c r="T245">
        <v>6</v>
      </c>
      <c r="U245">
        <v>6</v>
      </c>
      <c r="V245">
        <v>0</v>
      </c>
      <c r="W245">
        <v>0</v>
      </c>
      <c r="X245">
        <v>0</v>
      </c>
      <c r="Y245">
        <v>5</v>
      </c>
      <c r="Z245">
        <v>1</v>
      </c>
      <c r="AA245">
        <v>6</v>
      </c>
      <c r="AB245">
        <v>0</v>
      </c>
      <c r="AC245">
        <v>9</v>
      </c>
      <c r="AD245">
        <v>5</v>
      </c>
      <c r="AE245">
        <v>4</v>
      </c>
      <c r="AF245">
        <v>5</v>
      </c>
      <c r="AG245">
        <v>8</v>
      </c>
      <c r="AH245">
        <v>8</v>
      </c>
      <c r="AI245">
        <v>4</v>
      </c>
      <c r="AJ245">
        <v>1</v>
      </c>
      <c r="AK245">
        <v>5</v>
      </c>
      <c r="AL245">
        <v>8</v>
      </c>
      <c r="AM245">
        <v>5</v>
      </c>
      <c r="AN245">
        <v>10</v>
      </c>
      <c r="AO245">
        <v>7</v>
      </c>
      <c r="AP245">
        <v>6</v>
      </c>
      <c r="AQ245">
        <v>3</v>
      </c>
      <c r="AR245">
        <v>6</v>
      </c>
      <c r="AS245">
        <v>3</v>
      </c>
      <c r="AT245">
        <v>7</v>
      </c>
      <c r="AU245">
        <v>3</v>
      </c>
      <c r="AV245">
        <v>8</v>
      </c>
      <c r="AW245">
        <v>2</v>
      </c>
      <c r="AX245">
        <v>6</v>
      </c>
      <c r="AY245">
        <v>2</v>
      </c>
      <c r="AZ245">
        <v>8</v>
      </c>
      <c r="BA245">
        <v>8</v>
      </c>
      <c r="BB245">
        <v>6</v>
      </c>
      <c r="BC245">
        <v>10</v>
      </c>
      <c r="BD245">
        <v>6</v>
      </c>
      <c r="BE245">
        <v>3</v>
      </c>
      <c r="BF245">
        <v>0</v>
      </c>
      <c r="BG245">
        <v>5</v>
      </c>
      <c r="BH245">
        <v>2</v>
      </c>
      <c r="BI245">
        <v>0</v>
      </c>
      <c r="BJ245">
        <v>10</v>
      </c>
      <c r="BK245">
        <v>4</v>
      </c>
      <c r="BL245">
        <v>1</v>
      </c>
      <c r="BM245">
        <v>1</v>
      </c>
      <c r="BN245">
        <v>6</v>
      </c>
      <c r="BO245">
        <v>4</v>
      </c>
      <c r="BP245">
        <v>6</v>
      </c>
      <c r="BQ245">
        <v>6</v>
      </c>
      <c r="BR245">
        <v>7</v>
      </c>
      <c r="BS245">
        <v>8</v>
      </c>
      <c r="BT245">
        <v>8</v>
      </c>
      <c r="BU245">
        <v>10</v>
      </c>
      <c r="BV245">
        <v>10</v>
      </c>
      <c r="BW245">
        <v>1</v>
      </c>
      <c r="BX245">
        <v>9</v>
      </c>
      <c r="BY245">
        <v>6</v>
      </c>
      <c r="BZ245">
        <v>3</v>
      </c>
      <c r="CA245">
        <v>4</v>
      </c>
      <c r="CB245">
        <v>2</v>
      </c>
      <c r="CC245">
        <v>2</v>
      </c>
      <c r="CD245">
        <v>6</v>
      </c>
      <c r="CE245">
        <v>0</v>
      </c>
      <c r="CF245">
        <v>10</v>
      </c>
      <c r="CG245">
        <v>10</v>
      </c>
      <c r="CH245">
        <v>5</v>
      </c>
      <c r="CI245">
        <v>9</v>
      </c>
      <c r="CJ245">
        <v>0</v>
      </c>
      <c r="CK245">
        <v>5</v>
      </c>
      <c r="CL245">
        <v>8</v>
      </c>
      <c r="CM245">
        <v>9</v>
      </c>
      <c r="CN245">
        <v>4</v>
      </c>
      <c r="CO245">
        <v>8</v>
      </c>
      <c r="CP245">
        <v>5</v>
      </c>
      <c r="CQ245">
        <v>9</v>
      </c>
      <c r="CR245">
        <v>7</v>
      </c>
      <c r="CS245">
        <v>7</v>
      </c>
      <c r="CT245">
        <v>4</v>
      </c>
      <c r="CU245">
        <v>7</v>
      </c>
      <c r="CV245">
        <v>2</v>
      </c>
      <c r="CW245">
        <v>10</v>
      </c>
      <c r="CX245">
        <v>2</v>
      </c>
      <c r="CY245">
        <v>2</v>
      </c>
      <c r="CZ245">
        <v>2</v>
      </c>
      <c r="DA245">
        <v>0</v>
      </c>
      <c r="DB245">
        <v>5</v>
      </c>
      <c r="DC245">
        <v>4</v>
      </c>
      <c r="DD245">
        <v>7</v>
      </c>
      <c r="DE245">
        <v>10</v>
      </c>
      <c r="DF245">
        <v>5</v>
      </c>
      <c r="DG245">
        <v>7</v>
      </c>
      <c r="DH245">
        <v>4</v>
      </c>
      <c r="DI245">
        <v>6</v>
      </c>
      <c r="DJ245">
        <v>3</v>
      </c>
      <c r="DK245">
        <v>8</v>
      </c>
    </row>
    <row r="246" spans="1:115">
      <c r="A246" s="173">
        <f>Calculations[[#This Row],[Sum t eCO2]]*IF(Calculations[[#This Row],[GHG Scope]]="BIOGENIC",0,1)</f>
        <v>6199.1892868991563</v>
      </c>
      <c r="O246">
        <f t="shared" si="3"/>
        <v>245</v>
      </c>
      <c r="P246">
        <v>0</v>
      </c>
      <c r="Q246">
        <v>0</v>
      </c>
      <c r="R246">
        <v>5</v>
      </c>
      <c r="S246">
        <v>5</v>
      </c>
      <c r="T246">
        <v>7</v>
      </c>
      <c r="U246">
        <v>6</v>
      </c>
      <c r="V246">
        <v>10</v>
      </c>
      <c r="W246">
        <v>7</v>
      </c>
      <c r="X246">
        <v>2</v>
      </c>
      <c r="Y246">
        <v>8</v>
      </c>
      <c r="Z246">
        <v>2</v>
      </c>
      <c r="AA246">
        <v>6</v>
      </c>
      <c r="AB246">
        <v>4</v>
      </c>
      <c r="AC246">
        <v>3</v>
      </c>
      <c r="AD246">
        <v>7</v>
      </c>
      <c r="AE246">
        <v>3</v>
      </c>
      <c r="AF246">
        <v>6</v>
      </c>
      <c r="AG246">
        <v>2</v>
      </c>
      <c r="AH246">
        <v>1</v>
      </c>
      <c r="AI246">
        <v>7</v>
      </c>
      <c r="AJ246">
        <v>1</v>
      </c>
      <c r="AK246">
        <v>8</v>
      </c>
      <c r="AL246">
        <v>3</v>
      </c>
      <c r="AM246">
        <v>1</v>
      </c>
      <c r="AN246">
        <v>9</v>
      </c>
      <c r="AO246">
        <v>1</v>
      </c>
      <c r="AP246">
        <v>5</v>
      </c>
      <c r="AQ246">
        <v>10</v>
      </c>
      <c r="AR246">
        <v>4</v>
      </c>
      <c r="AS246">
        <v>3</v>
      </c>
      <c r="AT246">
        <v>5</v>
      </c>
      <c r="AU246">
        <v>9</v>
      </c>
      <c r="AV246">
        <v>8</v>
      </c>
      <c r="AW246">
        <v>4</v>
      </c>
      <c r="AX246">
        <v>8</v>
      </c>
      <c r="AY246">
        <v>6</v>
      </c>
      <c r="AZ246">
        <v>4</v>
      </c>
      <c r="BA246">
        <v>1</v>
      </c>
      <c r="BB246">
        <v>5</v>
      </c>
      <c r="BC246">
        <v>8</v>
      </c>
      <c r="BD246">
        <v>7</v>
      </c>
      <c r="BE246">
        <v>7</v>
      </c>
      <c r="BF246">
        <v>3</v>
      </c>
      <c r="BG246">
        <v>3</v>
      </c>
      <c r="BH246">
        <v>7</v>
      </c>
      <c r="BI246">
        <v>2</v>
      </c>
      <c r="BJ246">
        <v>8</v>
      </c>
      <c r="BK246">
        <v>10</v>
      </c>
      <c r="BL246">
        <v>10</v>
      </c>
      <c r="BM246">
        <v>1</v>
      </c>
      <c r="BN246">
        <v>2</v>
      </c>
      <c r="BO246">
        <v>3</v>
      </c>
      <c r="BP246">
        <v>0</v>
      </c>
      <c r="BQ246">
        <v>8</v>
      </c>
      <c r="BR246">
        <v>8</v>
      </c>
      <c r="BS246">
        <v>4</v>
      </c>
      <c r="BT246">
        <v>8</v>
      </c>
      <c r="BU246">
        <v>1</v>
      </c>
      <c r="BV246">
        <v>0</v>
      </c>
      <c r="BW246">
        <v>0</v>
      </c>
      <c r="BX246">
        <v>5</v>
      </c>
      <c r="BY246">
        <v>0</v>
      </c>
      <c r="BZ246">
        <v>10</v>
      </c>
      <c r="CA246">
        <v>10</v>
      </c>
      <c r="CB246">
        <v>4</v>
      </c>
      <c r="CC246">
        <v>2</v>
      </c>
      <c r="CD246">
        <v>0</v>
      </c>
      <c r="CE246">
        <v>9</v>
      </c>
      <c r="CF246">
        <v>9</v>
      </c>
      <c r="CG246">
        <v>9</v>
      </c>
      <c r="CH246">
        <v>8</v>
      </c>
      <c r="CI246">
        <v>5</v>
      </c>
      <c r="CJ246">
        <v>8</v>
      </c>
      <c r="CK246">
        <v>3</v>
      </c>
      <c r="CL246">
        <v>8</v>
      </c>
      <c r="CM246">
        <v>2</v>
      </c>
      <c r="CN246">
        <v>2</v>
      </c>
      <c r="CO246">
        <v>10</v>
      </c>
      <c r="CP246">
        <v>6</v>
      </c>
      <c r="CQ246">
        <v>5</v>
      </c>
      <c r="CR246">
        <v>8</v>
      </c>
      <c r="CS246">
        <v>5</v>
      </c>
      <c r="CT246">
        <v>8</v>
      </c>
      <c r="CU246">
        <v>7</v>
      </c>
      <c r="CV246">
        <v>8</v>
      </c>
      <c r="CW246">
        <v>1</v>
      </c>
      <c r="CX246">
        <v>7</v>
      </c>
      <c r="CY246">
        <v>7</v>
      </c>
      <c r="CZ246">
        <v>8</v>
      </c>
      <c r="DA246">
        <v>3</v>
      </c>
      <c r="DB246">
        <v>3</v>
      </c>
      <c r="DC246">
        <v>0</v>
      </c>
      <c r="DD246">
        <v>10</v>
      </c>
      <c r="DE246">
        <v>6</v>
      </c>
      <c r="DF246">
        <v>4</v>
      </c>
      <c r="DG246">
        <v>3</v>
      </c>
      <c r="DH246">
        <v>2</v>
      </c>
      <c r="DI246">
        <v>4</v>
      </c>
      <c r="DJ246">
        <v>9</v>
      </c>
      <c r="DK246">
        <v>6</v>
      </c>
    </row>
    <row r="247" spans="1:115">
      <c r="A247" s="173">
        <f>Calculations[[#This Row],[Sum t eCO2]]*IF(Calculations[[#This Row],[GHG Scope]]="BIOGENIC",0,1)</f>
        <v>10.389328261808194</v>
      </c>
      <c r="O247">
        <f t="shared" si="3"/>
        <v>246</v>
      </c>
      <c r="P247">
        <v>2</v>
      </c>
      <c r="Q247">
        <v>9</v>
      </c>
      <c r="R247">
        <v>4</v>
      </c>
      <c r="S247">
        <v>3</v>
      </c>
      <c r="T247">
        <v>5</v>
      </c>
      <c r="U247">
        <v>1</v>
      </c>
      <c r="V247">
        <v>10</v>
      </c>
      <c r="W247">
        <v>8</v>
      </c>
      <c r="X247">
        <v>0</v>
      </c>
      <c r="Y247">
        <v>4</v>
      </c>
      <c r="Z247">
        <v>4</v>
      </c>
      <c r="AA247">
        <v>7</v>
      </c>
      <c r="AB247">
        <v>1</v>
      </c>
      <c r="AC247">
        <v>1</v>
      </c>
      <c r="AD247">
        <v>10</v>
      </c>
      <c r="AE247">
        <v>1</v>
      </c>
      <c r="AF247">
        <v>6</v>
      </c>
      <c r="AG247">
        <v>5</v>
      </c>
      <c r="AH247">
        <v>9</v>
      </c>
      <c r="AI247">
        <v>6</v>
      </c>
      <c r="AJ247">
        <v>1</v>
      </c>
      <c r="AK247">
        <v>3</v>
      </c>
      <c r="AL247">
        <v>10</v>
      </c>
      <c r="AM247">
        <v>6</v>
      </c>
      <c r="AN247">
        <v>9</v>
      </c>
      <c r="AO247">
        <v>7</v>
      </c>
      <c r="AP247">
        <v>4</v>
      </c>
      <c r="AQ247">
        <v>5</v>
      </c>
      <c r="AR247">
        <v>0</v>
      </c>
      <c r="AS247">
        <v>8</v>
      </c>
      <c r="AT247">
        <v>3</v>
      </c>
      <c r="AU247">
        <v>4</v>
      </c>
      <c r="AV247">
        <v>7</v>
      </c>
      <c r="AW247">
        <v>9</v>
      </c>
      <c r="AX247">
        <v>5</v>
      </c>
      <c r="AY247">
        <v>0</v>
      </c>
      <c r="AZ247">
        <v>8</v>
      </c>
      <c r="BA247">
        <v>10</v>
      </c>
      <c r="BB247">
        <v>5</v>
      </c>
      <c r="BC247">
        <v>9</v>
      </c>
      <c r="BD247">
        <v>1</v>
      </c>
      <c r="BE247">
        <v>2</v>
      </c>
      <c r="BF247">
        <v>0</v>
      </c>
      <c r="BG247">
        <v>4</v>
      </c>
      <c r="BH247">
        <v>1</v>
      </c>
      <c r="BI247">
        <v>3</v>
      </c>
      <c r="BJ247">
        <v>7</v>
      </c>
      <c r="BK247">
        <v>4</v>
      </c>
      <c r="BL247">
        <v>6</v>
      </c>
      <c r="BM247">
        <v>0</v>
      </c>
      <c r="BN247">
        <v>9</v>
      </c>
      <c r="BO247">
        <v>8</v>
      </c>
      <c r="BP247">
        <v>3</v>
      </c>
      <c r="BQ247">
        <v>2</v>
      </c>
      <c r="BR247">
        <v>1</v>
      </c>
      <c r="BS247">
        <v>4</v>
      </c>
      <c r="BT247">
        <v>4</v>
      </c>
      <c r="BU247">
        <v>0</v>
      </c>
      <c r="BV247">
        <v>0</v>
      </c>
      <c r="BW247">
        <v>1</v>
      </c>
      <c r="BX247">
        <v>10</v>
      </c>
      <c r="BY247">
        <v>1</v>
      </c>
      <c r="BZ247">
        <v>1</v>
      </c>
      <c r="CA247">
        <v>4</v>
      </c>
      <c r="CB247">
        <v>7</v>
      </c>
      <c r="CC247">
        <v>3</v>
      </c>
      <c r="CD247">
        <v>7</v>
      </c>
      <c r="CE247">
        <v>0</v>
      </c>
      <c r="CF247">
        <v>5</v>
      </c>
      <c r="CG247">
        <v>0</v>
      </c>
      <c r="CH247">
        <v>1</v>
      </c>
      <c r="CI247">
        <v>5</v>
      </c>
      <c r="CJ247">
        <v>6</v>
      </c>
      <c r="CK247">
        <v>10</v>
      </c>
      <c r="CL247">
        <v>2</v>
      </c>
      <c r="CM247">
        <v>1</v>
      </c>
      <c r="CN247">
        <v>6</v>
      </c>
      <c r="CO247">
        <v>7</v>
      </c>
      <c r="CP247">
        <v>10</v>
      </c>
      <c r="CQ247">
        <v>4</v>
      </c>
      <c r="CR247">
        <v>1</v>
      </c>
      <c r="CS247">
        <v>10</v>
      </c>
      <c r="CT247">
        <v>0</v>
      </c>
      <c r="CU247">
        <v>2</v>
      </c>
      <c r="CV247">
        <v>3</v>
      </c>
      <c r="CW247">
        <v>2</v>
      </c>
      <c r="CX247">
        <v>7</v>
      </c>
      <c r="CY247">
        <v>2</v>
      </c>
      <c r="CZ247">
        <v>7</v>
      </c>
      <c r="DA247">
        <v>9</v>
      </c>
      <c r="DB247">
        <v>3</v>
      </c>
      <c r="DC247">
        <v>7</v>
      </c>
      <c r="DD247">
        <v>3</v>
      </c>
      <c r="DE247">
        <v>8</v>
      </c>
      <c r="DF247">
        <v>0</v>
      </c>
      <c r="DG247">
        <v>6</v>
      </c>
      <c r="DH247">
        <v>3</v>
      </c>
      <c r="DI247">
        <v>3</v>
      </c>
      <c r="DJ247">
        <v>0</v>
      </c>
      <c r="DK247">
        <v>8</v>
      </c>
    </row>
    <row r="248" spans="1:115">
      <c r="A248" s="173">
        <f>Calculations[[#This Row],[Sum t eCO2]]*IF(Calculations[[#This Row],[GHG Scope]]="BIOGENIC",0,1)</f>
        <v>2.5749022799999997E-2</v>
      </c>
      <c r="O248">
        <f t="shared" si="3"/>
        <v>247</v>
      </c>
      <c r="P248">
        <v>1</v>
      </c>
      <c r="Q248">
        <v>0</v>
      </c>
      <c r="R248">
        <v>5</v>
      </c>
      <c r="S248">
        <v>5</v>
      </c>
      <c r="T248">
        <v>6</v>
      </c>
      <c r="U248">
        <v>9</v>
      </c>
      <c r="V248">
        <v>10</v>
      </c>
      <c r="W248">
        <v>7</v>
      </c>
      <c r="X248">
        <v>1</v>
      </c>
      <c r="Y248">
        <v>3</v>
      </c>
      <c r="Z248">
        <v>5</v>
      </c>
      <c r="AA248">
        <v>0</v>
      </c>
      <c r="AB248">
        <v>4</v>
      </c>
      <c r="AC248">
        <v>2</v>
      </c>
      <c r="AD248">
        <v>9</v>
      </c>
      <c r="AE248">
        <v>2</v>
      </c>
      <c r="AF248">
        <v>4</v>
      </c>
      <c r="AG248">
        <v>6</v>
      </c>
      <c r="AH248">
        <v>1</v>
      </c>
      <c r="AI248">
        <v>5</v>
      </c>
      <c r="AJ248">
        <v>4</v>
      </c>
      <c r="AK248">
        <v>0</v>
      </c>
      <c r="AL248">
        <v>5</v>
      </c>
      <c r="AM248">
        <v>6</v>
      </c>
      <c r="AN248">
        <v>9</v>
      </c>
      <c r="AO248">
        <v>5</v>
      </c>
      <c r="AP248">
        <v>6</v>
      </c>
      <c r="AQ248">
        <v>4</v>
      </c>
      <c r="AR248">
        <v>7</v>
      </c>
      <c r="AS248">
        <v>0</v>
      </c>
      <c r="AT248">
        <v>7</v>
      </c>
      <c r="AU248">
        <v>2</v>
      </c>
      <c r="AV248">
        <v>6</v>
      </c>
      <c r="AW248">
        <v>2</v>
      </c>
      <c r="AX248">
        <v>8</v>
      </c>
      <c r="AY248">
        <v>9</v>
      </c>
      <c r="AZ248">
        <v>8</v>
      </c>
      <c r="BA248">
        <v>8</v>
      </c>
      <c r="BB248">
        <v>6</v>
      </c>
      <c r="BC248">
        <v>8</v>
      </c>
      <c r="BD248">
        <v>3</v>
      </c>
      <c r="BE248">
        <v>6</v>
      </c>
      <c r="BF248">
        <v>4</v>
      </c>
      <c r="BG248">
        <v>4</v>
      </c>
      <c r="BH248">
        <v>3</v>
      </c>
      <c r="BI248">
        <v>1</v>
      </c>
      <c r="BJ248">
        <v>6</v>
      </c>
      <c r="BK248">
        <v>6</v>
      </c>
      <c r="BL248">
        <v>7</v>
      </c>
      <c r="BM248">
        <v>7</v>
      </c>
      <c r="BN248">
        <v>8</v>
      </c>
      <c r="BO248">
        <v>2</v>
      </c>
      <c r="BP248">
        <v>4</v>
      </c>
      <c r="BQ248">
        <v>2</v>
      </c>
      <c r="BR248">
        <v>10</v>
      </c>
      <c r="BS248">
        <v>10</v>
      </c>
      <c r="BT248">
        <v>10</v>
      </c>
      <c r="BU248">
        <v>4</v>
      </c>
      <c r="BV248">
        <v>2</v>
      </c>
      <c r="BW248">
        <v>3</v>
      </c>
      <c r="BX248">
        <v>5</v>
      </c>
      <c r="BY248">
        <v>8</v>
      </c>
      <c r="BZ248">
        <v>7</v>
      </c>
      <c r="CA248">
        <v>7</v>
      </c>
      <c r="CB248">
        <v>10</v>
      </c>
      <c r="CC248">
        <v>4</v>
      </c>
      <c r="CD248">
        <v>3</v>
      </c>
      <c r="CE248">
        <v>9</v>
      </c>
      <c r="CF248">
        <v>1</v>
      </c>
      <c r="CG248">
        <v>10</v>
      </c>
      <c r="CH248">
        <v>7</v>
      </c>
      <c r="CI248">
        <v>2</v>
      </c>
      <c r="CJ248">
        <v>2</v>
      </c>
      <c r="CK248">
        <v>4</v>
      </c>
      <c r="CL248">
        <v>0</v>
      </c>
      <c r="CM248">
        <v>4</v>
      </c>
      <c r="CN248">
        <v>1</v>
      </c>
      <c r="CO248">
        <v>4</v>
      </c>
      <c r="CP248">
        <v>5</v>
      </c>
      <c r="CQ248">
        <v>3</v>
      </c>
      <c r="CR248">
        <v>2</v>
      </c>
      <c r="CS248">
        <v>3</v>
      </c>
      <c r="CT248">
        <v>8</v>
      </c>
      <c r="CU248">
        <v>1</v>
      </c>
      <c r="CV248">
        <v>3</v>
      </c>
      <c r="CW248">
        <v>7</v>
      </c>
      <c r="CX248">
        <v>2</v>
      </c>
      <c r="CY248">
        <v>5</v>
      </c>
      <c r="CZ248">
        <v>9</v>
      </c>
      <c r="DA248">
        <v>7</v>
      </c>
      <c r="DB248">
        <v>0</v>
      </c>
      <c r="DC248">
        <v>10</v>
      </c>
      <c r="DD248">
        <v>10</v>
      </c>
      <c r="DE248">
        <v>0</v>
      </c>
      <c r="DF248">
        <v>6</v>
      </c>
      <c r="DG248">
        <v>6</v>
      </c>
      <c r="DH248">
        <v>1</v>
      </c>
      <c r="DI248">
        <v>3</v>
      </c>
      <c r="DJ248">
        <v>6</v>
      </c>
      <c r="DK248">
        <v>8</v>
      </c>
    </row>
    <row r="249" spans="1:115">
      <c r="A249" s="173">
        <f>Calculations[[#This Row],[Sum t eCO2]]*IF(Calculations[[#This Row],[GHG Scope]]="BIOGENIC",0,1)</f>
        <v>1.8055632000000001E-5</v>
      </c>
      <c r="O249">
        <f t="shared" si="3"/>
        <v>248</v>
      </c>
      <c r="P249">
        <v>2</v>
      </c>
      <c r="Q249">
        <v>9</v>
      </c>
      <c r="R249">
        <v>9</v>
      </c>
      <c r="S249">
        <v>0</v>
      </c>
      <c r="T249">
        <v>6</v>
      </c>
      <c r="U249">
        <v>3</v>
      </c>
      <c r="V249">
        <v>2</v>
      </c>
      <c r="W249">
        <v>10</v>
      </c>
      <c r="X249">
        <v>3</v>
      </c>
      <c r="Y249">
        <v>8</v>
      </c>
      <c r="Z249">
        <v>9</v>
      </c>
      <c r="AA249">
        <v>6</v>
      </c>
      <c r="AB249">
        <v>7</v>
      </c>
      <c r="AC249">
        <v>8</v>
      </c>
      <c r="AD249">
        <v>2</v>
      </c>
      <c r="AE249">
        <v>10</v>
      </c>
      <c r="AF249">
        <v>8</v>
      </c>
      <c r="AG249">
        <v>2</v>
      </c>
      <c r="AH249">
        <v>4</v>
      </c>
      <c r="AI249">
        <v>7</v>
      </c>
      <c r="AJ249">
        <v>6</v>
      </c>
      <c r="AK249">
        <v>10</v>
      </c>
      <c r="AL249">
        <v>9</v>
      </c>
      <c r="AM249">
        <v>7</v>
      </c>
      <c r="AN249">
        <v>5</v>
      </c>
      <c r="AO249">
        <v>9</v>
      </c>
      <c r="AP249">
        <v>4</v>
      </c>
      <c r="AQ249">
        <v>10</v>
      </c>
      <c r="AR249">
        <v>1</v>
      </c>
      <c r="AS249">
        <v>1</v>
      </c>
      <c r="AT249">
        <v>4</v>
      </c>
      <c r="AU249">
        <v>3</v>
      </c>
      <c r="AV249">
        <v>10</v>
      </c>
      <c r="AW249">
        <v>2</v>
      </c>
      <c r="AX249">
        <v>4</v>
      </c>
      <c r="AY249">
        <v>8</v>
      </c>
      <c r="AZ249">
        <v>10</v>
      </c>
      <c r="BA249">
        <v>6</v>
      </c>
      <c r="BB249">
        <v>9</v>
      </c>
      <c r="BC249">
        <v>7</v>
      </c>
      <c r="BD249">
        <v>2</v>
      </c>
      <c r="BE249">
        <v>8</v>
      </c>
      <c r="BF249">
        <v>5</v>
      </c>
      <c r="BG249">
        <v>7</v>
      </c>
      <c r="BH249">
        <v>10</v>
      </c>
      <c r="BI249">
        <v>0</v>
      </c>
      <c r="BJ249">
        <v>8</v>
      </c>
      <c r="BK249">
        <v>2</v>
      </c>
      <c r="BL249">
        <v>6</v>
      </c>
      <c r="BM249">
        <v>1</v>
      </c>
      <c r="BN249">
        <v>0</v>
      </c>
      <c r="BO249">
        <v>0</v>
      </c>
      <c r="BP249">
        <v>5</v>
      </c>
      <c r="BQ249">
        <v>0</v>
      </c>
      <c r="BR249">
        <v>4</v>
      </c>
      <c r="BS249">
        <v>6</v>
      </c>
      <c r="BT249">
        <v>10</v>
      </c>
      <c r="BU249">
        <v>1</v>
      </c>
      <c r="BV249">
        <v>9</v>
      </c>
      <c r="BW249">
        <v>6</v>
      </c>
      <c r="BX249">
        <v>5</v>
      </c>
      <c r="BY249">
        <v>7</v>
      </c>
      <c r="BZ249">
        <v>3</v>
      </c>
      <c r="CA249">
        <v>1</v>
      </c>
      <c r="CB249">
        <v>8</v>
      </c>
      <c r="CC249">
        <v>3</v>
      </c>
      <c r="CD249">
        <v>1</v>
      </c>
      <c r="CE249">
        <v>5</v>
      </c>
      <c r="CF249">
        <v>7</v>
      </c>
      <c r="CG249">
        <v>3</v>
      </c>
      <c r="CH249">
        <v>5</v>
      </c>
      <c r="CI249">
        <v>3</v>
      </c>
      <c r="CJ249">
        <v>0</v>
      </c>
      <c r="CK249">
        <v>5</v>
      </c>
      <c r="CL249">
        <v>3</v>
      </c>
      <c r="CM249">
        <v>4</v>
      </c>
      <c r="CN249">
        <v>0</v>
      </c>
      <c r="CO249">
        <v>5</v>
      </c>
      <c r="CP249">
        <v>9</v>
      </c>
      <c r="CQ249">
        <v>8</v>
      </c>
      <c r="CR249">
        <v>6</v>
      </c>
      <c r="CS249">
        <v>6</v>
      </c>
      <c r="CT249">
        <v>6</v>
      </c>
      <c r="CU249">
        <v>7</v>
      </c>
      <c r="CV249">
        <v>2</v>
      </c>
      <c r="CW249">
        <v>8</v>
      </c>
      <c r="CX249">
        <v>2</v>
      </c>
      <c r="CY249">
        <v>2</v>
      </c>
      <c r="CZ249">
        <v>5</v>
      </c>
      <c r="DA249">
        <v>4</v>
      </c>
      <c r="DB249">
        <v>8</v>
      </c>
      <c r="DC249">
        <v>8</v>
      </c>
      <c r="DD249">
        <v>7</v>
      </c>
      <c r="DE249">
        <v>8</v>
      </c>
      <c r="DF249">
        <v>9</v>
      </c>
      <c r="DG249">
        <v>10</v>
      </c>
      <c r="DH249">
        <v>8</v>
      </c>
      <c r="DI249">
        <v>2</v>
      </c>
      <c r="DJ249">
        <v>2</v>
      </c>
      <c r="DK249">
        <v>7</v>
      </c>
    </row>
    <row r="250" spans="1:115">
      <c r="A250" s="173">
        <f>Calculations[[#This Row],[Sum t eCO2]]*IF(Calculations[[#This Row],[GHG Scope]]="BIOGENIC",0,1)</f>
        <v>7.0361793000000016E-5</v>
      </c>
      <c r="O250">
        <f t="shared" si="3"/>
        <v>249</v>
      </c>
      <c r="P250">
        <v>3</v>
      </c>
      <c r="Q250">
        <v>0</v>
      </c>
      <c r="R250">
        <v>5</v>
      </c>
      <c r="S250">
        <v>3</v>
      </c>
      <c r="T250">
        <v>7</v>
      </c>
      <c r="U250">
        <v>3</v>
      </c>
      <c r="V250">
        <v>3</v>
      </c>
      <c r="W250">
        <v>0</v>
      </c>
      <c r="X250">
        <v>1</v>
      </c>
      <c r="Y250">
        <v>2</v>
      </c>
      <c r="Z250">
        <v>5</v>
      </c>
      <c r="AA250">
        <v>9</v>
      </c>
      <c r="AB250">
        <v>5</v>
      </c>
      <c r="AC250">
        <v>4</v>
      </c>
      <c r="AD250">
        <v>6</v>
      </c>
      <c r="AE250">
        <v>9</v>
      </c>
      <c r="AF250">
        <v>1</v>
      </c>
      <c r="AG250">
        <v>7</v>
      </c>
      <c r="AH250">
        <v>10</v>
      </c>
      <c r="AI250">
        <v>1</v>
      </c>
      <c r="AJ250">
        <v>6</v>
      </c>
      <c r="AK250">
        <v>7</v>
      </c>
      <c r="AL250">
        <v>9</v>
      </c>
      <c r="AM250">
        <v>6</v>
      </c>
      <c r="AN250">
        <v>2</v>
      </c>
      <c r="AO250">
        <v>0</v>
      </c>
      <c r="AP250">
        <v>8</v>
      </c>
      <c r="AQ250">
        <v>10</v>
      </c>
      <c r="AR250">
        <v>1</v>
      </c>
      <c r="AS250">
        <v>2</v>
      </c>
      <c r="AT250">
        <v>10</v>
      </c>
      <c r="AU250">
        <v>4</v>
      </c>
      <c r="AV250">
        <v>2</v>
      </c>
      <c r="AW250">
        <v>4</v>
      </c>
      <c r="AX250">
        <v>8</v>
      </c>
      <c r="AY250">
        <v>10</v>
      </c>
      <c r="AZ250">
        <v>3</v>
      </c>
      <c r="BA250">
        <v>2</v>
      </c>
      <c r="BB250">
        <v>9</v>
      </c>
      <c r="BC250">
        <v>7</v>
      </c>
      <c r="BD250">
        <v>5</v>
      </c>
      <c r="BE250">
        <v>0</v>
      </c>
      <c r="BF250">
        <v>7</v>
      </c>
      <c r="BG250">
        <v>1</v>
      </c>
      <c r="BH250">
        <v>9</v>
      </c>
      <c r="BI250">
        <v>7</v>
      </c>
      <c r="BJ250">
        <v>10</v>
      </c>
      <c r="BK250">
        <v>3</v>
      </c>
      <c r="BL250">
        <v>8</v>
      </c>
      <c r="BM250">
        <v>5</v>
      </c>
      <c r="BN250">
        <v>8</v>
      </c>
      <c r="BO250">
        <v>6</v>
      </c>
      <c r="BP250">
        <v>8</v>
      </c>
      <c r="BQ250">
        <v>6</v>
      </c>
      <c r="BR250">
        <v>3</v>
      </c>
      <c r="BS250">
        <v>10</v>
      </c>
      <c r="BT250">
        <v>7</v>
      </c>
      <c r="BU250">
        <v>0</v>
      </c>
      <c r="BV250">
        <v>6</v>
      </c>
      <c r="BW250">
        <v>6</v>
      </c>
      <c r="BX250">
        <v>5</v>
      </c>
      <c r="BY250">
        <v>2</v>
      </c>
      <c r="BZ250">
        <v>5</v>
      </c>
      <c r="CA250">
        <v>0</v>
      </c>
      <c r="CB250">
        <v>0</v>
      </c>
      <c r="CC250">
        <v>5</v>
      </c>
      <c r="CD250">
        <v>3</v>
      </c>
      <c r="CE250">
        <v>10</v>
      </c>
      <c r="CF250">
        <v>2</v>
      </c>
      <c r="CG250">
        <v>4</v>
      </c>
      <c r="CH250">
        <v>5</v>
      </c>
      <c r="CI250">
        <v>1</v>
      </c>
      <c r="CJ250">
        <v>1</v>
      </c>
      <c r="CK250">
        <v>10</v>
      </c>
      <c r="CL250">
        <v>10</v>
      </c>
      <c r="CM250">
        <v>8</v>
      </c>
      <c r="CN250">
        <v>7</v>
      </c>
      <c r="CO250">
        <v>1</v>
      </c>
      <c r="CP250">
        <v>6</v>
      </c>
      <c r="CQ250">
        <v>5</v>
      </c>
      <c r="CR250">
        <v>9</v>
      </c>
      <c r="CS250">
        <v>10</v>
      </c>
      <c r="CT250">
        <v>6</v>
      </c>
      <c r="CU250">
        <v>2</v>
      </c>
      <c r="CV250">
        <v>3</v>
      </c>
      <c r="CW250">
        <v>0</v>
      </c>
      <c r="CX250">
        <v>1</v>
      </c>
      <c r="CY250">
        <v>3</v>
      </c>
      <c r="CZ250">
        <v>4</v>
      </c>
      <c r="DA250">
        <v>6</v>
      </c>
      <c r="DB250">
        <v>6</v>
      </c>
      <c r="DC250">
        <v>4</v>
      </c>
      <c r="DD250">
        <v>9</v>
      </c>
      <c r="DE250">
        <v>5</v>
      </c>
      <c r="DF250">
        <v>8</v>
      </c>
      <c r="DG250">
        <v>1</v>
      </c>
      <c r="DH250">
        <v>6</v>
      </c>
      <c r="DI250">
        <v>8</v>
      </c>
      <c r="DJ250">
        <v>3</v>
      </c>
      <c r="DK250">
        <v>8</v>
      </c>
    </row>
    <row r="251" spans="1:115">
      <c r="A251" s="173">
        <f>Calculations[[#This Row],[Sum t eCO2]]*IF(Calculations[[#This Row],[GHG Scope]]="BIOGENIC",0,1)</f>
        <v>7.6469427208531702</v>
      </c>
      <c r="O251">
        <f t="shared" si="3"/>
        <v>250</v>
      </c>
      <c r="P251">
        <v>5</v>
      </c>
      <c r="Q251">
        <v>4</v>
      </c>
      <c r="R251">
        <v>4</v>
      </c>
      <c r="S251">
        <v>7</v>
      </c>
      <c r="T251">
        <v>6</v>
      </c>
      <c r="U251">
        <v>7</v>
      </c>
      <c r="V251">
        <v>9</v>
      </c>
      <c r="W251">
        <v>0</v>
      </c>
      <c r="X251">
        <v>4</v>
      </c>
      <c r="Y251">
        <v>1</v>
      </c>
      <c r="Z251">
        <v>8</v>
      </c>
      <c r="AA251">
        <v>8</v>
      </c>
      <c r="AB251">
        <v>7</v>
      </c>
      <c r="AC251">
        <v>2</v>
      </c>
      <c r="AD251">
        <v>4</v>
      </c>
      <c r="AE251">
        <v>8</v>
      </c>
      <c r="AF251">
        <v>0</v>
      </c>
      <c r="AG251">
        <v>6</v>
      </c>
      <c r="AH251">
        <v>2</v>
      </c>
      <c r="AI251">
        <v>4</v>
      </c>
      <c r="AJ251">
        <v>6</v>
      </c>
      <c r="AK251">
        <v>5</v>
      </c>
      <c r="AL251">
        <v>2</v>
      </c>
      <c r="AM251">
        <v>2</v>
      </c>
      <c r="AN251">
        <v>2</v>
      </c>
      <c r="AO251">
        <v>4</v>
      </c>
      <c r="AP251">
        <v>4</v>
      </c>
      <c r="AQ251">
        <v>1</v>
      </c>
      <c r="AR251">
        <v>5</v>
      </c>
      <c r="AS251">
        <v>8</v>
      </c>
      <c r="AT251">
        <v>10</v>
      </c>
      <c r="AU251">
        <v>8</v>
      </c>
      <c r="AV251">
        <v>6</v>
      </c>
      <c r="AW251">
        <v>3</v>
      </c>
      <c r="AX251">
        <v>4</v>
      </c>
      <c r="AY251">
        <v>2</v>
      </c>
      <c r="AZ251">
        <v>8</v>
      </c>
      <c r="BA251">
        <v>6</v>
      </c>
      <c r="BB251">
        <v>6</v>
      </c>
      <c r="BC251">
        <v>1</v>
      </c>
      <c r="BD251">
        <v>9</v>
      </c>
      <c r="BE251">
        <v>1</v>
      </c>
      <c r="BF251">
        <v>9</v>
      </c>
      <c r="BG251">
        <v>3</v>
      </c>
      <c r="BH251">
        <v>0</v>
      </c>
      <c r="BI251">
        <v>2</v>
      </c>
      <c r="BJ251">
        <v>7</v>
      </c>
      <c r="BK251">
        <v>5</v>
      </c>
      <c r="BL251">
        <v>4</v>
      </c>
      <c r="BM251">
        <v>9</v>
      </c>
      <c r="BN251">
        <v>0</v>
      </c>
      <c r="BO251">
        <v>9</v>
      </c>
      <c r="BP251">
        <v>5</v>
      </c>
      <c r="BQ251">
        <v>0</v>
      </c>
      <c r="BR251">
        <v>10</v>
      </c>
      <c r="BS251">
        <v>4</v>
      </c>
      <c r="BT251">
        <v>1</v>
      </c>
      <c r="BU251">
        <v>6</v>
      </c>
      <c r="BV251">
        <v>1</v>
      </c>
      <c r="BW251">
        <v>1</v>
      </c>
      <c r="BX251">
        <v>2</v>
      </c>
      <c r="BY251">
        <v>4</v>
      </c>
      <c r="BZ251">
        <v>10</v>
      </c>
      <c r="CA251">
        <v>7</v>
      </c>
      <c r="CB251">
        <v>5</v>
      </c>
      <c r="CC251">
        <v>6</v>
      </c>
      <c r="CD251">
        <v>2</v>
      </c>
      <c r="CE251">
        <v>2</v>
      </c>
      <c r="CF251">
        <v>8</v>
      </c>
      <c r="CG251">
        <v>7</v>
      </c>
      <c r="CH251">
        <v>5</v>
      </c>
      <c r="CI251">
        <v>9</v>
      </c>
      <c r="CJ251">
        <v>2</v>
      </c>
      <c r="CK251">
        <v>7</v>
      </c>
      <c r="CL251">
        <v>9</v>
      </c>
      <c r="CM251">
        <v>8</v>
      </c>
      <c r="CN251">
        <v>5</v>
      </c>
      <c r="CO251">
        <v>3</v>
      </c>
      <c r="CP251">
        <v>6</v>
      </c>
      <c r="CQ251">
        <v>7</v>
      </c>
      <c r="CR251">
        <v>8</v>
      </c>
      <c r="CS251">
        <v>6</v>
      </c>
      <c r="CT251">
        <v>4</v>
      </c>
      <c r="CU251">
        <v>0</v>
      </c>
      <c r="CV251">
        <v>9</v>
      </c>
      <c r="CW251">
        <v>2</v>
      </c>
      <c r="CX251">
        <v>8</v>
      </c>
      <c r="CY251">
        <v>7</v>
      </c>
      <c r="CZ251">
        <v>8</v>
      </c>
      <c r="DA251">
        <v>9</v>
      </c>
      <c r="DB251">
        <v>10</v>
      </c>
      <c r="DC251">
        <v>3</v>
      </c>
      <c r="DD251">
        <v>3</v>
      </c>
      <c r="DE251">
        <v>2</v>
      </c>
      <c r="DF251">
        <v>10</v>
      </c>
      <c r="DG251">
        <v>10</v>
      </c>
      <c r="DH251">
        <v>3</v>
      </c>
      <c r="DI251">
        <v>5</v>
      </c>
      <c r="DJ251">
        <v>7</v>
      </c>
      <c r="DK251">
        <v>2</v>
      </c>
    </row>
    <row r="252" spans="1:115">
      <c r="A252" s="173">
        <f>Calculations[[#This Row],[Sum t eCO2]]*IF(Calculations[[#This Row],[GHG Scope]]="BIOGENIC",0,1)</f>
        <v>5.3621601396385259E-3</v>
      </c>
      <c r="O252">
        <f t="shared" si="3"/>
        <v>251</v>
      </c>
      <c r="P252">
        <v>10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9</v>
      </c>
      <c r="W252">
        <v>3</v>
      </c>
      <c r="X252">
        <v>3</v>
      </c>
      <c r="Y252">
        <v>0</v>
      </c>
      <c r="Z252">
        <v>1</v>
      </c>
      <c r="AA252">
        <v>8</v>
      </c>
      <c r="AB252">
        <v>5</v>
      </c>
      <c r="AC252">
        <v>6</v>
      </c>
      <c r="AD252">
        <v>5</v>
      </c>
      <c r="AE252">
        <v>2</v>
      </c>
      <c r="AF252">
        <v>5</v>
      </c>
      <c r="AG252">
        <v>1</v>
      </c>
      <c r="AH252">
        <v>1</v>
      </c>
      <c r="AI252">
        <v>0</v>
      </c>
      <c r="AJ252">
        <v>3</v>
      </c>
      <c r="AK252">
        <v>3</v>
      </c>
      <c r="AL252">
        <v>9</v>
      </c>
      <c r="AM252">
        <v>2</v>
      </c>
      <c r="AN252">
        <v>9</v>
      </c>
      <c r="AO252">
        <v>3</v>
      </c>
      <c r="AP252">
        <v>8</v>
      </c>
      <c r="AQ252">
        <v>7</v>
      </c>
      <c r="AR252">
        <v>1</v>
      </c>
      <c r="AS252">
        <v>1</v>
      </c>
      <c r="AT252">
        <v>4</v>
      </c>
      <c r="AU252">
        <v>8</v>
      </c>
      <c r="AV252">
        <v>0</v>
      </c>
      <c r="AW252">
        <v>2</v>
      </c>
      <c r="AX252">
        <v>8</v>
      </c>
      <c r="AY252">
        <v>2</v>
      </c>
      <c r="AZ252">
        <v>7</v>
      </c>
      <c r="BA252">
        <v>6</v>
      </c>
      <c r="BB252">
        <v>10</v>
      </c>
      <c r="BC252">
        <v>4</v>
      </c>
      <c r="BD252">
        <v>10</v>
      </c>
      <c r="BE252">
        <v>6</v>
      </c>
      <c r="BF252">
        <v>9</v>
      </c>
      <c r="BG252">
        <v>2</v>
      </c>
      <c r="BH252">
        <v>0</v>
      </c>
      <c r="BI252">
        <v>8</v>
      </c>
      <c r="BJ252">
        <v>1</v>
      </c>
      <c r="BK252">
        <v>2</v>
      </c>
      <c r="BL252">
        <v>2</v>
      </c>
      <c r="BM252">
        <v>8</v>
      </c>
      <c r="BN252">
        <v>9</v>
      </c>
      <c r="BO252">
        <v>3</v>
      </c>
      <c r="BP252">
        <v>10</v>
      </c>
      <c r="BQ252">
        <v>8</v>
      </c>
      <c r="BR252">
        <v>5</v>
      </c>
      <c r="BS252">
        <v>10</v>
      </c>
      <c r="BT252">
        <v>1</v>
      </c>
      <c r="BU252">
        <v>2</v>
      </c>
      <c r="BV252">
        <v>4</v>
      </c>
      <c r="BW252">
        <v>2</v>
      </c>
      <c r="BX252">
        <v>8</v>
      </c>
      <c r="BY252">
        <v>9</v>
      </c>
      <c r="BZ252">
        <v>1</v>
      </c>
      <c r="CA252">
        <v>9</v>
      </c>
      <c r="CB252">
        <v>6</v>
      </c>
      <c r="CC252">
        <v>6</v>
      </c>
      <c r="CD252">
        <v>6</v>
      </c>
      <c r="CE252">
        <v>8</v>
      </c>
      <c r="CF252">
        <v>10</v>
      </c>
      <c r="CG252">
        <v>10</v>
      </c>
      <c r="CH252">
        <v>9</v>
      </c>
      <c r="CI252">
        <v>6</v>
      </c>
      <c r="CJ252">
        <v>7</v>
      </c>
      <c r="CK252">
        <v>7</v>
      </c>
      <c r="CL252">
        <v>7</v>
      </c>
      <c r="CM252">
        <v>10</v>
      </c>
      <c r="CN252">
        <v>5</v>
      </c>
      <c r="CO252">
        <v>2</v>
      </c>
      <c r="CP252">
        <v>2</v>
      </c>
      <c r="CQ252">
        <v>10</v>
      </c>
      <c r="CR252">
        <v>10</v>
      </c>
      <c r="CS252">
        <v>8</v>
      </c>
      <c r="CT252">
        <v>5</v>
      </c>
      <c r="CU252">
        <v>4</v>
      </c>
      <c r="CV252">
        <v>2</v>
      </c>
      <c r="CW252">
        <v>3</v>
      </c>
      <c r="CX252">
        <v>0</v>
      </c>
      <c r="CY252">
        <v>8</v>
      </c>
      <c r="CZ252">
        <v>0</v>
      </c>
      <c r="DA252">
        <v>6</v>
      </c>
      <c r="DB252">
        <v>3</v>
      </c>
      <c r="DC252">
        <v>9</v>
      </c>
      <c r="DD252">
        <v>6</v>
      </c>
      <c r="DE252">
        <v>9</v>
      </c>
      <c r="DF252">
        <v>9</v>
      </c>
      <c r="DG252">
        <v>6</v>
      </c>
      <c r="DH252">
        <v>3</v>
      </c>
      <c r="DI252">
        <v>10</v>
      </c>
      <c r="DJ252">
        <v>9</v>
      </c>
      <c r="DK252">
        <v>6</v>
      </c>
    </row>
    <row r="253" spans="1:115">
      <c r="A253" s="173">
        <f>Calculations[[#This Row],[Sum t eCO2]]*IF(Calculations[[#This Row],[GHG Scope]]="BIOGENIC",0,1)</f>
        <v>2.0896039627862212E-2</v>
      </c>
      <c r="O253">
        <f t="shared" si="3"/>
        <v>252</v>
      </c>
      <c r="P253">
        <v>2</v>
      </c>
      <c r="Q253">
        <v>4</v>
      </c>
      <c r="R253">
        <v>5</v>
      </c>
      <c r="S253">
        <v>1</v>
      </c>
      <c r="T253">
        <v>2</v>
      </c>
      <c r="U253">
        <v>10</v>
      </c>
      <c r="V253">
        <v>7</v>
      </c>
      <c r="W253">
        <v>3</v>
      </c>
      <c r="X253">
        <v>3</v>
      </c>
      <c r="Y253">
        <v>4</v>
      </c>
      <c r="Z253">
        <v>0</v>
      </c>
      <c r="AA253">
        <v>9</v>
      </c>
      <c r="AB253">
        <v>4</v>
      </c>
      <c r="AC253">
        <v>5</v>
      </c>
      <c r="AD253">
        <v>5</v>
      </c>
      <c r="AE253">
        <v>1</v>
      </c>
      <c r="AF253">
        <v>0</v>
      </c>
      <c r="AG253">
        <v>6</v>
      </c>
      <c r="AH253">
        <v>1</v>
      </c>
      <c r="AI253">
        <v>0</v>
      </c>
      <c r="AJ253">
        <v>6</v>
      </c>
      <c r="AK253">
        <v>3</v>
      </c>
      <c r="AL253">
        <v>6</v>
      </c>
      <c r="AM253">
        <v>1</v>
      </c>
      <c r="AN253">
        <v>1</v>
      </c>
      <c r="AO253">
        <v>4</v>
      </c>
      <c r="AP253">
        <v>1</v>
      </c>
      <c r="AQ253">
        <v>8</v>
      </c>
      <c r="AR253">
        <v>6</v>
      </c>
      <c r="AS253">
        <v>8</v>
      </c>
      <c r="AT253">
        <v>10</v>
      </c>
      <c r="AU253">
        <v>9</v>
      </c>
      <c r="AV253">
        <v>9</v>
      </c>
      <c r="AW253">
        <v>6</v>
      </c>
      <c r="AX253">
        <v>0</v>
      </c>
      <c r="AY253">
        <v>6</v>
      </c>
      <c r="AZ253">
        <v>5</v>
      </c>
      <c r="BA253">
        <v>8</v>
      </c>
      <c r="BB253">
        <v>0</v>
      </c>
      <c r="BC253">
        <v>10</v>
      </c>
      <c r="BD253">
        <v>2</v>
      </c>
      <c r="BE253">
        <v>9</v>
      </c>
      <c r="BF253">
        <v>1</v>
      </c>
      <c r="BG253">
        <v>10</v>
      </c>
      <c r="BH253">
        <v>9</v>
      </c>
      <c r="BI253">
        <v>0</v>
      </c>
      <c r="BJ253">
        <v>5</v>
      </c>
      <c r="BK253">
        <v>10</v>
      </c>
      <c r="BL253">
        <v>2</v>
      </c>
      <c r="BM253">
        <v>3</v>
      </c>
      <c r="BN253">
        <v>5</v>
      </c>
      <c r="BO253">
        <v>9</v>
      </c>
      <c r="BP253">
        <v>9</v>
      </c>
      <c r="BQ253">
        <v>7</v>
      </c>
      <c r="BR253">
        <v>5</v>
      </c>
      <c r="BS253">
        <v>10</v>
      </c>
      <c r="BT253">
        <v>5</v>
      </c>
      <c r="BU253">
        <v>2</v>
      </c>
      <c r="BV253">
        <v>7</v>
      </c>
      <c r="BW253">
        <v>6</v>
      </c>
      <c r="BX253">
        <v>10</v>
      </c>
      <c r="BY253">
        <v>2</v>
      </c>
      <c r="BZ253">
        <v>1</v>
      </c>
      <c r="CA253">
        <v>4</v>
      </c>
      <c r="CB253">
        <v>2</v>
      </c>
      <c r="CC253">
        <v>4</v>
      </c>
      <c r="CD253">
        <v>6</v>
      </c>
      <c r="CE253">
        <v>6</v>
      </c>
      <c r="CF253">
        <v>1</v>
      </c>
      <c r="CG253">
        <v>2</v>
      </c>
      <c r="CH253">
        <v>3</v>
      </c>
      <c r="CI253">
        <v>4</v>
      </c>
      <c r="CJ253">
        <v>2</v>
      </c>
      <c r="CK253">
        <v>8</v>
      </c>
      <c r="CL253">
        <v>8</v>
      </c>
      <c r="CM253">
        <v>8</v>
      </c>
      <c r="CN253">
        <v>3</v>
      </c>
      <c r="CO253">
        <v>3</v>
      </c>
      <c r="CP253">
        <v>10</v>
      </c>
      <c r="CQ253">
        <v>6</v>
      </c>
      <c r="CR253">
        <v>0</v>
      </c>
      <c r="CS253">
        <v>5</v>
      </c>
      <c r="CT253">
        <v>7</v>
      </c>
      <c r="CU253">
        <v>6</v>
      </c>
      <c r="CV253">
        <v>10</v>
      </c>
      <c r="CW253">
        <v>3</v>
      </c>
      <c r="CX253">
        <v>7</v>
      </c>
      <c r="CY253">
        <v>5</v>
      </c>
      <c r="CZ253">
        <v>4</v>
      </c>
      <c r="DA253">
        <v>1</v>
      </c>
      <c r="DB253">
        <v>6</v>
      </c>
      <c r="DC253">
        <v>10</v>
      </c>
      <c r="DD253">
        <v>7</v>
      </c>
      <c r="DE253">
        <v>9</v>
      </c>
      <c r="DF253">
        <v>5</v>
      </c>
      <c r="DG253">
        <v>3</v>
      </c>
      <c r="DH253">
        <v>2</v>
      </c>
      <c r="DI253">
        <v>3</v>
      </c>
      <c r="DJ253">
        <v>3</v>
      </c>
      <c r="DK253">
        <v>4</v>
      </c>
    </row>
    <row r="254" spans="1:115">
      <c r="A254" s="173">
        <f>Calculations[[#This Row],[Sum t eCO2]]*IF(Calculations[[#This Row],[GHG Scope]]="BIOGENIC",0,1)</f>
        <v>24.646964624159995</v>
      </c>
      <c r="O254">
        <f t="shared" si="3"/>
        <v>253</v>
      </c>
      <c r="P254">
        <v>5</v>
      </c>
      <c r="Q254">
        <v>2</v>
      </c>
      <c r="R254">
        <v>8</v>
      </c>
      <c r="S254">
        <v>9</v>
      </c>
      <c r="T254">
        <v>7</v>
      </c>
      <c r="U254">
        <v>4</v>
      </c>
      <c r="V254">
        <v>8</v>
      </c>
      <c r="W254">
        <v>10</v>
      </c>
      <c r="X254">
        <v>3</v>
      </c>
      <c r="Y254">
        <v>4</v>
      </c>
      <c r="Z254">
        <v>0</v>
      </c>
      <c r="AA254">
        <v>6</v>
      </c>
      <c r="AB254">
        <v>4</v>
      </c>
      <c r="AC254">
        <v>5</v>
      </c>
      <c r="AD254">
        <v>9</v>
      </c>
      <c r="AE254">
        <v>6</v>
      </c>
      <c r="AF254">
        <v>1</v>
      </c>
      <c r="AG254">
        <v>10</v>
      </c>
      <c r="AH254">
        <v>8</v>
      </c>
      <c r="AI254">
        <v>3</v>
      </c>
      <c r="AJ254">
        <v>4</v>
      </c>
      <c r="AK254">
        <v>1</v>
      </c>
      <c r="AL254">
        <v>6</v>
      </c>
      <c r="AM254">
        <v>0</v>
      </c>
      <c r="AN254">
        <v>0</v>
      </c>
      <c r="AO254">
        <v>2</v>
      </c>
      <c r="AP254">
        <v>10</v>
      </c>
      <c r="AQ254">
        <v>4</v>
      </c>
      <c r="AR254">
        <v>8</v>
      </c>
      <c r="AS254">
        <v>4</v>
      </c>
      <c r="AT254">
        <v>2</v>
      </c>
      <c r="AU254">
        <v>3</v>
      </c>
      <c r="AV254">
        <v>8</v>
      </c>
      <c r="AW254">
        <v>6</v>
      </c>
      <c r="AX254">
        <v>6</v>
      </c>
      <c r="AY254">
        <v>10</v>
      </c>
      <c r="AZ254">
        <v>6</v>
      </c>
      <c r="BA254">
        <v>6</v>
      </c>
      <c r="BB254">
        <v>3</v>
      </c>
      <c r="BC254">
        <v>7</v>
      </c>
      <c r="BD254">
        <v>3</v>
      </c>
      <c r="BE254">
        <v>2</v>
      </c>
      <c r="BF254">
        <v>3</v>
      </c>
      <c r="BG254">
        <v>0</v>
      </c>
      <c r="BH254">
        <v>3</v>
      </c>
      <c r="BI254">
        <v>1</v>
      </c>
      <c r="BJ254">
        <v>6</v>
      </c>
      <c r="BK254">
        <v>5</v>
      </c>
      <c r="BL254">
        <v>3</v>
      </c>
      <c r="BM254">
        <v>10</v>
      </c>
      <c r="BN254">
        <v>1</v>
      </c>
      <c r="BO254">
        <v>9</v>
      </c>
      <c r="BP254">
        <v>0</v>
      </c>
      <c r="BQ254">
        <v>10</v>
      </c>
      <c r="BR254">
        <v>1</v>
      </c>
      <c r="BS254">
        <v>8</v>
      </c>
      <c r="BT254">
        <v>8</v>
      </c>
      <c r="BU254">
        <v>10</v>
      </c>
      <c r="BV254">
        <v>9</v>
      </c>
      <c r="BW254">
        <v>1</v>
      </c>
      <c r="BX254">
        <v>10</v>
      </c>
      <c r="BY254">
        <v>6</v>
      </c>
      <c r="BZ254">
        <v>7</v>
      </c>
      <c r="CA254">
        <v>5</v>
      </c>
      <c r="CB254">
        <v>8</v>
      </c>
      <c r="CC254">
        <v>2</v>
      </c>
      <c r="CD254">
        <v>8</v>
      </c>
      <c r="CE254">
        <v>6</v>
      </c>
      <c r="CF254">
        <v>10</v>
      </c>
      <c r="CG254">
        <v>4</v>
      </c>
      <c r="CH254">
        <v>7</v>
      </c>
      <c r="CI254">
        <v>5</v>
      </c>
      <c r="CJ254">
        <v>8</v>
      </c>
      <c r="CK254">
        <v>2</v>
      </c>
      <c r="CL254">
        <v>1</v>
      </c>
      <c r="CM254">
        <v>5</v>
      </c>
      <c r="CN254">
        <v>5</v>
      </c>
      <c r="CO254">
        <v>0</v>
      </c>
      <c r="CP254">
        <v>10</v>
      </c>
      <c r="CQ254">
        <v>5</v>
      </c>
      <c r="CR254">
        <v>8</v>
      </c>
      <c r="CS254">
        <v>10</v>
      </c>
      <c r="CT254">
        <v>6</v>
      </c>
      <c r="CU254">
        <v>10</v>
      </c>
      <c r="CV254">
        <v>4</v>
      </c>
      <c r="CW254">
        <v>3</v>
      </c>
      <c r="CX254">
        <v>8</v>
      </c>
      <c r="CY254">
        <v>5</v>
      </c>
      <c r="CZ254">
        <v>8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9</v>
      </c>
      <c r="DG254">
        <v>1</v>
      </c>
      <c r="DH254">
        <v>4</v>
      </c>
      <c r="DI254">
        <v>6</v>
      </c>
      <c r="DJ254">
        <v>9</v>
      </c>
      <c r="DK254">
        <v>3</v>
      </c>
    </row>
    <row r="255" spans="1:115">
      <c r="A255" s="173">
        <f>Calculations[[#This Row],[Sum t eCO2]]*IF(Calculations[[#This Row],[GHG Scope]]="BIOGENIC",0,1)</f>
        <v>1.7282850950400001E-2</v>
      </c>
      <c r="O255">
        <f t="shared" si="3"/>
        <v>254</v>
      </c>
      <c r="P255">
        <v>3</v>
      </c>
      <c r="Q255">
        <v>4</v>
      </c>
      <c r="R255">
        <v>6</v>
      </c>
      <c r="S255">
        <v>2</v>
      </c>
      <c r="T255">
        <v>10</v>
      </c>
      <c r="U255">
        <v>0</v>
      </c>
      <c r="V255">
        <v>6</v>
      </c>
      <c r="W255">
        <v>4</v>
      </c>
      <c r="X255">
        <v>8</v>
      </c>
      <c r="Y255">
        <v>3</v>
      </c>
      <c r="Z255">
        <v>0</v>
      </c>
      <c r="AA255">
        <v>10</v>
      </c>
      <c r="AB255">
        <v>2</v>
      </c>
      <c r="AC255">
        <v>6</v>
      </c>
      <c r="AD255">
        <v>1</v>
      </c>
      <c r="AE255">
        <v>7</v>
      </c>
      <c r="AF255">
        <v>10</v>
      </c>
      <c r="AG255">
        <v>1</v>
      </c>
      <c r="AH255">
        <v>3</v>
      </c>
      <c r="AI255">
        <v>4</v>
      </c>
      <c r="AJ255">
        <v>4</v>
      </c>
      <c r="AK255">
        <v>0</v>
      </c>
      <c r="AL255">
        <v>9</v>
      </c>
      <c r="AM255">
        <v>1</v>
      </c>
      <c r="AN255">
        <v>2</v>
      </c>
      <c r="AO255">
        <v>3</v>
      </c>
      <c r="AP255">
        <v>10</v>
      </c>
      <c r="AQ255">
        <v>2</v>
      </c>
      <c r="AR255">
        <v>4</v>
      </c>
      <c r="AS255">
        <v>6</v>
      </c>
      <c r="AT255">
        <v>7</v>
      </c>
      <c r="AU255">
        <v>4</v>
      </c>
      <c r="AV255">
        <v>9</v>
      </c>
      <c r="AW255">
        <v>6</v>
      </c>
      <c r="AX255">
        <v>2</v>
      </c>
      <c r="AY255">
        <v>4</v>
      </c>
      <c r="AZ255">
        <v>2</v>
      </c>
      <c r="BA255">
        <v>4</v>
      </c>
      <c r="BB255">
        <v>3</v>
      </c>
      <c r="BC255">
        <v>4</v>
      </c>
      <c r="BD255">
        <v>4</v>
      </c>
      <c r="BE255">
        <v>0</v>
      </c>
      <c r="BF255">
        <v>7</v>
      </c>
      <c r="BG255">
        <v>6</v>
      </c>
      <c r="BH255">
        <v>2</v>
      </c>
      <c r="BI255">
        <v>8</v>
      </c>
      <c r="BJ255">
        <v>6</v>
      </c>
      <c r="BK255">
        <v>7</v>
      </c>
      <c r="BL255">
        <v>2</v>
      </c>
      <c r="BM255">
        <v>9</v>
      </c>
      <c r="BN255">
        <v>2</v>
      </c>
      <c r="BO255">
        <v>0</v>
      </c>
      <c r="BP255">
        <v>5</v>
      </c>
      <c r="BQ255">
        <v>10</v>
      </c>
      <c r="BR255">
        <v>0</v>
      </c>
      <c r="BS255">
        <v>2</v>
      </c>
      <c r="BT255">
        <v>6</v>
      </c>
      <c r="BU255">
        <v>9</v>
      </c>
      <c r="BV255">
        <v>0</v>
      </c>
      <c r="BW255">
        <v>7</v>
      </c>
      <c r="BX255">
        <v>10</v>
      </c>
      <c r="BY255">
        <v>6</v>
      </c>
      <c r="BZ255">
        <v>2</v>
      </c>
      <c r="CA255">
        <v>3</v>
      </c>
      <c r="CB255">
        <v>10</v>
      </c>
      <c r="CC255">
        <v>2</v>
      </c>
      <c r="CD255">
        <v>6</v>
      </c>
      <c r="CE255">
        <v>8</v>
      </c>
      <c r="CF255">
        <v>8</v>
      </c>
      <c r="CG255">
        <v>1</v>
      </c>
      <c r="CH255">
        <v>10</v>
      </c>
      <c r="CI255">
        <v>10</v>
      </c>
      <c r="CJ255">
        <v>7</v>
      </c>
      <c r="CK255">
        <v>8</v>
      </c>
      <c r="CL255">
        <v>1</v>
      </c>
      <c r="CM255">
        <v>0</v>
      </c>
      <c r="CN255">
        <v>2</v>
      </c>
      <c r="CO255">
        <v>2</v>
      </c>
      <c r="CP255">
        <v>5</v>
      </c>
      <c r="CQ255">
        <v>2</v>
      </c>
      <c r="CR255">
        <v>10</v>
      </c>
      <c r="CS255">
        <v>3</v>
      </c>
      <c r="CT255">
        <v>5</v>
      </c>
      <c r="CU255">
        <v>8</v>
      </c>
      <c r="CV255">
        <v>10</v>
      </c>
      <c r="CW255">
        <v>3</v>
      </c>
      <c r="CX255">
        <v>7</v>
      </c>
      <c r="CY255">
        <v>4</v>
      </c>
      <c r="CZ255">
        <v>10</v>
      </c>
      <c r="DA255">
        <v>10</v>
      </c>
      <c r="DB255">
        <v>8</v>
      </c>
      <c r="DC255">
        <v>9</v>
      </c>
      <c r="DD255">
        <v>6</v>
      </c>
      <c r="DE255">
        <v>10</v>
      </c>
      <c r="DF255">
        <v>7</v>
      </c>
      <c r="DG255">
        <v>9</v>
      </c>
      <c r="DH255">
        <v>9</v>
      </c>
      <c r="DI255">
        <v>6</v>
      </c>
      <c r="DJ255">
        <v>3</v>
      </c>
      <c r="DK255">
        <v>8</v>
      </c>
    </row>
    <row r="256" spans="1:115">
      <c r="A256" s="173">
        <f>Calculations[[#This Row],[Sum t eCO2]]*IF(Calculations[[#This Row],[GHG Scope]]="BIOGENIC",0,1)</f>
        <v>6.7350308259600006E-2</v>
      </c>
      <c r="O256">
        <f t="shared" si="3"/>
        <v>255</v>
      </c>
      <c r="P256">
        <v>6</v>
      </c>
      <c r="Q256">
        <v>9</v>
      </c>
      <c r="R256">
        <v>1</v>
      </c>
      <c r="S256">
        <v>0</v>
      </c>
      <c r="T256">
        <v>10</v>
      </c>
      <c r="U256">
        <v>0</v>
      </c>
      <c r="V256">
        <v>9</v>
      </c>
      <c r="W256">
        <v>2</v>
      </c>
      <c r="X256">
        <v>10</v>
      </c>
      <c r="Y256">
        <v>0</v>
      </c>
      <c r="Z256">
        <v>6</v>
      </c>
      <c r="AA256">
        <v>7</v>
      </c>
      <c r="AB256">
        <v>6</v>
      </c>
      <c r="AC256">
        <v>8</v>
      </c>
      <c r="AD256">
        <v>9</v>
      </c>
      <c r="AE256">
        <v>2</v>
      </c>
      <c r="AF256">
        <v>9</v>
      </c>
      <c r="AG256">
        <v>4</v>
      </c>
      <c r="AH256">
        <v>6</v>
      </c>
      <c r="AI256">
        <v>6</v>
      </c>
      <c r="AJ256">
        <v>7</v>
      </c>
      <c r="AK256">
        <v>2</v>
      </c>
      <c r="AL256">
        <v>10</v>
      </c>
      <c r="AM256">
        <v>4</v>
      </c>
      <c r="AN256">
        <v>8</v>
      </c>
      <c r="AO256">
        <v>4</v>
      </c>
      <c r="AP256">
        <v>6</v>
      </c>
      <c r="AQ256">
        <v>5</v>
      </c>
      <c r="AR256">
        <v>2</v>
      </c>
      <c r="AS256">
        <v>9</v>
      </c>
      <c r="AT256">
        <v>0</v>
      </c>
      <c r="AU256">
        <v>8</v>
      </c>
      <c r="AV256">
        <v>6</v>
      </c>
      <c r="AW256">
        <v>5</v>
      </c>
      <c r="AX256">
        <v>1</v>
      </c>
      <c r="AY256">
        <v>6</v>
      </c>
      <c r="AZ256">
        <v>3</v>
      </c>
      <c r="BA256">
        <v>9</v>
      </c>
      <c r="BB256">
        <v>2</v>
      </c>
      <c r="BC256">
        <v>8</v>
      </c>
      <c r="BD256">
        <v>3</v>
      </c>
      <c r="BE256">
        <v>8</v>
      </c>
      <c r="BF256">
        <v>5</v>
      </c>
      <c r="BG256">
        <v>8</v>
      </c>
      <c r="BH256">
        <v>10</v>
      </c>
      <c r="BI256">
        <v>1</v>
      </c>
      <c r="BJ256">
        <v>9</v>
      </c>
      <c r="BK256">
        <v>10</v>
      </c>
      <c r="BL256">
        <v>10</v>
      </c>
      <c r="BM256">
        <v>3</v>
      </c>
      <c r="BN256">
        <v>10</v>
      </c>
      <c r="BO256">
        <v>3</v>
      </c>
      <c r="BP256">
        <v>1</v>
      </c>
      <c r="BQ256">
        <v>9</v>
      </c>
      <c r="BR256">
        <v>0</v>
      </c>
      <c r="BS256">
        <v>8</v>
      </c>
      <c r="BT256">
        <v>7</v>
      </c>
      <c r="BU256">
        <v>4</v>
      </c>
      <c r="BV256">
        <v>10</v>
      </c>
      <c r="BW256">
        <v>0</v>
      </c>
      <c r="BX256">
        <v>5</v>
      </c>
      <c r="BY256">
        <v>1</v>
      </c>
      <c r="BZ256">
        <v>1</v>
      </c>
      <c r="CA256">
        <v>9</v>
      </c>
      <c r="CB256">
        <v>3</v>
      </c>
      <c r="CC256">
        <v>3</v>
      </c>
      <c r="CD256">
        <v>8</v>
      </c>
      <c r="CE256">
        <v>9</v>
      </c>
      <c r="CF256">
        <v>7</v>
      </c>
      <c r="CG256">
        <v>2</v>
      </c>
      <c r="CH256">
        <v>1</v>
      </c>
      <c r="CI256">
        <v>8</v>
      </c>
      <c r="CJ256">
        <v>4</v>
      </c>
      <c r="CK256">
        <v>8</v>
      </c>
      <c r="CL256">
        <v>5</v>
      </c>
      <c r="CM256">
        <v>6</v>
      </c>
      <c r="CN256">
        <v>10</v>
      </c>
      <c r="CO256">
        <v>0</v>
      </c>
      <c r="CP256">
        <v>0</v>
      </c>
      <c r="CQ256">
        <v>5</v>
      </c>
      <c r="CR256">
        <v>2</v>
      </c>
      <c r="CS256">
        <v>2</v>
      </c>
      <c r="CT256">
        <v>7</v>
      </c>
      <c r="CU256">
        <v>9</v>
      </c>
      <c r="CV256">
        <v>1</v>
      </c>
      <c r="CW256">
        <v>2</v>
      </c>
      <c r="CX256">
        <v>0</v>
      </c>
      <c r="CY256">
        <v>2</v>
      </c>
      <c r="CZ256">
        <v>5</v>
      </c>
      <c r="DA256">
        <v>2</v>
      </c>
      <c r="DB256">
        <v>2</v>
      </c>
      <c r="DC256">
        <v>2</v>
      </c>
      <c r="DD256">
        <v>9</v>
      </c>
      <c r="DE256">
        <v>9</v>
      </c>
      <c r="DF256">
        <v>7</v>
      </c>
      <c r="DG256">
        <v>0</v>
      </c>
      <c r="DH256">
        <v>9</v>
      </c>
      <c r="DI256">
        <v>2</v>
      </c>
      <c r="DJ256">
        <v>5</v>
      </c>
      <c r="DK256">
        <v>10</v>
      </c>
    </row>
    <row r="257" spans="1:115">
      <c r="A257" s="173">
        <f>Calculations[[#This Row],[Sum t eCO2]]*IF(Calculations[[#This Row],[GHG Scope]]="BIOGENIC",0,1)</f>
        <v>0</v>
      </c>
      <c r="O257">
        <f t="shared" si="3"/>
        <v>256</v>
      </c>
      <c r="P257">
        <v>9</v>
      </c>
      <c r="Q257">
        <v>3</v>
      </c>
      <c r="R257">
        <v>1</v>
      </c>
      <c r="S257">
        <v>4</v>
      </c>
      <c r="T257">
        <v>1</v>
      </c>
      <c r="U257">
        <v>0</v>
      </c>
      <c r="V257">
        <v>7</v>
      </c>
      <c r="W257">
        <v>8</v>
      </c>
      <c r="X257">
        <v>8</v>
      </c>
      <c r="Y257">
        <v>3</v>
      </c>
      <c r="Z257">
        <v>5</v>
      </c>
      <c r="AA257">
        <v>9</v>
      </c>
      <c r="AB257">
        <v>1</v>
      </c>
      <c r="AC257">
        <v>5</v>
      </c>
      <c r="AD257">
        <v>4</v>
      </c>
      <c r="AE257">
        <v>10</v>
      </c>
      <c r="AF257">
        <v>8</v>
      </c>
      <c r="AG257">
        <v>4</v>
      </c>
      <c r="AH257">
        <v>10</v>
      </c>
      <c r="AI257">
        <v>4</v>
      </c>
      <c r="AJ257">
        <v>6</v>
      </c>
      <c r="AK257">
        <v>5</v>
      </c>
      <c r="AL257">
        <v>7</v>
      </c>
      <c r="AM257">
        <v>9</v>
      </c>
      <c r="AN257">
        <v>10</v>
      </c>
      <c r="AO257">
        <v>8</v>
      </c>
      <c r="AP257">
        <v>8</v>
      </c>
      <c r="AQ257">
        <v>1</v>
      </c>
      <c r="AR257">
        <v>5</v>
      </c>
      <c r="AS257">
        <v>9</v>
      </c>
      <c r="AT257">
        <v>7</v>
      </c>
      <c r="AU257">
        <v>6</v>
      </c>
      <c r="AV257">
        <v>3</v>
      </c>
      <c r="AW257">
        <v>6</v>
      </c>
      <c r="AX257">
        <v>7</v>
      </c>
      <c r="AY257">
        <v>10</v>
      </c>
      <c r="AZ257">
        <v>8</v>
      </c>
      <c r="BA257">
        <v>3</v>
      </c>
      <c r="BB257">
        <v>0</v>
      </c>
      <c r="BC257">
        <v>1</v>
      </c>
      <c r="BD257">
        <v>3</v>
      </c>
      <c r="BE257">
        <v>4</v>
      </c>
      <c r="BF257">
        <v>5</v>
      </c>
      <c r="BG257">
        <v>2</v>
      </c>
      <c r="BH257">
        <v>0</v>
      </c>
      <c r="BI257">
        <v>1</v>
      </c>
      <c r="BJ257">
        <v>2</v>
      </c>
      <c r="BK257">
        <v>7</v>
      </c>
      <c r="BL257">
        <v>0</v>
      </c>
      <c r="BM257">
        <v>3</v>
      </c>
      <c r="BN257">
        <v>5</v>
      </c>
      <c r="BO257">
        <v>10</v>
      </c>
      <c r="BP257">
        <v>10</v>
      </c>
      <c r="BQ257">
        <v>9</v>
      </c>
      <c r="BR257">
        <v>0</v>
      </c>
      <c r="BS257">
        <v>0</v>
      </c>
      <c r="BT257">
        <v>5</v>
      </c>
      <c r="BU257">
        <v>10</v>
      </c>
      <c r="BV257">
        <v>9</v>
      </c>
      <c r="BW257">
        <v>9</v>
      </c>
      <c r="BX257">
        <v>5</v>
      </c>
      <c r="BY257">
        <v>8</v>
      </c>
      <c r="BZ257">
        <v>3</v>
      </c>
      <c r="CA257">
        <v>2</v>
      </c>
      <c r="CB257">
        <v>5</v>
      </c>
      <c r="CC257">
        <v>1</v>
      </c>
      <c r="CD257">
        <v>8</v>
      </c>
      <c r="CE257">
        <v>2</v>
      </c>
      <c r="CF257">
        <v>8</v>
      </c>
      <c r="CG257">
        <v>5</v>
      </c>
      <c r="CH257">
        <v>1</v>
      </c>
      <c r="CI257">
        <v>2</v>
      </c>
      <c r="CJ257">
        <v>9</v>
      </c>
      <c r="CK257">
        <v>10</v>
      </c>
      <c r="CL257">
        <v>4</v>
      </c>
      <c r="CM257">
        <v>9</v>
      </c>
      <c r="CN257">
        <v>9</v>
      </c>
      <c r="CO257">
        <v>6</v>
      </c>
      <c r="CP257">
        <v>6</v>
      </c>
      <c r="CQ257">
        <v>3</v>
      </c>
      <c r="CR257">
        <v>4</v>
      </c>
      <c r="CS257">
        <v>2</v>
      </c>
      <c r="CT257">
        <v>1</v>
      </c>
      <c r="CU257">
        <v>6</v>
      </c>
      <c r="CV257">
        <v>3</v>
      </c>
      <c r="CW257">
        <v>10</v>
      </c>
      <c r="CX257">
        <v>6</v>
      </c>
      <c r="CY257">
        <v>4</v>
      </c>
      <c r="CZ257">
        <v>0</v>
      </c>
      <c r="DA257">
        <v>6</v>
      </c>
      <c r="DB257">
        <v>10</v>
      </c>
      <c r="DC257">
        <v>4</v>
      </c>
      <c r="DD257">
        <v>3</v>
      </c>
      <c r="DE257">
        <v>8</v>
      </c>
      <c r="DF257">
        <v>5</v>
      </c>
      <c r="DG257">
        <v>7</v>
      </c>
      <c r="DH257">
        <v>2</v>
      </c>
      <c r="DI257">
        <v>9</v>
      </c>
      <c r="DJ257">
        <v>7</v>
      </c>
      <c r="DK257">
        <v>5</v>
      </c>
    </row>
    <row r="258" spans="1:115">
      <c r="A258" s="173">
        <f>Calculations[[#This Row],[Sum t eCO2]]*IF(Calculations[[#This Row],[GHG Scope]]="BIOGENIC",0,1)</f>
        <v>0</v>
      </c>
      <c r="O258">
        <f t="shared" si="3"/>
        <v>257</v>
      </c>
      <c r="P258">
        <v>3</v>
      </c>
      <c r="Q258">
        <v>5</v>
      </c>
      <c r="R258">
        <v>8</v>
      </c>
      <c r="S258">
        <v>1</v>
      </c>
      <c r="T258">
        <v>10</v>
      </c>
      <c r="U258">
        <v>5</v>
      </c>
      <c r="V258">
        <v>5</v>
      </c>
      <c r="W258">
        <v>10</v>
      </c>
      <c r="X258">
        <v>6</v>
      </c>
      <c r="Y258">
        <v>6</v>
      </c>
      <c r="Z258">
        <v>4</v>
      </c>
      <c r="AA258">
        <v>7</v>
      </c>
      <c r="AB258">
        <v>4</v>
      </c>
      <c r="AC258">
        <v>8</v>
      </c>
      <c r="AD258">
        <v>3</v>
      </c>
      <c r="AE258">
        <v>10</v>
      </c>
      <c r="AF258">
        <v>6</v>
      </c>
      <c r="AG258">
        <v>1</v>
      </c>
      <c r="AH258">
        <v>9</v>
      </c>
      <c r="AI258">
        <v>6</v>
      </c>
      <c r="AJ258">
        <v>3</v>
      </c>
      <c r="AK258">
        <v>3</v>
      </c>
      <c r="AL258">
        <v>4</v>
      </c>
      <c r="AM258">
        <v>5</v>
      </c>
      <c r="AN258">
        <v>2</v>
      </c>
      <c r="AO258">
        <v>5</v>
      </c>
      <c r="AP258">
        <v>4</v>
      </c>
      <c r="AQ258">
        <v>10</v>
      </c>
      <c r="AR258">
        <v>10</v>
      </c>
      <c r="AS258">
        <v>6</v>
      </c>
      <c r="AT258">
        <v>5</v>
      </c>
      <c r="AU258">
        <v>5</v>
      </c>
      <c r="AV258">
        <v>10</v>
      </c>
      <c r="AW258">
        <v>3</v>
      </c>
      <c r="AX258">
        <v>4</v>
      </c>
      <c r="AY258">
        <v>4</v>
      </c>
      <c r="AZ258">
        <v>5</v>
      </c>
      <c r="BA258">
        <v>2</v>
      </c>
      <c r="BB258">
        <v>6</v>
      </c>
      <c r="BC258">
        <v>6</v>
      </c>
      <c r="BD258">
        <v>6</v>
      </c>
      <c r="BE258">
        <v>1</v>
      </c>
      <c r="BF258">
        <v>10</v>
      </c>
      <c r="BG258">
        <v>10</v>
      </c>
      <c r="BH258">
        <v>2</v>
      </c>
      <c r="BI258">
        <v>10</v>
      </c>
      <c r="BJ258">
        <v>10</v>
      </c>
      <c r="BK258">
        <v>10</v>
      </c>
      <c r="BL258">
        <v>6</v>
      </c>
      <c r="BM258">
        <v>7</v>
      </c>
      <c r="BN258">
        <v>5</v>
      </c>
      <c r="BO258">
        <v>0</v>
      </c>
      <c r="BP258">
        <v>4</v>
      </c>
      <c r="BQ258">
        <v>0</v>
      </c>
      <c r="BR258">
        <v>5</v>
      </c>
      <c r="BS258">
        <v>0</v>
      </c>
      <c r="BT258">
        <v>4</v>
      </c>
      <c r="BU258">
        <v>1</v>
      </c>
      <c r="BV258">
        <v>0</v>
      </c>
      <c r="BW258">
        <v>1</v>
      </c>
      <c r="BX258">
        <v>7</v>
      </c>
      <c r="BY258">
        <v>1</v>
      </c>
      <c r="BZ258">
        <v>3</v>
      </c>
      <c r="CA258">
        <v>5</v>
      </c>
      <c r="CB258">
        <v>3</v>
      </c>
      <c r="CC258">
        <v>3</v>
      </c>
      <c r="CD258">
        <v>4</v>
      </c>
      <c r="CE258">
        <v>3</v>
      </c>
      <c r="CF258">
        <v>5</v>
      </c>
      <c r="CG258">
        <v>4</v>
      </c>
      <c r="CH258">
        <v>4</v>
      </c>
      <c r="CI258">
        <v>7</v>
      </c>
      <c r="CJ258">
        <v>3</v>
      </c>
      <c r="CK258">
        <v>1</v>
      </c>
      <c r="CL258">
        <v>10</v>
      </c>
      <c r="CM258">
        <v>7</v>
      </c>
      <c r="CN258">
        <v>7</v>
      </c>
      <c r="CO258">
        <v>8</v>
      </c>
      <c r="CP258">
        <v>0</v>
      </c>
      <c r="CQ258">
        <v>10</v>
      </c>
      <c r="CR258">
        <v>0</v>
      </c>
      <c r="CS258">
        <v>8</v>
      </c>
      <c r="CT258">
        <v>3</v>
      </c>
      <c r="CU258">
        <v>9</v>
      </c>
      <c r="CV258">
        <v>2</v>
      </c>
      <c r="CW258">
        <v>7</v>
      </c>
      <c r="CX258">
        <v>5</v>
      </c>
      <c r="CY258">
        <v>7</v>
      </c>
      <c r="CZ258">
        <v>4</v>
      </c>
      <c r="DA258">
        <v>4</v>
      </c>
      <c r="DB258">
        <v>5</v>
      </c>
      <c r="DC258">
        <v>10</v>
      </c>
      <c r="DD258">
        <v>2</v>
      </c>
      <c r="DE258">
        <v>9</v>
      </c>
      <c r="DF258">
        <v>3</v>
      </c>
      <c r="DG258">
        <v>8</v>
      </c>
      <c r="DH258">
        <v>2</v>
      </c>
      <c r="DI258">
        <v>7</v>
      </c>
      <c r="DJ258">
        <v>1</v>
      </c>
      <c r="DK258">
        <v>4</v>
      </c>
    </row>
    <row r="259" spans="1:115">
      <c r="A259" s="173">
        <f>Calculations[[#This Row],[Sum t eCO2]]*IF(Calculations[[#This Row],[GHG Scope]]="BIOGENIC",0,1)</f>
        <v>0</v>
      </c>
      <c r="O259">
        <f t="shared" si="3"/>
        <v>258</v>
      </c>
      <c r="P259">
        <v>5</v>
      </c>
      <c r="Q259">
        <v>9</v>
      </c>
      <c r="R259">
        <v>4</v>
      </c>
      <c r="S259">
        <v>3</v>
      </c>
      <c r="T259">
        <v>3</v>
      </c>
      <c r="U259">
        <v>5</v>
      </c>
      <c r="V259">
        <v>7</v>
      </c>
      <c r="W259">
        <v>6</v>
      </c>
      <c r="X259">
        <v>8</v>
      </c>
      <c r="Y259">
        <v>6</v>
      </c>
      <c r="Z259">
        <v>8</v>
      </c>
      <c r="AA259">
        <v>7</v>
      </c>
      <c r="AB259">
        <v>0</v>
      </c>
      <c r="AC259">
        <v>10</v>
      </c>
      <c r="AD259">
        <v>1</v>
      </c>
      <c r="AE259">
        <v>4</v>
      </c>
      <c r="AF259">
        <v>4</v>
      </c>
      <c r="AG259">
        <v>6</v>
      </c>
      <c r="AH259">
        <v>6</v>
      </c>
      <c r="AI259">
        <v>5</v>
      </c>
      <c r="AJ259">
        <v>1</v>
      </c>
      <c r="AK259">
        <v>4</v>
      </c>
      <c r="AL259">
        <v>1</v>
      </c>
      <c r="AM259">
        <v>5</v>
      </c>
      <c r="AN259">
        <v>4</v>
      </c>
      <c r="AO259">
        <v>4</v>
      </c>
      <c r="AP259">
        <v>0</v>
      </c>
      <c r="AQ259">
        <v>10</v>
      </c>
      <c r="AR259">
        <v>7</v>
      </c>
      <c r="AS259">
        <v>9</v>
      </c>
      <c r="AT259">
        <v>1</v>
      </c>
      <c r="AU259">
        <v>1</v>
      </c>
      <c r="AV259">
        <v>6</v>
      </c>
      <c r="AW259">
        <v>6</v>
      </c>
      <c r="AX259">
        <v>0</v>
      </c>
      <c r="AY259">
        <v>1</v>
      </c>
      <c r="AZ259">
        <v>6</v>
      </c>
      <c r="BA259">
        <v>10</v>
      </c>
      <c r="BB259">
        <v>10</v>
      </c>
      <c r="BC259">
        <v>10</v>
      </c>
      <c r="BD259">
        <v>9</v>
      </c>
      <c r="BE259">
        <v>4</v>
      </c>
      <c r="BF259">
        <v>0</v>
      </c>
      <c r="BG259">
        <v>8</v>
      </c>
      <c r="BH259">
        <v>2</v>
      </c>
      <c r="BI259">
        <v>4</v>
      </c>
      <c r="BJ259">
        <v>9</v>
      </c>
      <c r="BK259">
        <v>0</v>
      </c>
      <c r="BL259">
        <v>1</v>
      </c>
      <c r="BM259">
        <v>3</v>
      </c>
      <c r="BN259">
        <v>0</v>
      </c>
      <c r="BO259">
        <v>4</v>
      </c>
      <c r="BP259">
        <v>3</v>
      </c>
      <c r="BQ259">
        <v>5</v>
      </c>
      <c r="BR259">
        <v>2</v>
      </c>
      <c r="BS259">
        <v>0</v>
      </c>
      <c r="BT259">
        <v>6</v>
      </c>
      <c r="BU259">
        <v>8</v>
      </c>
      <c r="BV259">
        <v>8</v>
      </c>
      <c r="BW259">
        <v>9</v>
      </c>
      <c r="BX259">
        <v>1</v>
      </c>
      <c r="BY259">
        <v>7</v>
      </c>
      <c r="BZ259">
        <v>5</v>
      </c>
      <c r="CA259">
        <v>9</v>
      </c>
      <c r="CB259">
        <v>4</v>
      </c>
      <c r="CC259">
        <v>5</v>
      </c>
      <c r="CD259">
        <v>6</v>
      </c>
      <c r="CE259">
        <v>8</v>
      </c>
      <c r="CF259">
        <v>4</v>
      </c>
      <c r="CG259">
        <v>8</v>
      </c>
      <c r="CH259">
        <v>0</v>
      </c>
      <c r="CI259">
        <v>7</v>
      </c>
      <c r="CJ259">
        <v>9</v>
      </c>
      <c r="CK259">
        <v>0</v>
      </c>
      <c r="CL259">
        <v>5</v>
      </c>
      <c r="CM259">
        <v>3</v>
      </c>
      <c r="CN259">
        <v>8</v>
      </c>
      <c r="CO259">
        <v>5</v>
      </c>
      <c r="CP259">
        <v>7</v>
      </c>
      <c r="CQ259">
        <v>2</v>
      </c>
      <c r="CR259">
        <v>3</v>
      </c>
      <c r="CS259">
        <v>10</v>
      </c>
      <c r="CT259">
        <v>2</v>
      </c>
      <c r="CU259">
        <v>10</v>
      </c>
      <c r="CV259">
        <v>5</v>
      </c>
      <c r="CW259">
        <v>5</v>
      </c>
      <c r="CX259">
        <v>6</v>
      </c>
      <c r="CY259">
        <v>5</v>
      </c>
      <c r="CZ259">
        <v>10</v>
      </c>
      <c r="DA259">
        <v>10</v>
      </c>
      <c r="DB259">
        <v>4</v>
      </c>
      <c r="DC259">
        <v>4</v>
      </c>
      <c r="DD259">
        <v>10</v>
      </c>
      <c r="DE259">
        <v>9</v>
      </c>
      <c r="DF259">
        <v>8</v>
      </c>
      <c r="DG259">
        <v>8</v>
      </c>
      <c r="DH259">
        <v>6</v>
      </c>
      <c r="DI259">
        <v>5</v>
      </c>
      <c r="DJ259">
        <v>8</v>
      </c>
      <c r="DK259">
        <v>9</v>
      </c>
    </row>
    <row r="260" spans="1:115">
      <c r="A260" s="173">
        <f>Calculations[[#This Row],[Sum t eCO2]]*IF(Calculations[[#This Row],[GHG Scope]]="BIOGENIC",0,1)</f>
        <v>0</v>
      </c>
      <c r="O260">
        <f t="shared" ref="O260:O323" si="4">O259+1</f>
        <v>259</v>
      </c>
      <c r="P260">
        <v>0</v>
      </c>
      <c r="Q260">
        <v>6</v>
      </c>
      <c r="R260">
        <v>7</v>
      </c>
      <c r="S260">
        <v>5</v>
      </c>
      <c r="T260">
        <v>2</v>
      </c>
      <c r="U260">
        <v>2</v>
      </c>
      <c r="V260">
        <v>4</v>
      </c>
      <c r="W260">
        <v>1</v>
      </c>
      <c r="X260">
        <v>3</v>
      </c>
      <c r="Y260">
        <v>10</v>
      </c>
      <c r="Z260">
        <v>10</v>
      </c>
      <c r="AA260">
        <v>4</v>
      </c>
      <c r="AB260">
        <v>8</v>
      </c>
      <c r="AC260">
        <v>9</v>
      </c>
      <c r="AD260">
        <v>2</v>
      </c>
      <c r="AE260">
        <v>10</v>
      </c>
      <c r="AF260">
        <v>2</v>
      </c>
      <c r="AG260">
        <v>10</v>
      </c>
      <c r="AH260">
        <v>3</v>
      </c>
      <c r="AI260">
        <v>6</v>
      </c>
      <c r="AJ260">
        <v>0</v>
      </c>
      <c r="AK260">
        <v>4</v>
      </c>
      <c r="AL260">
        <v>6</v>
      </c>
      <c r="AM260">
        <v>8</v>
      </c>
      <c r="AN260">
        <v>10</v>
      </c>
      <c r="AO260">
        <v>6</v>
      </c>
      <c r="AP260">
        <v>8</v>
      </c>
      <c r="AQ260">
        <v>10</v>
      </c>
      <c r="AR260">
        <v>3</v>
      </c>
      <c r="AS260">
        <v>9</v>
      </c>
      <c r="AT260">
        <v>5</v>
      </c>
      <c r="AU260">
        <v>10</v>
      </c>
      <c r="AV260">
        <v>7</v>
      </c>
      <c r="AW260">
        <v>4</v>
      </c>
      <c r="AX260">
        <v>4</v>
      </c>
      <c r="AY260">
        <v>8</v>
      </c>
      <c r="AZ260">
        <v>6</v>
      </c>
      <c r="BA260">
        <v>8</v>
      </c>
      <c r="BB260">
        <v>7</v>
      </c>
      <c r="BC260">
        <v>10</v>
      </c>
      <c r="BD260">
        <v>10</v>
      </c>
      <c r="BE260">
        <v>7</v>
      </c>
      <c r="BF260">
        <v>7</v>
      </c>
      <c r="BG260">
        <v>9</v>
      </c>
      <c r="BH260">
        <v>10</v>
      </c>
      <c r="BI260">
        <v>2</v>
      </c>
      <c r="BJ260">
        <v>10</v>
      </c>
      <c r="BK260">
        <v>7</v>
      </c>
      <c r="BL260">
        <v>4</v>
      </c>
      <c r="BM260">
        <v>8</v>
      </c>
      <c r="BN260">
        <v>3</v>
      </c>
      <c r="BO260">
        <v>9</v>
      </c>
      <c r="BP260">
        <v>6</v>
      </c>
      <c r="BQ260">
        <v>0</v>
      </c>
      <c r="BR260">
        <v>7</v>
      </c>
      <c r="BS260">
        <v>1</v>
      </c>
      <c r="BT260">
        <v>1</v>
      </c>
      <c r="BU260">
        <v>5</v>
      </c>
      <c r="BV260">
        <v>10</v>
      </c>
      <c r="BW260">
        <v>2</v>
      </c>
      <c r="BX260">
        <v>9</v>
      </c>
      <c r="BY260">
        <v>5</v>
      </c>
      <c r="BZ260">
        <v>1</v>
      </c>
      <c r="CA260">
        <v>6</v>
      </c>
      <c r="CB260">
        <v>10</v>
      </c>
      <c r="CC260">
        <v>1</v>
      </c>
      <c r="CD260">
        <v>3</v>
      </c>
      <c r="CE260">
        <v>1</v>
      </c>
      <c r="CF260">
        <v>4</v>
      </c>
      <c r="CG260">
        <v>1</v>
      </c>
      <c r="CH260">
        <v>5</v>
      </c>
      <c r="CI260">
        <v>6</v>
      </c>
      <c r="CJ260">
        <v>6</v>
      </c>
      <c r="CK260">
        <v>9</v>
      </c>
      <c r="CL260">
        <v>0</v>
      </c>
      <c r="CM260">
        <v>0</v>
      </c>
      <c r="CN260">
        <v>6</v>
      </c>
      <c r="CO260">
        <v>9</v>
      </c>
      <c r="CP260">
        <v>3</v>
      </c>
      <c r="CQ260">
        <v>10</v>
      </c>
      <c r="CR260">
        <v>6</v>
      </c>
      <c r="CS260">
        <v>0</v>
      </c>
      <c r="CT260">
        <v>2</v>
      </c>
      <c r="CU260">
        <v>7</v>
      </c>
      <c r="CV260">
        <v>7</v>
      </c>
      <c r="CW260">
        <v>6</v>
      </c>
      <c r="CX260">
        <v>5</v>
      </c>
      <c r="CY260">
        <v>10</v>
      </c>
      <c r="CZ260">
        <v>3</v>
      </c>
      <c r="DA260">
        <v>0</v>
      </c>
      <c r="DB260">
        <v>9</v>
      </c>
      <c r="DC260">
        <v>4</v>
      </c>
      <c r="DD260">
        <v>0</v>
      </c>
      <c r="DE260">
        <v>2</v>
      </c>
      <c r="DF260">
        <v>7</v>
      </c>
      <c r="DG260">
        <v>3</v>
      </c>
      <c r="DH260">
        <v>1</v>
      </c>
      <c r="DI260">
        <v>10</v>
      </c>
      <c r="DJ260">
        <v>7</v>
      </c>
      <c r="DK260">
        <v>0</v>
      </c>
    </row>
    <row r="261" spans="1:115">
      <c r="A261" s="173">
        <f>Calculations[[#This Row],[Sum t eCO2]]*IF(Calculations[[#This Row],[GHG Scope]]="BIOGENIC",0,1)</f>
        <v>0</v>
      </c>
      <c r="O261">
        <f t="shared" si="4"/>
        <v>260</v>
      </c>
      <c r="P261">
        <v>1</v>
      </c>
      <c r="Q261">
        <v>10</v>
      </c>
      <c r="R261">
        <v>9</v>
      </c>
      <c r="S261">
        <v>10</v>
      </c>
      <c r="T261">
        <v>10</v>
      </c>
      <c r="U261">
        <v>7</v>
      </c>
      <c r="V261">
        <v>10</v>
      </c>
      <c r="W261">
        <v>7</v>
      </c>
      <c r="X261">
        <v>10</v>
      </c>
      <c r="Y261">
        <v>2</v>
      </c>
      <c r="Z261">
        <v>1</v>
      </c>
      <c r="AA261">
        <v>4</v>
      </c>
      <c r="AB261">
        <v>6</v>
      </c>
      <c r="AC261">
        <v>2</v>
      </c>
      <c r="AD261">
        <v>7</v>
      </c>
      <c r="AE261">
        <v>8</v>
      </c>
      <c r="AF261">
        <v>5</v>
      </c>
      <c r="AG261">
        <v>7</v>
      </c>
      <c r="AH261">
        <v>1</v>
      </c>
      <c r="AI261">
        <v>0</v>
      </c>
      <c r="AJ261">
        <v>2</v>
      </c>
      <c r="AK261">
        <v>6</v>
      </c>
      <c r="AL261">
        <v>3</v>
      </c>
      <c r="AM261">
        <v>9</v>
      </c>
      <c r="AN261">
        <v>0</v>
      </c>
      <c r="AO261">
        <v>5</v>
      </c>
      <c r="AP261">
        <v>3</v>
      </c>
      <c r="AQ261">
        <v>8</v>
      </c>
      <c r="AR261">
        <v>0</v>
      </c>
      <c r="AS261">
        <v>8</v>
      </c>
      <c r="AT261">
        <v>3</v>
      </c>
      <c r="AU261">
        <v>6</v>
      </c>
      <c r="AV261">
        <v>2</v>
      </c>
      <c r="AW261">
        <v>0</v>
      </c>
      <c r="AX261">
        <v>7</v>
      </c>
      <c r="AY261">
        <v>7</v>
      </c>
      <c r="AZ261">
        <v>0</v>
      </c>
      <c r="BA261">
        <v>9</v>
      </c>
      <c r="BB261">
        <v>7</v>
      </c>
      <c r="BC261">
        <v>7</v>
      </c>
      <c r="BD261">
        <v>8</v>
      </c>
      <c r="BE261">
        <v>9</v>
      </c>
      <c r="BF261">
        <v>9</v>
      </c>
      <c r="BG261">
        <v>10</v>
      </c>
      <c r="BH261">
        <v>6</v>
      </c>
      <c r="BI261">
        <v>0</v>
      </c>
      <c r="BJ261">
        <v>5</v>
      </c>
      <c r="BK261">
        <v>4</v>
      </c>
      <c r="BL261">
        <v>2</v>
      </c>
      <c r="BM261">
        <v>0</v>
      </c>
      <c r="BN261">
        <v>8</v>
      </c>
      <c r="BO261">
        <v>2</v>
      </c>
      <c r="BP261">
        <v>2</v>
      </c>
      <c r="BQ261">
        <v>4</v>
      </c>
      <c r="BR261">
        <v>8</v>
      </c>
      <c r="BS261">
        <v>10</v>
      </c>
      <c r="BT261">
        <v>6</v>
      </c>
      <c r="BU261">
        <v>8</v>
      </c>
      <c r="BV261">
        <v>9</v>
      </c>
      <c r="BW261">
        <v>1</v>
      </c>
      <c r="BX261">
        <v>2</v>
      </c>
      <c r="BY261">
        <v>0</v>
      </c>
      <c r="BZ261">
        <v>8</v>
      </c>
      <c r="CA261">
        <v>3</v>
      </c>
      <c r="CB261">
        <v>2</v>
      </c>
      <c r="CC261">
        <v>6</v>
      </c>
      <c r="CD261">
        <v>4</v>
      </c>
      <c r="CE261">
        <v>5</v>
      </c>
      <c r="CF261">
        <v>0</v>
      </c>
      <c r="CG261">
        <v>1</v>
      </c>
      <c r="CH261">
        <v>5</v>
      </c>
      <c r="CI261">
        <v>3</v>
      </c>
      <c r="CJ261">
        <v>10</v>
      </c>
      <c r="CK261">
        <v>3</v>
      </c>
      <c r="CL261">
        <v>4</v>
      </c>
      <c r="CM261">
        <v>10</v>
      </c>
      <c r="CN261">
        <v>3</v>
      </c>
      <c r="CO261">
        <v>2</v>
      </c>
      <c r="CP261">
        <v>4</v>
      </c>
      <c r="CQ261">
        <v>6</v>
      </c>
      <c r="CR261">
        <v>3</v>
      </c>
      <c r="CS261">
        <v>3</v>
      </c>
      <c r="CT261">
        <v>8</v>
      </c>
      <c r="CU261">
        <v>3</v>
      </c>
      <c r="CV261">
        <v>8</v>
      </c>
      <c r="CW261">
        <v>2</v>
      </c>
      <c r="CX261">
        <v>9</v>
      </c>
      <c r="CY261">
        <v>1</v>
      </c>
      <c r="CZ261">
        <v>3</v>
      </c>
      <c r="DA261">
        <v>0</v>
      </c>
      <c r="DB261">
        <v>5</v>
      </c>
      <c r="DC261">
        <v>4</v>
      </c>
      <c r="DD261">
        <v>5</v>
      </c>
      <c r="DE261">
        <v>5</v>
      </c>
      <c r="DF261">
        <v>3</v>
      </c>
      <c r="DG261">
        <v>6</v>
      </c>
      <c r="DH261">
        <v>0</v>
      </c>
      <c r="DI261">
        <v>10</v>
      </c>
      <c r="DJ261">
        <v>2</v>
      </c>
      <c r="DK261">
        <v>8</v>
      </c>
    </row>
    <row r="262" spans="1:115">
      <c r="A262" s="173">
        <f>Calculations[[#This Row],[Sum t eCO2]]*IF(Calculations[[#This Row],[GHG Scope]]="BIOGENIC",0,1)</f>
        <v>0</v>
      </c>
      <c r="O262">
        <f t="shared" si="4"/>
        <v>261</v>
      </c>
      <c r="P262">
        <v>9</v>
      </c>
      <c r="Q262">
        <v>10</v>
      </c>
      <c r="R262">
        <v>8</v>
      </c>
      <c r="S262">
        <v>4</v>
      </c>
      <c r="T262">
        <v>0</v>
      </c>
      <c r="U262">
        <v>0</v>
      </c>
      <c r="V262">
        <v>2</v>
      </c>
      <c r="W262">
        <v>7</v>
      </c>
      <c r="X262">
        <v>2</v>
      </c>
      <c r="Y262">
        <v>8</v>
      </c>
      <c r="Z262">
        <v>8</v>
      </c>
      <c r="AA262">
        <v>5</v>
      </c>
      <c r="AB262">
        <v>2</v>
      </c>
      <c r="AC262">
        <v>8</v>
      </c>
      <c r="AD262">
        <v>10</v>
      </c>
      <c r="AE262">
        <v>1</v>
      </c>
      <c r="AF262">
        <v>6</v>
      </c>
      <c r="AG262">
        <v>7</v>
      </c>
      <c r="AH262">
        <v>3</v>
      </c>
      <c r="AI262">
        <v>1</v>
      </c>
      <c r="AJ262">
        <v>8</v>
      </c>
      <c r="AK262">
        <v>10</v>
      </c>
      <c r="AL262">
        <v>7</v>
      </c>
      <c r="AM262">
        <v>3</v>
      </c>
      <c r="AN262">
        <v>7</v>
      </c>
      <c r="AO262">
        <v>10</v>
      </c>
      <c r="AP262">
        <v>3</v>
      </c>
      <c r="AQ262">
        <v>9</v>
      </c>
      <c r="AR262">
        <v>3</v>
      </c>
      <c r="AS262">
        <v>1</v>
      </c>
      <c r="AT262">
        <v>0</v>
      </c>
      <c r="AU262">
        <v>3</v>
      </c>
      <c r="AV262">
        <v>1</v>
      </c>
      <c r="AW262">
        <v>1</v>
      </c>
      <c r="AX262">
        <v>3</v>
      </c>
      <c r="AY262">
        <v>0</v>
      </c>
      <c r="AZ262">
        <v>9</v>
      </c>
      <c r="BA262">
        <v>1</v>
      </c>
      <c r="BB262">
        <v>3</v>
      </c>
      <c r="BC262">
        <v>6</v>
      </c>
      <c r="BD262">
        <v>9</v>
      </c>
      <c r="BE262">
        <v>0</v>
      </c>
      <c r="BF262">
        <v>2</v>
      </c>
      <c r="BG262">
        <v>2</v>
      </c>
      <c r="BH262">
        <v>10</v>
      </c>
      <c r="BI262">
        <v>8</v>
      </c>
      <c r="BJ262">
        <v>8</v>
      </c>
      <c r="BK262">
        <v>9</v>
      </c>
      <c r="BL262">
        <v>7</v>
      </c>
      <c r="BM262">
        <v>5</v>
      </c>
      <c r="BN262">
        <v>9</v>
      </c>
      <c r="BO262">
        <v>7</v>
      </c>
      <c r="BP262">
        <v>3</v>
      </c>
      <c r="BQ262">
        <v>4</v>
      </c>
      <c r="BR262">
        <v>2</v>
      </c>
      <c r="BS262">
        <v>8</v>
      </c>
      <c r="BT262">
        <v>9</v>
      </c>
      <c r="BU262">
        <v>10</v>
      </c>
      <c r="BV262">
        <v>7</v>
      </c>
      <c r="BW262">
        <v>1</v>
      </c>
      <c r="BX262">
        <v>8</v>
      </c>
      <c r="BY262">
        <v>4</v>
      </c>
      <c r="BZ262">
        <v>2</v>
      </c>
      <c r="CA262">
        <v>0</v>
      </c>
      <c r="CB262">
        <v>8</v>
      </c>
      <c r="CC262">
        <v>3</v>
      </c>
      <c r="CD262">
        <v>7</v>
      </c>
      <c r="CE262">
        <v>4</v>
      </c>
      <c r="CF262">
        <v>0</v>
      </c>
      <c r="CG262">
        <v>9</v>
      </c>
      <c r="CH262">
        <v>4</v>
      </c>
      <c r="CI262">
        <v>10</v>
      </c>
      <c r="CJ262">
        <v>6</v>
      </c>
      <c r="CK262">
        <v>3</v>
      </c>
      <c r="CL262">
        <v>8</v>
      </c>
      <c r="CM262">
        <v>5</v>
      </c>
      <c r="CN262">
        <v>1</v>
      </c>
      <c r="CO262">
        <v>3</v>
      </c>
      <c r="CP262">
        <v>3</v>
      </c>
      <c r="CQ262">
        <v>10</v>
      </c>
      <c r="CR262">
        <v>2</v>
      </c>
      <c r="CS262">
        <v>10</v>
      </c>
      <c r="CT262">
        <v>5</v>
      </c>
      <c r="CU262">
        <v>5</v>
      </c>
      <c r="CV262">
        <v>4</v>
      </c>
      <c r="CW262">
        <v>2</v>
      </c>
      <c r="CX262">
        <v>6</v>
      </c>
      <c r="CY262">
        <v>3</v>
      </c>
      <c r="CZ262">
        <v>2</v>
      </c>
      <c r="DA262">
        <v>10</v>
      </c>
      <c r="DB262">
        <v>10</v>
      </c>
      <c r="DC262">
        <v>0</v>
      </c>
      <c r="DD262">
        <v>9</v>
      </c>
      <c r="DE262">
        <v>3</v>
      </c>
      <c r="DF262">
        <v>6</v>
      </c>
      <c r="DG262">
        <v>1</v>
      </c>
      <c r="DH262">
        <v>5</v>
      </c>
      <c r="DI262">
        <v>8</v>
      </c>
      <c r="DJ262">
        <v>7</v>
      </c>
      <c r="DK262">
        <v>10</v>
      </c>
    </row>
    <row r="263" spans="1:115">
      <c r="A263" s="173">
        <f>Calculations[[#This Row],[Sum t eCO2]]*IF(Calculations[[#This Row],[GHG Scope]]="BIOGENIC",0,1)</f>
        <v>0</v>
      </c>
      <c r="O263">
        <f t="shared" si="4"/>
        <v>262</v>
      </c>
      <c r="P263">
        <v>10</v>
      </c>
      <c r="Q263">
        <v>9</v>
      </c>
      <c r="R263">
        <v>8</v>
      </c>
      <c r="S263">
        <v>1</v>
      </c>
      <c r="T263">
        <v>9</v>
      </c>
      <c r="U263">
        <v>5</v>
      </c>
      <c r="V263">
        <v>5</v>
      </c>
      <c r="W263">
        <v>7</v>
      </c>
      <c r="X263">
        <v>2</v>
      </c>
      <c r="Y263">
        <v>1</v>
      </c>
      <c r="Z263">
        <v>9</v>
      </c>
      <c r="AA263">
        <v>4</v>
      </c>
      <c r="AB263">
        <v>4</v>
      </c>
      <c r="AC263">
        <v>5</v>
      </c>
      <c r="AD263">
        <v>2</v>
      </c>
      <c r="AE263">
        <v>9</v>
      </c>
      <c r="AF263">
        <v>10</v>
      </c>
      <c r="AG263">
        <v>3</v>
      </c>
      <c r="AH263">
        <v>5</v>
      </c>
      <c r="AI263">
        <v>4</v>
      </c>
      <c r="AJ263">
        <v>10</v>
      </c>
      <c r="AK263">
        <v>5</v>
      </c>
      <c r="AL263">
        <v>10</v>
      </c>
      <c r="AM263">
        <v>10</v>
      </c>
      <c r="AN263">
        <v>9</v>
      </c>
      <c r="AO263">
        <v>0</v>
      </c>
      <c r="AP263">
        <v>2</v>
      </c>
      <c r="AQ263">
        <v>6</v>
      </c>
      <c r="AR263">
        <v>8</v>
      </c>
      <c r="AS263">
        <v>7</v>
      </c>
      <c r="AT263">
        <v>1</v>
      </c>
      <c r="AU263">
        <v>2</v>
      </c>
      <c r="AV263">
        <v>7</v>
      </c>
      <c r="AW263">
        <v>4</v>
      </c>
      <c r="AX263">
        <v>6</v>
      </c>
      <c r="AY263">
        <v>4</v>
      </c>
      <c r="AZ263">
        <v>10</v>
      </c>
      <c r="BA263">
        <v>9</v>
      </c>
      <c r="BB263">
        <v>7</v>
      </c>
      <c r="BC263">
        <v>1</v>
      </c>
      <c r="BD263">
        <v>7</v>
      </c>
      <c r="BE263">
        <v>4</v>
      </c>
      <c r="BF263">
        <v>7</v>
      </c>
      <c r="BG263">
        <v>8</v>
      </c>
      <c r="BH263">
        <v>3</v>
      </c>
      <c r="BI263">
        <v>6</v>
      </c>
      <c r="BJ263">
        <v>2</v>
      </c>
      <c r="BK263">
        <v>6</v>
      </c>
      <c r="BL263">
        <v>2</v>
      </c>
      <c r="BM263">
        <v>9</v>
      </c>
      <c r="BN263">
        <v>2</v>
      </c>
      <c r="BO263">
        <v>9</v>
      </c>
      <c r="BP263">
        <v>5</v>
      </c>
      <c r="BQ263">
        <v>6</v>
      </c>
      <c r="BR263">
        <v>3</v>
      </c>
      <c r="BS263">
        <v>8</v>
      </c>
      <c r="BT263">
        <v>3</v>
      </c>
      <c r="BU263">
        <v>0</v>
      </c>
      <c r="BV263">
        <v>6</v>
      </c>
      <c r="BW263">
        <v>8</v>
      </c>
      <c r="BX263">
        <v>6</v>
      </c>
      <c r="BY263">
        <v>1</v>
      </c>
      <c r="BZ263">
        <v>7</v>
      </c>
      <c r="CA263">
        <v>10</v>
      </c>
      <c r="CB263">
        <v>5</v>
      </c>
      <c r="CC263">
        <v>2</v>
      </c>
      <c r="CD263">
        <v>6</v>
      </c>
      <c r="CE263">
        <v>9</v>
      </c>
      <c r="CF263">
        <v>4</v>
      </c>
      <c r="CG263">
        <v>1</v>
      </c>
      <c r="CH263">
        <v>9</v>
      </c>
      <c r="CI263">
        <v>10</v>
      </c>
      <c r="CJ263">
        <v>2</v>
      </c>
      <c r="CK263">
        <v>7</v>
      </c>
      <c r="CL263">
        <v>2</v>
      </c>
      <c r="CM263">
        <v>9</v>
      </c>
      <c r="CN263">
        <v>6</v>
      </c>
      <c r="CO263">
        <v>9</v>
      </c>
      <c r="CP263">
        <v>1</v>
      </c>
      <c r="CQ263">
        <v>6</v>
      </c>
      <c r="CR263">
        <v>2</v>
      </c>
      <c r="CS263">
        <v>0</v>
      </c>
      <c r="CT263">
        <v>4</v>
      </c>
      <c r="CU263">
        <v>4</v>
      </c>
      <c r="CV263">
        <v>3</v>
      </c>
      <c r="CW263">
        <v>5</v>
      </c>
      <c r="CX263">
        <v>10</v>
      </c>
      <c r="CY263">
        <v>3</v>
      </c>
      <c r="CZ263">
        <v>4</v>
      </c>
      <c r="DA263">
        <v>4</v>
      </c>
      <c r="DB263">
        <v>9</v>
      </c>
      <c r="DC263">
        <v>4</v>
      </c>
      <c r="DD263">
        <v>1</v>
      </c>
      <c r="DE263">
        <v>9</v>
      </c>
      <c r="DF263">
        <v>5</v>
      </c>
      <c r="DG263">
        <v>10</v>
      </c>
      <c r="DH263">
        <v>3</v>
      </c>
      <c r="DI263">
        <v>2</v>
      </c>
      <c r="DJ263">
        <v>0</v>
      </c>
      <c r="DK263">
        <v>10</v>
      </c>
    </row>
    <row r="264" spans="1:115">
      <c r="A264" s="173">
        <f>Calculations[[#This Row],[Sum t eCO2]]*IF(Calculations[[#This Row],[GHG Scope]]="BIOGENIC",0,1)</f>
        <v>0</v>
      </c>
      <c r="O264">
        <f t="shared" si="4"/>
        <v>263</v>
      </c>
      <c r="P264">
        <v>9</v>
      </c>
      <c r="Q264">
        <v>6</v>
      </c>
      <c r="R264">
        <v>2</v>
      </c>
      <c r="S264">
        <v>4</v>
      </c>
      <c r="T264">
        <v>6</v>
      </c>
      <c r="U264">
        <v>2</v>
      </c>
      <c r="V264">
        <v>3</v>
      </c>
      <c r="W264">
        <v>6</v>
      </c>
      <c r="X264">
        <v>9</v>
      </c>
      <c r="Y264">
        <v>0</v>
      </c>
      <c r="Z264">
        <v>10</v>
      </c>
      <c r="AA264">
        <v>6</v>
      </c>
      <c r="AB264">
        <v>3</v>
      </c>
      <c r="AC264">
        <v>8</v>
      </c>
      <c r="AD264">
        <v>8</v>
      </c>
      <c r="AE264">
        <v>8</v>
      </c>
      <c r="AF264">
        <v>6</v>
      </c>
      <c r="AG264">
        <v>7</v>
      </c>
      <c r="AH264">
        <v>2</v>
      </c>
      <c r="AI264">
        <v>7</v>
      </c>
      <c r="AJ264">
        <v>4</v>
      </c>
      <c r="AK264">
        <v>4</v>
      </c>
      <c r="AL264">
        <v>8</v>
      </c>
      <c r="AM264">
        <v>7</v>
      </c>
      <c r="AN264">
        <v>6</v>
      </c>
      <c r="AO264">
        <v>5</v>
      </c>
      <c r="AP264">
        <v>3</v>
      </c>
      <c r="AQ264">
        <v>8</v>
      </c>
      <c r="AR264">
        <v>7</v>
      </c>
      <c r="AS264">
        <v>7</v>
      </c>
      <c r="AT264">
        <v>10</v>
      </c>
      <c r="AU264">
        <v>1</v>
      </c>
      <c r="AV264">
        <v>2</v>
      </c>
      <c r="AW264">
        <v>3</v>
      </c>
      <c r="AX264">
        <v>10</v>
      </c>
      <c r="AY264">
        <v>2</v>
      </c>
      <c r="AZ264">
        <v>10</v>
      </c>
      <c r="BA264">
        <v>8</v>
      </c>
      <c r="BB264">
        <v>1</v>
      </c>
      <c r="BC264">
        <v>3</v>
      </c>
      <c r="BD264">
        <v>0</v>
      </c>
      <c r="BE264">
        <v>6</v>
      </c>
      <c r="BF264">
        <v>0</v>
      </c>
      <c r="BG264">
        <v>5</v>
      </c>
      <c r="BH264">
        <v>1</v>
      </c>
      <c r="BI264">
        <v>7</v>
      </c>
      <c r="BJ264">
        <v>10</v>
      </c>
      <c r="BK264">
        <v>7</v>
      </c>
      <c r="BL264">
        <v>9</v>
      </c>
      <c r="BM264">
        <v>7</v>
      </c>
      <c r="BN264">
        <v>8</v>
      </c>
      <c r="BO264">
        <v>1</v>
      </c>
      <c r="BP264">
        <v>7</v>
      </c>
      <c r="BQ264">
        <v>5</v>
      </c>
      <c r="BR264">
        <v>10</v>
      </c>
      <c r="BS264">
        <v>10</v>
      </c>
      <c r="BT264">
        <v>0</v>
      </c>
      <c r="BU264">
        <v>5</v>
      </c>
      <c r="BV264">
        <v>3</v>
      </c>
      <c r="BW264">
        <v>8</v>
      </c>
      <c r="BX264">
        <v>2</v>
      </c>
      <c r="BY264">
        <v>8</v>
      </c>
      <c r="BZ264">
        <v>5</v>
      </c>
      <c r="CA264">
        <v>2</v>
      </c>
      <c r="CB264">
        <v>7</v>
      </c>
      <c r="CC264">
        <v>7</v>
      </c>
      <c r="CD264">
        <v>3</v>
      </c>
      <c r="CE264">
        <v>7</v>
      </c>
      <c r="CF264">
        <v>5</v>
      </c>
      <c r="CG264">
        <v>6</v>
      </c>
      <c r="CH264">
        <v>1</v>
      </c>
      <c r="CI264">
        <v>4</v>
      </c>
      <c r="CJ264">
        <v>8</v>
      </c>
      <c r="CK264">
        <v>7</v>
      </c>
      <c r="CL264">
        <v>2</v>
      </c>
      <c r="CM264">
        <v>3</v>
      </c>
      <c r="CN264">
        <v>8</v>
      </c>
      <c r="CO264">
        <v>2</v>
      </c>
      <c r="CP264">
        <v>4</v>
      </c>
      <c r="CQ264">
        <v>0</v>
      </c>
      <c r="CR264">
        <v>3</v>
      </c>
      <c r="CS264">
        <v>5</v>
      </c>
      <c r="CT264">
        <v>7</v>
      </c>
      <c r="CU264">
        <v>10</v>
      </c>
      <c r="CV264">
        <v>1</v>
      </c>
      <c r="CW264">
        <v>10</v>
      </c>
      <c r="CX264">
        <v>6</v>
      </c>
      <c r="CY264">
        <v>3</v>
      </c>
      <c r="CZ264">
        <v>0</v>
      </c>
      <c r="DA264">
        <v>4</v>
      </c>
      <c r="DB264">
        <v>8</v>
      </c>
      <c r="DC264">
        <v>0</v>
      </c>
      <c r="DD264">
        <v>8</v>
      </c>
      <c r="DE264">
        <v>0</v>
      </c>
      <c r="DF264">
        <v>1</v>
      </c>
      <c r="DG264">
        <v>8</v>
      </c>
      <c r="DH264">
        <v>5</v>
      </c>
      <c r="DI264">
        <v>8</v>
      </c>
      <c r="DJ264">
        <v>1</v>
      </c>
      <c r="DK264">
        <v>8</v>
      </c>
    </row>
    <row r="265" spans="1:115">
      <c r="A265" s="173">
        <f>Calculations[[#This Row],[Sum t eCO2]]*IF(Calculations[[#This Row],[GHG Scope]]="BIOGENIC",0,1)</f>
        <v>0</v>
      </c>
      <c r="O265">
        <f t="shared" si="4"/>
        <v>264</v>
      </c>
      <c r="P265">
        <v>4</v>
      </c>
      <c r="Q265">
        <v>1</v>
      </c>
      <c r="R265">
        <v>9</v>
      </c>
      <c r="S265">
        <v>2</v>
      </c>
      <c r="T265">
        <v>4</v>
      </c>
      <c r="U265">
        <v>9</v>
      </c>
      <c r="V265">
        <v>10</v>
      </c>
      <c r="W265">
        <v>9</v>
      </c>
      <c r="X265">
        <v>6</v>
      </c>
      <c r="Y265">
        <v>6</v>
      </c>
      <c r="Z265">
        <v>7</v>
      </c>
      <c r="AA265">
        <v>10</v>
      </c>
      <c r="AB265">
        <v>3</v>
      </c>
      <c r="AC265">
        <v>2</v>
      </c>
      <c r="AD265">
        <v>8</v>
      </c>
      <c r="AE265">
        <v>10</v>
      </c>
      <c r="AF265">
        <v>1</v>
      </c>
      <c r="AG265">
        <v>2</v>
      </c>
      <c r="AH265">
        <v>9</v>
      </c>
      <c r="AI265">
        <v>5</v>
      </c>
      <c r="AJ265">
        <v>3</v>
      </c>
      <c r="AK265">
        <v>9</v>
      </c>
      <c r="AL265">
        <v>4</v>
      </c>
      <c r="AM265">
        <v>5</v>
      </c>
      <c r="AN265">
        <v>8</v>
      </c>
      <c r="AO265">
        <v>5</v>
      </c>
      <c r="AP265">
        <v>10</v>
      </c>
      <c r="AQ265">
        <v>10</v>
      </c>
      <c r="AR265">
        <v>6</v>
      </c>
      <c r="AS265">
        <v>10</v>
      </c>
      <c r="AT265">
        <v>4</v>
      </c>
      <c r="AU265">
        <v>4</v>
      </c>
      <c r="AV265">
        <v>4</v>
      </c>
      <c r="AW265">
        <v>3</v>
      </c>
      <c r="AX265">
        <v>7</v>
      </c>
      <c r="AY265">
        <v>8</v>
      </c>
      <c r="AZ265">
        <v>3</v>
      </c>
      <c r="BA265">
        <v>6</v>
      </c>
      <c r="BB265">
        <v>6</v>
      </c>
      <c r="BC265">
        <v>4</v>
      </c>
      <c r="BD265">
        <v>4</v>
      </c>
      <c r="BE265">
        <v>7</v>
      </c>
      <c r="BF265">
        <v>5</v>
      </c>
      <c r="BG265">
        <v>7</v>
      </c>
      <c r="BH265">
        <v>2</v>
      </c>
      <c r="BI265">
        <v>6</v>
      </c>
      <c r="BJ265">
        <v>0</v>
      </c>
      <c r="BK265">
        <v>8</v>
      </c>
      <c r="BL265">
        <v>9</v>
      </c>
      <c r="BM265">
        <v>4</v>
      </c>
      <c r="BN265">
        <v>7</v>
      </c>
      <c r="BO265">
        <v>1</v>
      </c>
      <c r="BP265">
        <v>7</v>
      </c>
      <c r="BQ265">
        <v>1</v>
      </c>
      <c r="BR265">
        <v>4</v>
      </c>
      <c r="BS265">
        <v>9</v>
      </c>
      <c r="BT265">
        <v>5</v>
      </c>
      <c r="BU265">
        <v>8</v>
      </c>
      <c r="BV265">
        <v>6</v>
      </c>
      <c r="BW265">
        <v>6</v>
      </c>
      <c r="BX265">
        <v>4</v>
      </c>
      <c r="BY265">
        <v>0</v>
      </c>
      <c r="BZ265">
        <v>10</v>
      </c>
      <c r="CA265">
        <v>4</v>
      </c>
      <c r="CB265">
        <v>6</v>
      </c>
      <c r="CC265">
        <v>1</v>
      </c>
      <c r="CD265">
        <v>1</v>
      </c>
      <c r="CE265">
        <v>4</v>
      </c>
      <c r="CF265">
        <v>4</v>
      </c>
      <c r="CG265">
        <v>8</v>
      </c>
      <c r="CH265">
        <v>6</v>
      </c>
      <c r="CI265">
        <v>6</v>
      </c>
      <c r="CJ265">
        <v>0</v>
      </c>
      <c r="CK265">
        <v>4</v>
      </c>
      <c r="CL265">
        <v>7</v>
      </c>
      <c r="CM265">
        <v>7</v>
      </c>
      <c r="CN265">
        <v>5</v>
      </c>
      <c r="CO265">
        <v>4</v>
      </c>
      <c r="CP265">
        <v>0</v>
      </c>
      <c r="CQ265">
        <v>10</v>
      </c>
      <c r="CR265">
        <v>4</v>
      </c>
      <c r="CS265">
        <v>1</v>
      </c>
      <c r="CT265">
        <v>8</v>
      </c>
      <c r="CU265">
        <v>6</v>
      </c>
      <c r="CV265">
        <v>5</v>
      </c>
      <c r="CW265">
        <v>2</v>
      </c>
      <c r="CX265">
        <v>1</v>
      </c>
      <c r="CY265">
        <v>5</v>
      </c>
      <c r="CZ265">
        <v>1</v>
      </c>
      <c r="DA265">
        <v>10</v>
      </c>
      <c r="DB265">
        <v>3</v>
      </c>
      <c r="DC265">
        <v>6</v>
      </c>
      <c r="DD265">
        <v>10</v>
      </c>
      <c r="DE265">
        <v>3</v>
      </c>
      <c r="DF265">
        <v>8</v>
      </c>
      <c r="DG265">
        <v>9</v>
      </c>
      <c r="DH265">
        <v>1</v>
      </c>
      <c r="DI265">
        <v>10</v>
      </c>
      <c r="DJ265">
        <v>7</v>
      </c>
      <c r="DK265">
        <v>7</v>
      </c>
    </row>
    <row r="266" spans="1:115">
      <c r="A266" s="173">
        <f>Calculations[[#This Row],[Sum t eCO2]]*IF(Calculations[[#This Row],[GHG Scope]]="BIOGENIC",0,1)</f>
        <v>0</v>
      </c>
      <c r="O266">
        <f t="shared" si="4"/>
        <v>265</v>
      </c>
      <c r="P266">
        <v>0</v>
      </c>
      <c r="Q266">
        <v>9</v>
      </c>
      <c r="R266">
        <v>8</v>
      </c>
      <c r="S266">
        <v>5</v>
      </c>
      <c r="T266">
        <v>8</v>
      </c>
      <c r="U266">
        <v>4</v>
      </c>
      <c r="V266">
        <v>7</v>
      </c>
      <c r="W266">
        <v>1</v>
      </c>
      <c r="X266">
        <v>3</v>
      </c>
      <c r="Y266">
        <v>6</v>
      </c>
      <c r="Z266">
        <v>6</v>
      </c>
      <c r="AA266">
        <v>0</v>
      </c>
      <c r="AB266">
        <v>3</v>
      </c>
      <c r="AC266">
        <v>1</v>
      </c>
      <c r="AD266">
        <v>5</v>
      </c>
      <c r="AE266">
        <v>5</v>
      </c>
      <c r="AF266">
        <v>1</v>
      </c>
      <c r="AG266">
        <v>9</v>
      </c>
      <c r="AH266">
        <v>1</v>
      </c>
      <c r="AI266">
        <v>1</v>
      </c>
      <c r="AJ266">
        <v>5</v>
      </c>
      <c r="AK266">
        <v>4</v>
      </c>
      <c r="AL266">
        <v>4</v>
      </c>
      <c r="AM266">
        <v>7</v>
      </c>
      <c r="AN266">
        <v>6</v>
      </c>
      <c r="AO266">
        <v>1</v>
      </c>
      <c r="AP266">
        <v>10</v>
      </c>
      <c r="AQ266">
        <v>0</v>
      </c>
      <c r="AR266">
        <v>6</v>
      </c>
      <c r="AS266">
        <v>0</v>
      </c>
      <c r="AT266">
        <v>8</v>
      </c>
      <c r="AU266">
        <v>2</v>
      </c>
      <c r="AV266">
        <v>7</v>
      </c>
      <c r="AW266">
        <v>1</v>
      </c>
      <c r="AX266">
        <v>10</v>
      </c>
      <c r="AY266">
        <v>7</v>
      </c>
      <c r="AZ266">
        <v>0</v>
      </c>
      <c r="BA266">
        <v>1</v>
      </c>
      <c r="BB266">
        <v>6</v>
      </c>
      <c r="BC266">
        <v>0</v>
      </c>
      <c r="BD266">
        <v>8</v>
      </c>
      <c r="BE266">
        <v>1</v>
      </c>
      <c r="BF266">
        <v>4</v>
      </c>
      <c r="BG266">
        <v>1</v>
      </c>
      <c r="BH266">
        <v>7</v>
      </c>
      <c r="BI266">
        <v>8</v>
      </c>
      <c r="BJ266">
        <v>3</v>
      </c>
      <c r="BK266">
        <v>0</v>
      </c>
      <c r="BL266">
        <v>8</v>
      </c>
      <c r="BM266">
        <v>9</v>
      </c>
      <c r="BN266">
        <v>4</v>
      </c>
      <c r="BO266">
        <v>1</v>
      </c>
      <c r="BP266">
        <v>8</v>
      </c>
      <c r="BQ266">
        <v>7</v>
      </c>
      <c r="BR266">
        <v>6</v>
      </c>
      <c r="BS266">
        <v>2</v>
      </c>
      <c r="BT266">
        <v>3</v>
      </c>
      <c r="BU266">
        <v>4</v>
      </c>
      <c r="BV266">
        <v>3</v>
      </c>
      <c r="BW266">
        <v>6</v>
      </c>
      <c r="BX266">
        <v>1</v>
      </c>
      <c r="BY266">
        <v>8</v>
      </c>
      <c r="BZ266">
        <v>9</v>
      </c>
      <c r="CA266">
        <v>2</v>
      </c>
      <c r="CB266">
        <v>0</v>
      </c>
      <c r="CC266">
        <v>9</v>
      </c>
      <c r="CD266">
        <v>7</v>
      </c>
      <c r="CE266">
        <v>2</v>
      </c>
      <c r="CF266">
        <v>0</v>
      </c>
      <c r="CG266">
        <v>1</v>
      </c>
      <c r="CH266">
        <v>4</v>
      </c>
      <c r="CI266">
        <v>0</v>
      </c>
      <c r="CJ266">
        <v>6</v>
      </c>
      <c r="CK266">
        <v>2</v>
      </c>
      <c r="CL266">
        <v>2</v>
      </c>
      <c r="CM266">
        <v>5</v>
      </c>
      <c r="CN266">
        <v>10</v>
      </c>
      <c r="CO266">
        <v>0</v>
      </c>
      <c r="CP266">
        <v>9</v>
      </c>
      <c r="CQ266">
        <v>2</v>
      </c>
      <c r="CR266">
        <v>10</v>
      </c>
      <c r="CS266">
        <v>2</v>
      </c>
      <c r="CT266">
        <v>5</v>
      </c>
      <c r="CU266">
        <v>3</v>
      </c>
      <c r="CV266">
        <v>5</v>
      </c>
      <c r="CW266">
        <v>6</v>
      </c>
      <c r="CX266">
        <v>0</v>
      </c>
      <c r="CY266">
        <v>4</v>
      </c>
      <c r="CZ266">
        <v>7</v>
      </c>
      <c r="DA266">
        <v>10</v>
      </c>
      <c r="DB266">
        <v>4</v>
      </c>
      <c r="DC266">
        <v>2</v>
      </c>
      <c r="DD266">
        <v>9</v>
      </c>
      <c r="DE266">
        <v>9</v>
      </c>
      <c r="DF266">
        <v>7</v>
      </c>
      <c r="DG266">
        <v>2</v>
      </c>
      <c r="DH266">
        <v>0</v>
      </c>
      <c r="DI266">
        <v>9</v>
      </c>
      <c r="DJ266">
        <v>1</v>
      </c>
      <c r="DK266">
        <v>9</v>
      </c>
    </row>
    <row r="267" spans="1:115">
      <c r="A267" s="173">
        <f>Calculations[[#This Row],[Sum t eCO2]]*IF(Calculations[[#This Row],[GHG Scope]]="BIOGENIC",0,1)</f>
        <v>0</v>
      </c>
      <c r="O267">
        <f t="shared" si="4"/>
        <v>266</v>
      </c>
      <c r="P267">
        <v>9</v>
      </c>
      <c r="Q267">
        <v>10</v>
      </c>
      <c r="R267">
        <v>1</v>
      </c>
      <c r="S267">
        <v>8</v>
      </c>
      <c r="T267">
        <v>7</v>
      </c>
      <c r="U267">
        <v>6</v>
      </c>
      <c r="V267">
        <v>0</v>
      </c>
      <c r="W267">
        <v>1</v>
      </c>
      <c r="X267">
        <v>9</v>
      </c>
      <c r="Y267">
        <v>6</v>
      </c>
      <c r="Z267">
        <v>7</v>
      </c>
      <c r="AA267">
        <v>9</v>
      </c>
      <c r="AB267">
        <v>2</v>
      </c>
      <c r="AC267">
        <v>0</v>
      </c>
      <c r="AD267">
        <v>1</v>
      </c>
      <c r="AE267">
        <v>2</v>
      </c>
      <c r="AF267">
        <v>0</v>
      </c>
      <c r="AG267">
        <v>1</v>
      </c>
      <c r="AH267">
        <v>4</v>
      </c>
      <c r="AI267">
        <v>7</v>
      </c>
      <c r="AJ267">
        <v>9</v>
      </c>
      <c r="AK267">
        <v>1</v>
      </c>
      <c r="AL267">
        <v>4</v>
      </c>
      <c r="AM267">
        <v>10</v>
      </c>
      <c r="AN267">
        <v>2</v>
      </c>
      <c r="AO267">
        <v>9</v>
      </c>
      <c r="AP267">
        <v>3</v>
      </c>
      <c r="AQ267">
        <v>7</v>
      </c>
      <c r="AR267">
        <v>5</v>
      </c>
      <c r="AS267">
        <v>4</v>
      </c>
      <c r="AT267">
        <v>5</v>
      </c>
      <c r="AU267">
        <v>4</v>
      </c>
      <c r="AV267">
        <v>9</v>
      </c>
      <c r="AW267">
        <v>1</v>
      </c>
      <c r="AX267">
        <v>0</v>
      </c>
      <c r="AY267">
        <v>8</v>
      </c>
      <c r="AZ267">
        <v>10</v>
      </c>
      <c r="BA267">
        <v>9</v>
      </c>
      <c r="BB267">
        <v>7</v>
      </c>
      <c r="BC267">
        <v>9</v>
      </c>
      <c r="BD267">
        <v>9</v>
      </c>
      <c r="BE267">
        <v>5</v>
      </c>
      <c r="BF267">
        <v>6</v>
      </c>
      <c r="BG267">
        <v>1</v>
      </c>
      <c r="BH267">
        <v>2</v>
      </c>
      <c r="BI267">
        <v>1</v>
      </c>
      <c r="BJ267">
        <v>9</v>
      </c>
      <c r="BK267">
        <v>0</v>
      </c>
      <c r="BL267">
        <v>0</v>
      </c>
      <c r="BM267">
        <v>5</v>
      </c>
      <c r="BN267">
        <v>1</v>
      </c>
      <c r="BO267">
        <v>10</v>
      </c>
      <c r="BP267">
        <v>4</v>
      </c>
      <c r="BQ267">
        <v>9</v>
      </c>
      <c r="BR267">
        <v>4</v>
      </c>
      <c r="BS267">
        <v>10</v>
      </c>
      <c r="BT267">
        <v>0</v>
      </c>
      <c r="BU267">
        <v>5</v>
      </c>
      <c r="BV267">
        <v>0</v>
      </c>
      <c r="BW267">
        <v>5</v>
      </c>
      <c r="BX267">
        <v>3</v>
      </c>
      <c r="BY267">
        <v>4</v>
      </c>
      <c r="BZ267">
        <v>3</v>
      </c>
      <c r="CA267">
        <v>1</v>
      </c>
      <c r="CB267">
        <v>5</v>
      </c>
      <c r="CC267">
        <v>2</v>
      </c>
      <c r="CD267">
        <v>3</v>
      </c>
      <c r="CE267">
        <v>8</v>
      </c>
      <c r="CF267">
        <v>4</v>
      </c>
      <c r="CG267">
        <v>6</v>
      </c>
      <c r="CH267">
        <v>9</v>
      </c>
      <c r="CI267">
        <v>9</v>
      </c>
      <c r="CJ267">
        <v>5</v>
      </c>
      <c r="CK267">
        <v>8</v>
      </c>
      <c r="CL267">
        <v>4</v>
      </c>
      <c r="CM267">
        <v>10</v>
      </c>
      <c r="CN267">
        <v>10</v>
      </c>
      <c r="CO267">
        <v>8</v>
      </c>
      <c r="CP267">
        <v>4</v>
      </c>
      <c r="CQ267">
        <v>3</v>
      </c>
      <c r="CR267">
        <v>9</v>
      </c>
      <c r="CS267">
        <v>0</v>
      </c>
      <c r="CT267">
        <v>1</v>
      </c>
      <c r="CU267">
        <v>0</v>
      </c>
      <c r="CV267">
        <v>7</v>
      </c>
      <c r="CW267">
        <v>1</v>
      </c>
      <c r="CX267">
        <v>8</v>
      </c>
      <c r="CY267">
        <v>9</v>
      </c>
      <c r="CZ267">
        <v>5</v>
      </c>
      <c r="DA267">
        <v>8</v>
      </c>
      <c r="DB267">
        <v>1</v>
      </c>
      <c r="DC267">
        <v>5</v>
      </c>
      <c r="DD267">
        <v>1</v>
      </c>
      <c r="DE267">
        <v>0</v>
      </c>
      <c r="DF267">
        <v>1</v>
      </c>
      <c r="DG267">
        <v>0</v>
      </c>
      <c r="DH267">
        <v>1</v>
      </c>
      <c r="DI267">
        <v>4</v>
      </c>
      <c r="DJ267">
        <v>10</v>
      </c>
      <c r="DK267">
        <v>3</v>
      </c>
    </row>
    <row r="268" spans="1:115">
      <c r="A268" s="173">
        <f>Calculations[[#This Row],[Sum t eCO2]]*IF(Calculations[[#This Row],[GHG Scope]]="BIOGENIC",0,1)</f>
        <v>0</v>
      </c>
      <c r="O268">
        <f t="shared" si="4"/>
        <v>267</v>
      </c>
      <c r="P268">
        <v>2</v>
      </c>
      <c r="Q268">
        <v>2</v>
      </c>
      <c r="R268">
        <v>1</v>
      </c>
      <c r="S268">
        <v>1</v>
      </c>
      <c r="T268">
        <v>1</v>
      </c>
      <c r="U268">
        <v>3</v>
      </c>
      <c r="V268">
        <v>10</v>
      </c>
      <c r="W268">
        <v>6</v>
      </c>
      <c r="X268">
        <v>10</v>
      </c>
      <c r="Y268">
        <v>6</v>
      </c>
      <c r="Z268">
        <v>6</v>
      </c>
      <c r="AA268">
        <v>4</v>
      </c>
      <c r="AB268">
        <v>1</v>
      </c>
      <c r="AC268">
        <v>2</v>
      </c>
      <c r="AD268">
        <v>6</v>
      </c>
      <c r="AE268">
        <v>1</v>
      </c>
      <c r="AF268">
        <v>7</v>
      </c>
      <c r="AG268">
        <v>0</v>
      </c>
      <c r="AH268">
        <v>8</v>
      </c>
      <c r="AI268">
        <v>10</v>
      </c>
      <c r="AJ268">
        <v>10</v>
      </c>
      <c r="AK268">
        <v>6</v>
      </c>
      <c r="AL268">
        <v>3</v>
      </c>
      <c r="AM268">
        <v>0</v>
      </c>
      <c r="AN268">
        <v>7</v>
      </c>
      <c r="AO268">
        <v>10</v>
      </c>
      <c r="AP268">
        <v>5</v>
      </c>
      <c r="AQ268">
        <v>0</v>
      </c>
      <c r="AR268">
        <v>6</v>
      </c>
      <c r="AS268">
        <v>3</v>
      </c>
      <c r="AT268">
        <v>0</v>
      </c>
      <c r="AU268">
        <v>6</v>
      </c>
      <c r="AV268">
        <v>0</v>
      </c>
      <c r="AW268">
        <v>1</v>
      </c>
      <c r="AX268">
        <v>3</v>
      </c>
      <c r="AY268">
        <v>1</v>
      </c>
      <c r="AZ268">
        <v>0</v>
      </c>
      <c r="BA268">
        <v>1</v>
      </c>
      <c r="BB268">
        <v>10</v>
      </c>
      <c r="BC268">
        <v>7</v>
      </c>
      <c r="BD268">
        <v>2</v>
      </c>
      <c r="BE268">
        <v>10</v>
      </c>
      <c r="BF268">
        <v>3</v>
      </c>
      <c r="BG268">
        <v>6</v>
      </c>
      <c r="BH268">
        <v>2</v>
      </c>
      <c r="BI268">
        <v>10</v>
      </c>
      <c r="BJ268">
        <v>1</v>
      </c>
      <c r="BK268">
        <v>2</v>
      </c>
      <c r="BL268">
        <v>0</v>
      </c>
      <c r="BM268">
        <v>8</v>
      </c>
      <c r="BN268">
        <v>10</v>
      </c>
      <c r="BO268">
        <v>6</v>
      </c>
      <c r="BP268">
        <v>3</v>
      </c>
      <c r="BQ268">
        <v>6</v>
      </c>
      <c r="BR268">
        <v>10</v>
      </c>
      <c r="BS268">
        <v>7</v>
      </c>
      <c r="BT268">
        <v>7</v>
      </c>
      <c r="BU268">
        <v>3</v>
      </c>
      <c r="BV268">
        <v>0</v>
      </c>
      <c r="BW268">
        <v>2</v>
      </c>
      <c r="BX268">
        <v>6</v>
      </c>
      <c r="BY268">
        <v>6</v>
      </c>
      <c r="BZ268">
        <v>6</v>
      </c>
      <c r="CA268">
        <v>0</v>
      </c>
      <c r="CB268">
        <v>6</v>
      </c>
      <c r="CC268">
        <v>7</v>
      </c>
      <c r="CD268">
        <v>4</v>
      </c>
      <c r="CE268">
        <v>4</v>
      </c>
      <c r="CF268">
        <v>9</v>
      </c>
      <c r="CG268">
        <v>10</v>
      </c>
      <c r="CH268">
        <v>7</v>
      </c>
      <c r="CI268">
        <v>6</v>
      </c>
      <c r="CJ268">
        <v>2</v>
      </c>
      <c r="CK268">
        <v>9</v>
      </c>
      <c r="CL268">
        <v>2</v>
      </c>
      <c r="CM268">
        <v>7</v>
      </c>
      <c r="CN268">
        <v>1</v>
      </c>
      <c r="CO268">
        <v>8</v>
      </c>
      <c r="CP268">
        <v>0</v>
      </c>
      <c r="CQ268">
        <v>7</v>
      </c>
      <c r="CR268">
        <v>7</v>
      </c>
      <c r="CS268">
        <v>6</v>
      </c>
      <c r="CT268">
        <v>5</v>
      </c>
      <c r="CU268">
        <v>8</v>
      </c>
      <c r="CV268">
        <v>1</v>
      </c>
      <c r="CW268">
        <v>10</v>
      </c>
      <c r="CX268">
        <v>5</v>
      </c>
      <c r="CY268">
        <v>9</v>
      </c>
      <c r="CZ268">
        <v>9</v>
      </c>
      <c r="DA268">
        <v>4</v>
      </c>
      <c r="DB268">
        <v>3</v>
      </c>
      <c r="DC268">
        <v>10</v>
      </c>
      <c r="DD268">
        <v>1</v>
      </c>
      <c r="DE268">
        <v>8</v>
      </c>
      <c r="DF268">
        <v>9</v>
      </c>
      <c r="DG268">
        <v>6</v>
      </c>
      <c r="DH268">
        <v>4</v>
      </c>
      <c r="DI268">
        <v>0</v>
      </c>
      <c r="DJ268">
        <v>6</v>
      </c>
      <c r="DK268">
        <v>2</v>
      </c>
    </row>
    <row r="269" spans="1:115">
      <c r="A269" s="173">
        <f>Calculations[[#This Row],[Sum t eCO2]]*IF(Calculations[[#This Row],[GHG Scope]]="BIOGENIC",0,1)</f>
        <v>0</v>
      </c>
      <c r="O269">
        <f t="shared" si="4"/>
        <v>268</v>
      </c>
      <c r="P269">
        <v>9</v>
      </c>
      <c r="Q269">
        <v>10</v>
      </c>
      <c r="R269">
        <v>4</v>
      </c>
      <c r="S269">
        <v>7</v>
      </c>
      <c r="T269">
        <v>6</v>
      </c>
      <c r="U269">
        <v>8</v>
      </c>
      <c r="V269">
        <v>9</v>
      </c>
      <c r="W269">
        <v>3</v>
      </c>
      <c r="X269">
        <v>0</v>
      </c>
      <c r="Y269">
        <v>8</v>
      </c>
      <c r="Z269">
        <v>4</v>
      </c>
      <c r="AA269">
        <v>9</v>
      </c>
      <c r="AB269">
        <v>7</v>
      </c>
      <c r="AC269">
        <v>8</v>
      </c>
      <c r="AD269">
        <v>7</v>
      </c>
      <c r="AE269">
        <v>0</v>
      </c>
      <c r="AF269">
        <v>4</v>
      </c>
      <c r="AG269">
        <v>6</v>
      </c>
      <c r="AH269">
        <v>7</v>
      </c>
      <c r="AI269">
        <v>8</v>
      </c>
      <c r="AJ269">
        <v>7</v>
      </c>
      <c r="AK269">
        <v>2</v>
      </c>
      <c r="AL269">
        <v>6</v>
      </c>
      <c r="AM269">
        <v>4</v>
      </c>
      <c r="AN269">
        <v>3</v>
      </c>
      <c r="AO269">
        <v>10</v>
      </c>
      <c r="AP269">
        <v>6</v>
      </c>
      <c r="AQ269">
        <v>9</v>
      </c>
      <c r="AR269">
        <v>5</v>
      </c>
      <c r="AS269">
        <v>7</v>
      </c>
      <c r="AT269">
        <v>5</v>
      </c>
      <c r="AU269">
        <v>7</v>
      </c>
      <c r="AV269">
        <v>1</v>
      </c>
      <c r="AW269">
        <v>9</v>
      </c>
      <c r="AX269">
        <v>6</v>
      </c>
      <c r="AY269">
        <v>6</v>
      </c>
      <c r="AZ269">
        <v>7</v>
      </c>
      <c r="BA269">
        <v>1</v>
      </c>
      <c r="BB269">
        <v>6</v>
      </c>
      <c r="BC269">
        <v>6</v>
      </c>
      <c r="BD269">
        <v>8</v>
      </c>
      <c r="BE269">
        <v>9</v>
      </c>
      <c r="BF269">
        <v>6</v>
      </c>
      <c r="BG269">
        <v>3</v>
      </c>
      <c r="BH269">
        <v>0</v>
      </c>
      <c r="BI269">
        <v>1</v>
      </c>
      <c r="BJ269">
        <v>9</v>
      </c>
      <c r="BK269">
        <v>7</v>
      </c>
      <c r="BL269">
        <v>2</v>
      </c>
      <c r="BM269">
        <v>5</v>
      </c>
      <c r="BN269">
        <v>10</v>
      </c>
      <c r="BO269">
        <v>3</v>
      </c>
      <c r="BP269">
        <v>6</v>
      </c>
      <c r="BQ269">
        <v>2</v>
      </c>
      <c r="BR269">
        <v>5</v>
      </c>
      <c r="BS269">
        <v>10</v>
      </c>
      <c r="BT269">
        <v>7</v>
      </c>
      <c r="BU269">
        <v>10</v>
      </c>
      <c r="BV269">
        <v>7</v>
      </c>
      <c r="BW269">
        <v>4</v>
      </c>
      <c r="BX269">
        <v>4</v>
      </c>
      <c r="BY269">
        <v>3</v>
      </c>
      <c r="BZ269">
        <v>0</v>
      </c>
      <c r="CA269">
        <v>8</v>
      </c>
      <c r="CB269">
        <v>8</v>
      </c>
      <c r="CC269">
        <v>6</v>
      </c>
      <c r="CD269">
        <v>1</v>
      </c>
      <c r="CE269">
        <v>8</v>
      </c>
      <c r="CF269">
        <v>2</v>
      </c>
      <c r="CG269">
        <v>8</v>
      </c>
      <c r="CH269">
        <v>5</v>
      </c>
      <c r="CI269">
        <v>7</v>
      </c>
      <c r="CJ269">
        <v>8</v>
      </c>
      <c r="CK269">
        <v>9</v>
      </c>
      <c r="CL269">
        <v>9</v>
      </c>
      <c r="CM269">
        <v>6</v>
      </c>
      <c r="CN269">
        <v>9</v>
      </c>
      <c r="CO269">
        <v>0</v>
      </c>
      <c r="CP269">
        <v>6</v>
      </c>
      <c r="CQ269">
        <v>8</v>
      </c>
      <c r="CR269">
        <v>10</v>
      </c>
      <c r="CS269">
        <v>2</v>
      </c>
      <c r="CT269">
        <v>7</v>
      </c>
      <c r="CU269">
        <v>9</v>
      </c>
      <c r="CV269">
        <v>8</v>
      </c>
      <c r="CW269">
        <v>6</v>
      </c>
      <c r="CX269">
        <v>2</v>
      </c>
      <c r="CY269">
        <v>5</v>
      </c>
      <c r="CZ269">
        <v>10</v>
      </c>
      <c r="DA269">
        <v>6</v>
      </c>
      <c r="DB269">
        <v>9</v>
      </c>
      <c r="DC269">
        <v>0</v>
      </c>
      <c r="DD269">
        <v>1</v>
      </c>
      <c r="DE269">
        <v>6</v>
      </c>
      <c r="DF269">
        <v>4</v>
      </c>
      <c r="DG269">
        <v>8</v>
      </c>
      <c r="DH269">
        <v>0</v>
      </c>
      <c r="DI269">
        <v>10</v>
      </c>
      <c r="DJ269">
        <v>7</v>
      </c>
      <c r="DK269">
        <v>7</v>
      </c>
    </row>
    <row r="270" spans="1:115">
      <c r="A270" s="173">
        <f>Calculations[[#This Row],[Sum t eCO2]]*IF(Calculations[[#This Row],[GHG Scope]]="BIOGENIC",0,1)</f>
        <v>0</v>
      </c>
      <c r="O270">
        <f t="shared" si="4"/>
        <v>269</v>
      </c>
      <c r="P270">
        <v>5</v>
      </c>
      <c r="Q270">
        <v>7</v>
      </c>
      <c r="R270">
        <v>5</v>
      </c>
      <c r="S270">
        <v>9</v>
      </c>
      <c r="T270">
        <v>7</v>
      </c>
      <c r="U270">
        <v>7</v>
      </c>
      <c r="V270">
        <v>5</v>
      </c>
      <c r="W270">
        <v>0</v>
      </c>
      <c r="X270">
        <v>0</v>
      </c>
      <c r="Y270">
        <v>8</v>
      </c>
      <c r="Z270">
        <v>10</v>
      </c>
      <c r="AA270">
        <v>4</v>
      </c>
      <c r="AB270">
        <v>3</v>
      </c>
      <c r="AC270">
        <v>1</v>
      </c>
      <c r="AD270">
        <v>6</v>
      </c>
      <c r="AE270">
        <v>6</v>
      </c>
      <c r="AF270">
        <v>0</v>
      </c>
      <c r="AG270">
        <v>0</v>
      </c>
      <c r="AH270">
        <v>7</v>
      </c>
      <c r="AI270">
        <v>10</v>
      </c>
      <c r="AJ270">
        <v>7</v>
      </c>
      <c r="AK270">
        <v>3</v>
      </c>
      <c r="AL270">
        <v>3</v>
      </c>
      <c r="AM270">
        <v>4</v>
      </c>
      <c r="AN270">
        <v>10</v>
      </c>
      <c r="AO270">
        <v>9</v>
      </c>
      <c r="AP270">
        <v>10</v>
      </c>
      <c r="AQ270">
        <v>6</v>
      </c>
      <c r="AR270">
        <v>6</v>
      </c>
      <c r="AS270">
        <v>0</v>
      </c>
      <c r="AT270">
        <v>6</v>
      </c>
      <c r="AU270">
        <v>4</v>
      </c>
      <c r="AV270">
        <v>0</v>
      </c>
      <c r="AW270">
        <v>10</v>
      </c>
      <c r="AX270">
        <v>9</v>
      </c>
      <c r="AY270">
        <v>2</v>
      </c>
      <c r="AZ270">
        <v>9</v>
      </c>
      <c r="BA270">
        <v>4</v>
      </c>
      <c r="BB270">
        <v>3</v>
      </c>
      <c r="BC270">
        <v>8</v>
      </c>
      <c r="BD270">
        <v>5</v>
      </c>
      <c r="BE270">
        <v>7</v>
      </c>
      <c r="BF270">
        <v>3</v>
      </c>
      <c r="BG270">
        <v>0</v>
      </c>
      <c r="BH270">
        <v>9</v>
      </c>
      <c r="BI270">
        <v>7</v>
      </c>
      <c r="BJ270">
        <v>8</v>
      </c>
      <c r="BK270">
        <v>4</v>
      </c>
      <c r="BL270">
        <v>1</v>
      </c>
      <c r="BM270">
        <v>10</v>
      </c>
      <c r="BN270">
        <v>2</v>
      </c>
      <c r="BO270">
        <v>8</v>
      </c>
      <c r="BP270">
        <v>9</v>
      </c>
      <c r="BQ270">
        <v>3</v>
      </c>
      <c r="BR270">
        <v>8</v>
      </c>
      <c r="BS270">
        <v>1</v>
      </c>
      <c r="BT270">
        <v>1</v>
      </c>
      <c r="BU270">
        <v>3</v>
      </c>
      <c r="BV270">
        <v>5</v>
      </c>
      <c r="BW270">
        <v>0</v>
      </c>
      <c r="BX270">
        <v>7</v>
      </c>
      <c r="BY270">
        <v>0</v>
      </c>
      <c r="BZ270">
        <v>9</v>
      </c>
      <c r="CA270">
        <v>9</v>
      </c>
      <c r="CB270">
        <v>2</v>
      </c>
      <c r="CC270">
        <v>8</v>
      </c>
      <c r="CD270">
        <v>8</v>
      </c>
      <c r="CE270">
        <v>7</v>
      </c>
      <c r="CF270">
        <v>2</v>
      </c>
      <c r="CG270">
        <v>10</v>
      </c>
      <c r="CH270">
        <v>2</v>
      </c>
      <c r="CI270">
        <v>9</v>
      </c>
      <c r="CJ270">
        <v>1</v>
      </c>
      <c r="CK270">
        <v>4</v>
      </c>
      <c r="CL270">
        <v>10</v>
      </c>
      <c r="CM270">
        <v>5</v>
      </c>
      <c r="CN270">
        <v>0</v>
      </c>
      <c r="CO270">
        <v>10</v>
      </c>
      <c r="CP270">
        <v>9</v>
      </c>
      <c r="CQ270">
        <v>0</v>
      </c>
      <c r="CR270">
        <v>9</v>
      </c>
      <c r="CS270">
        <v>5</v>
      </c>
      <c r="CT270">
        <v>6</v>
      </c>
      <c r="CU270">
        <v>6</v>
      </c>
      <c r="CV270">
        <v>2</v>
      </c>
      <c r="CW270">
        <v>9</v>
      </c>
      <c r="CX270">
        <v>4</v>
      </c>
      <c r="CY270">
        <v>6</v>
      </c>
      <c r="CZ270">
        <v>6</v>
      </c>
      <c r="DA270">
        <v>5</v>
      </c>
      <c r="DB270">
        <v>6</v>
      </c>
      <c r="DC270">
        <v>2</v>
      </c>
      <c r="DD270">
        <v>1</v>
      </c>
      <c r="DE270">
        <v>5</v>
      </c>
      <c r="DF270">
        <v>7</v>
      </c>
      <c r="DG270">
        <v>2</v>
      </c>
      <c r="DH270">
        <v>5</v>
      </c>
      <c r="DI270">
        <v>4</v>
      </c>
      <c r="DJ270">
        <v>8</v>
      </c>
      <c r="DK270">
        <v>10</v>
      </c>
    </row>
    <row r="271" spans="1:115">
      <c r="A271" s="173">
        <f>Calculations[[#This Row],[Sum t eCO2]]*IF(Calculations[[#This Row],[GHG Scope]]="BIOGENIC",0,1)</f>
        <v>0</v>
      </c>
      <c r="O271">
        <f t="shared" si="4"/>
        <v>270</v>
      </c>
      <c r="P271">
        <v>9</v>
      </c>
      <c r="Q271">
        <v>3</v>
      </c>
      <c r="R271">
        <v>10</v>
      </c>
      <c r="S271">
        <v>5</v>
      </c>
      <c r="T271">
        <v>8</v>
      </c>
      <c r="U271">
        <v>3</v>
      </c>
      <c r="V271">
        <v>2</v>
      </c>
      <c r="W271">
        <v>2</v>
      </c>
      <c r="X271">
        <v>7</v>
      </c>
      <c r="Y271">
        <v>9</v>
      </c>
      <c r="Z271">
        <v>0</v>
      </c>
      <c r="AA271">
        <v>3</v>
      </c>
      <c r="AB271">
        <v>3</v>
      </c>
      <c r="AC271">
        <v>10</v>
      </c>
      <c r="AD271">
        <v>4</v>
      </c>
      <c r="AE271">
        <v>6</v>
      </c>
      <c r="AF271">
        <v>8</v>
      </c>
      <c r="AG271">
        <v>1</v>
      </c>
      <c r="AH271">
        <v>7</v>
      </c>
      <c r="AI271">
        <v>10</v>
      </c>
      <c r="AJ271">
        <v>10</v>
      </c>
      <c r="AK271">
        <v>2</v>
      </c>
      <c r="AL271">
        <v>10</v>
      </c>
      <c r="AM271">
        <v>0</v>
      </c>
      <c r="AN271">
        <v>1</v>
      </c>
      <c r="AO271">
        <v>1</v>
      </c>
      <c r="AP271">
        <v>10</v>
      </c>
      <c r="AQ271">
        <v>0</v>
      </c>
      <c r="AR271">
        <v>9</v>
      </c>
      <c r="AS271">
        <v>3</v>
      </c>
      <c r="AT271">
        <v>2</v>
      </c>
      <c r="AU271">
        <v>5</v>
      </c>
      <c r="AV271">
        <v>10</v>
      </c>
      <c r="AW271">
        <v>8</v>
      </c>
      <c r="AX271">
        <v>2</v>
      </c>
      <c r="AY271">
        <v>3</v>
      </c>
      <c r="AZ271">
        <v>8</v>
      </c>
      <c r="BA271">
        <v>6</v>
      </c>
      <c r="BB271">
        <v>3</v>
      </c>
      <c r="BC271">
        <v>4</v>
      </c>
      <c r="BD271">
        <v>1</v>
      </c>
      <c r="BE271">
        <v>2</v>
      </c>
      <c r="BF271">
        <v>5</v>
      </c>
      <c r="BG271">
        <v>7</v>
      </c>
      <c r="BH271">
        <v>9</v>
      </c>
      <c r="BI271">
        <v>0</v>
      </c>
      <c r="BJ271">
        <v>1</v>
      </c>
      <c r="BK271">
        <v>8</v>
      </c>
      <c r="BL271">
        <v>10</v>
      </c>
      <c r="BM271">
        <v>8</v>
      </c>
      <c r="BN271">
        <v>6</v>
      </c>
      <c r="BO271">
        <v>0</v>
      </c>
      <c r="BP271">
        <v>3</v>
      </c>
      <c r="BQ271">
        <v>2</v>
      </c>
      <c r="BR271">
        <v>9</v>
      </c>
      <c r="BS271">
        <v>9</v>
      </c>
      <c r="BT271">
        <v>3</v>
      </c>
      <c r="BU271">
        <v>3</v>
      </c>
      <c r="BV271">
        <v>7</v>
      </c>
      <c r="BW271">
        <v>6</v>
      </c>
      <c r="BX271">
        <v>7</v>
      </c>
      <c r="BY271">
        <v>4</v>
      </c>
      <c r="BZ271">
        <v>6</v>
      </c>
      <c r="CA271">
        <v>7</v>
      </c>
      <c r="CB271">
        <v>5</v>
      </c>
      <c r="CC271">
        <v>1</v>
      </c>
      <c r="CD271">
        <v>7</v>
      </c>
      <c r="CE271">
        <v>5</v>
      </c>
      <c r="CF271">
        <v>6</v>
      </c>
      <c r="CG271">
        <v>0</v>
      </c>
      <c r="CH271">
        <v>3</v>
      </c>
      <c r="CI271">
        <v>3</v>
      </c>
      <c r="CJ271">
        <v>4</v>
      </c>
      <c r="CK271">
        <v>8</v>
      </c>
      <c r="CL271">
        <v>0</v>
      </c>
      <c r="CM271">
        <v>10</v>
      </c>
      <c r="CN271">
        <v>2</v>
      </c>
      <c r="CO271">
        <v>10</v>
      </c>
      <c r="CP271">
        <v>1</v>
      </c>
      <c r="CQ271">
        <v>7</v>
      </c>
      <c r="CR271">
        <v>5</v>
      </c>
      <c r="CS271">
        <v>3</v>
      </c>
      <c r="CT271">
        <v>8</v>
      </c>
      <c r="CU271">
        <v>4</v>
      </c>
      <c r="CV271">
        <v>8</v>
      </c>
      <c r="CW271">
        <v>9</v>
      </c>
      <c r="CX271">
        <v>6</v>
      </c>
      <c r="CY271">
        <v>1</v>
      </c>
      <c r="CZ271">
        <v>5</v>
      </c>
      <c r="DA271">
        <v>7</v>
      </c>
      <c r="DB271">
        <v>5</v>
      </c>
      <c r="DC271">
        <v>4</v>
      </c>
      <c r="DD271">
        <v>3</v>
      </c>
      <c r="DE271">
        <v>6</v>
      </c>
      <c r="DF271">
        <v>3</v>
      </c>
      <c r="DG271">
        <v>2</v>
      </c>
      <c r="DH271">
        <v>10</v>
      </c>
      <c r="DI271">
        <v>3</v>
      </c>
      <c r="DJ271">
        <v>0</v>
      </c>
      <c r="DK271">
        <v>0</v>
      </c>
    </row>
    <row r="272" spans="1:115">
      <c r="A272" s="173">
        <f>Calculations[[#This Row],[Sum t eCO2]]*IF(Calculations[[#This Row],[GHG Scope]]="BIOGENIC",0,1)</f>
        <v>0</v>
      </c>
      <c r="O272">
        <f t="shared" si="4"/>
        <v>271</v>
      </c>
      <c r="P272">
        <v>0</v>
      </c>
      <c r="Q272">
        <v>9</v>
      </c>
      <c r="R272">
        <v>6</v>
      </c>
      <c r="S272">
        <v>9</v>
      </c>
      <c r="T272">
        <v>8</v>
      </c>
      <c r="U272">
        <v>7</v>
      </c>
      <c r="V272">
        <v>3</v>
      </c>
      <c r="W272">
        <v>7</v>
      </c>
      <c r="X272">
        <v>10</v>
      </c>
      <c r="Y272">
        <v>5</v>
      </c>
      <c r="Z272">
        <v>4</v>
      </c>
      <c r="AA272">
        <v>5</v>
      </c>
      <c r="AB272">
        <v>6</v>
      </c>
      <c r="AC272">
        <v>1</v>
      </c>
      <c r="AD272">
        <v>7</v>
      </c>
      <c r="AE272">
        <v>10</v>
      </c>
      <c r="AF272">
        <v>7</v>
      </c>
      <c r="AG272">
        <v>3</v>
      </c>
      <c r="AH272">
        <v>7</v>
      </c>
      <c r="AI272">
        <v>7</v>
      </c>
      <c r="AJ272">
        <v>7</v>
      </c>
      <c r="AK272">
        <v>7</v>
      </c>
      <c r="AL272">
        <v>3</v>
      </c>
      <c r="AM272">
        <v>8</v>
      </c>
      <c r="AN272">
        <v>5</v>
      </c>
      <c r="AO272">
        <v>10</v>
      </c>
      <c r="AP272">
        <v>7</v>
      </c>
      <c r="AQ272">
        <v>5</v>
      </c>
      <c r="AR272">
        <v>7</v>
      </c>
      <c r="AS272">
        <v>5</v>
      </c>
      <c r="AT272">
        <v>10</v>
      </c>
      <c r="AU272">
        <v>3</v>
      </c>
      <c r="AV272">
        <v>7</v>
      </c>
      <c r="AW272">
        <v>5</v>
      </c>
      <c r="AX272">
        <v>9</v>
      </c>
      <c r="AY272">
        <v>0</v>
      </c>
      <c r="AZ272">
        <v>10</v>
      </c>
      <c r="BA272">
        <v>9</v>
      </c>
      <c r="BB272">
        <v>3</v>
      </c>
      <c r="BC272">
        <v>6</v>
      </c>
      <c r="BD272">
        <v>5</v>
      </c>
      <c r="BE272">
        <v>3</v>
      </c>
      <c r="BF272">
        <v>10</v>
      </c>
      <c r="BG272">
        <v>4</v>
      </c>
      <c r="BH272">
        <v>9</v>
      </c>
      <c r="BI272">
        <v>5</v>
      </c>
      <c r="BJ272">
        <v>8</v>
      </c>
      <c r="BK272">
        <v>0</v>
      </c>
      <c r="BL272">
        <v>2</v>
      </c>
      <c r="BM272">
        <v>3</v>
      </c>
      <c r="BN272">
        <v>9</v>
      </c>
      <c r="BO272">
        <v>1</v>
      </c>
      <c r="BP272">
        <v>8</v>
      </c>
      <c r="BQ272">
        <v>7</v>
      </c>
      <c r="BR272">
        <v>3</v>
      </c>
      <c r="BS272">
        <v>3</v>
      </c>
      <c r="BT272">
        <v>6</v>
      </c>
      <c r="BU272">
        <v>10</v>
      </c>
      <c r="BV272">
        <v>10</v>
      </c>
      <c r="BW272">
        <v>5</v>
      </c>
      <c r="BX272">
        <v>7</v>
      </c>
      <c r="BY272">
        <v>6</v>
      </c>
      <c r="BZ272">
        <v>1</v>
      </c>
      <c r="CA272">
        <v>9</v>
      </c>
      <c r="CB272">
        <v>2</v>
      </c>
      <c r="CC272">
        <v>9</v>
      </c>
      <c r="CD272">
        <v>9</v>
      </c>
      <c r="CE272">
        <v>1</v>
      </c>
      <c r="CF272">
        <v>4</v>
      </c>
      <c r="CG272">
        <v>2</v>
      </c>
      <c r="CH272">
        <v>9</v>
      </c>
      <c r="CI272">
        <v>9</v>
      </c>
      <c r="CJ272">
        <v>0</v>
      </c>
      <c r="CK272">
        <v>4</v>
      </c>
      <c r="CL272">
        <v>1</v>
      </c>
      <c r="CM272">
        <v>5</v>
      </c>
      <c r="CN272">
        <v>7</v>
      </c>
      <c r="CO272">
        <v>0</v>
      </c>
      <c r="CP272">
        <v>0</v>
      </c>
      <c r="CQ272">
        <v>5</v>
      </c>
      <c r="CR272">
        <v>3</v>
      </c>
      <c r="CS272">
        <v>9</v>
      </c>
      <c r="CT272">
        <v>0</v>
      </c>
      <c r="CU272">
        <v>7</v>
      </c>
      <c r="CV272">
        <v>2</v>
      </c>
      <c r="CW272">
        <v>7</v>
      </c>
      <c r="CX272">
        <v>9</v>
      </c>
      <c r="CY272">
        <v>7</v>
      </c>
      <c r="CZ272">
        <v>6</v>
      </c>
      <c r="DA272">
        <v>4</v>
      </c>
      <c r="DB272">
        <v>9</v>
      </c>
      <c r="DC272">
        <v>0</v>
      </c>
      <c r="DD272">
        <v>2</v>
      </c>
      <c r="DE272">
        <v>3</v>
      </c>
      <c r="DF272">
        <v>8</v>
      </c>
      <c r="DG272">
        <v>8</v>
      </c>
      <c r="DH272">
        <v>0</v>
      </c>
      <c r="DI272">
        <v>4</v>
      </c>
      <c r="DJ272">
        <v>5</v>
      </c>
      <c r="DK272">
        <v>7</v>
      </c>
    </row>
    <row r="273" spans="1:115">
      <c r="A273" s="173">
        <f>Calculations[[#This Row],[Sum t eCO2]]*IF(Calculations[[#This Row],[GHG Scope]]="BIOGENIC",0,1)</f>
        <v>0</v>
      </c>
      <c r="O273">
        <f t="shared" si="4"/>
        <v>272</v>
      </c>
      <c r="P273">
        <v>8</v>
      </c>
      <c r="Q273">
        <v>0</v>
      </c>
      <c r="R273">
        <v>4</v>
      </c>
      <c r="S273">
        <v>8</v>
      </c>
      <c r="T273">
        <v>2</v>
      </c>
      <c r="U273">
        <v>4</v>
      </c>
      <c r="V273">
        <v>1</v>
      </c>
      <c r="W273">
        <v>6</v>
      </c>
      <c r="X273">
        <v>0</v>
      </c>
      <c r="Y273">
        <v>4</v>
      </c>
      <c r="Z273">
        <v>2</v>
      </c>
      <c r="AA273">
        <v>1</v>
      </c>
      <c r="AB273">
        <v>6</v>
      </c>
      <c r="AC273">
        <v>10</v>
      </c>
      <c r="AD273">
        <v>3</v>
      </c>
      <c r="AE273">
        <v>7</v>
      </c>
      <c r="AF273">
        <v>1</v>
      </c>
      <c r="AG273">
        <v>6</v>
      </c>
      <c r="AH273">
        <v>4</v>
      </c>
      <c r="AI273">
        <v>0</v>
      </c>
      <c r="AJ273">
        <v>8</v>
      </c>
      <c r="AK273">
        <v>8</v>
      </c>
      <c r="AL273">
        <v>10</v>
      </c>
      <c r="AM273">
        <v>4</v>
      </c>
      <c r="AN273">
        <v>2</v>
      </c>
      <c r="AO273">
        <v>10</v>
      </c>
      <c r="AP273">
        <v>4</v>
      </c>
      <c r="AQ273">
        <v>5</v>
      </c>
      <c r="AR273">
        <v>8</v>
      </c>
      <c r="AS273">
        <v>2</v>
      </c>
      <c r="AT273">
        <v>4</v>
      </c>
      <c r="AU273">
        <v>7</v>
      </c>
      <c r="AV273">
        <v>6</v>
      </c>
      <c r="AW273">
        <v>2</v>
      </c>
      <c r="AX273">
        <v>10</v>
      </c>
      <c r="AY273">
        <v>8</v>
      </c>
      <c r="AZ273">
        <v>7</v>
      </c>
      <c r="BA273">
        <v>2</v>
      </c>
      <c r="BB273">
        <v>1</v>
      </c>
      <c r="BC273">
        <v>6</v>
      </c>
      <c r="BD273">
        <v>2</v>
      </c>
      <c r="BE273">
        <v>1</v>
      </c>
      <c r="BF273">
        <v>1</v>
      </c>
      <c r="BG273">
        <v>4</v>
      </c>
      <c r="BH273">
        <v>1</v>
      </c>
      <c r="BI273">
        <v>7</v>
      </c>
      <c r="BJ273">
        <v>9</v>
      </c>
      <c r="BK273">
        <v>4</v>
      </c>
      <c r="BL273">
        <v>8</v>
      </c>
      <c r="BM273">
        <v>2</v>
      </c>
      <c r="BN273">
        <v>9</v>
      </c>
      <c r="BO273">
        <v>3</v>
      </c>
      <c r="BP273">
        <v>4</v>
      </c>
      <c r="BQ273">
        <v>6</v>
      </c>
      <c r="BR273">
        <v>0</v>
      </c>
      <c r="BS273">
        <v>10</v>
      </c>
      <c r="BT273">
        <v>2</v>
      </c>
      <c r="BU273">
        <v>5</v>
      </c>
      <c r="BV273">
        <v>7</v>
      </c>
      <c r="BW273">
        <v>4</v>
      </c>
      <c r="BX273">
        <v>4</v>
      </c>
      <c r="BY273">
        <v>2</v>
      </c>
      <c r="BZ273">
        <v>1</v>
      </c>
      <c r="CA273">
        <v>3</v>
      </c>
      <c r="CB273">
        <v>4</v>
      </c>
      <c r="CC273">
        <v>5</v>
      </c>
      <c r="CD273">
        <v>6</v>
      </c>
      <c r="CE273">
        <v>0</v>
      </c>
      <c r="CF273">
        <v>5</v>
      </c>
      <c r="CG273">
        <v>5</v>
      </c>
      <c r="CH273">
        <v>4</v>
      </c>
      <c r="CI273">
        <v>1</v>
      </c>
      <c r="CJ273">
        <v>4</v>
      </c>
      <c r="CK273">
        <v>8</v>
      </c>
      <c r="CL273">
        <v>0</v>
      </c>
      <c r="CM273">
        <v>4</v>
      </c>
      <c r="CN273">
        <v>9</v>
      </c>
      <c r="CO273">
        <v>8</v>
      </c>
      <c r="CP273">
        <v>6</v>
      </c>
      <c r="CQ273">
        <v>8</v>
      </c>
      <c r="CR273">
        <v>0</v>
      </c>
      <c r="CS273">
        <v>3</v>
      </c>
      <c r="CT273">
        <v>7</v>
      </c>
      <c r="CU273">
        <v>2</v>
      </c>
      <c r="CV273">
        <v>3</v>
      </c>
      <c r="CW273">
        <v>8</v>
      </c>
      <c r="CX273">
        <v>1</v>
      </c>
      <c r="CY273">
        <v>6</v>
      </c>
      <c r="CZ273">
        <v>2</v>
      </c>
      <c r="DA273">
        <v>2</v>
      </c>
      <c r="DB273">
        <v>0</v>
      </c>
      <c r="DC273">
        <v>8</v>
      </c>
      <c r="DD273">
        <v>6</v>
      </c>
      <c r="DE273">
        <v>3</v>
      </c>
      <c r="DF273">
        <v>8</v>
      </c>
      <c r="DG273">
        <v>6</v>
      </c>
      <c r="DH273">
        <v>6</v>
      </c>
      <c r="DI273">
        <v>3</v>
      </c>
      <c r="DJ273">
        <v>8</v>
      </c>
      <c r="DK273">
        <v>9</v>
      </c>
    </row>
    <row r="274" spans="1:115">
      <c r="A274" s="173">
        <f>Calculations[[#This Row],[Sum t eCO2]]*IF(Calculations[[#This Row],[GHG Scope]]="BIOGENIC",0,1)</f>
        <v>0</v>
      </c>
      <c r="O274">
        <f t="shared" si="4"/>
        <v>273</v>
      </c>
      <c r="P274">
        <v>7</v>
      </c>
      <c r="Q274">
        <v>0</v>
      </c>
      <c r="R274">
        <v>1</v>
      </c>
      <c r="S274">
        <v>8</v>
      </c>
      <c r="T274">
        <v>10</v>
      </c>
      <c r="U274">
        <v>1</v>
      </c>
      <c r="V274">
        <v>7</v>
      </c>
      <c r="W274">
        <v>10</v>
      </c>
      <c r="X274">
        <v>3</v>
      </c>
      <c r="Y274">
        <v>0</v>
      </c>
      <c r="Z274">
        <v>4</v>
      </c>
      <c r="AA274">
        <v>7</v>
      </c>
      <c r="AB274">
        <v>4</v>
      </c>
      <c r="AC274">
        <v>0</v>
      </c>
      <c r="AD274">
        <v>3</v>
      </c>
      <c r="AE274">
        <v>4</v>
      </c>
      <c r="AF274">
        <v>5</v>
      </c>
      <c r="AG274">
        <v>2</v>
      </c>
      <c r="AH274">
        <v>4</v>
      </c>
      <c r="AI274">
        <v>10</v>
      </c>
      <c r="AJ274">
        <v>6</v>
      </c>
      <c r="AK274">
        <v>4</v>
      </c>
      <c r="AL274">
        <v>2</v>
      </c>
      <c r="AM274">
        <v>4</v>
      </c>
      <c r="AN274">
        <v>6</v>
      </c>
      <c r="AO274">
        <v>4</v>
      </c>
      <c r="AP274">
        <v>1</v>
      </c>
      <c r="AQ274">
        <v>2</v>
      </c>
      <c r="AR274">
        <v>2</v>
      </c>
      <c r="AS274">
        <v>0</v>
      </c>
      <c r="AT274">
        <v>4</v>
      </c>
      <c r="AU274">
        <v>9</v>
      </c>
      <c r="AV274">
        <v>4</v>
      </c>
      <c r="AW274">
        <v>7</v>
      </c>
      <c r="AX274">
        <v>2</v>
      </c>
      <c r="AY274">
        <v>1</v>
      </c>
      <c r="AZ274">
        <v>9</v>
      </c>
      <c r="BA274">
        <v>1</v>
      </c>
      <c r="BB274">
        <v>9</v>
      </c>
      <c r="BC274">
        <v>4</v>
      </c>
      <c r="BD274">
        <v>9</v>
      </c>
      <c r="BE274">
        <v>10</v>
      </c>
      <c r="BF274">
        <v>2</v>
      </c>
      <c r="BG274">
        <v>6</v>
      </c>
      <c r="BH274">
        <v>10</v>
      </c>
      <c r="BI274">
        <v>8</v>
      </c>
      <c r="BJ274">
        <v>3</v>
      </c>
      <c r="BK274">
        <v>9</v>
      </c>
      <c r="BL274">
        <v>3</v>
      </c>
      <c r="BM274">
        <v>9</v>
      </c>
      <c r="BN274">
        <v>4</v>
      </c>
      <c r="BO274">
        <v>0</v>
      </c>
      <c r="BP274">
        <v>8</v>
      </c>
      <c r="BQ274">
        <v>0</v>
      </c>
      <c r="BR274">
        <v>8</v>
      </c>
      <c r="BS274">
        <v>9</v>
      </c>
      <c r="BT274">
        <v>9</v>
      </c>
      <c r="BU274">
        <v>6</v>
      </c>
      <c r="BV274">
        <v>9</v>
      </c>
      <c r="BW274">
        <v>0</v>
      </c>
      <c r="BX274">
        <v>2</v>
      </c>
      <c r="BY274">
        <v>1</v>
      </c>
      <c r="BZ274">
        <v>9</v>
      </c>
      <c r="CA274">
        <v>2</v>
      </c>
      <c r="CB274">
        <v>1</v>
      </c>
      <c r="CC274">
        <v>1</v>
      </c>
      <c r="CD274">
        <v>2</v>
      </c>
      <c r="CE274">
        <v>9</v>
      </c>
      <c r="CF274">
        <v>3</v>
      </c>
      <c r="CG274">
        <v>0</v>
      </c>
      <c r="CH274">
        <v>3</v>
      </c>
      <c r="CI274">
        <v>7</v>
      </c>
      <c r="CJ274">
        <v>1</v>
      </c>
      <c r="CK274">
        <v>3</v>
      </c>
      <c r="CL274">
        <v>4</v>
      </c>
      <c r="CM274">
        <v>9</v>
      </c>
      <c r="CN274">
        <v>5</v>
      </c>
      <c r="CO274">
        <v>6</v>
      </c>
      <c r="CP274">
        <v>9</v>
      </c>
      <c r="CQ274">
        <v>3</v>
      </c>
      <c r="CR274">
        <v>5</v>
      </c>
      <c r="CS274">
        <v>8</v>
      </c>
      <c r="CT274">
        <v>6</v>
      </c>
      <c r="CU274">
        <v>7</v>
      </c>
      <c r="CV274">
        <v>8</v>
      </c>
      <c r="CW274">
        <v>2</v>
      </c>
      <c r="CX274">
        <v>7</v>
      </c>
      <c r="CY274">
        <v>6</v>
      </c>
      <c r="CZ274">
        <v>1</v>
      </c>
      <c r="DA274">
        <v>9</v>
      </c>
      <c r="DB274">
        <v>5</v>
      </c>
      <c r="DC274">
        <v>5</v>
      </c>
      <c r="DD274">
        <v>1</v>
      </c>
      <c r="DE274">
        <v>1</v>
      </c>
      <c r="DF274">
        <v>3</v>
      </c>
      <c r="DG274">
        <v>6</v>
      </c>
      <c r="DH274">
        <v>9</v>
      </c>
      <c r="DI274">
        <v>5</v>
      </c>
      <c r="DJ274">
        <v>5</v>
      </c>
      <c r="DK274">
        <v>2</v>
      </c>
    </row>
    <row r="275" spans="1:115">
      <c r="A275" s="173">
        <f>Calculations[[#This Row],[Sum t eCO2]]*IF(Calculations[[#This Row],[GHG Scope]]="BIOGENIC",0,1)</f>
        <v>0</v>
      </c>
      <c r="O275">
        <f t="shared" si="4"/>
        <v>274</v>
      </c>
      <c r="P275">
        <v>3</v>
      </c>
      <c r="Q275">
        <v>1</v>
      </c>
      <c r="R275">
        <v>5</v>
      </c>
      <c r="S275">
        <v>6</v>
      </c>
      <c r="T275">
        <v>9</v>
      </c>
      <c r="U275">
        <v>4</v>
      </c>
      <c r="V275">
        <v>3</v>
      </c>
      <c r="W275">
        <v>9</v>
      </c>
      <c r="X275">
        <v>7</v>
      </c>
      <c r="Y275">
        <v>3</v>
      </c>
      <c r="Z275">
        <v>7</v>
      </c>
      <c r="AA275">
        <v>8</v>
      </c>
      <c r="AB275">
        <v>8</v>
      </c>
      <c r="AC275">
        <v>7</v>
      </c>
      <c r="AD275">
        <v>7</v>
      </c>
      <c r="AE275">
        <v>6</v>
      </c>
      <c r="AF275">
        <v>3</v>
      </c>
      <c r="AG275">
        <v>5</v>
      </c>
      <c r="AH275">
        <v>3</v>
      </c>
      <c r="AI275">
        <v>0</v>
      </c>
      <c r="AJ275">
        <v>4</v>
      </c>
      <c r="AK275">
        <v>3</v>
      </c>
      <c r="AL275">
        <v>0</v>
      </c>
      <c r="AM275">
        <v>5</v>
      </c>
      <c r="AN275">
        <v>10</v>
      </c>
      <c r="AO275">
        <v>1</v>
      </c>
      <c r="AP275">
        <v>9</v>
      </c>
      <c r="AQ275">
        <v>0</v>
      </c>
      <c r="AR275">
        <v>9</v>
      </c>
      <c r="AS275">
        <v>9</v>
      </c>
      <c r="AT275">
        <v>0</v>
      </c>
      <c r="AU275">
        <v>2</v>
      </c>
      <c r="AV275">
        <v>1</v>
      </c>
      <c r="AW275">
        <v>1</v>
      </c>
      <c r="AX275">
        <v>1</v>
      </c>
      <c r="AY275">
        <v>8</v>
      </c>
      <c r="AZ275">
        <v>0</v>
      </c>
      <c r="BA275">
        <v>10</v>
      </c>
      <c r="BB275">
        <v>3</v>
      </c>
      <c r="BC275">
        <v>9</v>
      </c>
      <c r="BD275">
        <v>10</v>
      </c>
      <c r="BE275">
        <v>7</v>
      </c>
      <c r="BF275">
        <v>3</v>
      </c>
      <c r="BG275">
        <v>2</v>
      </c>
      <c r="BH275">
        <v>0</v>
      </c>
      <c r="BI275">
        <v>2</v>
      </c>
      <c r="BJ275">
        <v>4</v>
      </c>
      <c r="BK275">
        <v>5</v>
      </c>
      <c r="BL275">
        <v>5</v>
      </c>
      <c r="BM275">
        <v>8</v>
      </c>
      <c r="BN275">
        <v>7</v>
      </c>
      <c r="BO275">
        <v>9</v>
      </c>
      <c r="BP275">
        <v>3</v>
      </c>
      <c r="BQ275">
        <v>1</v>
      </c>
      <c r="BR275">
        <v>4</v>
      </c>
      <c r="BS275">
        <v>7</v>
      </c>
      <c r="BT275">
        <v>2</v>
      </c>
      <c r="BU275">
        <v>6</v>
      </c>
      <c r="BV275">
        <v>4</v>
      </c>
      <c r="BW275">
        <v>8</v>
      </c>
      <c r="BX275">
        <v>4</v>
      </c>
      <c r="BY275">
        <v>9</v>
      </c>
      <c r="BZ275">
        <v>10</v>
      </c>
      <c r="CA275">
        <v>9</v>
      </c>
      <c r="CB275">
        <v>5</v>
      </c>
      <c r="CC275">
        <v>9</v>
      </c>
      <c r="CD275">
        <v>10</v>
      </c>
      <c r="CE275">
        <v>10</v>
      </c>
      <c r="CF275">
        <v>9</v>
      </c>
      <c r="CG275">
        <v>4</v>
      </c>
      <c r="CH275">
        <v>5</v>
      </c>
      <c r="CI275">
        <v>2</v>
      </c>
      <c r="CJ275">
        <v>4</v>
      </c>
      <c r="CK275">
        <v>7</v>
      </c>
      <c r="CL275">
        <v>1</v>
      </c>
      <c r="CM275">
        <v>4</v>
      </c>
      <c r="CN275">
        <v>2</v>
      </c>
      <c r="CO275">
        <v>5</v>
      </c>
      <c r="CP275">
        <v>6</v>
      </c>
      <c r="CQ275">
        <v>6</v>
      </c>
      <c r="CR275">
        <v>7</v>
      </c>
      <c r="CS275">
        <v>4</v>
      </c>
      <c r="CT275">
        <v>4</v>
      </c>
      <c r="CU275">
        <v>4</v>
      </c>
      <c r="CV275">
        <v>5</v>
      </c>
      <c r="CW275">
        <v>0</v>
      </c>
      <c r="CX275">
        <v>2</v>
      </c>
      <c r="CY275">
        <v>0</v>
      </c>
      <c r="CZ275">
        <v>9</v>
      </c>
      <c r="DA275">
        <v>6</v>
      </c>
      <c r="DB275">
        <v>10</v>
      </c>
      <c r="DC275">
        <v>9</v>
      </c>
      <c r="DD275">
        <v>0</v>
      </c>
      <c r="DE275">
        <v>3</v>
      </c>
      <c r="DF275">
        <v>3</v>
      </c>
      <c r="DG275">
        <v>5</v>
      </c>
      <c r="DH275">
        <v>7</v>
      </c>
      <c r="DI275">
        <v>9</v>
      </c>
      <c r="DJ275">
        <v>9</v>
      </c>
      <c r="DK275">
        <v>10</v>
      </c>
    </row>
    <row r="276" spans="1:115">
      <c r="A276" s="173">
        <f>Calculations[[#This Row],[Sum t eCO2]]*IF(Calculations[[#This Row],[GHG Scope]]="BIOGENIC",0,1)</f>
        <v>0</v>
      </c>
      <c r="O276">
        <f t="shared" si="4"/>
        <v>275</v>
      </c>
      <c r="P276">
        <v>9</v>
      </c>
      <c r="Q276">
        <v>3</v>
      </c>
      <c r="R276">
        <v>10</v>
      </c>
      <c r="S276">
        <v>8</v>
      </c>
      <c r="T276">
        <v>9</v>
      </c>
      <c r="U276">
        <v>6</v>
      </c>
      <c r="V276">
        <v>4</v>
      </c>
      <c r="W276">
        <v>9</v>
      </c>
      <c r="X276">
        <v>0</v>
      </c>
      <c r="Y276">
        <v>10</v>
      </c>
      <c r="Z276">
        <v>3</v>
      </c>
      <c r="AA276">
        <v>6</v>
      </c>
      <c r="AB276">
        <v>4</v>
      </c>
      <c r="AC276">
        <v>4</v>
      </c>
      <c r="AD276">
        <v>1</v>
      </c>
      <c r="AE276">
        <v>6</v>
      </c>
      <c r="AF276">
        <v>1</v>
      </c>
      <c r="AG276">
        <v>4</v>
      </c>
      <c r="AH276">
        <v>1</v>
      </c>
      <c r="AI276">
        <v>7</v>
      </c>
      <c r="AJ276">
        <v>4</v>
      </c>
      <c r="AK276">
        <v>8</v>
      </c>
      <c r="AL276">
        <v>4</v>
      </c>
      <c r="AM276">
        <v>7</v>
      </c>
      <c r="AN276">
        <v>1</v>
      </c>
      <c r="AO276">
        <v>3</v>
      </c>
      <c r="AP276">
        <v>9</v>
      </c>
      <c r="AQ276">
        <v>10</v>
      </c>
      <c r="AR276">
        <v>0</v>
      </c>
      <c r="AS276">
        <v>4</v>
      </c>
      <c r="AT276">
        <v>2</v>
      </c>
      <c r="AU276">
        <v>0</v>
      </c>
      <c r="AV276">
        <v>9</v>
      </c>
      <c r="AW276">
        <v>9</v>
      </c>
      <c r="AX276">
        <v>1</v>
      </c>
      <c r="AY276">
        <v>8</v>
      </c>
      <c r="AZ276">
        <v>4</v>
      </c>
      <c r="BA276">
        <v>5</v>
      </c>
      <c r="BB276">
        <v>2</v>
      </c>
      <c r="BC276">
        <v>5</v>
      </c>
      <c r="BD276">
        <v>6</v>
      </c>
      <c r="BE276">
        <v>0</v>
      </c>
      <c r="BF276">
        <v>7</v>
      </c>
      <c r="BG276">
        <v>9</v>
      </c>
      <c r="BH276">
        <v>10</v>
      </c>
      <c r="BI276">
        <v>8</v>
      </c>
      <c r="BJ276">
        <v>6</v>
      </c>
      <c r="BK276">
        <v>6</v>
      </c>
      <c r="BL276">
        <v>10</v>
      </c>
      <c r="BM276">
        <v>1</v>
      </c>
      <c r="BN276">
        <v>10</v>
      </c>
      <c r="BO276">
        <v>1</v>
      </c>
      <c r="BP276">
        <v>6</v>
      </c>
      <c r="BQ276">
        <v>4</v>
      </c>
      <c r="BR276">
        <v>9</v>
      </c>
      <c r="BS276">
        <v>5</v>
      </c>
      <c r="BT276">
        <v>3</v>
      </c>
      <c r="BU276">
        <v>10</v>
      </c>
      <c r="BV276">
        <v>10</v>
      </c>
      <c r="BW276">
        <v>1</v>
      </c>
      <c r="BX276">
        <v>9</v>
      </c>
      <c r="BY276">
        <v>2</v>
      </c>
      <c r="BZ276">
        <v>0</v>
      </c>
      <c r="CA276">
        <v>0</v>
      </c>
      <c r="CB276">
        <v>7</v>
      </c>
      <c r="CC276">
        <v>6</v>
      </c>
      <c r="CD276">
        <v>9</v>
      </c>
      <c r="CE276">
        <v>9</v>
      </c>
      <c r="CF276">
        <v>8</v>
      </c>
      <c r="CG276">
        <v>10</v>
      </c>
      <c r="CH276">
        <v>10</v>
      </c>
      <c r="CI276">
        <v>10</v>
      </c>
      <c r="CJ276">
        <v>0</v>
      </c>
      <c r="CK276">
        <v>1</v>
      </c>
      <c r="CL276">
        <v>2</v>
      </c>
      <c r="CM276">
        <v>6</v>
      </c>
      <c r="CN276">
        <v>5</v>
      </c>
      <c r="CO276">
        <v>9</v>
      </c>
      <c r="CP276">
        <v>8</v>
      </c>
      <c r="CQ276">
        <v>4</v>
      </c>
      <c r="CR276">
        <v>6</v>
      </c>
      <c r="CS276">
        <v>5</v>
      </c>
      <c r="CT276">
        <v>5</v>
      </c>
      <c r="CU276">
        <v>5</v>
      </c>
      <c r="CV276">
        <v>10</v>
      </c>
      <c r="CW276">
        <v>10</v>
      </c>
      <c r="CX276">
        <v>9</v>
      </c>
      <c r="CY276">
        <v>4</v>
      </c>
      <c r="CZ276">
        <v>2</v>
      </c>
      <c r="DA276">
        <v>5</v>
      </c>
      <c r="DB276">
        <v>2</v>
      </c>
      <c r="DC276">
        <v>4</v>
      </c>
      <c r="DD276">
        <v>1</v>
      </c>
      <c r="DE276">
        <v>0</v>
      </c>
      <c r="DF276">
        <v>10</v>
      </c>
      <c r="DG276">
        <v>10</v>
      </c>
      <c r="DH276">
        <v>3</v>
      </c>
      <c r="DI276">
        <v>9</v>
      </c>
      <c r="DJ276">
        <v>10</v>
      </c>
      <c r="DK276">
        <v>5</v>
      </c>
    </row>
    <row r="277" spans="1:115">
      <c r="A277" s="173">
        <f>Calculations[[#This Row],[Sum t eCO2]]*IF(Calculations[[#This Row],[GHG Scope]]="BIOGENIC",0,1)</f>
        <v>0</v>
      </c>
      <c r="O277">
        <f t="shared" si="4"/>
        <v>276</v>
      </c>
      <c r="P277">
        <v>0</v>
      </c>
      <c r="Q277">
        <v>7</v>
      </c>
      <c r="R277">
        <v>6</v>
      </c>
      <c r="S277">
        <v>1</v>
      </c>
      <c r="T277">
        <v>6</v>
      </c>
      <c r="U277">
        <v>7</v>
      </c>
      <c r="V277">
        <v>1</v>
      </c>
      <c r="W277">
        <v>6</v>
      </c>
      <c r="X277">
        <v>6</v>
      </c>
      <c r="Y277">
        <v>7</v>
      </c>
      <c r="Z277">
        <v>7</v>
      </c>
      <c r="AA277">
        <v>7</v>
      </c>
      <c r="AB277">
        <v>5</v>
      </c>
      <c r="AC277">
        <v>2</v>
      </c>
      <c r="AD277">
        <v>9</v>
      </c>
      <c r="AE277">
        <v>0</v>
      </c>
      <c r="AF277">
        <v>4</v>
      </c>
      <c r="AG277">
        <v>0</v>
      </c>
      <c r="AH277">
        <v>4</v>
      </c>
      <c r="AI277">
        <v>9</v>
      </c>
      <c r="AJ277">
        <v>0</v>
      </c>
      <c r="AK277">
        <v>7</v>
      </c>
      <c r="AL277">
        <v>5</v>
      </c>
      <c r="AM277">
        <v>4</v>
      </c>
      <c r="AN277">
        <v>1</v>
      </c>
      <c r="AO277">
        <v>0</v>
      </c>
      <c r="AP277">
        <v>6</v>
      </c>
      <c r="AQ277">
        <v>8</v>
      </c>
      <c r="AR277">
        <v>8</v>
      </c>
      <c r="AS277">
        <v>7</v>
      </c>
      <c r="AT277">
        <v>5</v>
      </c>
      <c r="AU277">
        <v>10</v>
      </c>
      <c r="AV277">
        <v>5</v>
      </c>
      <c r="AW277">
        <v>0</v>
      </c>
      <c r="AX277">
        <v>0</v>
      </c>
      <c r="AY277">
        <v>3</v>
      </c>
      <c r="AZ277">
        <v>5</v>
      </c>
      <c r="BA277">
        <v>1</v>
      </c>
      <c r="BB277">
        <v>1</v>
      </c>
      <c r="BC277">
        <v>4</v>
      </c>
      <c r="BD277">
        <v>10</v>
      </c>
      <c r="BE277">
        <v>10</v>
      </c>
      <c r="BF277">
        <v>1</v>
      </c>
      <c r="BG277">
        <v>2</v>
      </c>
      <c r="BH277">
        <v>2</v>
      </c>
      <c r="BI277">
        <v>9</v>
      </c>
      <c r="BJ277">
        <v>6</v>
      </c>
      <c r="BK277">
        <v>4</v>
      </c>
      <c r="BL277">
        <v>5</v>
      </c>
      <c r="BM277">
        <v>6</v>
      </c>
      <c r="BN277">
        <v>0</v>
      </c>
      <c r="BO277">
        <v>1</v>
      </c>
      <c r="BP277">
        <v>3</v>
      </c>
      <c r="BQ277">
        <v>0</v>
      </c>
      <c r="BR277">
        <v>5</v>
      </c>
      <c r="BS277">
        <v>8</v>
      </c>
      <c r="BT277">
        <v>10</v>
      </c>
      <c r="BU277">
        <v>2</v>
      </c>
      <c r="BV277">
        <v>4</v>
      </c>
      <c r="BW277">
        <v>2</v>
      </c>
      <c r="BX277">
        <v>5</v>
      </c>
      <c r="BY277">
        <v>8</v>
      </c>
      <c r="BZ277">
        <v>3</v>
      </c>
      <c r="CA277">
        <v>6</v>
      </c>
      <c r="CB277">
        <v>3</v>
      </c>
      <c r="CC277">
        <v>3</v>
      </c>
      <c r="CD277">
        <v>3</v>
      </c>
      <c r="CE277">
        <v>8</v>
      </c>
      <c r="CF277">
        <v>8</v>
      </c>
      <c r="CG277">
        <v>9</v>
      </c>
      <c r="CH277">
        <v>7</v>
      </c>
      <c r="CI277">
        <v>5</v>
      </c>
      <c r="CJ277">
        <v>8</v>
      </c>
      <c r="CK277">
        <v>9</v>
      </c>
      <c r="CL277">
        <v>7</v>
      </c>
      <c r="CM277">
        <v>10</v>
      </c>
      <c r="CN277">
        <v>4</v>
      </c>
      <c r="CO277">
        <v>6</v>
      </c>
      <c r="CP277">
        <v>0</v>
      </c>
      <c r="CQ277">
        <v>8</v>
      </c>
      <c r="CR277">
        <v>2</v>
      </c>
      <c r="CS277">
        <v>6</v>
      </c>
      <c r="CT277">
        <v>8</v>
      </c>
      <c r="CU277">
        <v>7</v>
      </c>
      <c r="CV277">
        <v>2</v>
      </c>
      <c r="CW277">
        <v>0</v>
      </c>
      <c r="CX277">
        <v>2</v>
      </c>
      <c r="CY277">
        <v>5</v>
      </c>
      <c r="CZ277">
        <v>1</v>
      </c>
      <c r="DA277">
        <v>6</v>
      </c>
      <c r="DB277">
        <v>4</v>
      </c>
      <c r="DC277">
        <v>6</v>
      </c>
      <c r="DD277">
        <v>2</v>
      </c>
      <c r="DE277">
        <v>0</v>
      </c>
      <c r="DF277">
        <v>5</v>
      </c>
      <c r="DG277">
        <v>5</v>
      </c>
      <c r="DH277">
        <v>5</v>
      </c>
      <c r="DI277">
        <v>7</v>
      </c>
      <c r="DJ277">
        <v>1</v>
      </c>
      <c r="DK277">
        <v>6</v>
      </c>
    </row>
    <row r="278" spans="1:115">
      <c r="A278" s="173">
        <f>Calculations[[#This Row],[Sum t eCO2]]*IF(Calculations[[#This Row],[GHG Scope]]="BIOGENIC",0,1)</f>
        <v>0.43732150000000009</v>
      </c>
      <c r="O278">
        <f t="shared" si="4"/>
        <v>277</v>
      </c>
      <c r="P278">
        <v>10</v>
      </c>
      <c r="Q278">
        <v>5</v>
      </c>
      <c r="R278">
        <v>0</v>
      </c>
      <c r="S278">
        <v>0</v>
      </c>
      <c r="T278">
        <v>0</v>
      </c>
      <c r="U278">
        <v>6</v>
      </c>
      <c r="V278">
        <v>10</v>
      </c>
      <c r="W278">
        <v>4</v>
      </c>
      <c r="X278">
        <v>2</v>
      </c>
      <c r="Y278">
        <v>9</v>
      </c>
      <c r="Z278">
        <v>4</v>
      </c>
      <c r="AA278">
        <v>0</v>
      </c>
      <c r="AB278">
        <v>10</v>
      </c>
      <c r="AC278">
        <v>0</v>
      </c>
      <c r="AD278">
        <v>4</v>
      </c>
      <c r="AE278">
        <v>4</v>
      </c>
      <c r="AF278">
        <v>2</v>
      </c>
      <c r="AG278">
        <v>4</v>
      </c>
      <c r="AH278">
        <v>2</v>
      </c>
      <c r="AI278">
        <v>2</v>
      </c>
      <c r="AJ278">
        <v>10</v>
      </c>
      <c r="AK278">
        <v>9</v>
      </c>
      <c r="AL278">
        <v>9</v>
      </c>
      <c r="AM278">
        <v>4</v>
      </c>
      <c r="AN278">
        <v>7</v>
      </c>
      <c r="AO278">
        <v>4</v>
      </c>
      <c r="AP278">
        <v>3</v>
      </c>
      <c r="AQ278">
        <v>8</v>
      </c>
      <c r="AR278">
        <v>2</v>
      </c>
      <c r="AS278">
        <v>0</v>
      </c>
      <c r="AT278">
        <v>7</v>
      </c>
      <c r="AU278">
        <v>5</v>
      </c>
      <c r="AV278">
        <v>3</v>
      </c>
      <c r="AW278">
        <v>8</v>
      </c>
      <c r="AX278">
        <v>6</v>
      </c>
      <c r="AY278">
        <v>10</v>
      </c>
      <c r="AZ278">
        <v>6</v>
      </c>
      <c r="BA278">
        <v>2</v>
      </c>
      <c r="BB278">
        <v>2</v>
      </c>
      <c r="BC278">
        <v>7</v>
      </c>
      <c r="BD278">
        <v>4</v>
      </c>
      <c r="BE278">
        <v>8</v>
      </c>
      <c r="BF278">
        <v>6</v>
      </c>
      <c r="BG278">
        <v>6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8</v>
      </c>
      <c r="BN278">
        <v>3</v>
      </c>
      <c r="BO278">
        <v>6</v>
      </c>
      <c r="BP278">
        <v>1</v>
      </c>
      <c r="BQ278">
        <v>5</v>
      </c>
      <c r="BR278">
        <v>5</v>
      </c>
      <c r="BS278">
        <v>4</v>
      </c>
      <c r="BT278">
        <v>8</v>
      </c>
      <c r="BU278">
        <v>7</v>
      </c>
      <c r="BV278">
        <v>8</v>
      </c>
      <c r="BW278">
        <v>0</v>
      </c>
      <c r="BX278">
        <v>2</v>
      </c>
      <c r="BY278">
        <v>8</v>
      </c>
      <c r="BZ278">
        <v>4</v>
      </c>
      <c r="CA278">
        <v>2</v>
      </c>
      <c r="CB278">
        <v>8</v>
      </c>
      <c r="CC278">
        <v>2</v>
      </c>
      <c r="CD278">
        <v>10</v>
      </c>
      <c r="CE278">
        <v>0</v>
      </c>
      <c r="CF278">
        <v>7</v>
      </c>
      <c r="CG278">
        <v>9</v>
      </c>
      <c r="CH278">
        <v>9</v>
      </c>
      <c r="CI278">
        <v>7</v>
      </c>
      <c r="CJ278">
        <v>5</v>
      </c>
      <c r="CK278">
        <v>5</v>
      </c>
      <c r="CL278">
        <v>6</v>
      </c>
      <c r="CM278">
        <v>2</v>
      </c>
      <c r="CN278">
        <v>4</v>
      </c>
      <c r="CO278">
        <v>7</v>
      </c>
      <c r="CP278">
        <v>6</v>
      </c>
      <c r="CQ278">
        <v>3</v>
      </c>
      <c r="CR278">
        <v>8</v>
      </c>
      <c r="CS278">
        <v>1</v>
      </c>
      <c r="CT278">
        <v>9</v>
      </c>
      <c r="CU278">
        <v>0</v>
      </c>
      <c r="CV278">
        <v>8</v>
      </c>
      <c r="CW278">
        <v>3</v>
      </c>
      <c r="CX278">
        <v>10</v>
      </c>
      <c r="CY278">
        <v>1</v>
      </c>
      <c r="CZ278">
        <v>0</v>
      </c>
      <c r="DA278">
        <v>6</v>
      </c>
      <c r="DB278">
        <v>1</v>
      </c>
      <c r="DC278">
        <v>5</v>
      </c>
      <c r="DD278">
        <v>8</v>
      </c>
      <c r="DE278">
        <v>8</v>
      </c>
      <c r="DF278">
        <v>6</v>
      </c>
      <c r="DG278">
        <v>2</v>
      </c>
      <c r="DH278">
        <v>1</v>
      </c>
      <c r="DI278">
        <v>3</v>
      </c>
      <c r="DJ278">
        <v>0</v>
      </c>
      <c r="DK278">
        <v>9</v>
      </c>
    </row>
    <row r="279" spans="1:115">
      <c r="A279" s="173">
        <f>Calculations[[#This Row],[Sum t eCO2]]*IF(Calculations[[#This Row],[GHG Scope]]="BIOGENIC",0,1)</f>
        <v>7.0358827499999999E-3</v>
      </c>
      <c r="O279">
        <f t="shared" si="4"/>
        <v>278</v>
      </c>
      <c r="P279">
        <v>9</v>
      </c>
      <c r="Q279">
        <v>2</v>
      </c>
      <c r="R279">
        <v>8</v>
      </c>
      <c r="S279">
        <v>6</v>
      </c>
      <c r="T279">
        <v>8</v>
      </c>
      <c r="U279">
        <v>8</v>
      </c>
      <c r="V279">
        <v>1</v>
      </c>
      <c r="W279">
        <v>10</v>
      </c>
      <c r="X279">
        <v>8</v>
      </c>
      <c r="Y279">
        <v>6</v>
      </c>
      <c r="Z279">
        <v>6</v>
      </c>
      <c r="AA279">
        <v>4</v>
      </c>
      <c r="AB279">
        <v>7</v>
      </c>
      <c r="AC279">
        <v>6</v>
      </c>
      <c r="AD279">
        <v>4</v>
      </c>
      <c r="AE279">
        <v>5</v>
      </c>
      <c r="AF279">
        <v>7</v>
      </c>
      <c r="AG279">
        <v>10</v>
      </c>
      <c r="AH279">
        <v>5</v>
      </c>
      <c r="AI279">
        <v>10</v>
      </c>
      <c r="AJ279">
        <v>1</v>
      </c>
      <c r="AK279">
        <v>0</v>
      </c>
      <c r="AL279">
        <v>0</v>
      </c>
      <c r="AM279">
        <v>3</v>
      </c>
      <c r="AN279">
        <v>4</v>
      </c>
      <c r="AO279">
        <v>10</v>
      </c>
      <c r="AP279">
        <v>3</v>
      </c>
      <c r="AQ279">
        <v>2</v>
      </c>
      <c r="AR279">
        <v>10</v>
      </c>
      <c r="AS279">
        <v>9</v>
      </c>
      <c r="AT279">
        <v>5</v>
      </c>
      <c r="AU279">
        <v>4</v>
      </c>
      <c r="AV279">
        <v>9</v>
      </c>
      <c r="AW279">
        <v>5</v>
      </c>
      <c r="AX279">
        <v>10</v>
      </c>
      <c r="AY279">
        <v>7</v>
      </c>
      <c r="AZ279">
        <v>6</v>
      </c>
      <c r="BA279">
        <v>10</v>
      </c>
      <c r="BB279">
        <v>6</v>
      </c>
      <c r="BC279">
        <v>4</v>
      </c>
      <c r="BD279">
        <v>6</v>
      </c>
      <c r="BE279">
        <v>9</v>
      </c>
      <c r="BF279">
        <v>10</v>
      </c>
      <c r="BG279">
        <v>8</v>
      </c>
      <c r="BH279">
        <v>4</v>
      </c>
      <c r="BI279">
        <v>2</v>
      </c>
      <c r="BJ279">
        <v>0</v>
      </c>
      <c r="BK279">
        <v>5</v>
      </c>
      <c r="BL279">
        <v>8</v>
      </c>
      <c r="BM279">
        <v>5</v>
      </c>
      <c r="BN279">
        <v>3</v>
      </c>
      <c r="BO279">
        <v>9</v>
      </c>
      <c r="BP279">
        <v>6</v>
      </c>
      <c r="BQ279">
        <v>4</v>
      </c>
      <c r="BR279">
        <v>2</v>
      </c>
      <c r="BS279">
        <v>2</v>
      </c>
      <c r="BT279">
        <v>10</v>
      </c>
      <c r="BU279">
        <v>3</v>
      </c>
      <c r="BV279">
        <v>10</v>
      </c>
      <c r="BW279">
        <v>8</v>
      </c>
      <c r="BX279">
        <v>5</v>
      </c>
      <c r="BY279">
        <v>6</v>
      </c>
      <c r="BZ279">
        <v>4</v>
      </c>
      <c r="CA279">
        <v>1</v>
      </c>
      <c r="CB279">
        <v>7</v>
      </c>
      <c r="CC279">
        <v>3</v>
      </c>
      <c r="CD279">
        <v>6</v>
      </c>
      <c r="CE279">
        <v>10</v>
      </c>
      <c r="CF279">
        <v>6</v>
      </c>
      <c r="CG279">
        <v>3</v>
      </c>
      <c r="CH279">
        <v>6</v>
      </c>
      <c r="CI279">
        <v>8</v>
      </c>
      <c r="CJ279">
        <v>6</v>
      </c>
      <c r="CK279">
        <v>4</v>
      </c>
      <c r="CL279">
        <v>1</v>
      </c>
      <c r="CM279">
        <v>7</v>
      </c>
      <c r="CN279">
        <v>6</v>
      </c>
      <c r="CO279">
        <v>10</v>
      </c>
      <c r="CP279">
        <v>1</v>
      </c>
      <c r="CQ279">
        <v>3</v>
      </c>
      <c r="CR279">
        <v>8</v>
      </c>
      <c r="CS279">
        <v>1</v>
      </c>
      <c r="CT279">
        <v>6</v>
      </c>
      <c r="CU279">
        <v>6</v>
      </c>
      <c r="CV279">
        <v>3</v>
      </c>
      <c r="CW279">
        <v>7</v>
      </c>
      <c r="CX279">
        <v>5</v>
      </c>
      <c r="CY279">
        <v>2</v>
      </c>
      <c r="CZ279">
        <v>4</v>
      </c>
      <c r="DA279">
        <v>4</v>
      </c>
      <c r="DB279">
        <v>7</v>
      </c>
      <c r="DC279">
        <v>8</v>
      </c>
      <c r="DD279">
        <v>2</v>
      </c>
      <c r="DE279">
        <v>3</v>
      </c>
      <c r="DF279">
        <v>10</v>
      </c>
      <c r="DG279">
        <v>2</v>
      </c>
      <c r="DH279">
        <v>7</v>
      </c>
      <c r="DI279">
        <v>2</v>
      </c>
      <c r="DJ279">
        <v>8</v>
      </c>
      <c r="DK279">
        <v>8</v>
      </c>
    </row>
    <row r="280" spans="1:115">
      <c r="A280" s="173">
        <f>Calculations[[#This Row],[Sum t eCO2]]*IF(Calculations[[#This Row],[GHG Scope]]="BIOGENIC",0,1)</f>
        <v>4.9870079999999997E-2</v>
      </c>
      <c r="O280">
        <f t="shared" si="4"/>
        <v>279</v>
      </c>
      <c r="P280">
        <v>8</v>
      </c>
      <c r="Q280">
        <v>9</v>
      </c>
      <c r="R280">
        <v>6</v>
      </c>
      <c r="S280">
        <v>5</v>
      </c>
      <c r="T280">
        <v>1</v>
      </c>
      <c r="U280">
        <v>6</v>
      </c>
      <c r="V280">
        <v>9</v>
      </c>
      <c r="W280">
        <v>8</v>
      </c>
      <c r="X280">
        <v>10</v>
      </c>
      <c r="Y280">
        <v>6</v>
      </c>
      <c r="Z280">
        <v>2</v>
      </c>
      <c r="AA280">
        <v>2</v>
      </c>
      <c r="AB280">
        <v>2</v>
      </c>
      <c r="AC280">
        <v>9</v>
      </c>
      <c r="AD280">
        <v>10</v>
      </c>
      <c r="AE280">
        <v>3</v>
      </c>
      <c r="AF280">
        <v>7</v>
      </c>
      <c r="AG280">
        <v>2</v>
      </c>
      <c r="AH280">
        <v>3</v>
      </c>
      <c r="AI280">
        <v>3</v>
      </c>
      <c r="AJ280">
        <v>6</v>
      </c>
      <c r="AK280">
        <v>6</v>
      </c>
      <c r="AL280">
        <v>3</v>
      </c>
      <c r="AM280">
        <v>4</v>
      </c>
      <c r="AN280">
        <v>2</v>
      </c>
      <c r="AO280">
        <v>5</v>
      </c>
      <c r="AP280">
        <v>1</v>
      </c>
      <c r="AQ280">
        <v>3</v>
      </c>
      <c r="AR280">
        <v>6</v>
      </c>
      <c r="AS280">
        <v>4</v>
      </c>
      <c r="AT280">
        <v>3</v>
      </c>
      <c r="AU280">
        <v>10</v>
      </c>
      <c r="AV280">
        <v>6</v>
      </c>
      <c r="AW280">
        <v>7</v>
      </c>
      <c r="AX280">
        <v>6</v>
      </c>
      <c r="AY280">
        <v>3</v>
      </c>
      <c r="AZ280">
        <v>8</v>
      </c>
      <c r="BA280">
        <v>4</v>
      </c>
      <c r="BB280">
        <v>9</v>
      </c>
      <c r="BC280">
        <v>9</v>
      </c>
      <c r="BD280">
        <v>2</v>
      </c>
      <c r="BE280">
        <v>9</v>
      </c>
      <c r="BF280">
        <v>8</v>
      </c>
      <c r="BG280">
        <v>10</v>
      </c>
      <c r="BH280">
        <v>8</v>
      </c>
      <c r="BI280">
        <v>9</v>
      </c>
      <c r="BJ280">
        <v>1</v>
      </c>
      <c r="BK280">
        <v>8</v>
      </c>
      <c r="BL280">
        <v>1</v>
      </c>
      <c r="BM280">
        <v>2</v>
      </c>
      <c r="BN280">
        <v>1</v>
      </c>
      <c r="BO280">
        <v>7</v>
      </c>
      <c r="BP280">
        <v>5</v>
      </c>
      <c r="BQ280">
        <v>3</v>
      </c>
      <c r="BR280">
        <v>0</v>
      </c>
      <c r="BS280">
        <v>7</v>
      </c>
      <c r="BT280">
        <v>6</v>
      </c>
      <c r="BU280">
        <v>7</v>
      </c>
      <c r="BV280">
        <v>5</v>
      </c>
      <c r="BW280">
        <v>6</v>
      </c>
      <c r="BX280">
        <v>4</v>
      </c>
      <c r="BY280">
        <v>6</v>
      </c>
      <c r="BZ280">
        <v>1</v>
      </c>
      <c r="CA280">
        <v>6</v>
      </c>
      <c r="CB280">
        <v>4</v>
      </c>
      <c r="CC280">
        <v>1</v>
      </c>
      <c r="CD280">
        <v>8</v>
      </c>
      <c r="CE280">
        <v>0</v>
      </c>
      <c r="CF280">
        <v>5</v>
      </c>
      <c r="CG280">
        <v>0</v>
      </c>
      <c r="CH280">
        <v>6</v>
      </c>
      <c r="CI280">
        <v>6</v>
      </c>
      <c r="CJ280">
        <v>3</v>
      </c>
      <c r="CK280">
        <v>3</v>
      </c>
      <c r="CL280">
        <v>4</v>
      </c>
      <c r="CM280">
        <v>8</v>
      </c>
      <c r="CN280">
        <v>1</v>
      </c>
      <c r="CO280">
        <v>7</v>
      </c>
      <c r="CP280">
        <v>10</v>
      </c>
      <c r="CQ280">
        <v>9</v>
      </c>
      <c r="CR280">
        <v>4</v>
      </c>
      <c r="CS280">
        <v>3</v>
      </c>
      <c r="CT280">
        <v>3</v>
      </c>
      <c r="CU280">
        <v>5</v>
      </c>
      <c r="CV280">
        <v>2</v>
      </c>
      <c r="CW280">
        <v>10</v>
      </c>
      <c r="CX280">
        <v>3</v>
      </c>
      <c r="CY280">
        <v>1</v>
      </c>
      <c r="CZ280">
        <v>10</v>
      </c>
      <c r="DA280">
        <v>5</v>
      </c>
      <c r="DB280">
        <v>6</v>
      </c>
      <c r="DC280">
        <v>3</v>
      </c>
      <c r="DD280">
        <v>0</v>
      </c>
      <c r="DE280">
        <v>4</v>
      </c>
      <c r="DF280">
        <v>3</v>
      </c>
      <c r="DG280">
        <v>7</v>
      </c>
      <c r="DH280">
        <v>3</v>
      </c>
      <c r="DI280">
        <v>1</v>
      </c>
      <c r="DJ280">
        <v>0</v>
      </c>
      <c r="DK280">
        <v>7</v>
      </c>
    </row>
    <row r="281" spans="1:115">
      <c r="A281" s="173">
        <f>Calculations[[#This Row],[Sum t eCO2]]*IF(Calculations[[#This Row],[GHG Scope]]="BIOGENIC",0,1)</f>
        <v>4.3550000000000004E-3</v>
      </c>
      <c r="O281">
        <f t="shared" si="4"/>
        <v>280</v>
      </c>
      <c r="P281">
        <v>6</v>
      </c>
      <c r="Q281">
        <v>7</v>
      </c>
      <c r="R281">
        <v>1</v>
      </c>
      <c r="S281">
        <v>5</v>
      </c>
      <c r="T281">
        <v>4</v>
      </c>
      <c r="U281">
        <v>5</v>
      </c>
      <c r="V281">
        <v>9</v>
      </c>
      <c r="W281">
        <v>4</v>
      </c>
      <c r="X281">
        <v>4</v>
      </c>
      <c r="Y281">
        <v>10</v>
      </c>
      <c r="Z281">
        <v>4</v>
      </c>
      <c r="AA281">
        <v>4</v>
      </c>
      <c r="AB281">
        <v>1</v>
      </c>
      <c r="AC281">
        <v>6</v>
      </c>
      <c r="AD281">
        <v>4</v>
      </c>
      <c r="AE281">
        <v>0</v>
      </c>
      <c r="AF281">
        <v>8</v>
      </c>
      <c r="AG281">
        <v>0</v>
      </c>
      <c r="AH281">
        <v>4</v>
      </c>
      <c r="AI281">
        <v>5</v>
      </c>
      <c r="AJ281">
        <v>8</v>
      </c>
      <c r="AK281">
        <v>1</v>
      </c>
      <c r="AL281">
        <v>6</v>
      </c>
      <c r="AM281">
        <v>10</v>
      </c>
      <c r="AN281">
        <v>6</v>
      </c>
      <c r="AO281">
        <v>3</v>
      </c>
      <c r="AP281">
        <v>7</v>
      </c>
      <c r="AQ281">
        <v>9</v>
      </c>
      <c r="AR281">
        <v>3</v>
      </c>
      <c r="AS281">
        <v>10</v>
      </c>
      <c r="AT281">
        <v>4</v>
      </c>
      <c r="AU281">
        <v>7</v>
      </c>
      <c r="AV281">
        <v>1</v>
      </c>
      <c r="AW281">
        <v>1</v>
      </c>
      <c r="AX281">
        <v>1</v>
      </c>
      <c r="AY281">
        <v>10</v>
      </c>
      <c r="AZ281">
        <v>6</v>
      </c>
      <c r="BA281">
        <v>5</v>
      </c>
      <c r="BB281">
        <v>3</v>
      </c>
      <c r="BC281">
        <v>2</v>
      </c>
      <c r="BD281">
        <v>5</v>
      </c>
      <c r="BE281">
        <v>2</v>
      </c>
      <c r="BF281">
        <v>4</v>
      </c>
      <c r="BG281">
        <v>10</v>
      </c>
      <c r="BH281">
        <v>6</v>
      </c>
      <c r="BI281">
        <v>8</v>
      </c>
      <c r="BJ281">
        <v>9</v>
      </c>
      <c r="BK281">
        <v>10</v>
      </c>
      <c r="BL281">
        <v>7</v>
      </c>
      <c r="BM281">
        <v>9</v>
      </c>
      <c r="BN281">
        <v>3</v>
      </c>
      <c r="BO281">
        <v>0</v>
      </c>
      <c r="BP281">
        <v>5</v>
      </c>
      <c r="BQ281">
        <v>0</v>
      </c>
      <c r="BR281">
        <v>1</v>
      </c>
      <c r="BS281">
        <v>1</v>
      </c>
      <c r="BT281">
        <v>10</v>
      </c>
      <c r="BU281">
        <v>1</v>
      </c>
      <c r="BV281">
        <v>10</v>
      </c>
      <c r="BW281">
        <v>3</v>
      </c>
      <c r="BX281">
        <v>7</v>
      </c>
      <c r="BY281">
        <v>1</v>
      </c>
      <c r="BZ281">
        <v>5</v>
      </c>
      <c r="CA281">
        <v>9</v>
      </c>
      <c r="CB281">
        <v>4</v>
      </c>
      <c r="CC281">
        <v>6</v>
      </c>
      <c r="CD281">
        <v>4</v>
      </c>
      <c r="CE281">
        <v>1</v>
      </c>
      <c r="CF281">
        <v>2</v>
      </c>
      <c r="CG281">
        <v>8</v>
      </c>
      <c r="CH281">
        <v>4</v>
      </c>
      <c r="CI281">
        <v>10</v>
      </c>
      <c r="CJ281">
        <v>2</v>
      </c>
      <c r="CK281">
        <v>3</v>
      </c>
      <c r="CL281">
        <v>8</v>
      </c>
      <c r="CM281">
        <v>6</v>
      </c>
      <c r="CN281">
        <v>1</v>
      </c>
      <c r="CO281">
        <v>4</v>
      </c>
      <c r="CP281">
        <v>6</v>
      </c>
      <c r="CQ281">
        <v>4</v>
      </c>
      <c r="CR281">
        <v>1</v>
      </c>
      <c r="CS281">
        <v>1</v>
      </c>
      <c r="CT281">
        <v>10</v>
      </c>
      <c r="CU281">
        <v>9</v>
      </c>
      <c r="CV281">
        <v>0</v>
      </c>
      <c r="CW281">
        <v>8</v>
      </c>
      <c r="CX281">
        <v>4</v>
      </c>
      <c r="CY281">
        <v>7</v>
      </c>
      <c r="CZ281">
        <v>4</v>
      </c>
      <c r="DA281">
        <v>3</v>
      </c>
      <c r="DB281">
        <v>1</v>
      </c>
      <c r="DC281">
        <v>3</v>
      </c>
      <c r="DD281">
        <v>8</v>
      </c>
      <c r="DE281">
        <v>5</v>
      </c>
      <c r="DF281">
        <v>3</v>
      </c>
      <c r="DG281">
        <v>8</v>
      </c>
      <c r="DH281">
        <v>4</v>
      </c>
      <c r="DI281">
        <v>6</v>
      </c>
      <c r="DJ281">
        <v>2</v>
      </c>
      <c r="DK281">
        <v>0</v>
      </c>
    </row>
    <row r="282" spans="1:115">
      <c r="A282" s="173">
        <f>Calculations[[#This Row],[Sum t eCO2]]*IF(Calculations[[#This Row],[GHG Scope]]="BIOGENIC",0,1)</f>
        <v>0.47278000000000009</v>
      </c>
      <c r="O282">
        <f t="shared" si="4"/>
        <v>281</v>
      </c>
      <c r="P282">
        <v>10</v>
      </c>
      <c r="Q282">
        <v>7</v>
      </c>
      <c r="R282">
        <v>9</v>
      </c>
      <c r="S282">
        <v>3</v>
      </c>
      <c r="T282">
        <v>5</v>
      </c>
      <c r="U282">
        <v>1</v>
      </c>
      <c r="V282">
        <v>8</v>
      </c>
      <c r="W282">
        <v>7</v>
      </c>
      <c r="X282">
        <v>9</v>
      </c>
      <c r="Y282">
        <v>8</v>
      </c>
      <c r="Z282">
        <v>4</v>
      </c>
      <c r="AA282">
        <v>10</v>
      </c>
      <c r="AB282">
        <v>1</v>
      </c>
      <c r="AC282">
        <v>5</v>
      </c>
      <c r="AD282">
        <v>1</v>
      </c>
      <c r="AE282">
        <v>1</v>
      </c>
      <c r="AF282">
        <v>0</v>
      </c>
      <c r="AG282">
        <v>7</v>
      </c>
      <c r="AH282">
        <v>6</v>
      </c>
      <c r="AI282">
        <v>5</v>
      </c>
      <c r="AJ282">
        <v>9</v>
      </c>
      <c r="AK282">
        <v>4</v>
      </c>
      <c r="AL282">
        <v>3</v>
      </c>
      <c r="AM282">
        <v>2</v>
      </c>
      <c r="AN282">
        <v>6</v>
      </c>
      <c r="AO282">
        <v>7</v>
      </c>
      <c r="AP282">
        <v>6</v>
      </c>
      <c r="AQ282">
        <v>5</v>
      </c>
      <c r="AR282">
        <v>5</v>
      </c>
      <c r="AS282">
        <v>2</v>
      </c>
      <c r="AT282">
        <v>2</v>
      </c>
      <c r="AU282">
        <v>4</v>
      </c>
      <c r="AV282">
        <v>9</v>
      </c>
      <c r="AW282">
        <v>7</v>
      </c>
      <c r="AX282">
        <v>0</v>
      </c>
      <c r="AY282">
        <v>10</v>
      </c>
      <c r="AZ282">
        <v>3</v>
      </c>
      <c r="BA282">
        <v>5</v>
      </c>
      <c r="BB282">
        <v>7</v>
      </c>
      <c r="BC282">
        <v>10</v>
      </c>
      <c r="BD282">
        <v>5</v>
      </c>
      <c r="BE282">
        <v>5</v>
      </c>
      <c r="BF282">
        <v>4</v>
      </c>
      <c r="BG282">
        <v>6</v>
      </c>
      <c r="BH282">
        <v>6</v>
      </c>
      <c r="BI282">
        <v>10</v>
      </c>
      <c r="BJ282">
        <v>9</v>
      </c>
      <c r="BK282">
        <v>2</v>
      </c>
      <c r="BL282">
        <v>7</v>
      </c>
      <c r="BM282">
        <v>7</v>
      </c>
      <c r="BN282">
        <v>8</v>
      </c>
      <c r="BO282">
        <v>4</v>
      </c>
      <c r="BP282">
        <v>1</v>
      </c>
      <c r="BQ282">
        <v>0</v>
      </c>
      <c r="BR282">
        <v>3</v>
      </c>
      <c r="BS282">
        <v>2</v>
      </c>
      <c r="BT282">
        <v>3</v>
      </c>
      <c r="BU282">
        <v>0</v>
      </c>
      <c r="BV282">
        <v>2</v>
      </c>
      <c r="BW282">
        <v>0</v>
      </c>
      <c r="BX282">
        <v>7</v>
      </c>
      <c r="BY282">
        <v>6</v>
      </c>
      <c r="BZ282">
        <v>1</v>
      </c>
      <c r="CA282">
        <v>8</v>
      </c>
      <c r="CB282">
        <v>1</v>
      </c>
      <c r="CC282">
        <v>6</v>
      </c>
      <c r="CD282">
        <v>2</v>
      </c>
      <c r="CE282">
        <v>0</v>
      </c>
      <c r="CF282">
        <v>9</v>
      </c>
      <c r="CG282">
        <v>6</v>
      </c>
      <c r="CH282">
        <v>3</v>
      </c>
      <c r="CI282">
        <v>1</v>
      </c>
      <c r="CJ282">
        <v>8</v>
      </c>
      <c r="CK282">
        <v>5</v>
      </c>
      <c r="CL282">
        <v>6</v>
      </c>
      <c r="CM282">
        <v>1</v>
      </c>
      <c r="CN282">
        <v>1</v>
      </c>
      <c r="CO282">
        <v>8</v>
      </c>
      <c r="CP282">
        <v>0</v>
      </c>
      <c r="CQ282">
        <v>10</v>
      </c>
      <c r="CR282">
        <v>9</v>
      </c>
      <c r="CS282">
        <v>9</v>
      </c>
      <c r="CT282">
        <v>3</v>
      </c>
      <c r="CU282">
        <v>3</v>
      </c>
      <c r="CV282">
        <v>8</v>
      </c>
      <c r="CW282">
        <v>9</v>
      </c>
      <c r="CX282">
        <v>9</v>
      </c>
      <c r="CY282">
        <v>10</v>
      </c>
      <c r="CZ282">
        <v>9</v>
      </c>
      <c r="DA282">
        <v>2</v>
      </c>
      <c r="DB282">
        <v>8</v>
      </c>
      <c r="DC282">
        <v>7</v>
      </c>
      <c r="DD282">
        <v>10</v>
      </c>
      <c r="DE282">
        <v>6</v>
      </c>
      <c r="DF282">
        <v>5</v>
      </c>
      <c r="DG282">
        <v>2</v>
      </c>
      <c r="DH282">
        <v>8</v>
      </c>
      <c r="DI282">
        <v>10</v>
      </c>
      <c r="DJ282">
        <v>0</v>
      </c>
      <c r="DK282">
        <v>9</v>
      </c>
    </row>
    <row r="283" spans="1:115">
      <c r="A283" s="173">
        <f>Calculations[[#This Row],[Sum t eCO2]]*IF(Calculations[[#This Row],[GHG Scope]]="BIOGENIC",0,1)</f>
        <v>111.67336781406</v>
      </c>
      <c r="O283">
        <f t="shared" si="4"/>
        <v>282</v>
      </c>
      <c r="P283">
        <v>10</v>
      </c>
      <c r="Q283">
        <v>2</v>
      </c>
      <c r="R283">
        <v>0</v>
      </c>
      <c r="S283">
        <v>10</v>
      </c>
      <c r="T283">
        <v>1</v>
      </c>
      <c r="U283">
        <v>8</v>
      </c>
      <c r="V283">
        <v>3</v>
      </c>
      <c r="W283">
        <v>10</v>
      </c>
      <c r="X283">
        <v>5</v>
      </c>
      <c r="Y283">
        <v>2</v>
      </c>
      <c r="Z283">
        <v>0</v>
      </c>
      <c r="AA283">
        <v>0</v>
      </c>
      <c r="AB283">
        <v>9</v>
      </c>
      <c r="AC283">
        <v>4</v>
      </c>
      <c r="AD283">
        <v>3</v>
      </c>
      <c r="AE283">
        <v>2</v>
      </c>
      <c r="AF283">
        <v>9</v>
      </c>
      <c r="AG283">
        <v>6</v>
      </c>
      <c r="AH283">
        <v>1</v>
      </c>
      <c r="AI283">
        <v>5</v>
      </c>
      <c r="AJ283">
        <v>2</v>
      </c>
      <c r="AK283">
        <v>5</v>
      </c>
      <c r="AL283">
        <v>6</v>
      </c>
      <c r="AM283">
        <v>5</v>
      </c>
      <c r="AN283">
        <v>10</v>
      </c>
      <c r="AO283">
        <v>5</v>
      </c>
      <c r="AP283">
        <v>1</v>
      </c>
      <c r="AQ283">
        <v>0</v>
      </c>
      <c r="AR283">
        <v>1</v>
      </c>
      <c r="AS283">
        <v>1</v>
      </c>
      <c r="AT283">
        <v>3</v>
      </c>
      <c r="AU283">
        <v>6</v>
      </c>
      <c r="AV283">
        <v>9</v>
      </c>
      <c r="AW283">
        <v>1</v>
      </c>
      <c r="AX283">
        <v>3</v>
      </c>
      <c r="AY283">
        <v>5</v>
      </c>
      <c r="AZ283">
        <v>1</v>
      </c>
      <c r="BA283">
        <v>0</v>
      </c>
      <c r="BB283">
        <v>3</v>
      </c>
      <c r="BC283">
        <v>4</v>
      </c>
      <c r="BD283">
        <v>10</v>
      </c>
      <c r="BE283">
        <v>3</v>
      </c>
      <c r="BF283">
        <v>1</v>
      </c>
      <c r="BG283">
        <v>9</v>
      </c>
      <c r="BH283">
        <v>2</v>
      </c>
      <c r="BI283">
        <v>2</v>
      </c>
      <c r="BJ283">
        <v>1</v>
      </c>
      <c r="BK283">
        <v>3</v>
      </c>
      <c r="BL283">
        <v>4</v>
      </c>
      <c r="BM283">
        <v>8</v>
      </c>
      <c r="BN283">
        <v>4</v>
      </c>
      <c r="BO283">
        <v>9</v>
      </c>
      <c r="BP283">
        <v>10</v>
      </c>
      <c r="BQ283">
        <v>1</v>
      </c>
      <c r="BR283">
        <v>3</v>
      </c>
      <c r="BS283">
        <v>4</v>
      </c>
      <c r="BT283">
        <v>4</v>
      </c>
      <c r="BU283">
        <v>1</v>
      </c>
      <c r="BV283">
        <v>1</v>
      </c>
      <c r="BW283">
        <v>1</v>
      </c>
      <c r="BX283">
        <v>10</v>
      </c>
      <c r="BY283">
        <v>5</v>
      </c>
      <c r="BZ283">
        <v>8</v>
      </c>
      <c r="CA283">
        <v>9</v>
      </c>
      <c r="CB283">
        <v>4</v>
      </c>
      <c r="CC283">
        <v>6</v>
      </c>
      <c r="CD283">
        <v>6</v>
      </c>
      <c r="CE283">
        <v>1</v>
      </c>
      <c r="CF283">
        <v>5</v>
      </c>
      <c r="CG283">
        <v>10</v>
      </c>
      <c r="CH283">
        <v>9</v>
      </c>
      <c r="CI283">
        <v>1</v>
      </c>
      <c r="CJ283">
        <v>7</v>
      </c>
      <c r="CK283">
        <v>7</v>
      </c>
      <c r="CL283">
        <v>5</v>
      </c>
      <c r="CM283">
        <v>5</v>
      </c>
      <c r="CN283">
        <v>0</v>
      </c>
      <c r="CO283">
        <v>3</v>
      </c>
      <c r="CP283">
        <v>2</v>
      </c>
      <c r="CQ283">
        <v>8</v>
      </c>
      <c r="CR283">
        <v>3</v>
      </c>
      <c r="CS283">
        <v>6</v>
      </c>
      <c r="CT283">
        <v>0</v>
      </c>
      <c r="CU283">
        <v>9</v>
      </c>
      <c r="CV283">
        <v>3</v>
      </c>
      <c r="CW283">
        <v>2</v>
      </c>
      <c r="CX283">
        <v>4</v>
      </c>
      <c r="CY283">
        <v>2</v>
      </c>
      <c r="CZ283">
        <v>4</v>
      </c>
      <c r="DA283">
        <v>1</v>
      </c>
      <c r="DB283">
        <v>0</v>
      </c>
      <c r="DC283">
        <v>5</v>
      </c>
      <c r="DD283">
        <v>3</v>
      </c>
      <c r="DE283">
        <v>6</v>
      </c>
      <c r="DF283">
        <v>2</v>
      </c>
      <c r="DG283">
        <v>4</v>
      </c>
      <c r="DH283">
        <v>4</v>
      </c>
      <c r="DI283">
        <v>9</v>
      </c>
      <c r="DJ283">
        <v>1</v>
      </c>
      <c r="DK283">
        <v>2</v>
      </c>
    </row>
    <row r="284" spans="1:115">
      <c r="A284" s="173">
        <f>Calculations[[#This Row],[Sum t eCO2]]*IF(Calculations[[#This Row],[GHG Scope]]="BIOGENIC",0,1)</f>
        <v>55.083529595249999</v>
      </c>
      <c r="O284">
        <f t="shared" si="4"/>
        <v>283</v>
      </c>
      <c r="P284">
        <v>6</v>
      </c>
      <c r="Q284">
        <v>3</v>
      </c>
      <c r="R284">
        <v>1</v>
      </c>
      <c r="S284">
        <v>5</v>
      </c>
      <c r="T284">
        <v>0</v>
      </c>
      <c r="U284">
        <v>5</v>
      </c>
      <c r="V284">
        <v>5</v>
      </c>
      <c r="W284">
        <v>0</v>
      </c>
      <c r="X284">
        <v>10</v>
      </c>
      <c r="Y284">
        <v>7</v>
      </c>
      <c r="Z284">
        <v>8</v>
      </c>
      <c r="AA284">
        <v>7</v>
      </c>
      <c r="AB284">
        <v>10</v>
      </c>
      <c r="AC284">
        <v>0</v>
      </c>
      <c r="AD284">
        <v>4</v>
      </c>
      <c r="AE284">
        <v>1</v>
      </c>
      <c r="AF284">
        <v>8</v>
      </c>
      <c r="AG284">
        <v>4</v>
      </c>
      <c r="AH284">
        <v>8</v>
      </c>
      <c r="AI284">
        <v>1</v>
      </c>
      <c r="AJ284">
        <v>9</v>
      </c>
      <c r="AK284">
        <v>2</v>
      </c>
      <c r="AL284">
        <v>8</v>
      </c>
      <c r="AM284">
        <v>4</v>
      </c>
      <c r="AN284">
        <v>7</v>
      </c>
      <c r="AO284">
        <v>7</v>
      </c>
      <c r="AP284">
        <v>1</v>
      </c>
      <c r="AQ284">
        <v>2</v>
      </c>
      <c r="AR284">
        <v>9</v>
      </c>
      <c r="AS284">
        <v>2</v>
      </c>
      <c r="AT284">
        <v>8</v>
      </c>
      <c r="AU284">
        <v>6</v>
      </c>
      <c r="AV284">
        <v>4</v>
      </c>
      <c r="AW284">
        <v>1</v>
      </c>
      <c r="AX284">
        <v>1</v>
      </c>
      <c r="AY284">
        <v>9</v>
      </c>
      <c r="AZ284">
        <v>9</v>
      </c>
      <c r="BA284">
        <v>7</v>
      </c>
      <c r="BB284">
        <v>3</v>
      </c>
      <c r="BC284">
        <v>7</v>
      </c>
      <c r="BD284">
        <v>7</v>
      </c>
      <c r="BE284">
        <v>4</v>
      </c>
      <c r="BF284">
        <v>9</v>
      </c>
      <c r="BG284">
        <v>4</v>
      </c>
      <c r="BH284">
        <v>1</v>
      </c>
      <c r="BI284">
        <v>0</v>
      </c>
      <c r="BJ284">
        <v>1</v>
      </c>
      <c r="BK284">
        <v>8</v>
      </c>
      <c r="BL284">
        <v>5</v>
      </c>
      <c r="BM284">
        <v>10</v>
      </c>
      <c r="BN284">
        <v>2</v>
      </c>
      <c r="BO284">
        <v>10</v>
      </c>
      <c r="BP284">
        <v>6</v>
      </c>
      <c r="BQ284">
        <v>2</v>
      </c>
      <c r="BR284">
        <v>0</v>
      </c>
      <c r="BS284">
        <v>4</v>
      </c>
      <c r="BT284">
        <v>6</v>
      </c>
      <c r="BU284">
        <v>10</v>
      </c>
      <c r="BV284">
        <v>7</v>
      </c>
      <c r="BW284">
        <v>0</v>
      </c>
      <c r="BX284">
        <v>10</v>
      </c>
      <c r="BY284">
        <v>4</v>
      </c>
      <c r="BZ284">
        <v>3</v>
      </c>
      <c r="CA284">
        <v>5</v>
      </c>
      <c r="CB284">
        <v>9</v>
      </c>
      <c r="CC284">
        <v>4</v>
      </c>
      <c r="CD284">
        <v>1</v>
      </c>
      <c r="CE284">
        <v>2</v>
      </c>
      <c r="CF284">
        <v>6</v>
      </c>
      <c r="CG284">
        <v>0</v>
      </c>
      <c r="CH284">
        <v>5</v>
      </c>
      <c r="CI284">
        <v>4</v>
      </c>
      <c r="CJ284">
        <v>4</v>
      </c>
      <c r="CK284">
        <v>5</v>
      </c>
      <c r="CL284">
        <v>6</v>
      </c>
      <c r="CM284">
        <v>2</v>
      </c>
      <c r="CN284">
        <v>5</v>
      </c>
      <c r="CO284">
        <v>4</v>
      </c>
      <c r="CP284">
        <v>1</v>
      </c>
      <c r="CQ284">
        <v>1</v>
      </c>
      <c r="CR284">
        <v>9</v>
      </c>
      <c r="CS284">
        <v>6</v>
      </c>
      <c r="CT284">
        <v>7</v>
      </c>
      <c r="CU284">
        <v>2</v>
      </c>
      <c r="CV284">
        <v>7</v>
      </c>
      <c r="CW284">
        <v>6</v>
      </c>
      <c r="CX284">
        <v>8</v>
      </c>
      <c r="CY284">
        <v>3</v>
      </c>
      <c r="CZ284">
        <v>7</v>
      </c>
      <c r="DA284">
        <v>8</v>
      </c>
      <c r="DB284">
        <v>2</v>
      </c>
      <c r="DC284">
        <v>2</v>
      </c>
      <c r="DD284">
        <v>1</v>
      </c>
      <c r="DE284">
        <v>6</v>
      </c>
      <c r="DF284">
        <v>0</v>
      </c>
      <c r="DG284">
        <v>7</v>
      </c>
      <c r="DH284">
        <v>1</v>
      </c>
      <c r="DI284">
        <v>0</v>
      </c>
      <c r="DJ284">
        <v>9</v>
      </c>
      <c r="DK284">
        <v>2</v>
      </c>
    </row>
    <row r="285" spans="1:115">
      <c r="A285" s="173">
        <f>Calculations[[#This Row],[Sum t eCO2]]*IF(Calculations[[#This Row],[GHG Scope]]="BIOGENIC",0,1)</f>
        <v>11.561366302000001</v>
      </c>
      <c r="O285">
        <f t="shared" si="4"/>
        <v>284</v>
      </c>
      <c r="P285">
        <v>2</v>
      </c>
      <c r="Q285">
        <v>5</v>
      </c>
      <c r="R285">
        <v>8</v>
      </c>
      <c r="S285">
        <v>0</v>
      </c>
      <c r="T285">
        <v>10</v>
      </c>
      <c r="U285">
        <v>6</v>
      </c>
      <c r="V285">
        <v>6</v>
      </c>
      <c r="W285">
        <v>4</v>
      </c>
      <c r="X285">
        <v>2</v>
      </c>
      <c r="Y285">
        <v>5</v>
      </c>
      <c r="Z285">
        <v>2</v>
      </c>
      <c r="AA285">
        <v>6</v>
      </c>
      <c r="AB285">
        <v>1</v>
      </c>
      <c r="AC285">
        <v>7</v>
      </c>
      <c r="AD285">
        <v>6</v>
      </c>
      <c r="AE285">
        <v>9</v>
      </c>
      <c r="AF285">
        <v>4</v>
      </c>
      <c r="AG285">
        <v>3</v>
      </c>
      <c r="AH285">
        <v>2</v>
      </c>
      <c r="AI285">
        <v>4</v>
      </c>
      <c r="AJ285">
        <v>5</v>
      </c>
      <c r="AK285">
        <v>4</v>
      </c>
      <c r="AL285">
        <v>4</v>
      </c>
      <c r="AM285">
        <v>8</v>
      </c>
      <c r="AN285">
        <v>6</v>
      </c>
      <c r="AO285">
        <v>10</v>
      </c>
      <c r="AP285">
        <v>5</v>
      </c>
      <c r="AQ285">
        <v>6</v>
      </c>
      <c r="AR285">
        <v>0</v>
      </c>
      <c r="AS285">
        <v>10</v>
      </c>
      <c r="AT285">
        <v>0</v>
      </c>
      <c r="AU285">
        <v>10</v>
      </c>
      <c r="AV285">
        <v>0</v>
      </c>
      <c r="AW285">
        <v>2</v>
      </c>
      <c r="AX285">
        <v>8</v>
      </c>
      <c r="AY285">
        <v>2</v>
      </c>
      <c r="AZ285">
        <v>6</v>
      </c>
      <c r="BA285">
        <v>5</v>
      </c>
      <c r="BB285">
        <v>1</v>
      </c>
      <c r="BC285">
        <v>0</v>
      </c>
      <c r="BD285">
        <v>1</v>
      </c>
      <c r="BE285">
        <v>10</v>
      </c>
      <c r="BF285">
        <v>2</v>
      </c>
      <c r="BG285">
        <v>1</v>
      </c>
      <c r="BH285">
        <v>4</v>
      </c>
      <c r="BI285">
        <v>7</v>
      </c>
      <c r="BJ285">
        <v>5</v>
      </c>
      <c r="BK285">
        <v>9</v>
      </c>
      <c r="BL285">
        <v>7</v>
      </c>
      <c r="BM285">
        <v>1</v>
      </c>
      <c r="BN285">
        <v>9</v>
      </c>
      <c r="BO285">
        <v>7</v>
      </c>
      <c r="BP285">
        <v>10</v>
      </c>
      <c r="BQ285">
        <v>6</v>
      </c>
      <c r="BR285">
        <v>6</v>
      </c>
      <c r="BS285">
        <v>5</v>
      </c>
      <c r="BT285">
        <v>5</v>
      </c>
      <c r="BU285">
        <v>4</v>
      </c>
      <c r="BV285">
        <v>9</v>
      </c>
      <c r="BW285">
        <v>3</v>
      </c>
      <c r="BX285">
        <v>4</v>
      </c>
      <c r="BY285">
        <v>4</v>
      </c>
      <c r="BZ285">
        <v>5</v>
      </c>
      <c r="CA285">
        <v>2</v>
      </c>
      <c r="CB285">
        <v>0</v>
      </c>
      <c r="CC285">
        <v>8</v>
      </c>
      <c r="CD285">
        <v>10</v>
      </c>
      <c r="CE285">
        <v>2</v>
      </c>
      <c r="CF285">
        <v>2</v>
      </c>
      <c r="CG285">
        <v>2</v>
      </c>
      <c r="CH285">
        <v>2</v>
      </c>
      <c r="CI285">
        <v>10</v>
      </c>
      <c r="CJ285">
        <v>3</v>
      </c>
      <c r="CK285">
        <v>8</v>
      </c>
      <c r="CL285">
        <v>8</v>
      </c>
      <c r="CM285">
        <v>3</v>
      </c>
      <c r="CN285">
        <v>7</v>
      </c>
      <c r="CO285">
        <v>8</v>
      </c>
      <c r="CP285">
        <v>10</v>
      </c>
      <c r="CQ285">
        <v>7</v>
      </c>
      <c r="CR285">
        <v>7</v>
      </c>
      <c r="CS285">
        <v>5</v>
      </c>
      <c r="CT285">
        <v>2</v>
      </c>
      <c r="CU285">
        <v>6</v>
      </c>
      <c r="CV285">
        <v>5</v>
      </c>
      <c r="CW285">
        <v>8</v>
      </c>
      <c r="CX285">
        <v>7</v>
      </c>
      <c r="CY285">
        <v>6</v>
      </c>
      <c r="CZ285">
        <v>2</v>
      </c>
      <c r="DA285">
        <v>5</v>
      </c>
      <c r="DB285">
        <v>0</v>
      </c>
      <c r="DC285">
        <v>10</v>
      </c>
      <c r="DD285">
        <v>4</v>
      </c>
      <c r="DE285">
        <v>5</v>
      </c>
      <c r="DF285">
        <v>8</v>
      </c>
      <c r="DG285">
        <v>6</v>
      </c>
      <c r="DH285">
        <v>6</v>
      </c>
      <c r="DI285">
        <v>8</v>
      </c>
      <c r="DJ285">
        <v>9</v>
      </c>
      <c r="DK285">
        <v>2</v>
      </c>
    </row>
    <row r="286" spans="1:115">
      <c r="A286" s="173">
        <f>Calculations[[#This Row],[Sum t eCO2]]*IF(Calculations[[#This Row],[GHG Scope]]="BIOGENIC",0,1)</f>
        <v>91.612451592090011</v>
      </c>
      <c r="O286">
        <f t="shared" si="4"/>
        <v>285</v>
      </c>
      <c r="P286">
        <v>10</v>
      </c>
      <c r="Q286">
        <v>0</v>
      </c>
      <c r="R286">
        <v>10</v>
      </c>
      <c r="S286">
        <v>8</v>
      </c>
      <c r="T286">
        <v>6</v>
      </c>
      <c r="U286">
        <v>10</v>
      </c>
      <c r="V286">
        <v>8</v>
      </c>
      <c r="W286">
        <v>4</v>
      </c>
      <c r="X286">
        <v>1</v>
      </c>
      <c r="Y286">
        <v>4</v>
      </c>
      <c r="Z286">
        <v>4</v>
      </c>
      <c r="AA286">
        <v>4</v>
      </c>
      <c r="AB286">
        <v>4</v>
      </c>
      <c r="AC286">
        <v>8</v>
      </c>
      <c r="AD286">
        <v>9</v>
      </c>
      <c r="AE286">
        <v>9</v>
      </c>
      <c r="AF286">
        <v>2</v>
      </c>
      <c r="AG286">
        <v>7</v>
      </c>
      <c r="AH286">
        <v>10</v>
      </c>
      <c r="AI286">
        <v>8</v>
      </c>
      <c r="AJ286">
        <v>3</v>
      </c>
      <c r="AK286">
        <v>9</v>
      </c>
      <c r="AL286">
        <v>0</v>
      </c>
      <c r="AM286">
        <v>1</v>
      </c>
      <c r="AN286">
        <v>4</v>
      </c>
      <c r="AO286">
        <v>3</v>
      </c>
      <c r="AP286">
        <v>0</v>
      </c>
      <c r="AQ286">
        <v>9</v>
      </c>
      <c r="AR286">
        <v>3</v>
      </c>
      <c r="AS286">
        <v>2</v>
      </c>
      <c r="AT286">
        <v>4</v>
      </c>
      <c r="AU286">
        <v>8</v>
      </c>
      <c r="AV286">
        <v>9</v>
      </c>
      <c r="AW286">
        <v>10</v>
      </c>
      <c r="AX286">
        <v>9</v>
      </c>
      <c r="AY286">
        <v>3</v>
      </c>
      <c r="AZ286">
        <v>5</v>
      </c>
      <c r="BA286">
        <v>8</v>
      </c>
      <c r="BB286">
        <v>8</v>
      </c>
      <c r="BC286">
        <v>10</v>
      </c>
      <c r="BD286">
        <v>0</v>
      </c>
      <c r="BE286">
        <v>9</v>
      </c>
      <c r="BF286">
        <v>7</v>
      </c>
      <c r="BG286">
        <v>2</v>
      </c>
      <c r="BH286">
        <v>3</v>
      </c>
      <c r="BI286">
        <v>6</v>
      </c>
      <c r="BJ286">
        <v>4</v>
      </c>
      <c r="BK286">
        <v>1</v>
      </c>
      <c r="BL286">
        <v>8</v>
      </c>
      <c r="BM286">
        <v>1</v>
      </c>
      <c r="BN286">
        <v>7</v>
      </c>
      <c r="BO286">
        <v>6</v>
      </c>
      <c r="BP286">
        <v>3</v>
      </c>
      <c r="BQ286">
        <v>1</v>
      </c>
      <c r="BR286">
        <v>0</v>
      </c>
      <c r="BS286">
        <v>1</v>
      </c>
      <c r="BT286">
        <v>6</v>
      </c>
      <c r="BU286">
        <v>1</v>
      </c>
      <c r="BV286">
        <v>0</v>
      </c>
      <c r="BW286">
        <v>9</v>
      </c>
      <c r="BX286">
        <v>4</v>
      </c>
      <c r="BY286">
        <v>4</v>
      </c>
      <c r="BZ286">
        <v>7</v>
      </c>
      <c r="CA286">
        <v>0</v>
      </c>
      <c r="CB286">
        <v>0</v>
      </c>
      <c r="CC286">
        <v>8</v>
      </c>
      <c r="CD286">
        <v>1</v>
      </c>
      <c r="CE286">
        <v>1</v>
      </c>
      <c r="CF286">
        <v>9</v>
      </c>
      <c r="CG286">
        <v>0</v>
      </c>
      <c r="CH286">
        <v>6</v>
      </c>
      <c r="CI286">
        <v>9</v>
      </c>
      <c r="CJ286">
        <v>0</v>
      </c>
      <c r="CK286">
        <v>2</v>
      </c>
      <c r="CL286">
        <v>2</v>
      </c>
      <c r="CM286">
        <v>9</v>
      </c>
      <c r="CN286">
        <v>4</v>
      </c>
      <c r="CO286">
        <v>7</v>
      </c>
      <c r="CP286">
        <v>5</v>
      </c>
      <c r="CQ286">
        <v>0</v>
      </c>
      <c r="CR286">
        <v>2</v>
      </c>
      <c r="CS286">
        <v>1</v>
      </c>
      <c r="CT286">
        <v>0</v>
      </c>
      <c r="CU286">
        <v>6</v>
      </c>
      <c r="CV286">
        <v>10</v>
      </c>
      <c r="CW286">
        <v>5</v>
      </c>
      <c r="CX286">
        <v>4</v>
      </c>
      <c r="CY286">
        <v>5</v>
      </c>
      <c r="CZ286">
        <v>5</v>
      </c>
      <c r="DA286">
        <v>6</v>
      </c>
      <c r="DB286">
        <v>6</v>
      </c>
      <c r="DC286">
        <v>2</v>
      </c>
      <c r="DD286">
        <v>10</v>
      </c>
      <c r="DE286">
        <v>9</v>
      </c>
      <c r="DF286">
        <v>1</v>
      </c>
      <c r="DG286">
        <v>3</v>
      </c>
      <c r="DH286">
        <v>6</v>
      </c>
      <c r="DI286">
        <v>1</v>
      </c>
      <c r="DJ286">
        <v>9</v>
      </c>
      <c r="DK286">
        <v>6</v>
      </c>
    </row>
    <row r="287" spans="1:115">
      <c r="A287" s="173">
        <f>Calculations[[#This Row],[Sum t eCO2]]*IF(Calculations[[#This Row],[GHG Scope]]="BIOGENIC",0,1)</f>
        <v>283.92676374000001</v>
      </c>
      <c r="O287">
        <f t="shared" si="4"/>
        <v>286</v>
      </c>
      <c r="P287">
        <v>9</v>
      </c>
      <c r="Q287">
        <v>7</v>
      </c>
      <c r="R287">
        <v>2</v>
      </c>
      <c r="S287">
        <v>1</v>
      </c>
      <c r="T287">
        <v>9</v>
      </c>
      <c r="U287">
        <v>4</v>
      </c>
      <c r="V287">
        <v>9</v>
      </c>
      <c r="W287">
        <v>1</v>
      </c>
      <c r="X287">
        <v>2</v>
      </c>
      <c r="Y287">
        <v>10</v>
      </c>
      <c r="Z287">
        <v>6</v>
      </c>
      <c r="AA287">
        <v>5</v>
      </c>
      <c r="AB287">
        <v>1</v>
      </c>
      <c r="AC287">
        <v>8</v>
      </c>
      <c r="AD287">
        <v>4</v>
      </c>
      <c r="AE287">
        <v>0</v>
      </c>
      <c r="AF287">
        <v>10</v>
      </c>
      <c r="AG287">
        <v>9</v>
      </c>
      <c r="AH287">
        <v>3</v>
      </c>
      <c r="AI287">
        <v>9</v>
      </c>
      <c r="AJ287">
        <v>2</v>
      </c>
      <c r="AK287">
        <v>1</v>
      </c>
      <c r="AL287">
        <v>6</v>
      </c>
      <c r="AM287">
        <v>10</v>
      </c>
      <c r="AN287">
        <v>4</v>
      </c>
      <c r="AO287">
        <v>0</v>
      </c>
      <c r="AP287">
        <v>8</v>
      </c>
      <c r="AQ287">
        <v>1</v>
      </c>
      <c r="AR287">
        <v>6</v>
      </c>
      <c r="AS287">
        <v>5</v>
      </c>
      <c r="AT287">
        <v>0</v>
      </c>
      <c r="AU287">
        <v>1</v>
      </c>
      <c r="AV287">
        <v>1</v>
      </c>
      <c r="AW287">
        <v>0</v>
      </c>
      <c r="AX287">
        <v>8</v>
      </c>
      <c r="AY287">
        <v>0</v>
      </c>
      <c r="AZ287">
        <v>9</v>
      </c>
      <c r="BA287">
        <v>4</v>
      </c>
      <c r="BB287">
        <v>1</v>
      </c>
      <c r="BC287">
        <v>1</v>
      </c>
      <c r="BD287">
        <v>9</v>
      </c>
      <c r="BE287">
        <v>4</v>
      </c>
      <c r="BF287">
        <v>2</v>
      </c>
      <c r="BG287">
        <v>6</v>
      </c>
      <c r="BH287">
        <v>1</v>
      </c>
      <c r="BI287">
        <v>8</v>
      </c>
      <c r="BJ287">
        <v>10</v>
      </c>
      <c r="BK287">
        <v>4</v>
      </c>
      <c r="BL287">
        <v>10</v>
      </c>
      <c r="BM287">
        <v>0</v>
      </c>
      <c r="BN287">
        <v>9</v>
      </c>
      <c r="BO287">
        <v>5</v>
      </c>
      <c r="BP287">
        <v>2</v>
      </c>
      <c r="BQ287">
        <v>1</v>
      </c>
      <c r="BR287">
        <v>10</v>
      </c>
      <c r="BS287">
        <v>4</v>
      </c>
      <c r="BT287">
        <v>4</v>
      </c>
      <c r="BU287">
        <v>1</v>
      </c>
      <c r="BV287">
        <v>0</v>
      </c>
      <c r="BW287">
        <v>9</v>
      </c>
      <c r="BX287">
        <v>6</v>
      </c>
      <c r="BY287">
        <v>9</v>
      </c>
      <c r="BZ287">
        <v>4</v>
      </c>
      <c r="CA287">
        <v>3</v>
      </c>
      <c r="CB287">
        <v>7</v>
      </c>
      <c r="CC287">
        <v>3</v>
      </c>
      <c r="CD287">
        <v>6</v>
      </c>
      <c r="CE287">
        <v>2</v>
      </c>
      <c r="CF287">
        <v>8</v>
      </c>
      <c r="CG287">
        <v>9</v>
      </c>
      <c r="CH287">
        <v>10</v>
      </c>
      <c r="CI287">
        <v>6</v>
      </c>
      <c r="CJ287">
        <v>3</v>
      </c>
      <c r="CK287">
        <v>0</v>
      </c>
      <c r="CL287">
        <v>8</v>
      </c>
      <c r="CM287">
        <v>7</v>
      </c>
      <c r="CN287">
        <v>8</v>
      </c>
      <c r="CO287">
        <v>1</v>
      </c>
      <c r="CP287">
        <v>1</v>
      </c>
      <c r="CQ287">
        <v>2</v>
      </c>
      <c r="CR287">
        <v>3</v>
      </c>
      <c r="CS287">
        <v>0</v>
      </c>
      <c r="CT287">
        <v>3</v>
      </c>
      <c r="CU287">
        <v>4</v>
      </c>
      <c r="CV287">
        <v>7</v>
      </c>
      <c r="CW287">
        <v>4</v>
      </c>
      <c r="CX287">
        <v>1</v>
      </c>
      <c r="CY287">
        <v>0</v>
      </c>
      <c r="CZ287">
        <v>0</v>
      </c>
      <c r="DA287">
        <v>7</v>
      </c>
      <c r="DB287">
        <v>3</v>
      </c>
      <c r="DC287">
        <v>10</v>
      </c>
      <c r="DD287">
        <v>1</v>
      </c>
      <c r="DE287">
        <v>8</v>
      </c>
      <c r="DF287">
        <v>6</v>
      </c>
      <c r="DG287">
        <v>6</v>
      </c>
      <c r="DH287">
        <v>4</v>
      </c>
      <c r="DI287">
        <v>1</v>
      </c>
      <c r="DJ287">
        <v>4</v>
      </c>
      <c r="DK287">
        <v>1</v>
      </c>
    </row>
    <row r="288" spans="1:115">
      <c r="A288" s="173">
        <f>Calculations[[#This Row],[Sum t eCO2]]*IF(Calculations[[#This Row],[GHG Scope]]="BIOGENIC",0,1)</f>
        <v>102.87397710100001</v>
      </c>
      <c r="O288">
        <f t="shared" si="4"/>
        <v>287</v>
      </c>
      <c r="P288">
        <v>7</v>
      </c>
      <c r="Q288">
        <v>5</v>
      </c>
      <c r="R288">
        <v>1</v>
      </c>
      <c r="S288">
        <v>6</v>
      </c>
      <c r="T288">
        <v>5</v>
      </c>
      <c r="U288">
        <v>4</v>
      </c>
      <c r="V288">
        <v>2</v>
      </c>
      <c r="W288">
        <v>0</v>
      </c>
      <c r="X288">
        <v>9</v>
      </c>
      <c r="Y288">
        <v>9</v>
      </c>
      <c r="Z288">
        <v>8</v>
      </c>
      <c r="AA288">
        <v>4</v>
      </c>
      <c r="AB288">
        <v>9</v>
      </c>
      <c r="AC288">
        <v>4</v>
      </c>
      <c r="AD288">
        <v>8</v>
      </c>
      <c r="AE288">
        <v>5</v>
      </c>
      <c r="AF288">
        <v>6</v>
      </c>
      <c r="AG288">
        <v>7</v>
      </c>
      <c r="AH288">
        <v>8</v>
      </c>
      <c r="AI288">
        <v>8</v>
      </c>
      <c r="AJ288">
        <v>6</v>
      </c>
      <c r="AK288">
        <v>7</v>
      </c>
      <c r="AL288">
        <v>3</v>
      </c>
      <c r="AM288">
        <v>3</v>
      </c>
      <c r="AN288">
        <v>0</v>
      </c>
      <c r="AO288">
        <v>0</v>
      </c>
      <c r="AP288">
        <v>0</v>
      </c>
      <c r="AQ288">
        <v>6</v>
      </c>
      <c r="AR288">
        <v>0</v>
      </c>
      <c r="AS288">
        <v>3</v>
      </c>
      <c r="AT288">
        <v>7</v>
      </c>
      <c r="AU288">
        <v>2</v>
      </c>
      <c r="AV288">
        <v>3</v>
      </c>
      <c r="AW288">
        <v>7</v>
      </c>
      <c r="AX288">
        <v>9</v>
      </c>
      <c r="AY288">
        <v>3</v>
      </c>
      <c r="AZ288">
        <v>6</v>
      </c>
      <c r="BA288">
        <v>3</v>
      </c>
      <c r="BB288">
        <v>10</v>
      </c>
      <c r="BC288">
        <v>6</v>
      </c>
      <c r="BD288">
        <v>7</v>
      </c>
      <c r="BE288">
        <v>2</v>
      </c>
      <c r="BF288">
        <v>4</v>
      </c>
      <c r="BG288">
        <v>2</v>
      </c>
      <c r="BH288">
        <v>3</v>
      </c>
      <c r="BI288">
        <v>0</v>
      </c>
      <c r="BJ288">
        <v>6</v>
      </c>
      <c r="BK288">
        <v>4</v>
      </c>
      <c r="BL288">
        <v>8</v>
      </c>
      <c r="BM288">
        <v>1</v>
      </c>
      <c r="BN288">
        <v>0</v>
      </c>
      <c r="BO288">
        <v>10</v>
      </c>
      <c r="BP288">
        <v>6</v>
      </c>
      <c r="BQ288">
        <v>6</v>
      </c>
      <c r="BR288">
        <v>5</v>
      </c>
      <c r="BS288">
        <v>4</v>
      </c>
      <c r="BT288">
        <v>8</v>
      </c>
      <c r="BU288">
        <v>3</v>
      </c>
      <c r="BV288">
        <v>7</v>
      </c>
      <c r="BW288">
        <v>3</v>
      </c>
      <c r="BX288">
        <v>1</v>
      </c>
      <c r="BY288">
        <v>10</v>
      </c>
      <c r="BZ288">
        <v>1</v>
      </c>
      <c r="CA288">
        <v>5</v>
      </c>
      <c r="CB288">
        <v>3</v>
      </c>
      <c r="CC288">
        <v>4</v>
      </c>
      <c r="CD288">
        <v>4</v>
      </c>
      <c r="CE288">
        <v>4</v>
      </c>
      <c r="CF288">
        <v>1</v>
      </c>
      <c r="CG288">
        <v>10</v>
      </c>
      <c r="CH288">
        <v>9</v>
      </c>
      <c r="CI288">
        <v>5</v>
      </c>
      <c r="CJ288">
        <v>7</v>
      </c>
      <c r="CK288">
        <v>7</v>
      </c>
      <c r="CL288">
        <v>7</v>
      </c>
      <c r="CM288">
        <v>5</v>
      </c>
      <c r="CN288">
        <v>9</v>
      </c>
      <c r="CO288">
        <v>9</v>
      </c>
      <c r="CP288">
        <v>9</v>
      </c>
      <c r="CQ288">
        <v>8</v>
      </c>
      <c r="CR288">
        <v>2</v>
      </c>
      <c r="CS288">
        <v>10</v>
      </c>
      <c r="CT288">
        <v>0</v>
      </c>
      <c r="CU288">
        <v>3</v>
      </c>
      <c r="CV288">
        <v>3</v>
      </c>
      <c r="CW288">
        <v>7</v>
      </c>
      <c r="CX288">
        <v>5</v>
      </c>
      <c r="CY288">
        <v>4</v>
      </c>
      <c r="CZ288">
        <v>10</v>
      </c>
      <c r="DA288">
        <v>8</v>
      </c>
      <c r="DB288">
        <v>5</v>
      </c>
      <c r="DC288">
        <v>3</v>
      </c>
      <c r="DD288">
        <v>3</v>
      </c>
      <c r="DE288">
        <v>3</v>
      </c>
      <c r="DF288">
        <v>4</v>
      </c>
      <c r="DG288">
        <v>8</v>
      </c>
      <c r="DH288">
        <v>2</v>
      </c>
      <c r="DI288">
        <v>6</v>
      </c>
      <c r="DJ288">
        <v>3</v>
      </c>
      <c r="DK288">
        <v>1</v>
      </c>
    </row>
    <row r="289" spans="1:115">
      <c r="A289" s="173">
        <f>Calculations[[#This Row],[Sum t eCO2]]*IF(Calculations[[#This Row],[GHG Scope]]="BIOGENIC",0,1)</f>
        <v>23.757125080995603</v>
      </c>
      <c r="O289">
        <f t="shared" si="4"/>
        <v>288</v>
      </c>
      <c r="P289">
        <v>6</v>
      </c>
      <c r="Q289">
        <v>8</v>
      </c>
      <c r="R289">
        <v>6</v>
      </c>
      <c r="S289">
        <v>9</v>
      </c>
      <c r="T289">
        <v>10</v>
      </c>
      <c r="U289">
        <v>0</v>
      </c>
      <c r="V289">
        <v>8</v>
      </c>
      <c r="W289">
        <v>10</v>
      </c>
      <c r="X289">
        <v>7</v>
      </c>
      <c r="Y289">
        <v>0</v>
      </c>
      <c r="Z289">
        <v>6</v>
      </c>
      <c r="AA289">
        <v>4</v>
      </c>
      <c r="AB289">
        <v>4</v>
      </c>
      <c r="AC289">
        <v>8</v>
      </c>
      <c r="AD289">
        <v>5</v>
      </c>
      <c r="AE289">
        <v>10</v>
      </c>
      <c r="AF289">
        <v>10</v>
      </c>
      <c r="AG289">
        <v>6</v>
      </c>
      <c r="AH289">
        <v>9</v>
      </c>
      <c r="AI289">
        <v>8</v>
      </c>
      <c r="AJ289">
        <v>8</v>
      </c>
      <c r="AK289">
        <v>1</v>
      </c>
      <c r="AL289">
        <v>5</v>
      </c>
      <c r="AM289">
        <v>8</v>
      </c>
      <c r="AN289">
        <v>3</v>
      </c>
      <c r="AO289">
        <v>8</v>
      </c>
      <c r="AP289">
        <v>3</v>
      </c>
      <c r="AQ289">
        <v>1</v>
      </c>
      <c r="AR289">
        <v>2</v>
      </c>
      <c r="AS289">
        <v>9</v>
      </c>
      <c r="AT289">
        <v>6</v>
      </c>
      <c r="AU289">
        <v>8</v>
      </c>
      <c r="AV289">
        <v>4</v>
      </c>
      <c r="AW289">
        <v>7</v>
      </c>
      <c r="AX289">
        <v>10</v>
      </c>
      <c r="AY289">
        <v>1</v>
      </c>
      <c r="AZ289">
        <v>4</v>
      </c>
      <c r="BA289">
        <v>4</v>
      </c>
      <c r="BB289">
        <v>1</v>
      </c>
      <c r="BC289">
        <v>9</v>
      </c>
      <c r="BD289">
        <v>8</v>
      </c>
      <c r="BE289">
        <v>10</v>
      </c>
      <c r="BF289">
        <v>10</v>
      </c>
      <c r="BG289">
        <v>4</v>
      </c>
      <c r="BH289">
        <v>6</v>
      </c>
      <c r="BI289">
        <v>1</v>
      </c>
      <c r="BJ289">
        <v>6</v>
      </c>
      <c r="BK289">
        <v>9</v>
      </c>
      <c r="BL289">
        <v>2</v>
      </c>
      <c r="BM289">
        <v>8</v>
      </c>
      <c r="BN289">
        <v>8</v>
      </c>
      <c r="BO289">
        <v>8</v>
      </c>
      <c r="BP289">
        <v>10</v>
      </c>
      <c r="BQ289">
        <v>3</v>
      </c>
      <c r="BR289">
        <v>9</v>
      </c>
      <c r="BS289">
        <v>7</v>
      </c>
      <c r="BT289">
        <v>4</v>
      </c>
      <c r="BU289">
        <v>2</v>
      </c>
      <c r="BV289">
        <v>7</v>
      </c>
      <c r="BW289">
        <v>0</v>
      </c>
      <c r="BX289">
        <v>3</v>
      </c>
      <c r="BY289">
        <v>5</v>
      </c>
      <c r="BZ289">
        <v>7</v>
      </c>
      <c r="CA289">
        <v>3</v>
      </c>
      <c r="CB289">
        <v>7</v>
      </c>
      <c r="CC289">
        <v>2</v>
      </c>
      <c r="CD289">
        <v>4</v>
      </c>
      <c r="CE289">
        <v>2</v>
      </c>
      <c r="CF289">
        <v>8</v>
      </c>
      <c r="CG289">
        <v>6</v>
      </c>
      <c r="CH289">
        <v>9</v>
      </c>
      <c r="CI289">
        <v>5</v>
      </c>
      <c r="CJ289">
        <v>10</v>
      </c>
      <c r="CK289">
        <v>9</v>
      </c>
      <c r="CL289">
        <v>10</v>
      </c>
      <c r="CM289">
        <v>2</v>
      </c>
      <c r="CN289">
        <v>10</v>
      </c>
      <c r="CO289">
        <v>9</v>
      </c>
      <c r="CP289">
        <v>10</v>
      </c>
      <c r="CQ289">
        <v>4</v>
      </c>
      <c r="CR289">
        <v>5</v>
      </c>
      <c r="CS289">
        <v>4</v>
      </c>
      <c r="CT289">
        <v>5</v>
      </c>
      <c r="CU289">
        <v>8</v>
      </c>
      <c r="CV289">
        <v>5</v>
      </c>
      <c r="CW289">
        <v>2</v>
      </c>
      <c r="CX289">
        <v>9</v>
      </c>
      <c r="CY289">
        <v>10</v>
      </c>
      <c r="CZ289">
        <v>8</v>
      </c>
      <c r="DA289">
        <v>1</v>
      </c>
      <c r="DB289">
        <v>5</v>
      </c>
      <c r="DC289">
        <v>10</v>
      </c>
      <c r="DD289">
        <v>0</v>
      </c>
      <c r="DE289">
        <v>0</v>
      </c>
      <c r="DF289">
        <v>5</v>
      </c>
      <c r="DG289">
        <v>7</v>
      </c>
      <c r="DH289">
        <v>1</v>
      </c>
      <c r="DI289">
        <v>4</v>
      </c>
      <c r="DJ289">
        <v>8</v>
      </c>
      <c r="DK289">
        <v>5</v>
      </c>
    </row>
    <row r="290" spans="1:115">
      <c r="A290" s="173">
        <f>Calculations[[#This Row],[Sum t eCO2]]*IF(Calculations[[#This Row],[GHG Scope]]="BIOGENIC",0,1)</f>
        <v>46.160921664000007</v>
      </c>
      <c r="O290">
        <f t="shared" si="4"/>
        <v>289</v>
      </c>
      <c r="P290">
        <v>0</v>
      </c>
      <c r="Q290">
        <v>3</v>
      </c>
      <c r="R290">
        <v>7</v>
      </c>
      <c r="S290">
        <v>6</v>
      </c>
      <c r="T290">
        <v>2</v>
      </c>
      <c r="U290">
        <v>10</v>
      </c>
      <c r="V290">
        <v>7</v>
      </c>
      <c r="W290">
        <v>0</v>
      </c>
      <c r="X290">
        <v>2</v>
      </c>
      <c r="Y290">
        <v>8</v>
      </c>
      <c r="Z290">
        <v>9</v>
      </c>
      <c r="AA290">
        <v>10</v>
      </c>
      <c r="AB290">
        <v>7</v>
      </c>
      <c r="AC290">
        <v>3</v>
      </c>
      <c r="AD290">
        <v>4</v>
      </c>
      <c r="AE290">
        <v>1</v>
      </c>
      <c r="AF290">
        <v>0</v>
      </c>
      <c r="AG290">
        <v>7</v>
      </c>
      <c r="AH290">
        <v>2</v>
      </c>
      <c r="AI290">
        <v>6</v>
      </c>
      <c r="AJ290">
        <v>5</v>
      </c>
      <c r="AK290">
        <v>10</v>
      </c>
      <c r="AL290">
        <v>9</v>
      </c>
      <c r="AM290">
        <v>7</v>
      </c>
      <c r="AN290">
        <v>9</v>
      </c>
      <c r="AO290">
        <v>9</v>
      </c>
      <c r="AP290">
        <v>3</v>
      </c>
      <c r="AQ290">
        <v>2</v>
      </c>
      <c r="AR290">
        <v>9</v>
      </c>
      <c r="AS290">
        <v>7</v>
      </c>
      <c r="AT290">
        <v>8</v>
      </c>
      <c r="AU290">
        <v>8</v>
      </c>
      <c r="AV290">
        <v>5</v>
      </c>
      <c r="AW290">
        <v>10</v>
      </c>
      <c r="AX290">
        <v>7</v>
      </c>
      <c r="AY290">
        <v>6</v>
      </c>
      <c r="AZ290">
        <v>4</v>
      </c>
      <c r="BA290">
        <v>4</v>
      </c>
      <c r="BB290">
        <v>8</v>
      </c>
      <c r="BC290">
        <v>0</v>
      </c>
      <c r="BD290">
        <v>7</v>
      </c>
      <c r="BE290">
        <v>2</v>
      </c>
      <c r="BF290">
        <v>6</v>
      </c>
      <c r="BG290">
        <v>7</v>
      </c>
      <c r="BH290">
        <v>5</v>
      </c>
      <c r="BI290">
        <v>4</v>
      </c>
      <c r="BJ290">
        <v>0</v>
      </c>
      <c r="BK290">
        <v>5</v>
      </c>
      <c r="BL290">
        <v>3</v>
      </c>
      <c r="BM290">
        <v>9</v>
      </c>
      <c r="BN290">
        <v>8</v>
      </c>
      <c r="BO290">
        <v>10</v>
      </c>
      <c r="BP290">
        <v>5</v>
      </c>
      <c r="BQ290">
        <v>4</v>
      </c>
      <c r="BR290">
        <v>2</v>
      </c>
      <c r="BS290">
        <v>3</v>
      </c>
      <c r="BT290">
        <v>5</v>
      </c>
      <c r="BU290">
        <v>2</v>
      </c>
      <c r="BV290">
        <v>6</v>
      </c>
      <c r="BW290">
        <v>5</v>
      </c>
      <c r="BX290">
        <v>1</v>
      </c>
      <c r="BY290">
        <v>6</v>
      </c>
      <c r="BZ290">
        <v>5</v>
      </c>
      <c r="CA290">
        <v>7</v>
      </c>
      <c r="CB290">
        <v>6</v>
      </c>
      <c r="CC290">
        <v>6</v>
      </c>
      <c r="CD290">
        <v>5</v>
      </c>
      <c r="CE290">
        <v>6</v>
      </c>
      <c r="CF290">
        <v>6</v>
      </c>
      <c r="CG290">
        <v>5</v>
      </c>
      <c r="CH290">
        <v>7</v>
      </c>
      <c r="CI290">
        <v>3</v>
      </c>
      <c r="CJ290">
        <v>9</v>
      </c>
      <c r="CK290">
        <v>2</v>
      </c>
      <c r="CL290">
        <v>0</v>
      </c>
      <c r="CM290">
        <v>4</v>
      </c>
      <c r="CN290">
        <v>10</v>
      </c>
      <c r="CO290">
        <v>2</v>
      </c>
      <c r="CP290">
        <v>0</v>
      </c>
      <c r="CQ290">
        <v>2</v>
      </c>
      <c r="CR290">
        <v>10</v>
      </c>
      <c r="CS290">
        <v>4</v>
      </c>
      <c r="CT290">
        <v>3</v>
      </c>
      <c r="CU290">
        <v>0</v>
      </c>
      <c r="CV290">
        <v>8</v>
      </c>
      <c r="CW290">
        <v>4</v>
      </c>
      <c r="CX290">
        <v>1</v>
      </c>
      <c r="CY290">
        <v>6</v>
      </c>
      <c r="CZ290">
        <v>5</v>
      </c>
      <c r="DA290">
        <v>5</v>
      </c>
      <c r="DB290">
        <v>0</v>
      </c>
      <c r="DC290">
        <v>4</v>
      </c>
      <c r="DD290">
        <v>7</v>
      </c>
      <c r="DE290">
        <v>2</v>
      </c>
      <c r="DF290">
        <v>3</v>
      </c>
      <c r="DG290">
        <v>10</v>
      </c>
      <c r="DH290">
        <v>8</v>
      </c>
      <c r="DI290">
        <v>10</v>
      </c>
      <c r="DJ290">
        <v>7</v>
      </c>
      <c r="DK290">
        <v>5</v>
      </c>
    </row>
    <row r="291" spans="1:115">
      <c r="A291" s="173">
        <f>Calculations[[#This Row],[Sum t eCO2]]*IF(Calculations[[#This Row],[GHG Scope]]="BIOGENIC",0,1)</f>
        <v>25.248623908339997</v>
      </c>
      <c r="O291">
        <f t="shared" si="4"/>
        <v>290</v>
      </c>
      <c r="P291">
        <v>9</v>
      </c>
      <c r="Q291">
        <v>6</v>
      </c>
      <c r="R291">
        <v>10</v>
      </c>
      <c r="S291">
        <v>6</v>
      </c>
      <c r="T291">
        <v>8</v>
      </c>
      <c r="U291">
        <v>5</v>
      </c>
      <c r="V291">
        <v>2</v>
      </c>
      <c r="W291">
        <v>5</v>
      </c>
      <c r="X291">
        <v>5</v>
      </c>
      <c r="Y291">
        <v>7</v>
      </c>
      <c r="Z291">
        <v>2</v>
      </c>
      <c r="AA291">
        <v>2</v>
      </c>
      <c r="AB291">
        <v>4</v>
      </c>
      <c r="AC291">
        <v>3</v>
      </c>
      <c r="AD291">
        <v>10</v>
      </c>
      <c r="AE291">
        <v>8</v>
      </c>
      <c r="AF291">
        <v>7</v>
      </c>
      <c r="AG291">
        <v>7</v>
      </c>
      <c r="AH291">
        <v>10</v>
      </c>
      <c r="AI291">
        <v>5</v>
      </c>
      <c r="AJ291">
        <v>3</v>
      </c>
      <c r="AK291">
        <v>5</v>
      </c>
      <c r="AL291">
        <v>1</v>
      </c>
      <c r="AM291">
        <v>4</v>
      </c>
      <c r="AN291">
        <v>10</v>
      </c>
      <c r="AO291">
        <v>9</v>
      </c>
      <c r="AP291">
        <v>6</v>
      </c>
      <c r="AQ291">
        <v>6</v>
      </c>
      <c r="AR291">
        <v>5</v>
      </c>
      <c r="AS291">
        <v>8</v>
      </c>
      <c r="AT291">
        <v>4</v>
      </c>
      <c r="AU291">
        <v>3</v>
      </c>
      <c r="AV291">
        <v>2</v>
      </c>
      <c r="AW291">
        <v>9</v>
      </c>
      <c r="AX291">
        <v>3</v>
      </c>
      <c r="AY291">
        <v>5</v>
      </c>
      <c r="AZ291">
        <v>4</v>
      </c>
      <c r="BA291">
        <v>8</v>
      </c>
      <c r="BB291">
        <v>7</v>
      </c>
      <c r="BC291">
        <v>9</v>
      </c>
      <c r="BD291">
        <v>6</v>
      </c>
      <c r="BE291">
        <v>5</v>
      </c>
      <c r="BF291">
        <v>2</v>
      </c>
      <c r="BG291">
        <v>6</v>
      </c>
      <c r="BH291">
        <v>10</v>
      </c>
      <c r="BI291">
        <v>9</v>
      </c>
      <c r="BJ291">
        <v>1</v>
      </c>
      <c r="BK291">
        <v>7</v>
      </c>
      <c r="BL291">
        <v>6</v>
      </c>
      <c r="BM291">
        <v>8</v>
      </c>
      <c r="BN291">
        <v>9</v>
      </c>
      <c r="BO291">
        <v>9</v>
      </c>
      <c r="BP291">
        <v>7</v>
      </c>
      <c r="BQ291">
        <v>1</v>
      </c>
      <c r="BR291">
        <v>2</v>
      </c>
      <c r="BS291">
        <v>10</v>
      </c>
      <c r="BT291">
        <v>4</v>
      </c>
      <c r="BU291">
        <v>3</v>
      </c>
      <c r="BV291">
        <v>10</v>
      </c>
      <c r="BW291">
        <v>8</v>
      </c>
      <c r="BX291">
        <v>7</v>
      </c>
      <c r="BY291">
        <v>1</v>
      </c>
      <c r="BZ291">
        <v>2</v>
      </c>
      <c r="CA291">
        <v>8</v>
      </c>
      <c r="CB291">
        <v>9</v>
      </c>
      <c r="CC291">
        <v>10</v>
      </c>
      <c r="CD291">
        <v>1</v>
      </c>
      <c r="CE291">
        <v>4</v>
      </c>
      <c r="CF291">
        <v>4</v>
      </c>
      <c r="CG291">
        <v>1</v>
      </c>
      <c r="CH291">
        <v>5</v>
      </c>
      <c r="CI291">
        <v>4</v>
      </c>
      <c r="CJ291">
        <v>10</v>
      </c>
      <c r="CK291">
        <v>10</v>
      </c>
      <c r="CL291">
        <v>5</v>
      </c>
      <c r="CM291">
        <v>9</v>
      </c>
      <c r="CN291">
        <v>8</v>
      </c>
      <c r="CO291">
        <v>2</v>
      </c>
      <c r="CP291">
        <v>6</v>
      </c>
      <c r="CQ291">
        <v>0</v>
      </c>
      <c r="CR291">
        <v>2</v>
      </c>
      <c r="CS291">
        <v>2</v>
      </c>
      <c r="CT291">
        <v>4</v>
      </c>
      <c r="CU291">
        <v>9</v>
      </c>
      <c r="CV291">
        <v>5</v>
      </c>
      <c r="CW291">
        <v>5</v>
      </c>
      <c r="CX291">
        <v>10</v>
      </c>
      <c r="CY291">
        <v>9</v>
      </c>
      <c r="CZ291">
        <v>1</v>
      </c>
      <c r="DA291">
        <v>5</v>
      </c>
      <c r="DB291">
        <v>7</v>
      </c>
      <c r="DC291">
        <v>5</v>
      </c>
      <c r="DD291">
        <v>1</v>
      </c>
      <c r="DE291">
        <v>0</v>
      </c>
      <c r="DF291">
        <v>4</v>
      </c>
      <c r="DG291">
        <v>0</v>
      </c>
      <c r="DH291">
        <v>7</v>
      </c>
      <c r="DI291">
        <v>4</v>
      </c>
      <c r="DJ291">
        <v>0</v>
      </c>
      <c r="DK291">
        <v>6</v>
      </c>
    </row>
    <row r="292" spans="1:115">
      <c r="A292" s="173">
        <f>Calculations[[#This Row],[Sum t eCO2]]*IF(Calculations[[#This Row],[GHG Scope]]="BIOGENIC",0,1)</f>
        <v>10.49031666306</v>
      </c>
      <c r="O292">
        <f t="shared" si="4"/>
        <v>291</v>
      </c>
      <c r="P292">
        <v>8</v>
      </c>
      <c r="Q292">
        <v>6</v>
      </c>
      <c r="R292">
        <v>7</v>
      </c>
      <c r="S292">
        <v>6</v>
      </c>
      <c r="T292">
        <v>2</v>
      </c>
      <c r="U292">
        <v>9</v>
      </c>
      <c r="V292">
        <v>8</v>
      </c>
      <c r="W292">
        <v>3</v>
      </c>
      <c r="X292">
        <v>4</v>
      </c>
      <c r="Y292">
        <v>1</v>
      </c>
      <c r="Z292">
        <v>2</v>
      </c>
      <c r="AA292">
        <v>8</v>
      </c>
      <c r="AB292">
        <v>9</v>
      </c>
      <c r="AC292">
        <v>6</v>
      </c>
      <c r="AD292">
        <v>1</v>
      </c>
      <c r="AE292">
        <v>7</v>
      </c>
      <c r="AF292">
        <v>4</v>
      </c>
      <c r="AG292">
        <v>8</v>
      </c>
      <c r="AH292">
        <v>1</v>
      </c>
      <c r="AI292">
        <v>9</v>
      </c>
      <c r="AJ292">
        <v>5</v>
      </c>
      <c r="AK292">
        <v>4</v>
      </c>
      <c r="AL292">
        <v>10</v>
      </c>
      <c r="AM292">
        <v>5</v>
      </c>
      <c r="AN292">
        <v>7</v>
      </c>
      <c r="AO292">
        <v>6</v>
      </c>
      <c r="AP292">
        <v>9</v>
      </c>
      <c r="AQ292">
        <v>9</v>
      </c>
      <c r="AR292">
        <v>7</v>
      </c>
      <c r="AS292">
        <v>6</v>
      </c>
      <c r="AT292">
        <v>5</v>
      </c>
      <c r="AU292">
        <v>10</v>
      </c>
      <c r="AV292">
        <v>5</v>
      </c>
      <c r="AW292">
        <v>0</v>
      </c>
      <c r="AX292">
        <v>2</v>
      </c>
      <c r="AY292">
        <v>1</v>
      </c>
      <c r="AZ292">
        <v>4</v>
      </c>
      <c r="BA292">
        <v>4</v>
      </c>
      <c r="BB292">
        <v>1</v>
      </c>
      <c r="BC292">
        <v>10</v>
      </c>
      <c r="BD292">
        <v>0</v>
      </c>
      <c r="BE292">
        <v>10</v>
      </c>
      <c r="BF292">
        <v>1</v>
      </c>
      <c r="BG292">
        <v>10</v>
      </c>
      <c r="BH292">
        <v>8</v>
      </c>
      <c r="BI292">
        <v>8</v>
      </c>
      <c r="BJ292">
        <v>2</v>
      </c>
      <c r="BK292">
        <v>2</v>
      </c>
      <c r="BL292">
        <v>5</v>
      </c>
      <c r="BM292">
        <v>4</v>
      </c>
      <c r="BN292">
        <v>8</v>
      </c>
      <c r="BO292">
        <v>6</v>
      </c>
      <c r="BP292">
        <v>3</v>
      </c>
      <c r="BQ292">
        <v>9</v>
      </c>
      <c r="BR292">
        <v>9</v>
      </c>
      <c r="BS292">
        <v>7</v>
      </c>
      <c r="BT292">
        <v>8</v>
      </c>
      <c r="BU292">
        <v>9</v>
      </c>
      <c r="BV292">
        <v>9</v>
      </c>
      <c r="BW292">
        <v>9</v>
      </c>
      <c r="BX292">
        <v>10</v>
      </c>
      <c r="BY292">
        <v>4</v>
      </c>
      <c r="BZ292">
        <v>9</v>
      </c>
      <c r="CA292">
        <v>10</v>
      </c>
      <c r="CB292">
        <v>5</v>
      </c>
      <c r="CC292">
        <v>7</v>
      </c>
      <c r="CD292">
        <v>0</v>
      </c>
      <c r="CE292">
        <v>2</v>
      </c>
      <c r="CF292">
        <v>10</v>
      </c>
      <c r="CG292">
        <v>10</v>
      </c>
      <c r="CH292">
        <v>5</v>
      </c>
      <c r="CI292">
        <v>8</v>
      </c>
      <c r="CJ292">
        <v>6</v>
      </c>
      <c r="CK292">
        <v>8</v>
      </c>
      <c r="CL292">
        <v>10</v>
      </c>
      <c r="CM292">
        <v>2</v>
      </c>
      <c r="CN292">
        <v>3</v>
      </c>
      <c r="CO292">
        <v>6</v>
      </c>
      <c r="CP292">
        <v>10</v>
      </c>
      <c r="CQ292">
        <v>4</v>
      </c>
      <c r="CR292">
        <v>0</v>
      </c>
      <c r="CS292">
        <v>3</v>
      </c>
      <c r="CT292">
        <v>0</v>
      </c>
      <c r="CU292">
        <v>1</v>
      </c>
      <c r="CV292">
        <v>3</v>
      </c>
      <c r="CW292">
        <v>8</v>
      </c>
      <c r="CX292">
        <v>3</v>
      </c>
      <c r="CY292">
        <v>2</v>
      </c>
      <c r="CZ292">
        <v>2</v>
      </c>
      <c r="DA292">
        <v>8</v>
      </c>
      <c r="DB292">
        <v>7</v>
      </c>
      <c r="DC292">
        <v>0</v>
      </c>
      <c r="DD292">
        <v>5</v>
      </c>
      <c r="DE292">
        <v>0</v>
      </c>
      <c r="DF292">
        <v>8</v>
      </c>
      <c r="DG292">
        <v>4</v>
      </c>
      <c r="DH292">
        <v>9</v>
      </c>
      <c r="DI292">
        <v>7</v>
      </c>
      <c r="DJ292">
        <v>9</v>
      </c>
      <c r="DK292">
        <v>9</v>
      </c>
    </row>
    <row r="293" spans="1:115">
      <c r="A293" s="173">
        <f>Calculations[[#This Row],[Sum t eCO2]]*IF(Calculations[[#This Row],[GHG Scope]]="BIOGENIC",0,1)</f>
        <v>18.768380253700002</v>
      </c>
      <c r="O293">
        <f t="shared" si="4"/>
        <v>292</v>
      </c>
      <c r="P293">
        <v>9</v>
      </c>
      <c r="Q293">
        <v>6</v>
      </c>
      <c r="R293">
        <v>8</v>
      </c>
      <c r="S293">
        <v>0</v>
      </c>
      <c r="T293">
        <v>3</v>
      </c>
      <c r="U293">
        <v>10</v>
      </c>
      <c r="V293">
        <v>2</v>
      </c>
      <c r="W293">
        <v>2</v>
      </c>
      <c r="X293">
        <v>4</v>
      </c>
      <c r="Y293">
        <v>6</v>
      </c>
      <c r="Z293">
        <v>10</v>
      </c>
      <c r="AA293">
        <v>7</v>
      </c>
      <c r="AB293">
        <v>9</v>
      </c>
      <c r="AC293">
        <v>8</v>
      </c>
      <c r="AD293">
        <v>10</v>
      </c>
      <c r="AE293">
        <v>4</v>
      </c>
      <c r="AF293">
        <v>10</v>
      </c>
      <c r="AG293">
        <v>7</v>
      </c>
      <c r="AH293">
        <v>4</v>
      </c>
      <c r="AI293">
        <v>7</v>
      </c>
      <c r="AJ293">
        <v>0</v>
      </c>
      <c r="AK293">
        <v>7</v>
      </c>
      <c r="AL293">
        <v>9</v>
      </c>
      <c r="AM293">
        <v>7</v>
      </c>
      <c r="AN293">
        <v>4</v>
      </c>
      <c r="AO293">
        <v>3</v>
      </c>
      <c r="AP293">
        <v>1</v>
      </c>
      <c r="AQ293">
        <v>6</v>
      </c>
      <c r="AR293">
        <v>4</v>
      </c>
      <c r="AS293">
        <v>5</v>
      </c>
      <c r="AT293">
        <v>2</v>
      </c>
      <c r="AU293">
        <v>1</v>
      </c>
      <c r="AV293">
        <v>6</v>
      </c>
      <c r="AW293">
        <v>5</v>
      </c>
      <c r="AX293">
        <v>7</v>
      </c>
      <c r="AY293">
        <v>8</v>
      </c>
      <c r="AZ293">
        <v>10</v>
      </c>
      <c r="BA293">
        <v>9</v>
      </c>
      <c r="BB293">
        <v>7</v>
      </c>
      <c r="BC293">
        <v>7</v>
      </c>
      <c r="BD293">
        <v>2</v>
      </c>
      <c r="BE293">
        <v>8</v>
      </c>
      <c r="BF293">
        <v>7</v>
      </c>
      <c r="BG293">
        <v>8</v>
      </c>
      <c r="BH293">
        <v>9</v>
      </c>
      <c r="BI293">
        <v>7</v>
      </c>
      <c r="BJ293">
        <v>6</v>
      </c>
      <c r="BK293">
        <v>0</v>
      </c>
      <c r="BL293">
        <v>1</v>
      </c>
      <c r="BM293">
        <v>9</v>
      </c>
      <c r="BN293">
        <v>2</v>
      </c>
      <c r="BO293">
        <v>5</v>
      </c>
      <c r="BP293">
        <v>7</v>
      </c>
      <c r="BQ293">
        <v>3</v>
      </c>
      <c r="BR293">
        <v>9</v>
      </c>
      <c r="BS293">
        <v>7</v>
      </c>
      <c r="BT293">
        <v>2</v>
      </c>
      <c r="BU293">
        <v>4</v>
      </c>
      <c r="BV293">
        <v>2</v>
      </c>
      <c r="BW293">
        <v>7</v>
      </c>
      <c r="BX293">
        <v>9</v>
      </c>
      <c r="BY293">
        <v>7</v>
      </c>
      <c r="BZ293">
        <v>5</v>
      </c>
      <c r="CA293">
        <v>2</v>
      </c>
      <c r="CB293">
        <v>7</v>
      </c>
      <c r="CC293">
        <v>9</v>
      </c>
      <c r="CD293">
        <v>9</v>
      </c>
      <c r="CE293">
        <v>0</v>
      </c>
      <c r="CF293">
        <v>0</v>
      </c>
      <c r="CG293">
        <v>0</v>
      </c>
      <c r="CH293">
        <v>5</v>
      </c>
      <c r="CI293">
        <v>0</v>
      </c>
      <c r="CJ293">
        <v>1</v>
      </c>
      <c r="CK293">
        <v>9</v>
      </c>
      <c r="CL293">
        <v>4</v>
      </c>
      <c r="CM293">
        <v>1</v>
      </c>
      <c r="CN293">
        <v>8</v>
      </c>
      <c r="CO293">
        <v>7</v>
      </c>
      <c r="CP293">
        <v>6</v>
      </c>
      <c r="CQ293">
        <v>6</v>
      </c>
      <c r="CR293">
        <v>5</v>
      </c>
      <c r="CS293">
        <v>8</v>
      </c>
      <c r="CT293">
        <v>8</v>
      </c>
      <c r="CU293">
        <v>10</v>
      </c>
      <c r="CV293">
        <v>5</v>
      </c>
      <c r="CW293">
        <v>10</v>
      </c>
      <c r="CX293">
        <v>7</v>
      </c>
      <c r="CY293">
        <v>1</v>
      </c>
      <c r="CZ293">
        <v>2</v>
      </c>
      <c r="DA293">
        <v>9</v>
      </c>
      <c r="DB293">
        <v>10</v>
      </c>
      <c r="DC293">
        <v>3</v>
      </c>
      <c r="DD293">
        <v>7</v>
      </c>
      <c r="DE293">
        <v>2</v>
      </c>
      <c r="DF293">
        <v>4</v>
      </c>
      <c r="DG293">
        <v>8</v>
      </c>
      <c r="DH293">
        <v>7</v>
      </c>
      <c r="DI293">
        <v>4</v>
      </c>
      <c r="DJ293">
        <v>3</v>
      </c>
      <c r="DK293">
        <v>10</v>
      </c>
    </row>
    <row r="294" spans="1:115">
      <c r="A294" s="173">
        <f>Calculations[[#This Row],[Sum t eCO2]]*IF(Calculations[[#This Row],[GHG Scope]]="BIOGENIC",0,1)</f>
        <v>26.827140548000003</v>
      </c>
      <c r="O294">
        <f t="shared" si="4"/>
        <v>293</v>
      </c>
      <c r="P294">
        <v>3</v>
      </c>
      <c r="Q294">
        <v>10</v>
      </c>
      <c r="R294">
        <v>1</v>
      </c>
      <c r="S294">
        <v>0</v>
      </c>
      <c r="T294">
        <v>4</v>
      </c>
      <c r="U294">
        <v>4</v>
      </c>
      <c r="V294">
        <v>7</v>
      </c>
      <c r="W294">
        <v>1</v>
      </c>
      <c r="X294">
        <v>5</v>
      </c>
      <c r="Y294">
        <v>2</v>
      </c>
      <c r="Z294">
        <v>1</v>
      </c>
      <c r="AA294">
        <v>8</v>
      </c>
      <c r="AB294">
        <v>4</v>
      </c>
      <c r="AC294">
        <v>6</v>
      </c>
      <c r="AD294">
        <v>7</v>
      </c>
      <c r="AE294">
        <v>4</v>
      </c>
      <c r="AF294">
        <v>8</v>
      </c>
      <c r="AG294">
        <v>3</v>
      </c>
      <c r="AH294">
        <v>6</v>
      </c>
      <c r="AI294">
        <v>7</v>
      </c>
      <c r="AJ294">
        <v>0</v>
      </c>
      <c r="AK294">
        <v>1</v>
      </c>
      <c r="AL294">
        <v>1</v>
      </c>
      <c r="AM294">
        <v>10</v>
      </c>
      <c r="AN294">
        <v>7</v>
      </c>
      <c r="AO294">
        <v>8</v>
      </c>
      <c r="AP294">
        <v>8</v>
      </c>
      <c r="AQ294">
        <v>6</v>
      </c>
      <c r="AR294">
        <v>1</v>
      </c>
      <c r="AS294">
        <v>5</v>
      </c>
      <c r="AT294">
        <v>10</v>
      </c>
      <c r="AU294">
        <v>0</v>
      </c>
      <c r="AV294">
        <v>4</v>
      </c>
      <c r="AW294">
        <v>7</v>
      </c>
      <c r="AX294">
        <v>6</v>
      </c>
      <c r="AY294">
        <v>5</v>
      </c>
      <c r="AZ294">
        <v>0</v>
      </c>
      <c r="BA294">
        <v>3</v>
      </c>
      <c r="BB294">
        <v>3</v>
      </c>
      <c r="BC294">
        <v>6</v>
      </c>
      <c r="BD294">
        <v>5</v>
      </c>
      <c r="BE294">
        <v>1</v>
      </c>
      <c r="BF294">
        <v>4</v>
      </c>
      <c r="BG294">
        <v>9</v>
      </c>
      <c r="BH294">
        <v>4</v>
      </c>
      <c r="BI294">
        <v>3</v>
      </c>
      <c r="BJ294">
        <v>4</v>
      </c>
      <c r="BK294">
        <v>3</v>
      </c>
      <c r="BL294">
        <v>4</v>
      </c>
      <c r="BM294">
        <v>5</v>
      </c>
      <c r="BN294">
        <v>0</v>
      </c>
      <c r="BO294">
        <v>1</v>
      </c>
      <c r="BP294">
        <v>1</v>
      </c>
      <c r="BQ294">
        <v>5</v>
      </c>
      <c r="BR294">
        <v>2</v>
      </c>
      <c r="BS294">
        <v>4</v>
      </c>
      <c r="BT294">
        <v>9</v>
      </c>
      <c r="BU294">
        <v>10</v>
      </c>
      <c r="BV294">
        <v>6</v>
      </c>
      <c r="BW294">
        <v>6</v>
      </c>
      <c r="BX294">
        <v>3</v>
      </c>
      <c r="BY294">
        <v>6</v>
      </c>
      <c r="BZ294">
        <v>1</v>
      </c>
      <c r="CA294">
        <v>2</v>
      </c>
      <c r="CB294">
        <v>1</v>
      </c>
      <c r="CC294">
        <v>9</v>
      </c>
      <c r="CD294">
        <v>8</v>
      </c>
      <c r="CE294">
        <v>10</v>
      </c>
      <c r="CF294">
        <v>4</v>
      </c>
      <c r="CG294">
        <v>7</v>
      </c>
      <c r="CH294">
        <v>2</v>
      </c>
      <c r="CI294">
        <v>8</v>
      </c>
      <c r="CJ294">
        <v>4</v>
      </c>
      <c r="CK294">
        <v>2</v>
      </c>
      <c r="CL294">
        <v>1</v>
      </c>
      <c r="CM294">
        <v>6</v>
      </c>
      <c r="CN294">
        <v>9</v>
      </c>
      <c r="CO294">
        <v>0</v>
      </c>
      <c r="CP294">
        <v>10</v>
      </c>
      <c r="CQ294">
        <v>4</v>
      </c>
      <c r="CR294">
        <v>8</v>
      </c>
      <c r="CS294">
        <v>3</v>
      </c>
      <c r="CT294">
        <v>7</v>
      </c>
      <c r="CU294">
        <v>6</v>
      </c>
      <c r="CV294">
        <v>10</v>
      </c>
      <c r="CW294">
        <v>10</v>
      </c>
      <c r="CX294">
        <v>3</v>
      </c>
      <c r="CY294">
        <v>5</v>
      </c>
      <c r="CZ294">
        <v>0</v>
      </c>
      <c r="DA294">
        <v>0</v>
      </c>
      <c r="DB294">
        <v>2</v>
      </c>
      <c r="DC294">
        <v>7</v>
      </c>
      <c r="DD294">
        <v>9</v>
      </c>
      <c r="DE294">
        <v>4</v>
      </c>
      <c r="DF294">
        <v>6</v>
      </c>
      <c r="DG294">
        <v>10</v>
      </c>
      <c r="DH294">
        <v>7</v>
      </c>
      <c r="DI294">
        <v>8</v>
      </c>
      <c r="DJ294">
        <v>9</v>
      </c>
      <c r="DK294">
        <v>0</v>
      </c>
    </row>
    <row r="295" spans="1:115">
      <c r="A295" s="173">
        <f>Calculations[[#This Row],[Sum t eCO2]]*IF(Calculations[[#This Row],[GHG Scope]]="BIOGENIC",0,1)</f>
        <v>270.89269257000007</v>
      </c>
      <c r="O295">
        <f t="shared" si="4"/>
        <v>294</v>
      </c>
      <c r="P295">
        <v>5</v>
      </c>
      <c r="Q295">
        <v>0</v>
      </c>
      <c r="R295">
        <v>8</v>
      </c>
      <c r="S295">
        <v>6</v>
      </c>
      <c r="T295">
        <v>7</v>
      </c>
      <c r="U295">
        <v>9</v>
      </c>
      <c r="V295">
        <v>9</v>
      </c>
      <c r="W295">
        <v>6</v>
      </c>
      <c r="X295">
        <v>2</v>
      </c>
      <c r="Y295">
        <v>3</v>
      </c>
      <c r="Z295">
        <v>0</v>
      </c>
      <c r="AA295">
        <v>8</v>
      </c>
      <c r="AB295">
        <v>7</v>
      </c>
      <c r="AC295">
        <v>5</v>
      </c>
      <c r="AD295">
        <v>10</v>
      </c>
      <c r="AE295">
        <v>7</v>
      </c>
      <c r="AF295">
        <v>1</v>
      </c>
      <c r="AG295">
        <v>10</v>
      </c>
      <c r="AH295">
        <v>10</v>
      </c>
      <c r="AI295">
        <v>10</v>
      </c>
      <c r="AJ295">
        <v>9</v>
      </c>
      <c r="AK295">
        <v>0</v>
      </c>
      <c r="AL295">
        <v>3</v>
      </c>
      <c r="AM295">
        <v>5</v>
      </c>
      <c r="AN295">
        <v>8</v>
      </c>
      <c r="AO295">
        <v>3</v>
      </c>
      <c r="AP295">
        <v>0</v>
      </c>
      <c r="AQ295">
        <v>2</v>
      </c>
      <c r="AR295">
        <v>9</v>
      </c>
      <c r="AS295">
        <v>5</v>
      </c>
      <c r="AT295">
        <v>2</v>
      </c>
      <c r="AU295">
        <v>4</v>
      </c>
      <c r="AV295">
        <v>5</v>
      </c>
      <c r="AW295">
        <v>5</v>
      </c>
      <c r="AX295">
        <v>5</v>
      </c>
      <c r="AY295">
        <v>3</v>
      </c>
      <c r="AZ295">
        <v>7</v>
      </c>
      <c r="BA295">
        <v>1</v>
      </c>
      <c r="BB295">
        <v>2</v>
      </c>
      <c r="BC295">
        <v>7</v>
      </c>
      <c r="BD295">
        <v>10</v>
      </c>
      <c r="BE295">
        <v>6</v>
      </c>
      <c r="BF295">
        <v>3</v>
      </c>
      <c r="BG295">
        <v>1</v>
      </c>
      <c r="BH295">
        <v>3</v>
      </c>
      <c r="BI295">
        <v>10</v>
      </c>
      <c r="BJ295">
        <v>8</v>
      </c>
      <c r="BK295">
        <v>7</v>
      </c>
      <c r="BL295">
        <v>1</v>
      </c>
      <c r="BM295">
        <v>7</v>
      </c>
      <c r="BN295">
        <v>10</v>
      </c>
      <c r="BO295">
        <v>9</v>
      </c>
      <c r="BP295">
        <v>4</v>
      </c>
      <c r="BQ295">
        <v>0</v>
      </c>
      <c r="BR295">
        <v>7</v>
      </c>
      <c r="BS295">
        <v>1</v>
      </c>
      <c r="BT295">
        <v>10</v>
      </c>
      <c r="BU295">
        <v>10</v>
      </c>
      <c r="BV295">
        <v>10</v>
      </c>
      <c r="BW295">
        <v>7</v>
      </c>
      <c r="BX295">
        <v>6</v>
      </c>
      <c r="BY295">
        <v>3</v>
      </c>
      <c r="BZ295">
        <v>10</v>
      </c>
      <c r="CA295">
        <v>8</v>
      </c>
      <c r="CB295">
        <v>10</v>
      </c>
      <c r="CC295">
        <v>2</v>
      </c>
      <c r="CD295">
        <v>2</v>
      </c>
      <c r="CE295">
        <v>8</v>
      </c>
      <c r="CF295">
        <v>2</v>
      </c>
      <c r="CG295">
        <v>10</v>
      </c>
      <c r="CH295">
        <v>6</v>
      </c>
      <c r="CI295">
        <v>3</v>
      </c>
      <c r="CJ295">
        <v>3</v>
      </c>
      <c r="CK295">
        <v>4</v>
      </c>
      <c r="CL295">
        <v>5</v>
      </c>
      <c r="CM295">
        <v>6</v>
      </c>
      <c r="CN295">
        <v>10</v>
      </c>
      <c r="CO295">
        <v>6</v>
      </c>
      <c r="CP295">
        <v>0</v>
      </c>
      <c r="CQ295">
        <v>7</v>
      </c>
      <c r="CR295">
        <v>6</v>
      </c>
      <c r="CS295">
        <v>8</v>
      </c>
      <c r="CT295">
        <v>6</v>
      </c>
      <c r="CU295">
        <v>8</v>
      </c>
      <c r="CV295">
        <v>8</v>
      </c>
      <c r="CW295">
        <v>4</v>
      </c>
      <c r="CX295">
        <v>3</v>
      </c>
      <c r="CY295">
        <v>5</v>
      </c>
      <c r="CZ295">
        <v>3</v>
      </c>
      <c r="DA295">
        <v>2</v>
      </c>
      <c r="DB295">
        <v>0</v>
      </c>
      <c r="DC295">
        <v>5</v>
      </c>
      <c r="DD295">
        <v>9</v>
      </c>
      <c r="DE295">
        <v>8</v>
      </c>
      <c r="DF295">
        <v>6</v>
      </c>
      <c r="DG295">
        <v>1</v>
      </c>
      <c r="DH295">
        <v>3</v>
      </c>
      <c r="DI295">
        <v>6</v>
      </c>
      <c r="DJ295">
        <v>9</v>
      </c>
      <c r="DK295">
        <v>4</v>
      </c>
    </row>
    <row r="296" spans="1:115">
      <c r="A296" s="173">
        <f>Calculations[[#This Row],[Sum t eCO2]]*IF(Calculations[[#This Row],[GHG Scope]]="BIOGENIC",0,1)</f>
        <v>4.5799616939999996</v>
      </c>
      <c r="O296">
        <f t="shared" si="4"/>
        <v>295</v>
      </c>
      <c r="P296">
        <v>7</v>
      </c>
      <c r="Q296">
        <v>4</v>
      </c>
      <c r="R296">
        <v>6</v>
      </c>
      <c r="S296">
        <v>6</v>
      </c>
      <c r="T296">
        <v>10</v>
      </c>
      <c r="U296">
        <v>0</v>
      </c>
      <c r="V296">
        <v>10</v>
      </c>
      <c r="W296">
        <v>0</v>
      </c>
      <c r="X296">
        <v>1</v>
      </c>
      <c r="Y296">
        <v>0</v>
      </c>
      <c r="Z296">
        <v>0</v>
      </c>
      <c r="AA296">
        <v>4</v>
      </c>
      <c r="AB296">
        <v>3</v>
      </c>
      <c r="AC296">
        <v>8</v>
      </c>
      <c r="AD296">
        <v>8</v>
      </c>
      <c r="AE296">
        <v>10</v>
      </c>
      <c r="AF296">
        <v>9</v>
      </c>
      <c r="AG296">
        <v>2</v>
      </c>
      <c r="AH296">
        <v>5</v>
      </c>
      <c r="AI296">
        <v>3</v>
      </c>
      <c r="AJ296">
        <v>4</v>
      </c>
      <c r="AK296">
        <v>8</v>
      </c>
      <c r="AL296">
        <v>9</v>
      </c>
      <c r="AM296">
        <v>8</v>
      </c>
      <c r="AN296">
        <v>7</v>
      </c>
      <c r="AO296">
        <v>0</v>
      </c>
      <c r="AP296">
        <v>4</v>
      </c>
      <c r="AQ296">
        <v>4</v>
      </c>
      <c r="AR296">
        <v>1</v>
      </c>
      <c r="AS296">
        <v>2</v>
      </c>
      <c r="AT296">
        <v>0</v>
      </c>
      <c r="AU296">
        <v>1</v>
      </c>
      <c r="AV296">
        <v>6</v>
      </c>
      <c r="AW296">
        <v>0</v>
      </c>
      <c r="AX296">
        <v>0</v>
      </c>
      <c r="AY296">
        <v>2</v>
      </c>
      <c r="AZ296">
        <v>7</v>
      </c>
      <c r="BA296">
        <v>8</v>
      </c>
      <c r="BB296">
        <v>8</v>
      </c>
      <c r="BC296">
        <v>8</v>
      </c>
      <c r="BD296">
        <v>6</v>
      </c>
      <c r="BE296">
        <v>2</v>
      </c>
      <c r="BF296">
        <v>7</v>
      </c>
      <c r="BG296">
        <v>2</v>
      </c>
      <c r="BH296">
        <v>7</v>
      </c>
      <c r="BI296">
        <v>3</v>
      </c>
      <c r="BJ296">
        <v>1</v>
      </c>
      <c r="BK296">
        <v>1</v>
      </c>
      <c r="BL296">
        <v>7</v>
      </c>
      <c r="BM296">
        <v>2</v>
      </c>
      <c r="BN296">
        <v>6</v>
      </c>
      <c r="BO296">
        <v>2</v>
      </c>
      <c r="BP296">
        <v>8</v>
      </c>
      <c r="BQ296">
        <v>4</v>
      </c>
      <c r="BR296">
        <v>4</v>
      </c>
      <c r="BS296">
        <v>9</v>
      </c>
      <c r="BT296">
        <v>3</v>
      </c>
      <c r="BU296">
        <v>5</v>
      </c>
      <c r="BV296">
        <v>10</v>
      </c>
      <c r="BW296">
        <v>2</v>
      </c>
      <c r="BX296">
        <v>1</v>
      </c>
      <c r="BY296">
        <v>10</v>
      </c>
      <c r="BZ296">
        <v>6</v>
      </c>
      <c r="CA296">
        <v>8</v>
      </c>
      <c r="CB296">
        <v>7</v>
      </c>
      <c r="CC296">
        <v>6</v>
      </c>
      <c r="CD296">
        <v>6</v>
      </c>
      <c r="CE296">
        <v>0</v>
      </c>
      <c r="CF296">
        <v>8</v>
      </c>
      <c r="CG296">
        <v>3</v>
      </c>
      <c r="CH296">
        <v>10</v>
      </c>
      <c r="CI296">
        <v>7</v>
      </c>
      <c r="CJ296">
        <v>4</v>
      </c>
      <c r="CK296">
        <v>2</v>
      </c>
      <c r="CL296">
        <v>10</v>
      </c>
      <c r="CM296">
        <v>1</v>
      </c>
      <c r="CN296">
        <v>2</v>
      </c>
      <c r="CO296">
        <v>0</v>
      </c>
      <c r="CP296">
        <v>3</v>
      </c>
      <c r="CQ296">
        <v>4</v>
      </c>
      <c r="CR296">
        <v>3</v>
      </c>
      <c r="CS296">
        <v>2</v>
      </c>
      <c r="CT296">
        <v>6</v>
      </c>
      <c r="CU296">
        <v>7</v>
      </c>
      <c r="CV296">
        <v>10</v>
      </c>
      <c r="CW296">
        <v>4</v>
      </c>
      <c r="CX296">
        <v>0</v>
      </c>
      <c r="CY296">
        <v>2</v>
      </c>
      <c r="CZ296">
        <v>0</v>
      </c>
      <c r="DA296">
        <v>0</v>
      </c>
      <c r="DB296">
        <v>6</v>
      </c>
      <c r="DC296">
        <v>5</v>
      </c>
      <c r="DD296">
        <v>7</v>
      </c>
      <c r="DE296">
        <v>9</v>
      </c>
      <c r="DF296">
        <v>9</v>
      </c>
      <c r="DG296">
        <v>3</v>
      </c>
      <c r="DH296">
        <v>2</v>
      </c>
      <c r="DI296">
        <v>6</v>
      </c>
      <c r="DJ296">
        <v>10</v>
      </c>
      <c r="DK296">
        <v>2</v>
      </c>
    </row>
    <row r="297" spans="1:115">
      <c r="A297" s="173">
        <f>Calculations[[#This Row],[Sum t eCO2]]*IF(Calculations[[#This Row],[GHG Scope]]="BIOGENIC",0,1)</f>
        <v>9.7475209039999999</v>
      </c>
      <c r="O297">
        <f t="shared" si="4"/>
        <v>296</v>
      </c>
      <c r="P297">
        <v>1</v>
      </c>
      <c r="Q297">
        <v>1</v>
      </c>
      <c r="R297">
        <v>10</v>
      </c>
      <c r="S297">
        <v>8</v>
      </c>
      <c r="T297">
        <v>3</v>
      </c>
      <c r="U297">
        <v>8</v>
      </c>
      <c r="V297">
        <v>1</v>
      </c>
      <c r="W297">
        <v>8</v>
      </c>
      <c r="X297">
        <v>5</v>
      </c>
      <c r="Y297">
        <v>7</v>
      </c>
      <c r="Z297">
        <v>2</v>
      </c>
      <c r="AA297">
        <v>6</v>
      </c>
      <c r="AB297">
        <v>5</v>
      </c>
      <c r="AC297">
        <v>4</v>
      </c>
      <c r="AD297">
        <v>9</v>
      </c>
      <c r="AE297">
        <v>0</v>
      </c>
      <c r="AF297">
        <v>3</v>
      </c>
      <c r="AG297">
        <v>9</v>
      </c>
      <c r="AH297">
        <v>0</v>
      </c>
      <c r="AI297">
        <v>5</v>
      </c>
      <c r="AJ297">
        <v>4</v>
      </c>
      <c r="AK297">
        <v>4</v>
      </c>
      <c r="AL297">
        <v>1</v>
      </c>
      <c r="AM297">
        <v>0</v>
      </c>
      <c r="AN297">
        <v>0</v>
      </c>
      <c r="AO297">
        <v>3</v>
      </c>
      <c r="AP297">
        <v>5</v>
      </c>
      <c r="AQ297">
        <v>5</v>
      </c>
      <c r="AR297">
        <v>2</v>
      </c>
      <c r="AS297">
        <v>1</v>
      </c>
      <c r="AT297">
        <v>3</v>
      </c>
      <c r="AU297">
        <v>10</v>
      </c>
      <c r="AV297">
        <v>4</v>
      </c>
      <c r="AW297">
        <v>2</v>
      </c>
      <c r="AX297">
        <v>2</v>
      </c>
      <c r="AY297">
        <v>1</v>
      </c>
      <c r="AZ297">
        <v>9</v>
      </c>
      <c r="BA297">
        <v>9</v>
      </c>
      <c r="BB297">
        <v>0</v>
      </c>
      <c r="BC297">
        <v>5</v>
      </c>
      <c r="BD297">
        <v>1</v>
      </c>
      <c r="BE297">
        <v>8</v>
      </c>
      <c r="BF297">
        <v>9</v>
      </c>
      <c r="BG297">
        <v>0</v>
      </c>
      <c r="BH297">
        <v>9</v>
      </c>
      <c r="BI297">
        <v>6</v>
      </c>
      <c r="BJ297">
        <v>4</v>
      </c>
      <c r="BK297">
        <v>8</v>
      </c>
      <c r="BL297">
        <v>8</v>
      </c>
      <c r="BM297">
        <v>7</v>
      </c>
      <c r="BN297">
        <v>3</v>
      </c>
      <c r="BO297">
        <v>4</v>
      </c>
      <c r="BP297">
        <v>7</v>
      </c>
      <c r="BQ297">
        <v>10</v>
      </c>
      <c r="BR297">
        <v>8</v>
      </c>
      <c r="BS297">
        <v>5</v>
      </c>
      <c r="BT297">
        <v>3</v>
      </c>
      <c r="BU297">
        <v>1</v>
      </c>
      <c r="BV297">
        <v>10</v>
      </c>
      <c r="BW297">
        <v>10</v>
      </c>
      <c r="BX297">
        <v>7</v>
      </c>
      <c r="BY297">
        <v>8</v>
      </c>
      <c r="BZ297">
        <v>7</v>
      </c>
      <c r="CA297">
        <v>5</v>
      </c>
      <c r="CB297">
        <v>6</v>
      </c>
      <c r="CC297">
        <v>3</v>
      </c>
      <c r="CD297">
        <v>5</v>
      </c>
      <c r="CE297">
        <v>1</v>
      </c>
      <c r="CF297">
        <v>9</v>
      </c>
      <c r="CG297">
        <v>2</v>
      </c>
      <c r="CH297">
        <v>6</v>
      </c>
      <c r="CI297">
        <v>1</v>
      </c>
      <c r="CJ297">
        <v>2</v>
      </c>
      <c r="CK297">
        <v>8</v>
      </c>
      <c r="CL297">
        <v>9</v>
      </c>
      <c r="CM297">
        <v>0</v>
      </c>
      <c r="CN297">
        <v>3</v>
      </c>
      <c r="CO297">
        <v>4</v>
      </c>
      <c r="CP297">
        <v>10</v>
      </c>
      <c r="CQ297">
        <v>8</v>
      </c>
      <c r="CR297">
        <v>7</v>
      </c>
      <c r="CS297">
        <v>4</v>
      </c>
      <c r="CT297">
        <v>5</v>
      </c>
      <c r="CU297">
        <v>4</v>
      </c>
      <c r="CV297">
        <v>9</v>
      </c>
      <c r="CW297">
        <v>8</v>
      </c>
      <c r="CX297">
        <v>3</v>
      </c>
      <c r="CY297">
        <v>6</v>
      </c>
      <c r="CZ297">
        <v>5</v>
      </c>
      <c r="DA297">
        <v>2</v>
      </c>
      <c r="DB297">
        <v>10</v>
      </c>
      <c r="DC297">
        <v>5</v>
      </c>
      <c r="DD297">
        <v>3</v>
      </c>
      <c r="DE297">
        <v>10</v>
      </c>
      <c r="DF297">
        <v>2</v>
      </c>
      <c r="DG297">
        <v>9</v>
      </c>
      <c r="DH297">
        <v>4</v>
      </c>
      <c r="DI297">
        <v>10</v>
      </c>
      <c r="DJ297">
        <v>9</v>
      </c>
      <c r="DK297">
        <v>6</v>
      </c>
    </row>
    <row r="298" spans="1:115">
      <c r="A298" s="173">
        <f>Calculations[[#This Row],[Sum t eCO2]]*IF(Calculations[[#This Row],[GHG Scope]]="BIOGENIC",0,1)</f>
        <v>44.591114250000004</v>
      </c>
      <c r="O298">
        <f t="shared" si="4"/>
        <v>297</v>
      </c>
      <c r="P298">
        <v>2</v>
      </c>
      <c r="Q298">
        <v>0</v>
      </c>
      <c r="R298">
        <v>10</v>
      </c>
      <c r="S298">
        <v>4</v>
      </c>
      <c r="T298">
        <v>0</v>
      </c>
      <c r="U298">
        <v>2</v>
      </c>
      <c r="V298">
        <v>2</v>
      </c>
      <c r="W298">
        <v>1</v>
      </c>
      <c r="X298">
        <v>8</v>
      </c>
      <c r="Y298">
        <v>4</v>
      </c>
      <c r="Z298">
        <v>8</v>
      </c>
      <c r="AA298">
        <v>8</v>
      </c>
      <c r="AB298">
        <v>3</v>
      </c>
      <c r="AC298">
        <v>1</v>
      </c>
      <c r="AD298">
        <v>0</v>
      </c>
      <c r="AE298">
        <v>6</v>
      </c>
      <c r="AF298">
        <v>5</v>
      </c>
      <c r="AG298">
        <v>3</v>
      </c>
      <c r="AH298">
        <v>0</v>
      </c>
      <c r="AI298">
        <v>2</v>
      </c>
      <c r="AJ298">
        <v>1</v>
      </c>
      <c r="AK298">
        <v>4</v>
      </c>
      <c r="AL298">
        <v>9</v>
      </c>
      <c r="AM298">
        <v>2</v>
      </c>
      <c r="AN298">
        <v>4</v>
      </c>
      <c r="AO298">
        <v>3</v>
      </c>
      <c r="AP298">
        <v>8</v>
      </c>
      <c r="AQ298">
        <v>8</v>
      </c>
      <c r="AR298">
        <v>7</v>
      </c>
      <c r="AS298">
        <v>2</v>
      </c>
      <c r="AT298">
        <v>5</v>
      </c>
      <c r="AU298">
        <v>0</v>
      </c>
      <c r="AV298">
        <v>10</v>
      </c>
      <c r="AW298">
        <v>6</v>
      </c>
      <c r="AX298">
        <v>5</v>
      </c>
      <c r="AY298">
        <v>7</v>
      </c>
      <c r="AZ298">
        <v>10</v>
      </c>
      <c r="BA298">
        <v>8</v>
      </c>
      <c r="BB298">
        <v>4</v>
      </c>
      <c r="BC298">
        <v>8</v>
      </c>
      <c r="BD298">
        <v>3</v>
      </c>
      <c r="BE298">
        <v>1</v>
      </c>
      <c r="BF298">
        <v>0</v>
      </c>
      <c r="BG298">
        <v>9</v>
      </c>
      <c r="BH298">
        <v>0</v>
      </c>
      <c r="BI298">
        <v>0</v>
      </c>
      <c r="BJ298">
        <v>1</v>
      </c>
      <c r="BK298">
        <v>3</v>
      </c>
      <c r="BL298">
        <v>3</v>
      </c>
      <c r="BM298">
        <v>1</v>
      </c>
      <c r="BN298">
        <v>10</v>
      </c>
      <c r="BO298">
        <v>7</v>
      </c>
      <c r="BP298">
        <v>5</v>
      </c>
      <c r="BQ298">
        <v>4</v>
      </c>
      <c r="BR298">
        <v>2</v>
      </c>
      <c r="BS298">
        <v>8</v>
      </c>
      <c r="BT298">
        <v>2</v>
      </c>
      <c r="BU298">
        <v>1</v>
      </c>
      <c r="BV298">
        <v>7</v>
      </c>
      <c r="BW298">
        <v>7</v>
      </c>
      <c r="BX298">
        <v>2</v>
      </c>
      <c r="BY298">
        <v>5</v>
      </c>
      <c r="BZ298">
        <v>0</v>
      </c>
      <c r="CA298">
        <v>7</v>
      </c>
      <c r="CB298">
        <v>2</v>
      </c>
      <c r="CC298">
        <v>0</v>
      </c>
      <c r="CD298">
        <v>1</v>
      </c>
      <c r="CE298">
        <v>2</v>
      </c>
      <c r="CF298">
        <v>4</v>
      </c>
      <c r="CG298">
        <v>5</v>
      </c>
      <c r="CH298">
        <v>4</v>
      </c>
      <c r="CI298">
        <v>9</v>
      </c>
      <c r="CJ298">
        <v>9</v>
      </c>
      <c r="CK298">
        <v>8</v>
      </c>
      <c r="CL298">
        <v>5</v>
      </c>
      <c r="CM298">
        <v>9</v>
      </c>
      <c r="CN298">
        <v>8</v>
      </c>
      <c r="CO298">
        <v>10</v>
      </c>
      <c r="CP298">
        <v>4</v>
      </c>
      <c r="CQ298">
        <v>1</v>
      </c>
      <c r="CR298">
        <v>8</v>
      </c>
      <c r="CS298">
        <v>7</v>
      </c>
      <c r="CT298">
        <v>4</v>
      </c>
      <c r="CU298">
        <v>10</v>
      </c>
      <c r="CV298">
        <v>0</v>
      </c>
      <c r="CW298">
        <v>9</v>
      </c>
      <c r="CX298">
        <v>7</v>
      </c>
      <c r="CY298">
        <v>1</v>
      </c>
      <c r="CZ298">
        <v>7</v>
      </c>
      <c r="DA298">
        <v>4</v>
      </c>
      <c r="DB298">
        <v>6</v>
      </c>
      <c r="DC298">
        <v>0</v>
      </c>
      <c r="DD298">
        <v>10</v>
      </c>
      <c r="DE298">
        <v>4</v>
      </c>
      <c r="DF298">
        <v>3</v>
      </c>
      <c r="DG298">
        <v>2</v>
      </c>
      <c r="DH298">
        <v>6</v>
      </c>
      <c r="DI298">
        <v>9</v>
      </c>
      <c r="DJ298">
        <v>0</v>
      </c>
      <c r="DK298">
        <v>7</v>
      </c>
    </row>
    <row r="299" spans="1:115">
      <c r="A299" s="173">
        <f>Calculations[[#This Row],[Sum t eCO2]]*IF(Calculations[[#This Row],[GHG Scope]]="BIOGENIC",0,1)</f>
        <v>2.8073873259900006</v>
      </c>
      <c r="O299">
        <f t="shared" si="4"/>
        <v>298</v>
      </c>
      <c r="P299">
        <v>9</v>
      </c>
      <c r="Q299">
        <v>9</v>
      </c>
      <c r="R299">
        <v>6</v>
      </c>
      <c r="S299">
        <v>6</v>
      </c>
      <c r="T299">
        <v>6</v>
      </c>
      <c r="U299">
        <v>9</v>
      </c>
      <c r="V299">
        <v>0</v>
      </c>
      <c r="W299">
        <v>0</v>
      </c>
      <c r="X299">
        <v>1</v>
      </c>
      <c r="Y299">
        <v>9</v>
      </c>
      <c r="Z299">
        <v>5</v>
      </c>
      <c r="AA299">
        <v>7</v>
      </c>
      <c r="AB299">
        <v>3</v>
      </c>
      <c r="AC299">
        <v>9</v>
      </c>
      <c r="AD299">
        <v>10</v>
      </c>
      <c r="AE299">
        <v>6</v>
      </c>
      <c r="AF299">
        <v>9</v>
      </c>
      <c r="AG299">
        <v>0</v>
      </c>
      <c r="AH299">
        <v>3</v>
      </c>
      <c r="AI299">
        <v>8</v>
      </c>
      <c r="AJ299">
        <v>0</v>
      </c>
      <c r="AK299">
        <v>0</v>
      </c>
      <c r="AL299">
        <v>6</v>
      </c>
      <c r="AM299">
        <v>10</v>
      </c>
      <c r="AN299">
        <v>1</v>
      </c>
      <c r="AO299">
        <v>9</v>
      </c>
      <c r="AP299">
        <v>9</v>
      </c>
      <c r="AQ299">
        <v>9</v>
      </c>
      <c r="AR299">
        <v>10</v>
      </c>
      <c r="AS299">
        <v>10</v>
      </c>
      <c r="AT299">
        <v>0</v>
      </c>
      <c r="AU299">
        <v>1</v>
      </c>
      <c r="AV299">
        <v>1</v>
      </c>
      <c r="AW299">
        <v>1</v>
      </c>
      <c r="AX299">
        <v>4</v>
      </c>
      <c r="AY299">
        <v>2</v>
      </c>
      <c r="AZ299">
        <v>2</v>
      </c>
      <c r="BA299">
        <v>1</v>
      </c>
      <c r="BB299">
        <v>3</v>
      </c>
      <c r="BC299">
        <v>10</v>
      </c>
      <c r="BD299">
        <v>7</v>
      </c>
      <c r="BE299">
        <v>9</v>
      </c>
      <c r="BF299">
        <v>6</v>
      </c>
      <c r="BG299">
        <v>8</v>
      </c>
      <c r="BH299">
        <v>2</v>
      </c>
      <c r="BI299">
        <v>2</v>
      </c>
      <c r="BJ299">
        <v>10</v>
      </c>
      <c r="BK299">
        <v>3</v>
      </c>
      <c r="BL299">
        <v>8</v>
      </c>
      <c r="BM299">
        <v>6</v>
      </c>
      <c r="BN299">
        <v>9</v>
      </c>
      <c r="BO299">
        <v>5</v>
      </c>
      <c r="BP299">
        <v>5</v>
      </c>
      <c r="BQ299">
        <v>5</v>
      </c>
      <c r="BR299">
        <v>1</v>
      </c>
      <c r="BS299">
        <v>3</v>
      </c>
      <c r="BT299">
        <v>8</v>
      </c>
      <c r="BU299">
        <v>2</v>
      </c>
      <c r="BV299">
        <v>6</v>
      </c>
      <c r="BW299">
        <v>0</v>
      </c>
      <c r="BX299">
        <v>10</v>
      </c>
      <c r="BY299">
        <v>9</v>
      </c>
      <c r="BZ299">
        <v>6</v>
      </c>
      <c r="CA299">
        <v>8</v>
      </c>
      <c r="CB299">
        <v>10</v>
      </c>
      <c r="CC299">
        <v>0</v>
      </c>
      <c r="CD299">
        <v>5</v>
      </c>
      <c r="CE299">
        <v>2</v>
      </c>
      <c r="CF299">
        <v>0</v>
      </c>
      <c r="CG299">
        <v>4</v>
      </c>
      <c r="CH299">
        <v>1</v>
      </c>
      <c r="CI299">
        <v>8</v>
      </c>
      <c r="CJ299">
        <v>8</v>
      </c>
      <c r="CK299">
        <v>9</v>
      </c>
      <c r="CL299">
        <v>1</v>
      </c>
      <c r="CM299">
        <v>0</v>
      </c>
      <c r="CN299">
        <v>10</v>
      </c>
      <c r="CO299">
        <v>9</v>
      </c>
      <c r="CP299">
        <v>8</v>
      </c>
      <c r="CQ299">
        <v>1</v>
      </c>
      <c r="CR299">
        <v>1</v>
      </c>
      <c r="CS299">
        <v>6</v>
      </c>
      <c r="CT299">
        <v>1</v>
      </c>
      <c r="CU299">
        <v>3</v>
      </c>
      <c r="CV299">
        <v>4</v>
      </c>
      <c r="CW299">
        <v>0</v>
      </c>
      <c r="CX299">
        <v>8</v>
      </c>
      <c r="CY299">
        <v>9</v>
      </c>
      <c r="CZ299">
        <v>9</v>
      </c>
      <c r="DA299">
        <v>5</v>
      </c>
      <c r="DB299">
        <v>10</v>
      </c>
      <c r="DC299">
        <v>1</v>
      </c>
      <c r="DD299">
        <v>4</v>
      </c>
      <c r="DE299">
        <v>1</v>
      </c>
      <c r="DF299">
        <v>7</v>
      </c>
      <c r="DG299">
        <v>9</v>
      </c>
      <c r="DH299">
        <v>9</v>
      </c>
      <c r="DI299">
        <v>0</v>
      </c>
      <c r="DJ299">
        <v>7</v>
      </c>
      <c r="DK299">
        <v>4</v>
      </c>
    </row>
    <row r="300" spans="1:115">
      <c r="A300" s="173">
        <f>Calculations[[#This Row],[Sum t eCO2]]*IF(Calculations[[#This Row],[GHG Scope]]="BIOGENIC",0,1)</f>
        <v>1.6324603717500004</v>
      </c>
      <c r="O300">
        <f t="shared" si="4"/>
        <v>299</v>
      </c>
      <c r="P300">
        <v>6</v>
      </c>
      <c r="Q300">
        <v>10</v>
      </c>
      <c r="R300">
        <v>6</v>
      </c>
      <c r="S300">
        <v>4</v>
      </c>
      <c r="T300">
        <v>4</v>
      </c>
      <c r="U300">
        <v>4</v>
      </c>
      <c r="V300">
        <v>0</v>
      </c>
      <c r="W300">
        <v>9</v>
      </c>
      <c r="X300">
        <v>6</v>
      </c>
      <c r="Y300">
        <v>5</v>
      </c>
      <c r="Z300">
        <v>3</v>
      </c>
      <c r="AA300">
        <v>4</v>
      </c>
      <c r="AB300">
        <v>0</v>
      </c>
      <c r="AC300">
        <v>2</v>
      </c>
      <c r="AD300">
        <v>9</v>
      </c>
      <c r="AE300">
        <v>4</v>
      </c>
      <c r="AF300">
        <v>10</v>
      </c>
      <c r="AG300">
        <v>8</v>
      </c>
      <c r="AH300">
        <v>2</v>
      </c>
      <c r="AI300">
        <v>7</v>
      </c>
      <c r="AJ300">
        <v>4</v>
      </c>
      <c r="AK300">
        <v>8</v>
      </c>
      <c r="AL300">
        <v>10</v>
      </c>
      <c r="AM300">
        <v>2</v>
      </c>
      <c r="AN300">
        <v>4</v>
      </c>
      <c r="AO300">
        <v>10</v>
      </c>
      <c r="AP300">
        <v>9</v>
      </c>
      <c r="AQ300">
        <v>10</v>
      </c>
      <c r="AR300">
        <v>0</v>
      </c>
      <c r="AS300">
        <v>4</v>
      </c>
      <c r="AT300">
        <v>5</v>
      </c>
      <c r="AU300">
        <v>0</v>
      </c>
      <c r="AV300">
        <v>9</v>
      </c>
      <c r="AW300">
        <v>3</v>
      </c>
      <c r="AX300">
        <v>9</v>
      </c>
      <c r="AY300">
        <v>2</v>
      </c>
      <c r="AZ300">
        <v>7</v>
      </c>
      <c r="BA300">
        <v>7</v>
      </c>
      <c r="BB300">
        <v>9</v>
      </c>
      <c r="BC300">
        <v>5</v>
      </c>
      <c r="BD300">
        <v>5</v>
      </c>
      <c r="BE300">
        <v>1</v>
      </c>
      <c r="BF300">
        <v>10</v>
      </c>
      <c r="BG300">
        <v>10</v>
      </c>
      <c r="BH300">
        <v>1</v>
      </c>
      <c r="BI300">
        <v>1</v>
      </c>
      <c r="BJ300">
        <v>4</v>
      </c>
      <c r="BK300">
        <v>2</v>
      </c>
      <c r="BL300">
        <v>0</v>
      </c>
      <c r="BM300">
        <v>1</v>
      </c>
      <c r="BN300">
        <v>3</v>
      </c>
      <c r="BO300">
        <v>1</v>
      </c>
      <c r="BP300">
        <v>6</v>
      </c>
      <c r="BQ300">
        <v>7</v>
      </c>
      <c r="BR300">
        <v>8</v>
      </c>
      <c r="BS300">
        <v>4</v>
      </c>
      <c r="BT300">
        <v>3</v>
      </c>
      <c r="BU300">
        <v>1</v>
      </c>
      <c r="BV300">
        <v>10</v>
      </c>
      <c r="BW300">
        <v>7</v>
      </c>
      <c r="BX300">
        <v>3</v>
      </c>
      <c r="BY300">
        <v>7</v>
      </c>
      <c r="BZ300">
        <v>9</v>
      </c>
      <c r="CA300">
        <v>2</v>
      </c>
      <c r="CB300">
        <v>4</v>
      </c>
      <c r="CC300">
        <v>7</v>
      </c>
      <c r="CD300">
        <v>2</v>
      </c>
      <c r="CE300">
        <v>3</v>
      </c>
      <c r="CF300">
        <v>6</v>
      </c>
      <c r="CG300">
        <v>0</v>
      </c>
      <c r="CH300">
        <v>5</v>
      </c>
      <c r="CI300">
        <v>8</v>
      </c>
      <c r="CJ300">
        <v>10</v>
      </c>
      <c r="CK300">
        <v>4</v>
      </c>
      <c r="CL300">
        <v>10</v>
      </c>
      <c r="CM300">
        <v>1</v>
      </c>
      <c r="CN300">
        <v>3</v>
      </c>
      <c r="CO300">
        <v>10</v>
      </c>
      <c r="CP300">
        <v>6</v>
      </c>
      <c r="CQ300">
        <v>5</v>
      </c>
      <c r="CR300">
        <v>10</v>
      </c>
      <c r="CS300">
        <v>0</v>
      </c>
      <c r="CT300">
        <v>2</v>
      </c>
      <c r="CU300">
        <v>3</v>
      </c>
      <c r="CV300">
        <v>6</v>
      </c>
      <c r="CW300">
        <v>6</v>
      </c>
      <c r="CX300">
        <v>10</v>
      </c>
      <c r="CY300">
        <v>3</v>
      </c>
      <c r="CZ300">
        <v>6</v>
      </c>
      <c r="DA300">
        <v>2</v>
      </c>
      <c r="DB300">
        <v>9</v>
      </c>
      <c r="DC300">
        <v>8</v>
      </c>
      <c r="DD300">
        <v>5</v>
      </c>
      <c r="DE300">
        <v>2</v>
      </c>
      <c r="DF300">
        <v>1</v>
      </c>
      <c r="DG300">
        <v>7</v>
      </c>
      <c r="DH300">
        <v>10</v>
      </c>
      <c r="DI300">
        <v>3</v>
      </c>
      <c r="DJ300">
        <v>10</v>
      </c>
      <c r="DK300">
        <v>9</v>
      </c>
    </row>
    <row r="301" spans="1:115">
      <c r="A301" s="173">
        <f>Calculations[[#This Row],[Sum t eCO2]]*IF(Calculations[[#This Row],[GHG Scope]]="BIOGENIC",0,1)</f>
        <v>2.3237998874999999</v>
      </c>
      <c r="O301">
        <f t="shared" si="4"/>
        <v>300</v>
      </c>
      <c r="P301">
        <v>5</v>
      </c>
      <c r="Q301">
        <v>5</v>
      </c>
      <c r="R301">
        <v>0</v>
      </c>
      <c r="S301">
        <v>6</v>
      </c>
      <c r="T301">
        <v>0</v>
      </c>
      <c r="U301">
        <v>3</v>
      </c>
      <c r="V301">
        <v>9</v>
      </c>
      <c r="W301">
        <v>7</v>
      </c>
      <c r="X301">
        <v>6</v>
      </c>
      <c r="Y301">
        <v>10</v>
      </c>
      <c r="Z301">
        <v>8</v>
      </c>
      <c r="AA301">
        <v>0</v>
      </c>
      <c r="AB301">
        <v>1</v>
      </c>
      <c r="AC301">
        <v>6</v>
      </c>
      <c r="AD301">
        <v>5</v>
      </c>
      <c r="AE301">
        <v>6</v>
      </c>
      <c r="AF301">
        <v>2</v>
      </c>
      <c r="AG301">
        <v>10</v>
      </c>
      <c r="AH301">
        <v>6</v>
      </c>
      <c r="AI301">
        <v>9</v>
      </c>
      <c r="AJ301">
        <v>8</v>
      </c>
      <c r="AK301">
        <v>4</v>
      </c>
      <c r="AL301">
        <v>3</v>
      </c>
      <c r="AM301">
        <v>0</v>
      </c>
      <c r="AN301">
        <v>6</v>
      </c>
      <c r="AO301">
        <v>4</v>
      </c>
      <c r="AP301">
        <v>1</v>
      </c>
      <c r="AQ301">
        <v>5</v>
      </c>
      <c r="AR301">
        <v>8</v>
      </c>
      <c r="AS301">
        <v>0</v>
      </c>
      <c r="AT301">
        <v>8</v>
      </c>
      <c r="AU301">
        <v>5</v>
      </c>
      <c r="AV301">
        <v>3</v>
      </c>
      <c r="AW301">
        <v>6</v>
      </c>
      <c r="AX301">
        <v>8</v>
      </c>
      <c r="AY301">
        <v>2</v>
      </c>
      <c r="AZ301">
        <v>0</v>
      </c>
      <c r="BA301">
        <v>4</v>
      </c>
      <c r="BB301">
        <v>5</v>
      </c>
      <c r="BC301">
        <v>6</v>
      </c>
      <c r="BD301">
        <v>6</v>
      </c>
      <c r="BE301">
        <v>4</v>
      </c>
      <c r="BF301">
        <v>8</v>
      </c>
      <c r="BG301">
        <v>6</v>
      </c>
      <c r="BH301">
        <v>5</v>
      </c>
      <c r="BI301">
        <v>7</v>
      </c>
      <c r="BJ301">
        <v>9</v>
      </c>
      <c r="BK301">
        <v>1</v>
      </c>
      <c r="BL301">
        <v>10</v>
      </c>
      <c r="BM301">
        <v>1</v>
      </c>
      <c r="BN301">
        <v>9</v>
      </c>
      <c r="BO301">
        <v>10</v>
      </c>
      <c r="BP301">
        <v>9</v>
      </c>
      <c r="BQ301">
        <v>0</v>
      </c>
      <c r="BR301">
        <v>1</v>
      </c>
      <c r="BS301">
        <v>1</v>
      </c>
      <c r="BT301">
        <v>6</v>
      </c>
      <c r="BU301">
        <v>8</v>
      </c>
      <c r="BV301">
        <v>0</v>
      </c>
      <c r="BW301">
        <v>3</v>
      </c>
      <c r="BX301">
        <v>1</v>
      </c>
      <c r="BY301">
        <v>10</v>
      </c>
      <c r="BZ301">
        <v>5</v>
      </c>
      <c r="CA301">
        <v>5</v>
      </c>
      <c r="CB301">
        <v>9</v>
      </c>
      <c r="CC301">
        <v>0</v>
      </c>
      <c r="CD301">
        <v>8</v>
      </c>
      <c r="CE301">
        <v>5</v>
      </c>
      <c r="CF301">
        <v>6</v>
      </c>
      <c r="CG301">
        <v>0</v>
      </c>
      <c r="CH301">
        <v>1</v>
      </c>
      <c r="CI301">
        <v>5</v>
      </c>
      <c r="CJ301">
        <v>4</v>
      </c>
      <c r="CK301">
        <v>5</v>
      </c>
      <c r="CL301">
        <v>2</v>
      </c>
      <c r="CM301">
        <v>2</v>
      </c>
      <c r="CN301">
        <v>4</v>
      </c>
      <c r="CO301">
        <v>7</v>
      </c>
      <c r="CP301">
        <v>6</v>
      </c>
      <c r="CQ301">
        <v>5</v>
      </c>
      <c r="CR301">
        <v>6</v>
      </c>
      <c r="CS301">
        <v>3</v>
      </c>
      <c r="CT301">
        <v>8</v>
      </c>
      <c r="CU301">
        <v>8</v>
      </c>
      <c r="CV301">
        <v>4</v>
      </c>
      <c r="CW301">
        <v>4</v>
      </c>
      <c r="CX301">
        <v>4</v>
      </c>
      <c r="CY301">
        <v>1</v>
      </c>
      <c r="CZ301">
        <v>6</v>
      </c>
      <c r="DA301">
        <v>4</v>
      </c>
      <c r="DB301">
        <v>3</v>
      </c>
      <c r="DC301">
        <v>0</v>
      </c>
      <c r="DD301">
        <v>0</v>
      </c>
      <c r="DE301">
        <v>8</v>
      </c>
      <c r="DF301">
        <v>8</v>
      </c>
      <c r="DG301">
        <v>0</v>
      </c>
      <c r="DH301">
        <v>1</v>
      </c>
      <c r="DI301">
        <v>9</v>
      </c>
      <c r="DJ301">
        <v>3</v>
      </c>
      <c r="DK301">
        <v>3</v>
      </c>
    </row>
    <row r="302" spans="1:115">
      <c r="A302" s="173">
        <f>Calculations[[#This Row],[Sum t eCO2]]*IF(Calculations[[#This Row],[GHG Scope]]="BIOGENIC",0,1)</f>
        <v>6.7395498720000004</v>
      </c>
      <c r="O302">
        <f t="shared" si="4"/>
        <v>301</v>
      </c>
      <c r="P302">
        <v>10</v>
      </c>
      <c r="Q302">
        <v>1</v>
      </c>
      <c r="R302">
        <v>0</v>
      </c>
      <c r="S302">
        <v>2</v>
      </c>
      <c r="T302">
        <v>0</v>
      </c>
      <c r="U302">
        <v>10</v>
      </c>
      <c r="V302">
        <v>3</v>
      </c>
      <c r="W302">
        <v>1</v>
      </c>
      <c r="X302">
        <v>7</v>
      </c>
      <c r="Y302">
        <v>6</v>
      </c>
      <c r="Z302">
        <v>1</v>
      </c>
      <c r="AA302">
        <v>6</v>
      </c>
      <c r="AB302">
        <v>5</v>
      </c>
      <c r="AC302">
        <v>10</v>
      </c>
      <c r="AD302">
        <v>4</v>
      </c>
      <c r="AE302">
        <v>9</v>
      </c>
      <c r="AF302">
        <v>6</v>
      </c>
      <c r="AG302">
        <v>9</v>
      </c>
      <c r="AH302">
        <v>6</v>
      </c>
      <c r="AI302">
        <v>0</v>
      </c>
      <c r="AJ302">
        <v>7</v>
      </c>
      <c r="AK302">
        <v>9</v>
      </c>
      <c r="AL302">
        <v>1</v>
      </c>
      <c r="AM302">
        <v>1</v>
      </c>
      <c r="AN302">
        <v>1</v>
      </c>
      <c r="AO302">
        <v>9</v>
      </c>
      <c r="AP302">
        <v>6</v>
      </c>
      <c r="AQ302">
        <v>10</v>
      </c>
      <c r="AR302">
        <v>10</v>
      </c>
      <c r="AS302">
        <v>0</v>
      </c>
      <c r="AT302">
        <v>0</v>
      </c>
      <c r="AU302">
        <v>4</v>
      </c>
      <c r="AV302">
        <v>1</v>
      </c>
      <c r="AW302">
        <v>8</v>
      </c>
      <c r="AX302">
        <v>9</v>
      </c>
      <c r="AY302">
        <v>9</v>
      </c>
      <c r="AZ302">
        <v>4</v>
      </c>
      <c r="BA302">
        <v>9</v>
      </c>
      <c r="BB302">
        <v>0</v>
      </c>
      <c r="BC302">
        <v>1</v>
      </c>
      <c r="BD302">
        <v>4</v>
      </c>
      <c r="BE302">
        <v>7</v>
      </c>
      <c r="BF302">
        <v>0</v>
      </c>
      <c r="BG302">
        <v>7</v>
      </c>
      <c r="BH302">
        <v>9</v>
      </c>
      <c r="BI302">
        <v>1</v>
      </c>
      <c r="BJ302">
        <v>4</v>
      </c>
      <c r="BK302">
        <v>4</v>
      </c>
      <c r="BL302">
        <v>10</v>
      </c>
      <c r="BM302">
        <v>1</v>
      </c>
      <c r="BN302">
        <v>0</v>
      </c>
      <c r="BO302">
        <v>3</v>
      </c>
      <c r="BP302">
        <v>6</v>
      </c>
      <c r="BQ302">
        <v>3</v>
      </c>
      <c r="BR302">
        <v>7</v>
      </c>
      <c r="BS302">
        <v>5</v>
      </c>
      <c r="BT302">
        <v>4</v>
      </c>
      <c r="BU302">
        <v>3</v>
      </c>
      <c r="BV302">
        <v>6</v>
      </c>
      <c r="BW302">
        <v>4</v>
      </c>
      <c r="BX302">
        <v>8</v>
      </c>
      <c r="BY302">
        <v>1</v>
      </c>
      <c r="BZ302">
        <v>2</v>
      </c>
      <c r="CA302">
        <v>5</v>
      </c>
      <c r="CB302">
        <v>9</v>
      </c>
      <c r="CC302">
        <v>7</v>
      </c>
      <c r="CD302">
        <v>5</v>
      </c>
      <c r="CE302">
        <v>6</v>
      </c>
      <c r="CF302">
        <v>1</v>
      </c>
      <c r="CG302">
        <v>8</v>
      </c>
      <c r="CH302">
        <v>9</v>
      </c>
      <c r="CI302">
        <v>9</v>
      </c>
      <c r="CJ302">
        <v>8</v>
      </c>
      <c r="CK302">
        <v>8</v>
      </c>
      <c r="CL302">
        <v>3</v>
      </c>
      <c r="CM302">
        <v>0</v>
      </c>
      <c r="CN302">
        <v>9</v>
      </c>
      <c r="CO302">
        <v>0</v>
      </c>
      <c r="CP302">
        <v>3</v>
      </c>
      <c r="CQ302">
        <v>8</v>
      </c>
      <c r="CR302">
        <v>7</v>
      </c>
      <c r="CS302">
        <v>5</v>
      </c>
      <c r="CT302">
        <v>9</v>
      </c>
      <c r="CU302">
        <v>5</v>
      </c>
      <c r="CV302">
        <v>8</v>
      </c>
      <c r="CW302">
        <v>4</v>
      </c>
      <c r="CX302">
        <v>3</v>
      </c>
      <c r="CY302">
        <v>0</v>
      </c>
      <c r="CZ302">
        <v>6</v>
      </c>
      <c r="DA302">
        <v>3</v>
      </c>
      <c r="DB302">
        <v>2</v>
      </c>
      <c r="DC302">
        <v>3</v>
      </c>
      <c r="DD302">
        <v>10</v>
      </c>
      <c r="DE302">
        <v>6</v>
      </c>
      <c r="DF302">
        <v>10</v>
      </c>
      <c r="DG302">
        <v>9</v>
      </c>
      <c r="DH302">
        <v>9</v>
      </c>
      <c r="DI302">
        <v>2</v>
      </c>
      <c r="DJ302">
        <v>0</v>
      </c>
      <c r="DK302">
        <v>9</v>
      </c>
    </row>
    <row r="303" spans="1:115">
      <c r="A303" s="173">
        <f>Calculations[[#This Row],[Sum t eCO2]]*IF(Calculations[[#This Row],[GHG Scope]]="BIOGENIC",0,1)</f>
        <v>1.13448358296</v>
      </c>
      <c r="O303">
        <f t="shared" si="4"/>
        <v>302</v>
      </c>
      <c r="P303">
        <v>1</v>
      </c>
      <c r="Q303">
        <v>1</v>
      </c>
      <c r="R303">
        <v>9</v>
      </c>
      <c r="S303">
        <v>0</v>
      </c>
      <c r="T303">
        <v>5</v>
      </c>
      <c r="U303">
        <v>4</v>
      </c>
      <c r="V303">
        <v>4</v>
      </c>
      <c r="W303">
        <v>10</v>
      </c>
      <c r="X303">
        <v>3</v>
      </c>
      <c r="Y303">
        <v>6</v>
      </c>
      <c r="Z303">
        <v>7</v>
      </c>
      <c r="AA303">
        <v>6</v>
      </c>
      <c r="AB303">
        <v>5</v>
      </c>
      <c r="AC303">
        <v>5</v>
      </c>
      <c r="AD303">
        <v>7</v>
      </c>
      <c r="AE303">
        <v>5</v>
      </c>
      <c r="AF303">
        <v>5</v>
      </c>
      <c r="AG303">
        <v>10</v>
      </c>
      <c r="AH303">
        <v>3</v>
      </c>
      <c r="AI303">
        <v>7</v>
      </c>
      <c r="AJ303">
        <v>4</v>
      </c>
      <c r="AK303">
        <v>4</v>
      </c>
      <c r="AL303">
        <v>1</v>
      </c>
      <c r="AM303">
        <v>10</v>
      </c>
      <c r="AN303">
        <v>3</v>
      </c>
      <c r="AO303">
        <v>6</v>
      </c>
      <c r="AP303">
        <v>2</v>
      </c>
      <c r="AQ303">
        <v>8</v>
      </c>
      <c r="AR303">
        <v>5</v>
      </c>
      <c r="AS303">
        <v>0</v>
      </c>
      <c r="AT303">
        <v>6</v>
      </c>
      <c r="AU303">
        <v>9</v>
      </c>
      <c r="AV303">
        <v>1</v>
      </c>
      <c r="AW303">
        <v>8</v>
      </c>
      <c r="AX303">
        <v>5</v>
      </c>
      <c r="AY303">
        <v>5</v>
      </c>
      <c r="AZ303">
        <v>1</v>
      </c>
      <c r="BA303">
        <v>9</v>
      </c>
      <c r="BB303">
        <v>5</v>
      </c>
      <c r="BC303">
        <v>0</v>
      </c>
      <c r="BD303">
        <v>5</v>
      </c>
      <c r="BE303">
        <v>0</v>
      </c>
      <c r="BF303">
        <v>9</v>
      </c>
      <c r="BG303">
        <v>9</v>
      </c>
      <c r="BH303">
        <v>4</v>
      </c>
      <c r="BI303">
        <v>3</v>
      </c>
      <c r="BJ303">
        <v>9</v>
      </c>
      <c r="BK303">
        <v>1</v>
      </c>
      <c r="BL303">
        <v>2</v>
      </c>
      <c r="BM303">
        <v>3</v>
      </c>
      <c r="BN303">
        <v>5</v>
      </c>
      <c r="BO303">
        <v>9</v>
      </c>
      <c r="BP303">
        <v>2</v>
      </c>
      <c r="BQ303">
        <v>8</v>
      </c>
      <c r="BR303">
        <v>10</v>
      </c>
      <c r="BS303">
        <v>2</v>
      </c>
      <c r="BT303">
        <v>0</v>
      </c>
      <c r="BU303">
        <v>3</v>
      </c>
      <c r="BV303">
        <v>8</v>
      </c>
      <c r="BW303">
        <v>5</v>
      </c>
      <c r="BX303">
        <v>7</v>
      </c>
      <c r="BY303">
        <v>10</v>
      </c>
      <c r="BZ303">
        <v>1</v>
      </c>
      <c r="CA303">
        <v>4</v>
      </c>
      <c r="CB303">
        <v>1</v>
      </c>
      <c r="CC303">
        <v>7</v>
      </c>
      <c r="CD303">
        <v>4</v>
      </c>
      <c r="CE303">
        <v>4</v>
      </c>
      <c r="CF303">
        <v>1</v>
      </c>
      <c r="CG303">
        <v>0</v>
      </c>
      <c r="CH303">
        <v>0</v>
      </c>
      <c r="CI303">
        <v>10</v>
      </c>
      <c r="CJ303">
        <v>1</v>
      </c>
      <c r="CK303">
        <v>10</v>
      </c>
      <c r="CL303">
        <v>1</v>
      </c>
      <c r="CM303">
        <v>6</v>
      </c>
      <c r="CN303">
        <v>1</v>
      </c>
      <c r="CO303">
        <v>8</v>
      </c>
      <c r="CP303">
        <v>6</v>
      </c>
      <c r="CQ303">
        <v>6</v>
      </c>
      <c r="CR303">
        <v>9</v>
      </c>
      <c r="CS303">
        <v>2</v>
      </c>
      <c r="CT303">
        <v>1</v>
      </c>
      <c r="CU303">
        <v>5</v>
      </c>
      <c r="CV303">
        <v>0</v>
      </c>
      <c r="CW303">
        <v>2</v>
      </c>
      <c r="CX303">
        <v>0</v>
      </c>
      <c r="CY303">
        <v>3</v>
      </c>
      <c r="CZ303">
        <v>0</v>
      </c>
      <c r="DA303">
        <v>10</v>
      </c>
      <c r="DB303">
        <v>3</v>
      </c>
      <c r="DC303">
        <v>7</v>
      </c>
      <c r="DD303">
        <v>3</v>
      </c>
      <c r="DE303">
        <v>10</v>
      </c>
      <c r="DF303">
        <v>0</v>
      </c>
      <c r="DG303">
        <v>2</v>
      </c>
      <c r="DH303">
        <v>1</v>
      </c>
      <c r="DI303">
        <v>1</v>
      </c>
      <c r="DJ303">
        <v>3</v>
      </c>
      <c r="DK303">
        <v>7</v>
      </c>
    </row>
    <row r="304" spans="1:115">
      <c r="A304" s="173">
        <f>Calculations[[#This Row],[Sum t eCO2]]*IF(Calculations[[#This Row],[GHG Scope]]="BIOGENIC",0,1)</f>
        <v>23.637304350000004</v>
      </c>
      <c r="O304">
        <f t="shared" si="4"/>
        <v>303</v>
      </c>
      <c r="P304">
        <v>10</v>
      </c>
      <c r="Q304">
        <v>1</v>
      </c>
      <c r="R304">
        <v>1</v>
      </c>
      <c r="S304">
        <v>4</v>
      </c>
      <c r="T304">
        <v>8</v>
      </c>
      <c r="U304">
        <v>10</v>
      </c>
      <c r="V304">
        <v>7</v>
      </c>
      <c r="W304">
        <v>8</v>
      </c>
      <c r="X304">
        <v>8</v>
      </c>
      <c r="Y304">
        <v>6</v>
      </c>
      <c r="Z304">
        <v>7</v>
      </c>
      <c r="AA304">
        <v>6</v>
      </c>
      <c r="AB304">
        <v>2</v>
      </c>
      <c r="AC304">
        <v>2</v>
      </c>
      <c r="AD304">
        <v>9</v>
      </c>
      <c r="AE304">
        <v>4</v>
      </c>
      <c r="AF304">
        <v>8</v>
      </c>
      <c r="AG304">
        <v>2</v>
      </c>
      <c r="AH304">
        <v>5</v>
      </c>
      <c r="AI304">
        <v>1</v>
      </c>
      <c r="AJ304">
        <v>9</v>
      </c>
      <c r="AK304">
        <v>0</v>
      </c>
      <c r="AL304">
        <v>1</v>
      </c>
      <c r="AM304">
        <v>3</v>
      </c>
      <c r="AN304">
        <v>9</v>
      </c>
      <c r="AO304">
        <v>10</v>
      </c>
      <c r="AP304">
        <v>6</v>
      </c>
      <c r="AQ304">
        <v>5</v>
      </c>
      <c r="AR304">
        <v>7</v>
      </c>
      <c r="AS304">
        <v>3</v>
      </c>
      <c r="AT304">
        <v>8</v>
      </c>
      <c r="AU304">
        <v>0</v>
      </c>
      <c r="AV304">
        <v>0</v>
      </c>
      <c r="AW304">
        <v>2</v>
      </c>
      <c r="AX304">
        <v>3</v>
      </c>
      <c r="AY304">
        <v>6</v>
      </c>
      <c r="AZ304">
        <v>0</v>
      </c>
      <c r="BA304">
        <v>0</v>
      </c>
      <c r="BB304">
        <v>3</v>
      </c>
      <c r="BC304">
        <v>10</v>
      </c>
      <c r="BD304">
        <v>1</v>
      </c>
      <c r="BE304">
        <v>5</v>
      </c>
      <c r="BF304">
        <v>8</v>
      </c>
      <c r="BG304">
        <v>2</v>
      </c>
      <c r="BH304">
        <v>4</v>
      </c>
      <c r="BI304">
        <v>10</v>
      </c>
      <c r="BJ304">
        <v>4</v>
      </c>
      <c r="BK304">
        <v>2</v>
      </c>
      <c r="BL304">
        <v>2</v>
      </c>
      <c r="BM304">
        <v>10</v>
      </c>
      <c r="BN304">
        <v>5</v>
      </c>
      <c r="BO304">
        <v>10</v>
      </c>
      <c r="BP304">
        <v>10</v>
      </c>
      <c r="BQ304">
        <v>5</v>
      </c>
      <c r="BR304">
        <v>8</v>
      </c>
      <c r="BS304">
        <v>1</v>
      </c>
      <c r="BT304">
        <v>4</v>
      </c>
      <c r="BU304">
        <v>8</v>
      </c>
      <c r="BV304">
        <v>2</v>
      </c>
      <c r="BW304">
        <v>3</v>
      </c>
      <c r="BX304">
        <v>4</v>
      </c>
      <c r="BY304">
        <v>2</v>
      </c>
      <c r="BZ304">
        <v>6</v>
      </c>
      <c r="CA304">
        <v>1</v>
      </c>
      <c r="CB304">
        <v>1</v>
      </c>
      <c r="CC304">
        <v>6</v>
      </c>
      <c r="CD304">
        <v>6</v>
      </c>
      <c r="CE304">
        <v>3</v>
      </c>
      <c r="CF304">
        <v>0</v>
      </c>
      <c r="CG304">
        <v>9</v>
      </c>
      <c r="CH304">
        <v>9</v>
      </c>
      <c r="CI304">
        <v>0</v>
      </c>
      <c r="CJ304">
        <v>1</v>
      </c>
      <c r="CK304">
        <v>5</v>
      </c>
      <c r="CL304">
        <v>2</v>
      </c>
      <c r="CM304">
        <v>5</v>
      </c>
      <c r="CN304">
        <v>8</v>
      </c>
      <c r="CO304">
        <v>10</v>
      </c>
      <c r="CP304">
        <v>0</v>
      </c>
      <c r="CQ304">
        <v>6</v>
      </c>
      <c r="CR304">
        <v>2</v>
      </c>
      <c r="CS304">
        <v>9</v>
      </c>
      <c r="CT304">
        <v>4</v>
      </c>
      <c r="CU304">
        <v>9</v>
      </c>
      <c r="CV304">
        <v>9</v>
      </c>
      <c r="CW304">
        <v>7</v>
      </c>
      <c r="CX304">
        <v>7</v>
      </c>
      <c r="CY304">
        <v>9</v>
      </c>
      <c r="CZ304">
        <v>8</v>
      </c>
      <c r="DA304">
        <v>3</v>
      </c>
      <c r="DB304">
        <v>10</v>
      </c>
      <c r="DC304">
        <v>6</v>
      </c>
      <c r="DD304">
        <v>8</v>
      </c>
      <c r="DE304">
        <v>1</v>
      </c>
      <c r="DF304">
        <v>5</v>
      </c>
      <c r="DG304">
        <v>7</v>
      </c>
      <c r="DH304">
        <v>6</v>
      </c>
      <c r="DI304">
        <v>4</v>
      </c>
      <c r="DJ304">
        <v>10</v>
      </c>
      <c r="DK304">
        <v>0</v>
      </c>
    </row>
    <row r="305" spans="1:115">
      <c r="A305" s="173">
        <f>Calculations[[#This Row],[Sum t eCO2]]*IF(Calculations[[#This Row],[GHG Scope]]="BIOGENIC",0,1)</f>
        <v>11.670068681560801</v>
      </c>
      <c r="O305">
        <f t="shared" si="4"/>
        <v>304</v>
      </c>
      <c r="P305">
        <v>1</v>
      </c>
      <c r="Q305">
        <v>3</v>
      </c>
      <c r="R305">
        <v>8</v>
      </c>
      <c r="S305">
        <v>10</v>
      </c>
      <c r="T305">
        <v>7</v>
      </c>
      <c r="U305">
        <v>10</v>
      </c>
      <c r="V305">
        <v>5</v>
      </c>
      <c r="W305">
        <v>7</v>
      </c>
      <c r="X305">
        <v>7</v>
      </c>
      <c r="Y305">
        <v>0</v>
      </c>
      <c r="Z305">
        <v>2</v>
      </c>
      <c r="AA305">
        <v>5</v>
      </c>
      <c r="AB305">
        <v>9</v>
      </c>
      <c r="AC305">
        <v>7</v>
      </c>
      <c r="AD305">
        <v>0</v>
      </c>
      <c r="AE305">
        <v>5</v>
      </c>
      <c r="AF305">
        <v>8</v>
      </c>
      <c r="AG305">
        <v>9</v>
      </c>
      <c r="AH305">
        <v>2</v>
      </c>
      <c r="AI305">
        <v>10</v>
      </c>
      <c r="AJ305">
        <v>8</v>
      </c>
      <c r="AK305">
        <v>6</v>
      </c>
      <c r="AL305">
        <v>10</v>
      </c>
      <c r="AM305">
        <v>1</v>
      </c>
      <c r="AN305">
        <v>0</v>
      </c>
      <c r="AO305">
        <v>1</v>
      </c>
      <c r="AP305">
        <v>10</v>
      </c>
      <c r="AQ305">
        <v>5</v>
      </c>
      <c r="AR305">
        <v>1</v>
      </c>
      <c r="AS305">
        <v>2</v>
      </c>
      <c r="AT305">
        <v>10</v>
      </c>
      <c r="AU305">
        <v>10</v>
      </c>
      <c r="AV305">
        <v>1</v>
      </c>
      <c r="AW305">
        <v>6</v>
      </c>
      <c r="AX305">
        <v>4</v>
      </c>
      <c r="AY305">
        <v>2</v>
      </c>
      <c r="AZ305">
        <v>1</v>
      </c>
      <c r="BA305">
        <v>0</v>
      </c>
      <c r="BB305">
        <v>8</v>
      </c>
      <c r="BC305">
        <v>7</v>
      </c>
      <c r="BD305">
        <v>4</v>
      </c>
      <c r="BE305">
        <v>1</v>
      </c>
      <c r="BF305">
        <v>1</v>
      </c>
      <c r="BG305">
        <v>3</v>
      </c>
      <c r="BH305">
        <v>6</v>
      </c>
      <c r="BI305">
        <v>1</v>
      </c>
      <c r="BJ305">
        <v>3</v>
      </c>
      <c r="BK305">
        <v>10</v>
      </c>
      <c r="BL305">
        <v>0</v>
      </c>
      <c r="BM305">
        <v>0</v>
      </c>
      <c r="BN305">
        <v>5</v>
      </c>
      <c r="BO305">
        <v>1</v>
      </c>
      <c r="BP305">
        <v>2</v>
      </c>
      <c r="BQ305">
        <v>4</v>
      </c>
      <c r="BR305">
        <v>0</v>
      </c>
      <c r="BS305">
        <v>6</v>
      </c>
      <c r="BT305">
        <v>3</v>
      </c>
      <c r="BU305">
        <v>7</v>
      </c>
      <c r="BV305">
        <v>0</v>
      </c>
      <c r="BW305">
        <v>6</v>
      </c>
      <c r="BX305">
        <v>3</v>
      </c>
      <c r="BY305">
        <v>5</v>
      </c>
      <c r="BZ305">
        <v>6</v>
      </c>
      <c r="CA305">
        <v>4</v>
      </c>
      <c r="CB305">
        <v>5</v>
      </c>
      <c r="CC305">
        <v>1</v>
      </c>
      <c r="CD305">
        <v>2</v>
      </c>
      <c r="CE305">
        <v>9</v>
      </c>
      <c r="CF305">
        <v>0</v>
      </c>
      <c r="CG305">
        <v>4</v>
      </c>
      <c r="CH305">
        <v>9</v>
      </c>
      <c r="CI305">
        <v>2</v>
      </c>
      <c r="CJ305">
        <v>0</v>
      </c>
      <c r="CK305">
        <v>9</v>
      </c>
      <c r="CL305">
        <v>5</v>
      </c>
      <c r="CM305">
        <v>7</v>
      </c>
      <c r="CN305">
        <v>10</v>
      </c>
      <c r="CO305">
        <v>4</v>
      </c>
      <c r="CP305">
        <v>5</v>
      </c>
      <c r="CQ305">
        <v>6</v>
      </c>
      <c r="CR305">
        <v>8</v>
      </c>
      <c r="CS305">
        <v>1</v>
      </c>
      <c r="CT305">
        <v>10</v>
      </c>
      <c r="CU305">
        <v>0</v>
      </c>
      <c r="CV305">
        <v>8</v>
      </c>
      <c r="CW305">
        <v>8</v>
      </c>
      <c r="CX305">
        <v>5</v>
      </c>
      <c r="CY305">
        <v>8</v>
      </c>
      <c r="CZ305">
        <v>1</v>
      </c>
      <c r="DA305">
        <v>5</v>
      </c>
      <c r="DB305">
        <v>10</v>
      </c>
      <c r="DC305">
        <v>0</v>
      </c>
      <c r="DD305">
        <v>0</v>
      </c>
      <c r="DE305">
        <v>7</v>
      </c>
      <c r="DF305">
        <v>10</v>
      </c>
      <c r="DG305">
        <v>10</v>
      </c>
      <c r="DH305">
        <v>2</v>
      </c>
      <c r="DI305">
        <v>7</v>
      </c>
      <c r="DJ305">
        <v>10</v>
      </c>
      <c r="DK305">
        <v>10</v>
      </c>
    </row>
    <row r="306" spans="1:115">
      <c r="A306" s="173">
        <f>Calculations[[#This Row],[Sum t eCO2]]*IF(Calculations[[#This Row],[GHG Scope]]="BIOGENIC",0,1)</f>
        <v>9.5019895327500006</v>
      </c>
      <c r="O306">
        <f t="shared" si="4"/>
        <v>305</v>
      </c>
      <c r="P306">
        <v>7</v>
      </c>
      <c r="Q306">
        <v>10</v>
      </c>
      <c r="R306">
        <v>9</v>
      </c>
      <c r="S306">
        <v>1</v>
      </c>
      <c r="T306">
        <v>9</v>
      </c>
      <c r="U306">
        <v>7</v>
      </c>
      <c r="V306">
        <v>5</v>
      </c>
      <c r="W306">
        <v>7</v>
      </c>
      <c r="X306">
        <v>6</v>
      </c>
      <c r="Y306">
        <v>7</v>
      </c>
      <c r="Z306">
        <v>6</v>
      </c>
      <c r="AA306">
        <v>1</v>
      </c>
      <c r="AB306">
        <v>8</v>
      </c>
      <c r="AC306">
        <v>10</v>
      </c>
      <c r="AD306">
        <v>2</v>
      </c>
      <c r="AE306">
        <v>8</v>
      </c>
      <c r="AF306">
        <v>0</v>
      </c>
      <c r="AG306">
        <v>5</v>
      </c>
      <c r="AH306">
        <v>9</v>
      </c>
      <c r="AI306">
        <v>1</v>
      </c>
      <c r="AJ306">
        <v>5</v>
      </c>
      <c r="AK306">
        <v>8</v>
      </c>
      <c r="AL306">
        <v>8</v>
      </c>
      <c r="AM306">
        <v>9</v>
      </c>
      <c r="AN306">
        <v>1</v>
      </c>
      <c r="AO306">
        <v>1</v>
      </c>
      <c r="AP306">
        <v>9</v>
      </c>
      <c r="AQ306">
        <v>8</v>
      </c>
      <c r="AR306">
        <v>1</v>
      </c>
      <c r="AS306">
        <v>8</v>
      </c>
      <c r="AT306">
        <v>8</v>
      </c>
      <c r="AU306">
        <v>10</v>
      </c>
      <c r="AV306">
        <v>7</v>
      </c>
      <c r="AW306">
        <v>3</v>
      </c>
      <c r="AX306">
        <v>9</v>
      </c>
      <c r="AY306">
        <v>8</v>
      </c>
      <c r="AZ306">
        <v>1</v>
      </c>
      <c r="BA306">
        <v>10</v>
      </c>
      <c r="BB306">
        <v>3</v>
      </c>
      <c r="BC306">
        <v>9</v>
      </c>
      <c r="BD306">
        <v>2</v>
      </c>
      <c r="BE306">
        <v>1</v>
      </c>
      <c r="BF306">
        <v>4</v>
      </c>
      <c r="BG306">
        <v>1</v>
      </c>
      <c r="BH306">
        <v>9</v>
      </c>
      <c r="BI306">
        <v>8</v>
      </c>
      <c r="BJ306">
        <v>8</v>
      </c>
      <c r="BK306">
        <v>2</v>
      </c>
      <c r="BL306">
        <v>0</v>
      </c>
      <c r="BM306">
        <v>4</v>
      </c>
      <c r="BN306">
        <v>10</v>
      </c>
      <c r="BO306">
        <v>10</v>
      </c>
      <c r="BP306">
        <v>5</v>
      </c>
      <c r="BQ306">
        <v>4</v>
      </c>
      <c r="BR306">
        <v>0</v>
      </c>
      <c r="BS306">
        <v>3</v>
      </c>
      <c r="BT306">
        <v>9</v>
      </c>
      <c r="BU306">
        <v>5</v>
      </c>
      <c r="BV306">
        <v>9</v>
      </c>
      <c r="BW306">
        <v>1</v>
      </c>
      <c r="BX306">
        <v>6</v>
      </c>
      <c r="BY306">
        <v>9</v>
      </c>
      <c r="BZ306">
        <v>3</v>
      </c>
      <c r="CA306">
        <v>10</v>
      </c>
      <c r="CB306">
        <v>0</v>
      </c>
      <c r="CC306">
        <v>5</v>
      </c>
      <c r="CD306">
        <v>1</v>
      </c>
      <c r="CE306">
        <v>10</v>
      </c>
      <c r="CF306">
        <v>7</v>
      </c>
      <c r="CG306">
        <v>7</v>
      </c>
      <c r="CH306">
        <v>2</v>
      </c>
      <c r="CI306">
        <v>7</v>
      </c>
      <c r="CJ306">
        <v>4</v>
      </c>
      <c r="CK306">
        <v>4</v>
      </c>
      <c r="CL306">
        <v>6</v>
      </c>
      <c r="CM306">
        <v>3</v>
      </c>
      <c r="CN306">
        <v>10</v>
      </c>
      <c r="CO306">
        <v>2</v>
      </c>
      <c r="CP306">
        <v>2</v>
      </c>
      <c r="CQ306">
        <v>9</v>
      </c>
      <c r="CR306">
        <v>2</v>
      </c>
      <c r="CS306">
        <v>10</v>
      </c>
      <c r="CT306">
        <v>7</v>
      </c>
      <c r="CU306">
        <v>8</v>
      </c>
      <c r="CV306">
        <v>6</v>
      </c>
      <c r="CW306">
        <v>5</v>
      </c>
      <c r="CX306">
        <v>9</v>
      </c>
      <c r="CY306">
        <v>4</v>
      </c>
      <c r="CZ306">
        <v>1</v>
      </c>
      <c r="DA306">
        <v>2</v>
      </c>
      <c r="DB306">
        <v>8</v>
      </c>
      <c r="DC306">
        <v>9</v>
      </c>
      <c r="DD306">
        <v>4</v>
      </c>
      <c r="DE306">
        <v>1</v>
      </c>
      <c r="DF306">
        <v>9</v>
      </c>
      <c r="DG306">
        <v>2</v>
      </c>
      <c r="DH306">
        <v>3</v>
      </c>
      <c r="DI306">
        <v>4</v>
      </c>
      <c r="DJ306">
        <v>9</v>
      </c>
      <c r="DK306">
        <v>7</v>
      </c>
    </row>
    <row r="307" spans="1:115">
      <c r="A307" s="173">
        <f>Calculations[[#This Row],[Sum t eCO2]]*IF(Calculations[[#This Row],[GHG Scope]]="BIOGENIC",0,1)</f>
        <v>29.351522727002003</v>
      </c>
      <c r="O307">
        <f t="shared" si="4"/>
        <v>306</v>
      </c>
      <c r="P307">
        <v>2</v>
      </c>
      <c r="Q307">
        <v>6</v>
      </c>
      <c r="R307">
        <v>5</v>
      </c>
      <c r="S307">
        <v>1</v>
      </c>
      <c r="T307">
        <v>1</v>
      </c>
      <c r="U307">
        <v>7</v>
      </c>
      <c r="V307">
        <v>7</v>
      </c>
      <c r="W307">
        <v>6</v>
      </c>
      <c r="X307">
        <v>9</v>
      </c>
      <c r="Y307">
        <v>4</v>
      </c>
      <c r="Z307">
        <v>7</v>
      </c>
      <c r="AA307">
        <v>4</v>
      </c>
      <c r="AB307">
        <v>2</v>
      </c>
      <c r="AC307">
        <v>9</v>
      </c>
      <c r="AD307">
        <v>10</v>
      </c>
      <c r="AE307">
        <v>9</v>
      </c>
      <c r="AF307">
        <v>7</v>
      </c>
      <c r="AG307">
        <v>10</v>
      </c>
      <c r="AH307">
        <v>10</v>
      </c>
      <c r="AI307">
        <v>2</v>
      </c>
      <c r="AJ307">
        <v>7</v>
      </c>
      <c r="AK307">
        <v>1</v>
      </c>
      <c r="AL307">
        <v>4</v>
      </c>
      <c r="AM307">
        <v>9</v>
      </c>
      <c r="AN307">
        <v>8</v>
      </c>
      <c r="AO307">
        <v>8</v>
      </c>
      <c r="AP307">
        <v>6</v>
      </c>
      <c r="AQ307">
        <v>2</v>
      </c>
      <c r="AR307">
        <v>6</v>
      </c>
      <c r="AS307">
        <v>3</v>
      </c>
      <c r="AT307">
        <v>7</v>
      </c>
      <c r="AU307">
        <v>3</v>
      </c>
      <c r="AV307">
        <v>4</v>
      </c>
      <c r="AW307">
        <v>2</v>
      </c>
      <c r="AX307">
        <v>5</v>
      </c>
      <c r="AY307">
        <v>1</v>
      </c>
      <c r="AZ307">
        <v>3</v>
      </c>
      <c r="BA307">
        <v>5</v>
      </c>
      <c r="BB307">
        <v>0</v>
      </c>
      <c r="BC307">
        <v>4</v>
      </c>
      <c r="BD307">
        <v>8</v>
      </c>
      <c r="BE307">
        <v>6</v>
      </c>
      <c r="BF307">
        <v>9</v>
      </c>
      <c r="BG307">
        <v>3</v>
      </c>
      <c r="BH307">
        <v>1</v>
      </c>
      <c r="BI307">
        <v>1</v>
      </c>
      <c r="BJ307">
        <v>5</v>
      </c>
      <c r="BK307">
        <v>0</v>
      </c>
      <c r="BL307">
        <v>4</v>
      </c>
      <c r="BM307">
        <v>5</v>
      </c>
      <c r="BN307">
        <v>5</v>
      </c>
      <c r="BO307">
        <v>4</v>
      </c>
      <c r="BP307">
        <v>2</v>
      </c>
      <c r="BQ307">
        <v>4</v>
      </c>
      <c r="BR307">
        <v>5</v>
      </c>
      <c r="BS307">
        <v>4</v>
      </c>
      <c r="BT307">
        <v>10</v>
      </c>
      <c r="BU307">
        <v>0</v>
      </c>
      <c r="BV307">
        <v>3</v>
      </c>
      <c r="BW307">
        <v>0</v>
      </c>
      <c r="BX307">
        <v>2</v>
      </c>
      <c r="BY307">
        <v>2</v>
      </c>
      <c r="BZ307">
        <v>3</v>
      </c>
      <c r="CA307">
        <v>0</v>
      </c>
      <c r="CB307">
        <v>7</v>
      </c>
      <c r="CC307">
        <v>2</v>
      </c>
      <c r="CD307">
        <v>2</v>
      </c>
      <c r="CE307">
        <v>4</v>
      </c>
      <c r="CF307">
        <v>10</v>
      </c>
      <c r="CG307">
        <v>3</v>
      </c>
      <c r="CH307">
        <v>10</v>
      </c>
      <c r="CI307">
        <v>10</v>
      </c>
      <c r="CJ307">
        <v>5</v>
      </c>
      <c r="CK307">
        <v>5</v>
      </c>
      <c r="CL307">
        <v>4</v>
      </c>
      <c r="CM307">
        <v>4</v>
      </c>
      <c r="CN307">
        <v>0</v>
      </c>
      <c r="CO307">
        <v>6</v>
      </c>
      <c r="CP307">
        <v>0</v>
      </c>
      <c r="CQ307">
        <v>0</v>
      </c>
      <c r="CR307">
        <v>6</v>
      </c>
      <c r="CS307">
        <v>2</v>
      </c>
      <c r="CT307">
        <v>1</v>
      </c>
      <c r="CU307">
        <v>9</v>
      </c>
      <c r="CV307">
        <v>7</v>
      </c>
      <c r="CW307">
        <v>7</v>
      </c>
      <c r="CX307">
        <v>10</v>
      </c>
      <c r="CY307">
        <v>10</v>
      </c>
      <c r="CZ307">
        <v>10</v>
      </c>
      <c r="DA307">
        <v>3</v>
      </c>
      <c r="DB307">
        <v>1</v>
      </c>
      <c r="DC307">
        <v>1</v>
      </c>
      <c r="DD307">
        <v>8</v>
      </c>
      <c r="DE307">
        <v>2</v>
      </c>
      <c r="DF307">
        <v>0</v>
      </c>
      <c r="DG307">
        <v>10</v>
      </c>
      <c r="DH307">
        <v>4</v>
      </c>
      <c r="DI307">
        <v>4</v>
      </c>
      <c r="DJ307">
        <v>3</v>
      </c>
      <c r="DK307">
        <v>3</v>
      </c>
    </row>
    <row r="308" spans="1:115">
      <c r="A308" s="173">
        <f>Calculations[[#This Row],[Sum t eCO2]]*IF(Calculations[[#This Row],[GHG Scope]]="BIOGENIC",0,1)</f>
        <v>6.2660567209499982</v>
      </c>
      <c r="O308">
        <f t="shared" si="4"/>
        <v>307</v>
      </c>
      <c r="P308">
        <v>0</v>
      </c>
      <c r="Q308">
        <v>3</v>
      </c>
      <c r="R308">
        <v>1</v>
      </c>
      <c r="S308">
        <v>10</v>
      </c>
      <c r="T308">
        <v>7</v>
      </c>
      <c r="U308">
        <v>8</v>
      </c>
      <c r="V308">
        <v>1</v>
      </c>
      <c r="W308">
        <v>3</v>
      </c>
      <c r="X308">
        <v>6</v>
      </c>
      <c r="Y308">
        <v>8</v>
      </c>
      <c r="Z308">
        <v>1</v>
      </c>
      <c r="AA308">
        <v>5</v>
      </c>
      <c r="AB308">
        <v>6</v>
      </c>
      <c r="AC308">
        <v>0</v>
      </c>
      <c r="AD308">
        <v>0</v>
      </c>
      <c r="AE308">
        <v>6</v>
      </c>
      <c r="AF308">
        <v>6</v>
      </c>
      <c r="AG308">
        <v>10</v>
      </c>
      <c r="AH308">
        <v>4</v>
      </c>
      <c r="AI308">
        <v>5</v>
      </c>
      <c r="AJ308">
        <v>10</v>
      </c>
      <c r="AK308">
        <v>10</v>
      </c>
      <c r="AL308">
        <v>2</v>
      </c>
      <c r="AM308">
        <v>3</v>
      </c>
      <c r="AN308">
        <v>6</v>
      </c>
      <c r="AO308">
        <v>10</v>
      </c>
      <c r="AP308">
        <v>0</v>
      </c>
      <c r="AQ308">
        <v>3</v>
      </c>
      <c r="AR308">
        <v>1</v>
      </c>
      <c r="AS308">
        <v>9</v>
      </c>
      <c r="AT308">
        <v>8</v>
      </c>
      <c r="AU308">
        <v>7</v>
      </c>
      <c r="AV308">
        <v>8</v>
      </c>
      <c r="AW308">
        <v>4</v>
      </c>
      <c r="AX308">
        <v>8</v>
      </c>
      <c r="AY308">
        <v>10</v>
      </c>
      <c r="AZ308">
        <v>1</v>
      </c>
      <c r="BA308">
        <v>3</v>
      </c>
      <c r="BB308">
        <v>10</v>
      </c>
      <c r="BC308">
        <v>1</v>
      </c>
      <c r="BD308">
        <v>4</v>
      </c>
      <c r="BE308">
        <v>2</v>
      </c>
      <c r="BF308">
        <v>5</v>
      </c>
      <c r="BG308">
        <v>3</v>
      </c>
      <c r="BH308">
        <v>4</v>
      </c>
      <c r="BI308">
        <v>2</v>
      </c>
      <c r="BJ308">
        <v>2</v>
      </c>
      <c r="BK308">
        <v>2</v>
      </c>
      <c r="BL308">
        <v>7</v>
      </c>
      <c r="BM308">
        <v>8</v>
      </c>
      <c r="BN308">
        <v>0</v>
      </c>
      <c r="BO308">
        <v>4</v>
      </c>
      <c r="BP308">
        <v>1</v>
      </c>
      <c r="BQ308">
        <v>3</v>
      </c>
      <c r="BR308">
        <v>7</v>
      </c>
      <c r="BS308">
        <v>4</v>
      </c>
      <c r="BT308">
        <v>8</v>
      </c>
      <c r="BU308">
        <v>9</v>
      </c>
      <c r="BV308">
        <v>6</v>
      </c>
      <c r="BW308">
        <v>9</v>
      </c>
      <c r="BX308">
        <v>8</v>
      </c>
      <c r="BY308">
        <v>2</v>
      </c>
      <c r="BZ308">
        <v>8</v>
      </c>
      <c r="CA308">
        <v>5</v>
      </c>
      <c r="CB308">
        <v>10</v>
      </c>
      <c r="CC308">
        <v>3</v>
      </c>
      <c r="CD308">
        <v>1</v>
      </c>
      <c r="CE308">
        <v>5</v>
      </c>
      <c r="CF308">
        <v>2</v>
      </c>
      <c r="CG308">
        <v>4</v>
      </c>
      <c r="CH308">
        <v>8</v>
      </c>
      <c r="CI308">
        <v>2</v>
      </c>
      <c r="CJ308">
        <v>1</v>
      </c>
      <c r="CK308">
        <v>0</v>
      </c>
      <c r="CL308">
        <v>10</v>
      </c>
      <c r="CM308">
        <v>9</v>
      </c>
      <c r="CN308">
        <v>7</v>
      </c>
      <c r="CO308">
        <v>0</v>
      </c>
      <c r="CP308">
        <v>2</v>
      </c>
      <c r="CQ308">
        <v>2</v>
      </c>
      <c r="CR308">
        <v>1</v>
      </c>
      <c r="CS308">
        <v>4</v>
      </c>
      <c r="CT308">
        <v>5</v>
      </c>
      <c r="CU308">
        <v>5</v>
      </c>
      <c r="CV308">
        <v>8</v>
      </c>
      <c r="CW308">
        <v>4</v>
      </c>
      <c r="CX308">
        <v>6</v>
      </c>
      <c r="CY308">
        <v>3</v>
      </c>
      <c r="CZ308">
        <v>10</v>
      </c>
      <c r="DA308">
        <v>10</v>
      </c>
      <c r="DB308">
        <v>4</v>
      </c>
      <c r="DC308">
        <v>2</v>
      </c>
      <c r="DD308">
        <v>5</v>
      </c>
      <c r="DE308">
        <v>8</v>
      </c>
      <c r="DF308">
        <v>8</v>
      </c>
      <c r="DG308">
        <v>6</v>
      </c>
      <c r="DH308">
        <v>0</v>
      </c>
      <c r="DI308">
        <v>7</v>
      </c>
      <c r="DJ308">
        <v>1</v>
      </c>
      <c r="DK308">
        <v>0</v>
      </c>
    </row>
    <row r="309" spans="1:115">
      <c r="A309" s="173">
        <f>Calculations[[#This Row],[Sum t eCO2]]*IF(Calculations[[#This Row],[GHG Scope]]="BIOGENIC",0,1)</f>
        <v>3.3546347249999995</v>
      </c>
      <c r="O309">
        <f t="shared" si="4"/>
        <v>308</v>
      </c>
      <c r="P309">
        <v>0</v>
      </c>
      <c r="Q309">
        <v>8</v>
      </c>
      <c r="R309">
        <v>1</v>
      </c>
      <c r="S309">
        <v>7</v>
      </c>
      <c r="T309">
        <v>7</v>
      </c>
      <c r="U309">
        <v>10</v>
      </c>
      <c r="V309">
        <v>1</v>
      </c>
      <c r="W309">
        <v>7</v>
      </c>
      <c r="X309">
        <v>10</v>
      </c>
      <c r="Y309">
        <v>0</v>
      </c>
      <c r="Z309">
        <v>5</v>
      </c>
      <c r="AA309">
        <v>8</v>
      </c>
      <c r="AB309">
        <v>1</v>
      </c>
      <c r="AC309">
        <v>0</v>
      </c>
      <c r="AD309">
        <v>10</v>
      </c>
      <c r="AE309">
        <v>9</v>
      </c>
      <c r="AF309">
        <v>9</v>
      </c>
      <c r="AG309">
        <v>3</v>
      </c>
      <c r="AH309">
        <v>2</v>
      </c>
      <c r="AI309">
        <v>8</v>
      </c>
      <c r="AJ309">
        <v>10</v>
      </c>
      <c r="AK309">
        <v>0</v>
      </c>
      <c r="AL309">
        <v>3</v>
      </c>
      <c r="AM309">
        <v>6</v>
      </c>
      <c r="AN309">
        <v>9</v>
      </c>
      <c r="AO309">
        <v>1</v>
      </c>
      <c r="AP309">
        <v>3</v>
      </c>
      <c r="AQ309">
        <v>10</v>
      </c>
      <c r="AR309">
        <v>1</v>
      </c>
      <c r="AS309">
        <v>1</v>
      </c>
      <c r="AT309">
        <v>5</v>
      </c>
      <c r="AU309">
        <v>3</v>
      </c>
      <c r="AV309">
        <v>5</v>
      </c>
      <c r="AW309">
        <v>3</v>
      </c>
      <c r="AX309">
        <v>7</v>
      </c>
      <c r="AY309">
        <v>10</v>
      </c>
      <c r="AZ309">
        <v>4</v>
      </c>
      <c r="BA309">
        <v>10</v>
      </c>
      <c r="BB309">
        <v>2</v>
      </c>
      <c r="BC309">
        <v>3</v>
      </c>
      <c r="BD309">
        <v>5</v>
      </c>
      <c r="BE309">
        <v>0</v>
      </c>
      <c r="BF309">
        <v>9</v>
      </c>
      <c r="BG309">
        <v>1</v>
      </c>
      <c r="BH309">
        <v>7</v>
      </c>
      <c r="BI309">
        <v>0</v>
      </c>
      <c r="BJ309">
        <v>2</v>
      </c>
      <c r="BK309">
        <v>6</v>
      </c>
      <c r="BL309">
        <v>6</v>
      </c>
      <c r="BM309">
        <v>1</v>
      </c>
      <c r="BN309">
        <v>4</v>
      </c>
      <c r="BO309">
        <v>8</v>
      </c>
      <c r="BP309">
        <v>2</v>
      </c>
      <c r="BQ309">
        <v>9</v>
      </c>
      <c r="BR309">
        <v>8</v>
      </c>
      <c r="BS309">
        <v>4</v>
      </c>
      <c r="BT309">
        <v>3</v>
      </c>
      <c r="BU309">
        <v>10</v>
      </c>
      <c r="BV309">
        <v>3</v>
      </c>
      <c r="BW309">
        <v>0</v>
      </c>
      <c r="BX309">
        <v>6</v>
      </c>
      <c r="BY309">
        <v>5</v>
      </c>
      <c r="BZ309">
        <v>6</v>
      </c>
      <c r="CA309">
        <v>7</v>
      </c>
      <c r="CB309">
        <v>3</v>
      </c>
      <c r="CC309">
        <v>0</v>
      </c>
      <c r="CD309">
        <v>0</v>
      </c>
      <c r="CE309">
        <v>0</v>
      </c>
      <c r="CF309">
        <v>8</v>
      </c>
      <c r="CG309">
        <v>4</v>
      </c>
      <c r="CH309">
        <v>0</v>
      </c>
      <c r="CI309">
        <v>10</v>
      </c>
      <c r="CJ309">
        <v>3</v>
      </c>
      <c r="CK309">
        <v>2</v>
      </c>
      <c r="CL309">
        <v>5</v>
      </c>
      <c r="CM309">
        <v>3</v>
      </c>
      <c r="CN309">
        <v>1</v>
      </c>
      <c r="CO309">
        <v>6</v>
      </c>
      <c r="CP309">
        <v>4</v>
      </c>
      <c r="CQ309">
        <v>0</v>
      </c>
      <c r="CR309">
        <v>5</v>
      </c>
      <c r="CS309">
        <v>8</v>
      </c>
      <c r="CT309">
        <v>6</v>
      </c>
      <c r="CU309">
        <v>7</v>
      </c>
      <c r="CV309">
        <v>8</v>
      </c>
      <c r="CW309">
        <v>1</v>
      </c>
      <c r="CX309">
        <v>8</v>
      </c>
      <c r="CY309">
        <v>1</v>
      </c>
      <c r="CZ309">
        <v>3</v>
      </c>
      <c r="DA309">
        <v>8</v>
      </c>
      <c r="DB309">
        <v>7</v>
      </c>
      <c r="DC309">
        <v>1</v>
      </c>
      <c r="DD309">
        <v>1</v>
      </c>
      <c r="DE309">
        <v>6</v>
      </c>
      <c r="DF309">
        <v>7</v>
      </c>
      <c r="DG309">
        <v>0</v>
      </c>
      <c r="DH309">
        <v>0</v>
      </c>
      <c r="DI309">
        <v>9</v>
      </c>
      <c r="DJ309">
        <v>6</v>
      </c>
      <c r="DK309">
        <v>8</v>
      </c>
    </row>
    <row r="310" spans="1:115">
      <c r="A310" s="173">
        <f>Calculations[[#This Row],[Sum t eCO2]]*IF(Calculations[[#This Row],[GHG Scope]]="BIOGENIC",0,1)</f>
        <v>12.61493168</v>
      </c>
      <c r="O310">
        <f t="shared" si="4"/>
        <v>309</v>
      </c>
      <c r="P310">
        <v>2</v>
      </c>
      <c r="Q310">
        <v>2</v>
      </c>
      <c r="R310">
        <v>4</v>
      </c>
      <c r="S310">
        <v>4</v>
      </c>
      <c r="T310">
        <v>10</v>
      </c>
      <c r="U310">
        <v>2</v>
      </c>
      <c r="V310">
        <v>6</v>
      </c>
      <c r="W310">
        <v>6</v>
      </c>
      <c r="X310">
        <v>3</v>
      </c>
      <c r="Y310">
        <v>7</v>
      </c>
      <c r="Z310">
        <v>7</v>
      </c>
      <c r="AA310">
        <v>10</v>
      </c>
      <c r="AB310">
        <v>2</v>
      </c>
      <c r="AC310">
        <v>6</v>
      </c>
      <c r="AD310">
        <v>6</v>
      </c>
      <c r="AE310">
        <v>0</v>
      </c>
      <c r="AF310">
        <v>7</v>
      </c>
      <c r="AG310">
        <v>1</v>
      </c>
      <c r="AH310">
        <v>8</v>
      </c>
      <c r="AI310">
        <v>9</v>
      </c>
      <c r="AJ310">
        <v>2</v>
      </c>
      <c r="AK310">
        <v>7</v>
      </c>
      <c r="AL310">
        <v>7</v>
      </c>
      <c r="AM310">
        <v>4</v>
      </c>
      <c r="AN310">
        <v>10</v>
      </c>
      <c r="AO310">
        <v>1</v>
      </c>
      <c r="AP310">
        <v>7</v>
      </c>
      <c r="AQ310">
        <v>10</v>
      </c>
      <c r="AR310">
        <v>3</v>
      </c>
      <c r="AS310">
        <v>6</v>
      </c>
      <c r="AT310">
        <v>6</v>
      </c>
      <c r="AU310">
        <v>1</v>
      </c>
      <c r="AV310">
        <v>1</v>
      </c>
      <c r="AW310">
        <v>10</v>
      </c>
      <c r="AX310">
        <v>7</v>
      </c>
      <c r="AY310">
        <v>5</v>
      </c>
      <c r="AZ310">
        <v>5</v>
      </c>
      <c r="BA310">
        <v>9</v>
      </c>
      <c r="BB310">
        <v>9</v>
      </c>
      <c r="BC310">
        <v>9</v>
      </c>
      <c r="BD310">
        <v>5</v>
      </c>
      <c r="BE310">
        <v>8</v>
      </c>
      <c r="BF310">
        <v>4</v>
      </c>
      <c r="BG310">
        <v>0</v>
      </c>
      <c r="BH310">
        <v>2</v>
      </c>
      <c r="BI310">
        <v>3</v>
      </c>
      <c r="BJ310">
        <v>4</v>
      </c>
      <c r="BK310">
        <v>9</v>
      </c>
      <c r="BL310">
        <v>5</v>
      </c>
      <c r="BM310">
        <v>9</v>
      </c>
      <c r="BN310">
        <v>0</v>
      </c>
      <c r="BO310">
        <v>4</v>
      </c>
      <c r="BP310">
        <v>4</v>
      </c>
      <c r="BQ310">
        <v>8</v>
      </c>
      <c r="BR310">
        <v>9</v>
      </c>
      <c r="BS310">
        <v>7</v>
      </c>
      <c r="BT310">
        <v>3</v>
      </c>
      <c r="BU310">
        <v>8</v>
      </c>
      <c r="BV310">
        <v>10</v>
      </c>
      <c r="BW310">
        <v>8</v>
      </c>
      <c r="BX310">
        <v>9</v>
      </c>
      <c r="BY310">
        <v>1</v>
      </c>
      <c r="BZ310">
        <v>3</v>
      </c>
      <c r="CA310">
        <v>3</v>
      </c>
      <c r="CB310">
        <v>2</v>
      </c>
      <c r="CC310">
        <v>2</v>
      </c>
      <c r="CD310">
        <v>2</v>
      </c>
      <c r="CE310">
        <v>1</v>
      </c>
      <c r="CF310">
        <v>8</v>
      </c>
      <c r="CG310">
        <v>4</v>
      </c>
      <c r="CH310">
        <v>10</v>
      </c>
      <c r="CI310">
        <v>5</v>
      </c>
      <c r="CJ310">
        <v>5</v>
      </c>
      <c r="CK310">
        <v>4</v>
      </c>
      <c r="CL310">
        <v>10</v>
      </c>
      <c r="CM310">
        <v>2</v>
      </c>
      <c r="CN310">
        <v>1</v>
      </c>
      <c r="CO310">
        <v>1</v>
      </c>
      <c r="CP310">
        <v>4</v>
      </c>
      <c r="CQ310">
        <v>10</v>
      </c>
      <c r="CR310">
        <v>0</v>
      </c>
      <c r="CS310">
        <v>8</v>
      </c>
      <c r="CT310">
        <v>4</v>
      </c>
      <c r="CU310">
        <v>3</v>
      </c>
      <c r="CV310">
        <v>5</v>
      </c>
      <c r="CW310">
        <v>1</v>
      </c>
      <c r="CX310">
        <v>3</v>
      </c>
      <c r="CY310">
        <v>4</v>
      </c>
      <c r="CZ310">
        <v>3</v>
      </c>
      <c r="DA310">
        <v>8</v>
      </c>
      <c r="DB310">
        <v>8</v>
      </c>
      <c r="DC310">
        <v>8</v>
      </c>
      <c r="DD310">
        <v>9</v>
      </c>
      <c r="DE310">
        <v>10</v>
      </c>
      <c r="DF310">
        <v>3</v>
      </c>
      <c r="DG310">
        <v>10</v>
      </c>
      <c r="DH310">
        <v>2</v>
      </c>
      <c r="DI310">
        <v>8</v>
      </c>
      <c r="DJ310">
        <v>9</v>
      </c>
      <c r="DK310">
        <v>0</v>
      </c>
    </row>
    <row r="311" spans="1:115">
      <c r="A311" s="173">
        <f>Calculations[[#This Row],[Sum t eCO2]]*IF(Calculations[[#This Row],[GHG Scope]]="BIOGENIC",0,1)</f>
        <v>7.8315274758335995</v>
      </c>
      <c r="O311">
        <f t="shared" si="4"/>
        <v>310</v>
      </c>
      <c r="P311">
        <v>7</v>
      </c>
      <c r="Q311">
        <v>9</v>
      </c>
      <c r="R311">
        <v>2</v>
      </c>
      <c r="S311">
        <v>0</v>
      </c>
      <c r="T311">
        <v>5</v>
      </c>
      <c r="U311">
        <v>8</v>
      </c>
      <c r="V311">
        <v>3</v>
      </c>
      <c r="W311">
        <v>3</v>
      </c>
      <c r="X311">
        <v>0</v>
      </c>
      <c r="Y311">
        <v>8</v>
      </c>
      <c r="Z311">
        <v>1</v>
      </c>
      <c r="AA311">
        <v>1</v>
      </c>
      <c r="AB311">
        <v>5</v>
      </c>
      <c r="AC311">
        <v>2</v>
      </c>
      <c r="AD311">
        <v>5</v>
      </c>
      <c r="AE311">
        <v>9</v>
      </c>
      <c r="AF311">
        <v>10</v>
      </c>
      <c r="AG311">
        <v>6</v>
      </c>
      <c r="AH311">
        <v>4</v>
      </c>
      <c r="AI311">
        <v>8</v>
      </c>
      <c r="AJ311">
        <v>4</v>
      </c>
      <c r="AK311">
        <v>1</v>
      </c>
      <c r="AL311">
        <v>0</v>
      </c>
      <c r="AM311">
        <v>0</v>
      </c>
      <c r="AN311">
        <v>7</v>
      </c>
      <c r="AO311">
        <v>7</v>
      </c>
      <c r="AP311">
        <v>9</v>
      </c>
      <c r="AQ311">
        <v>2</v>
      </c>
      <c r="AR311">
        <v>7</v>
      </c>
      <c r="AS311">
        <v>4</v>
      </c>
      <c r="AT311">
        <v>4</v>
      </c>
      <c r="AU311">
        <v>2</v>
      </c>
      <c r="AV311">
        <v>9</v>
      </c>
      <c r="AW311">
        <v>6</v>
      </c>
      <c r="AX311">
        <v>9</v>
      </c>
      <c r="AY311">
        <v>10</v>
      </c>
      <c r="AZ311">
        <v>3</v>
      </c>
      <c r="BA311">
        <v>7</v>
      </c>
      <c r="BB311">
        <v>5</v>
      </c>
      <c r="BC311">
        <v>10</v>
      </c>
      <c r="BD311">
        <v>3</v>
      </c>
      <c r="BE311">
        <v>10</v>
      </c>
      <c r="BF311">
        <v>10</v>
      </c>
      <c r="BG311">
        <v>6</v>
      </c>
      <c r="BH311">
        <v>2</v>
      </c>
      <c r="BI311">
        <v>8</v>
      </c>
      <c r="BJ311">
        <v>2</v>
      </c>
      <c r="BK311">
        <v>10</v>
      </c>
      <c r="BL311">
        <v>10</v>
      </c>
      <c r="BM311">
        <v>5</v>
      </c>
      <c r="BN311">
        <v>0</v>
      </c>
      <c r="BO311">
        <v>7</v>
      </c>
      <c r="BP311">
        <v>10</v>
      </c>
      <c r="BQ311">
        <v>6</v>
      </c>
      <c r="BR311">
        <v>5</v>
      </c>
      <c r="BS311">
        <v>1</v>
      </c>
      <c r="BT311">
        <v>8</v>
      </c>
      <c r="BU311">
        <v>2</v>
      </c>
      <c r="BV311">
        <v>3</v>
      </c>
      <c r="BW311">
        <v>9</v>
      </c>
      <c r="BX311">
        <v>5</v>
      </c>
      <c r="BY311">
        <v>4</v>
      </c>
      <c r="BZ311">
        <v>10</v>
      </c>
      <c r="CA311">
        <v>4</v>
      </c>
      <c r="CB311">
        <v>5</v>
      </c>
      <c r="CC311">
        <v>0</v>
      </c>
      <c r="CD311">
        <v>6</v>
      </c>
      <c r="CE311">
        <v>0</v>
      </c>
      <c r="CF311">
        <v>7</v>
      </c>
      <c r="CG311">
        <v>5</v>
      </c>
      <c r="CH311">
        <v>10</v>
      </c>
      <c r="CI311">
        <v>6</v>
      </c>
      <c r="CJ311">
        <v>0</v>
      </c>
      <c r="CK311">
        <v>6</v>
      </c>
      <c r="CL311">
        <v>3</v>
      </c>
      <c r="CM311">
        <v>4</v>
      </c>
      <c r="CN311">
        <v>10</v>
      </c>
      <c r="CO311">
        <v>7</v>
      </c>
      <c r="CP311">
        <v>0</v>
      </c>
      <c r="CQ311">
        <v>3</v>
      </c>
      <c r="CR311">
        <v>5</v>
      </c>
      <c r="CS311">
        <v>9</v>
      </c>
      <c r="CT311">
        <v>1</v>
      </c>
      <c r="CU311">
        <v>10</v>
      </c>
      <c r="CV311">
        <v>1</v>
      </c>
      <c r="CW311">
        <v>5</v>
      </c>
      <c r="CX311">
        <v>5</v>
      </c>
      <c r="CY311">
        <v>7</v>
      </c>
      <c r="CZ311">
        <v>5</v>
      </c>
      <c r="DA311">
        <v>4</v>
      </c>
      <c r="DB311">
        <v>7</v>
      </c>
      <c r="DC311">
        <v>9</v>
      </c>
      <c r="DD311">
        <v>7</v>
      </c>
      <c r="DE311">
        <v>5</v>
      </c>
      <c r="DF311">
        <v>5</v>
      </c>
      <c r="DG311">
        <v>3</v>
      </c>
      <c r="DH311">
        <v>5</v>
      </c>
      <c r="DI311">
        <v>0</v>
      </c>
      <c r="DJ311">
        <v>8</v>
      </c>
      <c r="DK311">
        <v>0</v>
      </c>
    </row>
    <row r="312" spans="1:115">
      <c r="A312" s="173">
        <f>Calculations[[#This Row],[Sum t eCO2]]*IF(Calculations[[#This Row],[GHG Scope]]="BIOGENIC",0,1)</f>
        <v>2.7354150000000002</v>
      </c>
      <c r="O312">
        <f t="shared" si="4"/>
        <v>311</v>
      </c>
      <c r="P312">
        <v>2</v>
      </c>
      <c r="Q312">
        <v>10</v>
      </c>
      <c r="R312">
        <v>7</v>
      </c>
      <c r="S312">
        <v>5</v>
      </c>
      <c r="T312">
        <v>4</v>
      </c>
      <c r="U312">
        <v>0</v>
      </c>
      <c r="V312">
        <v>3</v>
      </c>
      <c r="W312">
        <v>7</v>
      </c>
      <c r="X312">
        <v>8</v>
      </c>
      <c r="Y312">
        <v>8</v>
      </c>
      <c r="Z312">
        <v>1</v>
      </c>
      <c r="AA312">
        <v>4</v>
      </c>
      <c r="AB312">
        <v>3</v>
      </c>
      <c r="AC312">
        <v>0</v>
      </c>
      <c r="AD312">
        <v>10</v>
      </c>
      <c r="AE312">
        <v>10</v>
      </c>
      <c r="AF312">
        <v>2</v>
      </c>
      <c r="AG312">
        <v>8</v>
      </c>
      <c r="AH312">
        <v>1</v>
      </c>
      <c r="AI312">
        <v>1</v>
      </c>
      <c r="AJ312">
        <v>7</v>
      </c>
      <c r="AK312">
        <v>7</v>
      </c>
      <c r="AL312">
        <v>0</v>
      </c>
      <c r="AM312">
        <v>5</v>
      </c>
      <c r="AN312">
        <v>7</v>
      </c>
      <c r="AO312">
        <v>10</v>
      </c>
      <c r="AP312">
        <v>0</v>
      </c>
      <c r="AQ312">
        <v>9</v>
      </c>
      <c r="AR312">
        <v>3</v>
      </c>
      <c r="AS312">
        <v>8</v>
      </c>
      <c r="AT312">
        <v>7</v>
      </c>
      <c r="AU312">
        <v>5</v>
      </c>
      <c r="AV312">
        <v>0</v>
      </c>
      <c r="AW312">
        <v>1</v>
      </c>
      <c r="AX312">
        <v>10</v>
      </c>
      <c r="AY312">
        <v>2</v>
      </c>
      <c r="AZ312">
        <v>3</v>
      </c>
      <c r="BA312">
        <v>2</v>
      </c>
      <c r="BB312">
        <v>4</v>
      </c>
      <c r="BC312">
        <v>10</v>
      </c>
      <c r="BD312">
        <v>7</v>
      </c>
      <c r="BE312">
        <v>9</v>
      </c>
      <c r="BF312">
        <v>6</v>
      </c>
      <c r="BG312">
        <v>0</v>
      </c>
      <c r="BH312">
        <v>1</v>
      </c>
      <c r="BI312">
        <v>2</v>
      </c>
      <c r="BJ312">
        <v>5</v>
      </c>
      <c r="BK312">
        <v>9</v>
      </c>
      <c r="BL312">
        <v>1</v>
      </c>
      <c r="BM312">
        <v>3</v>
      </c>
      <c r="BN312">
        <v>4</v>
      </c>
      <c r="BO312">
        <v>7</v>
      </c>
      <c r="BP312">
        <v>4</v>
      </c>
      <c r="BQ312">
        <v>7</v>
      </c>
      <c r="BR312">
        <v>6</v>
      </c>
      <c r="BS312">
        <v>0</v>
      </c>
      <c r="BT312">
        <v>7</v>
      </c>
      <c r="BU312">
        <v>7</v>
      </c>
      <c r="BV312">
        <v>10</v>
      </c>
      <c r="BW312">
        <v>6</v>
      </c>
      <c r="BX312">
        <v>5</v>
      </c>
      <c r="BY312">
        <v>10</v>
      </c>
      <c r="BZ312">
        <v>0</v>
      </c>
      <c r="CA312">
        <v>0</v>
      </c>
      <c r="CB312">
        <v>0</v>
      </c>
      <c r="CC312">
        <v>10</v>
      </c>
      <c r="CD312">
        <v>4</v>
      </c>
      <c r="CE312">
        <v>5</v>
      </c>
      <c r="CF312">
        <v>7</v>
      </c>
      <c r="CG312">
        <v>10</v>
      </c>
      <c r="CH312">
        <v>2</v>
      </c>
      <c r="CI312">
        <v>10</v>
      </c>
      <c r="CJ312">
        <v>3</v>
      </c>
      <c r="CK312">
        <v>9</v>
      </c>
      <c r="CL312">
        <v>0</v>
      </c>
      <c r="CM312">
        <v>9</v>
      </c>
      <c r="CN312">
        <v>6</v>
      </c>
      <c r="CO312">
        <v>4</v>
      </c>
      <c r="CP312">
        <v>0</v>
      </c>
      <c r="CQ312">
        <v>3</v>
      </c>
      <c r="CR312">
        <v>6</v>
      </c>
      <c r="CS312">
        <v>7</v>
      </c>
      <c r="CT312">
        <v>7</v>
      </c>
      <c r="CU312">
        <v>4</v>
      </c>
      <c r="CV312">
        <v>3</v>
      </c>
      <c r="CW312">
        <v>10</v>
      </c>
      <c r="CX312">
        <v>10</v>
      </c>
      <c r="CY312">
        <v>2</v>
      </c>
      <c r="CZ312">
        <v>3</v>
      </c>
      <c r="DA312">
        <v>3</v>
      </c>
      <c r="DB312">
        <v>7</v>
      </c>
      <c r="DC312">
        <v>7</v>
      </c>
      <c r="DD312">
        <v>2</v>
      </c>
      <c r="DE312">
        <v>10</v>
      </c>
      <c r="DF312">
        <v>10</v>
      </c>
      <c r="DG312">
        <v>10</v>
      </c>
      <c r="DH312">
        <v>3</v>
      </c>
      <c r="DI312">
        <v>1</v>
      </c>
      <c r="DJ312">
        <v>9</v>
      </c>
      <c r="DK312">
        <v>6</v>
      </c>
    </row>
    <row r="313" spans="1:115">
      <c r="A313" s="173">
        <f>Calculations[[#This Row],[Sum t eCO2]]*IF(Calculations[[#This Row],[GHG Scope]]="BIOGENIC",0,1)</f>
        <v>5.2537243679999994</v>
      </c>
      <c r="O313">
        <f t="shared" si="4"/>
        <v>312</v>
      </c>
      <c r="P313">
        <v>9</v>
      </c>
      <c r="Q313">
        <v>5</v>
      </c>
      <c r="R313">
        <v>7</v>
      </c>
      <c r="S313">
        <v>9</v>
      </c>
      <c r="T313">
        <v>9</v>
      </c>
      <c r="U313">
        <v>3</v>
      </c>
      <c r="V313">
        <v>7</v>
      </c>
      <c r="W313">
        <v>4</v>
      </c>
      <c r="X313">
        <v>6</v>
      </c>
      <c r="Y313">
        <v>4</v>
      </c>
      <c r="Z313">
        <v>2</v>
      </c>
      <c r="AA313">
        <v>2</v>
      </c>
      <c r="AB313">
        <v>7</v>
      </c>
      <c r="AC313">
        <v>2</v>
      </c>
      <c r="AD313">
        <v>9</v>
      </c>
      <c r="AE313">
        <v>2</v>
      </c>
      <c r="AF313">
        <v>10</v>
      </c>
      <c r="AG313">
        <v>6</v>
      </c>
      <c r="AH313">
        <v>1</v>
      </c>
      <c r="AI313">
        <v>6</v>
      </c>
      <c r="AJ313">
        <v>9</v>
      </c>
      <c r="AK313">
        <v>6</v>
      </c>
      <c r="AL313">
        <v>0</v>
      </c>
      <c r="AM313">
        <v>10</v>
      </c>
      <c r="AN313">
        <v>8</v>
      </c>
      <c r="AO313">
        <v>3</v>
      </c>
      <c r="AP313">
        <v>3</v>
      </c>
      <c r="AQ313">
        <v>7</v>
      </c>
      <c r="AR313">
        <v>1</v>
      </c>
      <c r="AS313">
        <v>7</v>
      </c>
      <c r="AT313">
        <v>9</v>
      </c>
      <c r="AU313">
        <v>6</v>
      </c>
      <c r="AV313">
        <v>7</v>
      </c>
      <c r="AW313">
        <v>4</v>
      </c>
      <c r="AX313">
        <v>2</v>
      </c>
      <c r="AY313">
        <v>2</v>
      </c>
      <c r="AZ313">
        <v>7</v>
      </c>
      <c r="BA313">
        <v>1</v>
      </c>
      <c r="BB313">
        <v>7</v>
      </c>
      <c r="BC313">
        <v>0</v>
      </c>
      <c r="BD313">
        <v>10</v>
      </c>
      <c r="BE313">
        <v>6</v>
      </c>
      <c r="BF313">
        <v>6</v>
      </c>
      <c r="BG313">
        <v>7</v>
      </c>
      <c r="BH313">
        <v>1</v>
      </c>
      <c r="BI313">
        <v>4</v>
      </c>
      <c r="BJ313">
        <v>9</v>
      </c>
      <c r="BK313">
        <v>2</v>
      </c>
      <c r="BL313">
        <v>8</v>
      </c>
      <c r="BM313">
        <v>6</v>
      </c>
      <c r="BN313">
        <v>9</v>
      </c>
      <c r="BO313">
        <v>7</v>
      </c>
      <c r="BP313">
        <v>5</v>
      </c>
      <c r="BQ313">
        <v>3</v>
      </c>
      <c r="BR313">
        <v>1</v>
      </c>
      <c r="BS313">
        <v>5</v>
      </c>
      <c r="BT313">
        <v>7</v>
      </c>
      <c r="BU313">
        <v>0</v>
      </c>
      <c r="BV313">
        <v>7</v>
      </c>
      <c r="BW313">
        <v>10</v>
      </c>
      <c r="BX313">
        <v>3</v>
      </c>
      <c r="BY313">
        <v>7</v>
      </c>
      <c r="BZ313">
        <v>8</v>
      </c>
      <c r="CA313">
        <v>3</v>
      </c>
      <c r="CB313">
        <v>9</v>
      </c>
      <c r="CC313">
        <v>7</v>
      </c>
      <c r="CD313">
        <v>3</v>
      </c>
      <c r="CE313">
        <v>6</v>
      </c>
      <c r="CF313">
        <v>7</v>
      </c>
      <c r="CG313">
        <v>3</v>
      </c>
      <c r="CH313">
        <v>8</v>
      </c>
      <c r="CI313">
        <v>3</v>
      </c>
      <c r="CJ313">
        <v>5</v>
      </c>
      <c r="CK313">
        <v>1</v>
      </c>
      <c r="CL313">
        <v>10</v>
      </c>
      <c r="CM313">
        <v>2</v>
      </c>
      <c r="CN313">
        <v>3</v>
      </c>
      <c r="CO313">
        <v>1</v>
      </c>
      <c r="CP313">
        <v>10</v>
      </c>
      <c r="CQ313">
        <v>9</v>
      </c>
      <c r="CR313">
        <v>4</v>
      </c>
      <c r="CS313">
        <v>9</v>
      </c>
      <c r="CT313">
        <v>0</v>
      </c>
      <c r="CU313">
        <v>0</v>
      </c>
      <c r="CV313">
        <v>5</v>
      </c>
      <c r="CW313">
        <v>8</v>
      </c>
      <c r="CX313">
        <v>8</v>
      </c>
      <c r="CY313">
        <v>6</v>
      </c>
      <c r="CZ313">
        <v>1</v>
      </c>
      <c r="DA313">
        <v>8</v>
      </c>
      <c r="DB313">
        <v>0</v>
      </c>
      <c r="DC313">
        <v>1</v>
      </c>
      <c r="DD313">
        <v>2</v>
      </c>
      <c r="DE313">
        <v>10</v>
      </c>
      <c r="DF313">
        <v>8</v>
      </c>
      <c r="DG313">
        <v>3</v>
      </c>
      <c r="DH313">
        <v>2</v>
      </c>
      <c r="DI313">
        <v>10</v>
      </c>
      <c r="DJ313">
        <v>3</v>
      </c>
      <c r="DK313">
        <v>1</v>
      </c>
    </row>
    <row r="314" spans="1:115">
      <c r="A314" s="173">
        <f>Calculations[[#This Row],[Sum t eCO2]]*IF(Calculations[[#This Row],[GHG Scope]]="BIOGENIC",0,1)</f>
        <v>2.3954917708800005</v>
      </c>
      <c r="O314">
        <f t="shared" si="4"/>
        <v>313</v>
      </c>
      <c r="P314">
        <v>8</v>
      </c>
      <c r="Q314">
        <v>0</v>
      </c>
      <c r="R314">
        <v>3</v>
      </c>
      <c r="S314">
        <v>9</v>
      </c>
      <c r="T314">
        <v>5</v>
      </c>
      <c r="U314">
        <v>0</v>
      </c>
      <c r="V314">
        <v>3</v>
      </c>
      <c r="W314">
        <v>2</v>
      </c>
      <c r="X314">
        <v>0</v>
      </c>
      <c r="Y314">
        <v>0</v>
      </c>
      <c r="Z314">
        <v>3</v>
      </c>
      <c r="AA314">
        <v>5</v>
      </c>
      <c r="AB314">
        <v>9</v>
      </c>
      <c r="AC314">
        <v>7</v>
      </c>
      <c r="AD314">
        <v>10</v>
      </c>
      <c r="AE314">
        <v>1</v>
      </c>
      <c r="AF314">
        <v>6</v>
      </c>
      <c r="AG314">
        <v>9</v>
      </c>
      <c r="AH314">
        <v>3</v>
      </c>
      <c r="AI314">
        <v>1</v>
      </c>
      <c r="AJ314">
        <v>5</v>
      </c>
      <c r="AK314">
        <v>2</v>
      </c>
      <c r="AL314">
        <v>5</v>
      </c>
      <c r="AM314">
        <v>6</v>
      </c>
      <c r="AN314">
        <v>4</v>
      </c>
      <c r="AO314">
        <v>1</v>
      </c>
      <c r="AP314">
        <v>3</v>
      </c>
      <c r="AQ314">
        <v>9</v>
      </c>
      <c r="AR314">
        <v>4</v>
      </c>
      <c r="AS314">
        <v>3</v>
      </c>
      <c r="AT314">
        <v>9</v>
      </c>
      <c r="AU314">
        <v>0</v>
      </c>
      <c r="AV314">
        <v>8</v>
      </c>
      <c r="AW314">
        <v>2</v>
      </c>
      <c r="AX314">
        <v>9</v>
      </c>
      <c r="AY314">
        <v>4</v>
      </c>
      <c r="AZ314">
        <v>10</v>
      </c>
      <c r="BA314">
        <v>5</v>
      </c>
      <c r="BB314">
        <v>9</v>
      </c>
      <c r="BC314">
        <v>1</v>
      </c>
      <c r="BD314">
        <v>2</v>
      </c>
      <c r="BE314">
        <v>4</v>
      </c>
      <c r="BF314">
        <v>9</v>
      </c>
      <c r="BG314">
        <v>5</v>
      </c>
      <c r="BH314">
        <v>1</v>
      </c>
      <c r="BI314">
        <v>3</v>
      </c>
      <c r="BJ314">
        <v>3</v>
      </c>
      <c r="BK314">
        <v>5</v>
      </c>
      <c r="BL314">
        <v>1</v>
      </c>
      <c r="BM314">
        <v>9</v>
      </c>
      <c r="BN314">
        <v>9</v>
      </c>
      <c r="BO314">
        <v>7</v>
      </c>
      <c r="BP314">
        <v>1</v>
      </c>
      <c r="BQ314">
        <v>3</v>
      </c>
      <c r="BR314">
        <v>5</v>
      </c>
      <c r="BS314">
        <v>7</v>
      </c>
      <c r="BT314">
        <v>3</v>
      </c>
      <c r="BU314">
        <v>0</v>
      </c>
      <c r="BV314">
        <v>10</v>
      </c>
      <c r="BW314">
        <v>0</v>
      </c>
      <c r="BX314">
        <v>9</v>
      </c>
      <c r="BY314">
        <v>3</v>
      </c>
      <c r="BZ314">
        <v>10</v>
      </c>
      <c r="CA314">
        <v>6</v>
      </c>
      <c r="CB314">
        <v>6</v>
      </c>
      <c r="CC314">
        <v>2</v>
      </c>
      <c r="CD314">
        <v>8</v>
      </c>
      <c r="CE314">
        <v>3</v>
      </c>
      <c r="CF314">
        <v>6</v>
      </c>
      <c r="CG314">
        <v>5</v>
      </c>
      <c r="CH314">
        <v>4</v>
      </c>
      <c r="CI314">
        <v>2</v>
      </c>
      <c r="CJ314">
        <v>2</v>
      </c>
      <c r="CK314">
        <v>3</v>
      </c>
      <c r="CL314">
        <v>5</v>
      </c>
      <c r="CM314">
        <v>1</v>
      </c>
      <c r="CN314">
        <v>5</v>
      </c>
      <c r="CO314">
        <v>10</v>
      </c>
      <c r="CP314">
        <v>5</v>
      </c>
      <c r="CQ314">
        <v>6</v>
      </c>
      <c r="CR314">
        <v>2</v>
      </c>
      <c r="CS314">
        <v>8</v>
      </c>
      <c r="CT314">
        <v>9</v>
      </c>
      <c r="CU314">
        <v>9</v>
      </c>
      <c r="CV314">
        <v>6</v>
      </c>
      <c r="CW314">
        <v>6</v>
      </c>
      <c r="CX314">
        <v>1</v>
      </c>
      <c r="CY314">
        <v>1</v>
      </c>
      <c r="CZ314">
        <v>4</v>
      </c>
      <c r="DA314">
        <v>8</v>
      </c>
      <c r="DB314">
        <v>2</v>
      </c>
      <c r="DC314">
        <v>7</v>
      </c>
      <c r="DD314">
        <v>10</v>
      </c>
      <c r="DE314">
        <v>10</v>
      </c>
      <c r="DF314">
        <v>10</v>
      </c>
      <c r="DG314">
        <v>1</v>
      </c>
      <c r="DH314">
        <v>2</v>
      </c>
      <c r="DI314">
        <v>5</v>
      </c>
      <c r="DJ314">
        <v>4</v>
      </c>
      <c r="DK314">
        <v>1</v>
      </c>
    </row>
    <row r="315" spans="1:115">
      <c r="A315" s="173">
        <f>Calculations[[#This Row],[Sum t eCO2]]*IF(Calculations[[#This Row],[GHG Scope]]="BIOGENIC",0,1)</f>
        <v>10.36513834</v>
      </c>
      <c r="O315">
        <f t="shared" si="4"/>
        <v>314</v>
      </c>
      <c r="P315">
        <v>1</v>
      </c>
      <c r="Q315">
        <v>10</v>
      </c>
      <c r="R315">
        <v>1</v>
      </c>
      <c r="S315">
        <v>9</v>
      </c>
      <c r="T315">
        <v>8</v>
      </c>
      <c r="U315">
        <v>6</v>
      </c>
      <c r="V315">
        <v>9</v>
      </c>
      <c r="W315">
        <v>4</v>
      </c>
      <c r="X315">
        <v>2</v>
      </c>
      <c r="Y315">
        <v>9</v>
      </c>
      <c r="Z315">
        <v>3</v>
      </c>
      <c r="AA315">
        <v>1</v>
      </c>
      <c r="AB315">
        <v>1</v>
      </c>
      <c r="AC315">
        <v>7</v>
      </c>
      <c r="AD315">
        <v>7</v>
      </c>
      <c r="AE315">
        <v>10</v>
      </c>
      <c r="AF315">
        <v>3</v>
      </c>
      <c r="AG315">
        <v>10</v>
      </c>
      <c r="AH315">
        <v>1</v>
      </c>
      <c r="AI315">
        <v>6</v>
      </c>
      <c r="AJ315">
        <v>7</v>
      </c>
      <c r="AK315">
        <v>7</v>
      </c>
      <c r="AL315">
        <v>6</v>
      </c>
      <c r="AM315">
        <v>10</v>
      </c>
      <c r="AN315">
        <v>9</v>
      </c>
      <c r="AO315">
        <v>2</v>
      </c>
      <c r="AP315">
        <v>8</v>
      </c>
      <c r="AQ315">
        <v>0</v>
      </c>
      <c r="AR315">
        <v>10</v>
      </c>
      <c r="AS315">
        <v>1</v>
      </c>
      <c r="AT315">
        <v>3</v>
      </c>
      <c r="AU315">
        <v>8</v>
      </c>
      <c r="AV315">
        <v>2</v>
      </c>
      <c r="AW315">
        <v>3</v>
      </c>
      <c r="AX315">
        <v>2</v>
      </c>
      <c r="AY315">
        <v>2</v>
      </c>
      <c r="AZ315">
        <v>5</v>
      </c>
      <c r="BA315">
        <v>7</v>
      </c>
      <c r="BB315">
        <v>7</v>
      </c>
      <c r="BC315">
        <v>6</v>
      </c>
      <c r="BD315">
        <v>9</v>
      </c>
      <c r="BE315">
        <v>2</v>
      </c>
      <c r="BF315">
        <v>3</v>
      </c>
      <c r="BG315">
        <v>3</v>
      </c>
      <c r="BH315">
        <v>3</v>
      </c>
      <c r="BI315">
        <v>8</v>
      </c>
      <c r="BJ315">
        <v>1</v>
      </c>
      <c r="BK315">
        <v>4</v>
      </c>
      <c r="BL315">
        <v>4</v>
      </c>
      <c r="BM315">
        <v>8</v>
      </c>
      <c r="BN315">
        <v>0</v>
      </c>
      <c r="BO315">
        <v>6</v>
      </c>
      <c r="BP315">
        <v>4</v>
      </c>
      <c r="BQ315">
        <v>8</v>
      </c>
      <c r="BR315">
        <v>6</v>
      </c>
      <c r="BS315">
        <v>3</v>
      </c>
      <c r="BT315">
        <v>8</v>
      </c>
      <c r="BU315">
        <v>10</v>
      </c>
      <c r="BV315">
        <v>6</v>
      </c>
      <c r="BW315">
        <v>4</v>
      </c>
      <c r="BX315">
        <v>3</v>
      </c>
      <c r="BY315">
        <v>0</v>
      </c>
      <c r="BZ315">
        <v>2</v>
      </c>
      <c r="CA315">
        <v>5</v>
      </c>
      <c r="CB315">
        <v>3</v>
      </c>
      <c r="CC315">
        <v>2</v>
      </c>
      <c r="CD315">
        <v>1</v>
      </c>
      <c r="CE315">
        <v>9</v>
      </c>
      <c r="CF315">
        <v>1</v>
      </c>
      <c r="CG315">
        <v>7</v>
      </c>
      <c r="CH315">
        <v>9</v>
      </c>
      <c r="CI315">
        <v>9</v>
      </c>
      <c r="CJ315">
        <v>4</v>
      </c>
      <c r="CK315">
        <v>9</v>
      </c>
      <c r="CL315">
        <v>9</v>
      </c>
      <c r="CM315">
        <v>7</v>
      </c>
      <c r="CN315">
        <v>6</v>
      </c>
      <c r="CO315">
        <v>1</v>
      </c>
      <c r="CP315">
        <v>5</v>
      </c>
      <c r="CQ315">
        <v>3</v>
      </c>
      <c r="CR315">
        <v>9</v>
      </c>
      <c r="CS315">
        <v>1</v>
      </c>
      <c r="CT315">
        <v>1</v>
      </c>
      <c r="CU315">
        <v>10</v>
      </c>
      <c r="CV315">
        <v>5</v>
      </c>
      <c r="CW315">
        <v>5</v>
      </c>
      <c r="CX315">
        <v>0</v>
      </c>
      <c r="CY315">
        <v>1</v>
      </c>
      <c r="CZ315">
        <v>3</v>
      </c>
      <c r="DA315">
        <v>8</v>
      </c>
      <c r="DB315">
        <v>3</v>
      </c>
      <c r="DC315">
        <v>4</v>
      </c>
      <c r="DD315">
        <v>3</v>
      </c>
      <c r="DE315">
        <v>2</v>
      </c>
      <c r="DF315">
        <v>8</v>
      </c>
      <c r="DG315">
        <v>3</v>
      </c>
      <c r="DH315">
        <v>2</v>
      </c>
      <c r="DI315">
        <v>9</v>
      </c>
      <c r="DJ315">
        <v>1</v>
      </c>
      <c r="DK315">
        <v>8</v>
      </c>
    </row>
    <row r="316" spans="1:115">
      <c r="A316" s="173">
        <f>Calculations[[#This Row],[Sum t eCO2]]*IF(Calculations[[#This Row],[GHG Scope]]="BIOGENIC",0,1)</f>
        <v>1.0750782720600001</v>
      </c>
      <c r="O316">
        <f t="shared" si="4"/>
        <v>315</v>
      </c>
      <c r="P316">
        <v>10</v>
      </c>
      <c r="Q316">
        <v>1</v>
      </c>
      <c r="R316">
        <v>2</v>
      </c>
      <c r="S316">
        <v>7</v>
      </c>
      <c r="T316">
        <v>1</v>
      </c>
      <c r="U316">
        <v>0</v>
      </c>
      <c r="V316">
        <v>3</v>
      </c>
      <c r="W316">
        <v>10</v>
      </c>
      <c r="X316">
        <v>7</v>
      </c>
      <c r="Y316">
        <v>10</v>
      </c>
      <c r="Z316">
        <v>3</v>
      </c>
      <c r="AA316">
        <v>2</v>
      </c>
      <c r="AB316">
        <v>0</v>
      </c>
      <c r="AC316">
        <v>5</v>
      </c>
      <c r="AD316">
        <v>7</v>
      </c>
      <c r="AE316">
        <v>7</v>
      </c>
      <c r="AF316">
        <v>0</v>
      </c>
      <c r="AG316">
        <v>9</v>
      </c>
      <c r="AH316">
        <v>1</v>
      </c>
      <c r="AI316">
        <v>2</v>
      </c>
      <c r="AJ316">
        <v>1</v>
      </c>
      <c r="AK316">
        <v>7</v>
      </c>
      <c r="AL316">
        <v>2</v>
      </c>
      <c r="AM316">
        <v>9</v>
      </c>
      <c r="AN316">
        <v>4</v>
      </c>
      <c r="AO316">
        <v>4</v>
      </c>
      <c r="AP316">
        <v>9</v>
      </c>
      <c r="AQ316">
        <v>8</v>
      </c>
      <c r="AR316">
        <v>1</v>
      </c>
      <c r="AS316">
        <v>3</v>
      </c>
      <c r="AT316">
        <v>9</v>
      </c>
      <c r="AU316">
        <v>2</v>
      </c>
      <c r="AV316">
        <v>4</v>
      </c>
      <c r="AW316">
        <v>5</v>
      </c>
      <c r="AX316">
        <v>7</v>
      </c>
      <c r="AY316">
        <v>1</v>
      </c>
      <c r="AZ316">
        <v>1</v>
      </c>
      <c r="BA316">
        <v>7</v>
      </c>
      <c r="BB316">
        <v>7</v>
      </c>
      <c r="BC316">
        <v>9</v>
      </c>
      <c r="BD316">
        <v>6</v>
      </c>
      <c r="BE316">
        <v>9</v>
      </c>
      <c r="BF316">
        <v>8</v>
      </c>
      <c r="BG316">
        <v>2</v>
      </c>
      <c r="BH316">
        <v>8</v>
      </c>
      <c r="BI316">
        <v>0</v>
      </c>
      <c r="BJ316">
        <v>9</v>
      </c>
      <c r="BK316">
        <v>2</v>
      </c>
      <c r="BL316">
        <v>5</v>
      </c>
      <c r="BM316">
        <v>7</v>
      </c>
      <c r="BN316">
        <v>1</v>
      </c>
      <c r="BO316">
        <v>0</v>
      </c>
      <c r="BP316">
        <v>6</v>
      </c>
      <c r="BQ316">
        <v>10</v>
      </c>
      <c r="BR316">
        <v>6</v>
      </c>
      <c r="BS316">
        <v>3</v>
      </c>
      <c r="BT316">
        <v>7</v>
      </c>
      <c r="BU316">
        <v>4</v>
      </c>
      <c r="BV316">
        <v>8</v>
      </c>
      <c r="BW316">
        <v>7</v>
      </c>
      <c r="BX316">
        <v>7</v>
      </c>
      <c r="BY316">
        <v>1</v>
      </c>
      <c r="BZ316">
        <v>8</v>
      </c>
      <c r="CA316">
        <v>3</v>
      </c>
      <c r="CB316">
        <v>7</v>
      </c>
      <c r="CC316">
        <v>10</v>
      </c>
      <c r="CD316">
        <v>5</v>
      </c>
      <c r="CE316">
        <v>5</v>
      </c>
      <c r="CF316">
        <v>1</v>
      </c>
      <c r="CG316">
        <v>5</v>
      </c>
      <c r="CH316">
        <v>3</v>
      </c>
      <c r="CI316">
        <v>9</v>
      </c>
      <c r="CJ316">
        <v>0</v>
      </c>
      <c r="CK316">
        <v>2</v>
      </c>
      <c r="CL316">
        <v>10</v>
      </c>
      <c r="CM316">
        <v>9</v>
      </c>
      <c r="CN316">
        <v>9</v>
      </c>
      <c r="CO316">
        <v>1</v>
      </c>
      <c r="CP316">
        <v>9</v>
      </c>
      <c r="CQ316">
        <v>8</v>
      </c>
      <c r="CR316">
        <v>6</v>
      </c>
      <c r="CS316">
        <v>0</v>
      </c>
      <c r="CT316">
        <v>9</v>
      </c>
      <c r="CU316">
        <v>6</v>
      </c>
      <c r="CV316">
        <v>6</v>
      </c>
      <c r="CW316">
        <v>1</v>
      </c>
      <c r="CX316">
        <v>1</v>
      </c>
      <c r="CY316">
        <v>4</v>
      </c>
      <c r="CZ316">
        <v>4</v>
      </c>
      <c r="DA316">
        <v>7</v>
      </c>
      <c r="DB316">
        <v>2</v>
      </c>
      <c r="DC316">
        <v>9</v>
      </c>
      <c r="DD316">
        <v>3</v>
      </c>
      <c r="DE316">
        <v>3</v>
      </c>
      <c r="DF316">
        <v>10</v>
      </c>
      <c r="DG316">
        <v>4</v>
      </c>
      <c r="DH316">
        <v>9</v>
      </c>
      <c r="DI316">
        <v>5</v>
      </c>
      <c r="DJ316">
        <v>9</v>
      </c>
      <c r="DK316">
        <v>1</v>
      </c>
    </row>
    <row r="317" spans="1:115">
      <c r="A317" s="173">
        <f>Calculations[[#This Row],[Sum t eCO2]]*IF(Calculations[[#This Row],[GHG Scope]]="BIOGENIC",0,1)</f>
        <v>0.88515559079999995</v>
      </c>
      <c r="O317">
        <f t="shared" si="4"/>
        <v>316</v>
      </c>
      <c r="P317">
        <v>7</v>
      </c>
      <c r="Q317">
        <v>3</v>
      </c>
      <c r="R317">
        <v>1</v>
      </c>
      <c r="S317">
        <v>3</v>
      </c>
      <c r="T317">
        <v>10</v>
      </c>
      <c r="U317">
        <v>2</v>
      </c>
      <c r="V317">
        <v>0</v>
      </c>
      <c r="W317">
        <v>1</v>
      </c>
      <c r="X317">
        <v>8</v>
      </c>
      <c r="Y317">
        <v>10</v>
      </c>
      <c r="Z317">
        <v>8</v>
      </c>
      <c r="AA317">
        <v>8</v>
      </c>
      <c r="AB317">
        <v>9</v>
      </c>
      <c r="AC317">
        <v>1</v>
      </c>
      <c r="AD317">
        <v>7</v>
      </c>
      <c r="AE317">
        <v>7</v>
      </c>
      <c r="AF317">
        <v>0</v>
      </c>
      <c r="AG317">
        <v>8</v>
      </c>
      <c r="AH317">
        <v>3</v>
      </c>
      <c r="AI317">
        <v>5</v>
      </c>
      <c r="AJ317">
        <v>8</v>
      </c>
      <c r="AK317">
        <v>0</v>
      </c>
      <c r="AL317">
        <v>3</v>
      </c>
      <c r="AM317">
        <v>2</v>
      </c>
      <c r="AN317">
        <v>3</v>
      </c>
      <c r="AO317">
        <v>10</v>
      </c>
      <c r="AP317">
        <v>0</v>
      </c>
      <c r="AQ317">
        <v>7</v>
      </c>
      <c r="AR317">
        <v>4</v>
      </c>
      <c r="AS317">
        <v>5</v>
      </c>
      <c r="AT317">
        <v>4</v>
      </c>
      <c r="AU317">
        <v>5</v>
      </c>
      <c r="AV317">
        <v>6</v>
      </c>
      <c r="AW317">
        <v>2</v>
      </c>
      <c r="AX317">
        <v>0</v>
      </c>
      <c r="AY317">
        <v>4</v>
      </c>
      <c r="AZ317">
        <v>4</v>
      </c>
      <c r="BA317">
        <v>3</v>
      </c>
      <c r="BB317">
        <v>9</v>
      </c>
      <c r="BC317">
        <v>6</v>
      </c>
      <c r="BD317">
        <v>9</v>
      </c>
      <c r="BE317">
        <v>3</v>
      </c>
      <c r="BF317">
        <v>7</v>
      </c>
      <c r="BG317">
        <v>0</v>
      </c>
      <c r="BH317">
        <v>1</v>
      </c>
      <c r="BI317">
        <v>7</v>
      </c>
      <c r="BJ317">
        <v>4</v>
      </c>
      <c r="BK317">
        <v>8</v>
      </c>
      <c r="BL317">
        <v>2</v>
      </c>
      <c r="BM317">
        <v>0</v>
      </c>
      <c r="BN317">
        <v>8</v>
      </c>
      <c r="BO317">
        <v>9</v>
      </c>
      <c r="BP317">
        <v>9</v>
      </c>
      <c r="BQ317">
        <v>7</v>
      </c>
      <c r="BR317">
        <v>7</v>
      </c>
      <c r="BS317">
        <v>0</v>
      </c>
      <c r="BT317">
        <v>8</v>
      </c>
      <c r="BU317">
        <v>5</v>
      </c>
      <c r="BV317">
        <v>1</v>
      </c>
      <c r="BW317">
        <v>1</v>
      </c>
      <c r="BX317">
        <v>4</v>
      </c>
      <c r="BY317">
        <v>4</v>
      </c>
      <c r="BZ317">
        <v>8</v>
      </c>
      <c r="CA317">
        <v>10</v>
      </c>
      <c r="CB317">
        <v>0</v>
      </c>
      <c r="CC317">
        <v>4</v>
      </c>
      <c r="CD317">
        <v>5</v>
      </c>
      <c r="CE317">
        <v>10</v>
      </c>
      <c r="CF317">
        <v>4</v>
      </c>
      <c r="CG317">
        <v>5</v>
      </c>
      <c r="CH317">
        <v>2</v>
      </c>
      <c r="CI317">
        <v>5</v>
      </c>
      <c r="CJ317">
        <v>0</v>
      </c>
      <c r="CK317">
        <v>3</v>
      </c>
      <c r="CL317">
        <v>10</v>
      </c>
      <c r="CM317">
        <v>2</v>
      </c>
      <c r="CN317">
        <v>10</v>
      </c>
      <c r="CO317">
        <v>5</v>
      </c>
      <c r="CP317">
        <v>1</v>
      </c>
      <c r="CQ317">
        <v>10</v>
      </c>
      <c r="CR317">
        <v>7</v>
      </c>
      <c r="CS317">
        <v>7</v>
      </c>
      <c r="CT317">
        <v>9</v>
      </c>
      <c r="CU317">
        <v>2</v>
      </c>
      <c r="CV317">
        <v>5</v>
      </c>
      <c r="CW317">
        <v>5</v>
      </c>
      <c r="CX317">
        <v>5</v>
      </c>
      <c r="CY317">
        <v>0</v>
      </c>
      <c r="CZ317">
        <v>3</v>
      </c>
      <c r="DA317">
        <v>9</v>
      </c>
      <c r="DB317">
        <v>7</v>
      </c>
      <c r="DC317">
        <v>10</v>
      </c>
      <c r="DD317">
        <v>8</v>
      </c>
      <c r="DE317">
        <v>6</v>
      </c>
      <c r="DF317">
        <v>2</v>
      </c>
      <c r="DG317">
        <v>9</v>
      </c>
      <c r="DH317">
        <v>6</v>
      </c>
      <c r="DI317">
        <v>0</v>
      </c>
      <c r="DJ317">
        <v>8</v>
      </c>
      <c r="DK317">
        <v>2</v>
      </c>
    </row>
    <row r="318" spans="1:115">
      <c r="A318" s="173">
        <f>Calculations[[#This Row],[Sum t eCO2]]*IF(Calculations[[#This Row],[GHG Scope]]="BIOGENIC",0,1)</f>
        <v>1.3090989506399999</v>
      </c>
      <c r="O318">
        <f t="shared" si="4"/>
        <v>317</v>
      </c>
      <c r="P318">
        <v>8</v>
      </c>
      <c r="Q318">
        <v>8</v>
      </c>
      <c r="R318">
        <v>0</v>
      </c>
      <c r="S318">
        <v>7</v>
      </c>
      <c r="T318">
        <v>9</v>
      </c>
      <c r="U318">
        <v>6</v>
      </c>
      <c r="V318">
        <v>4</v>
      </c>
      <c r="W318">
        <v>3</v>
      </c>
      <c r="X318">
        <v>3</v>
      </c>
      <c r="Y318">
        <v>8</v>
      </c>
      <c r="Z318">
        <v>3</v>
      </c>
      <c r="AA318">
        <v>4</v>
      </c>
      <c r="AB318">
        <v>3</v>
      </c>
      <c r="AC318">
        <v>1</v>
      </c>
      <c r="AD318">
        <v>4</v>
      </c>
      <c r="AE318">
        <v>7</v>
      </c>
      <c r="AF318">
        <v>3</v>
      </c>
      <c r="AG318">
        <v>1</v>
      </c>
      <c r="AH318">
        <v>9</v>
      </c>
      <c r="AI318">
        <v>4</v>
      </c>
      <c r="AJ318">
        <v>9</v>
      </c>
      <c r="AK318">
        <v>5</v>
      </c>
      <c r="AL318">
        <v>6</v>
      </c>
      <c r="AM318">
        <v>8</v>
      </c>
      <c r="AN318">
        <v>1</v>
      </c>
      <c r="AO318">
        <v>10</v>
      </c>
      <c r="AP318">
        <v>4</v>
      </c>
      <c r="AQ318">
        <v>6</v>
      </c>
      <c r="AR318">
        <v>10</v>
      </c>
      <c r="AS318">
        <v>8</v>
      </c>
      <c r="AT318">
        <v>3</v>
      </c>
      <c r="AU318">
        <v>10</v>
      </c>
      <c r="AV318">
        <v>0</v>
      </c>
      <c r="AW318">
        <v>10</v>
      </c>
      <c r="AX318">
        <v>4</v>
      </c>
      <c r="AY318">
        <v>9</v>
      </c>
      <c r="AZ318">
        <v>1</v>
      </c>
      <c r="BA318">
        <v>7</v>
      </c>
      <c r="BB318">
        <v>8</v>
      </c>
      <c r="BC318">
        <v>3</v>
      </c>
      <c r="BD318">
        <v>5</v>
      </c>
      <c r="BE318">
        <v>6</v>
      </c>
      <c r="BF318">
        <v>9</v>
      </c>
      <c r="BG318">
        <v>5</v>
      </c>
      <c r="BH318">
        <v>9</v>
      </c>
      <c r="BI318">
        <v>6</v>
      </c>
      <c r="BJ318">
        <v>6</v>
      </c>
      <c r="BK318">
        <v>3</v>
      </c>
      <c r="BL318">
        <v>1</v>
      </c>
      <c r="BM318">
        <v>6</v>
      </c>
      <c r="BN318">
        <v>5</v>
      </c>
      <c r="BO318">
        <v>0</v>
      </c>
      <c r="BP318">
        <v>5</v>
      </c>
      <c r="BQ318">
        <v>10</v>
      </c>
      <c r="BR318">
        <v>9</v>
      </c>
      <c r="BS318">
        <v>2</v>
      </c>
      <c r="BT318">
        <v>10</v>
      </c>
      <c r="BU318">
        <v>6</v>
      </c>
      <c r="BV318">
        <v>3</v>
      </c>
      <c r="BW318">
        <v>9</v>
      </c>
      <c r="BX318">
        <v>9</v>
      </c>
      <c r="BY318">
        <v>7</v>
      </c>
      <c r="BZ318">
        <v>10</v>
      </c>
      <c r="CA318">
        <v>6</v>
      </c>
      <c r="CB318">
        <v>6</v>
      </c>
      <c r="CC318">
        <v>9</v>
      </c>
      <c r="CD318">
        <v>0</v>
      </c>
      <c r="CE318">
        <v>3</v>
      </c>
      <c r="CF318">
        <v>7</v>
      </c>
      <c r="CG318">
        <v>3</v>
      </c>
      <c r="CH318">
        <v>3</v>
      </c>
      <c r="CI318">
        <v>3</v>
      </c>
      <c r="CJ318">
        <v>3</v>
      </c>
      <c r="CK318">
        <v>7</v>
      </c>
      <c r="CL318">
        <v>3</v>
      </c>
      <c r="CM318">
        <v>7</v>
      </c>
      <c r="CN318">
        <v>5</v>
      </c>
      <c r="CO318">
        <v>8</v>
      </c>
      <c r="CP318">
        <v>5</v>
      </c>
      <c r="CQ318">
        <v>2</v>
      </c>
      <c r="CR318">
        <v>10</v>
      </c>
      <c r="CS318">
        <v>7</v>
      </c>
      <c r="CT318">
        <v>4</v>
      </c>
      <c r="CU318">
        <v>6</v>
      </c>
      <c r="CV318">
        <v>7</v>
      </c>
      <c r="CW318">
        <v>4</v>
      </c>
      <c r="CX318">
        <v>10</v>
      </c>
      <c r="CY318">
        <v>6</v>
      </c>
      <c r="CZ318">
        <v>5</v>
      </c>
      <c r="DA318">
        <v>9</v>
      </c>
      <c r="DB318">
        <v>8</v>
      </c>
      <c r="DC318">
        <v>7</v>
      </c>
      <c r="DD318">
        <v>1</v>
      </c>
      <c r="DE318">
        <v>4</v>
      </c>
      <c r="DF318">
        <v>6</v>
      </c>
      <c r="DG318">
        <v>1</v>
      </c>
      <c r="DH318">
        <v>0</v>
      </c>
      <c r="DI318">
        <v>10</v>
      </c>
      <c r="DJ318">
        <v>5</v>
      </c>
      <c r="DK318">
        <v>3</v>
      </c>
    </row>
    <row r="319" spans="1:115">
      <c r="A319" s="173">
        <f>Calculations[[#This Row],[Sum t eCO2]]*IF(Calculations[[#This Row],[GHG Scope]]="BIOGENIC",0,1)</f>
        <v>0.87490305629999998</v>
      </c>
      <c r="O319">
        <f t="shared" si="4"/>
        <v>318</v>
      </c>
      <c r="P319">
        <v>5</v>
      </c>
      <c r="Q319">
        <v>7</v>
      </c>
      <c r="R319">
        <v>9</v>
      </c>
      <c r="S319">
        <v>9</v>
      </c>
      <c r="T319">
        <v>8</v>
      </c>
      <c r="U319">
        <v>8</v>
      </c>
      <c r="V319">
        <v>0</v>
      </c>
      <c r="W319">
        <v>6</v>
      </c>
      <c r="X319">
        <v>1</v>
      </c>
      <c r="Y319">
        <v>5</v>
      </c>
      <c r="Z319">
        <v>8</v>
      </c>
      <c r="AA319">
        <v>8</v>
      </c>
      <c r="AB319">
        <v>8</v>
      </c>
      <c r="AC319">
        <v>3</v>
      </c>
      <c r="AD319">
        <v>7</v>
      </c>
      <c r="AE319">
        <v>4</v>
      </c>
      <c r="AF319">
        <v>2</v>
      </c>
      <c r="AG319">
        <v>7</v>
      </c>
      <c r="AH319">
        <v>0</v>
      </c>
      <c r="AI319">
        <v>4</v>
      </c>
      <c r="AJ319">
        <v>3</v>
      </c>
      <c r="AK319">
        <v>7</v>
      </c>
      <c r="AL319">
        <v>10</v>
      </c>
      <c r="AM319">
        <v>1</v>
      </c>
      <c r="AN319">
        <v>0</v>
      </c>
      <c r="AO319">
        <v>3</v>
      </c>
      <c r="AP319">
        <v>10</v>
      </c>
      <c r="AQ319">
        <v>9</v>
      </c>
      <c r="AR319">
        <v>10</v>
      </c>
      <c r="AS319">
        <v>3</v>
      </c>
      <c r="AT319">
        <v>7</v>
      </c>
      <c r="AU319">
        <v>1</v>
      </c>
      <c r="AV319">
        <v>7</v>
      </c>
      <c r="AW319">
        <v>0</v>
      </c>
      <c r="AX319">
        <v>1</v>
      </c>
      <c r="AY319">
        <v>6</v>
      </c>
      <c r="AZ319">
        <v>2</v>
      </c>
      <c r="BA319">
        <v>7</v>
      </c>
      <c r="BB319">
        <v>10</v>
      </c>
      <c r="BC319">
        <v>7</v>
      </c>
      <c r="BD319">
        <v>3</v>
      </c>
      <c r="BE319">
        <v>10</v>
      </c>
      <c r="BF319">
        <v>6</v>
      </c>
      <c r="BG319">
        <v>3</v>
      </c>
      <c r="BH319">
        <v>6</v>
      </c>
      <c r="BI319">
        <v>4</v>
      </c>
      <c r="BJ319">
        <v>2</v>
      </c>
      <c r="BK319">
        <v>5</v>
      </c>
      <c r="BL319">
        <v>10</v>
      </c>
      <c r="BM319">
        <v>9</v>
      </c>
      <c r="BN319">
        <v>0</v>
      </c>
      <c r="BO319">
        <v>5</v>
      </c>
      <c r="BP319">
        <v>4</v>
      </c>
      <c r="BQ319">
        <v>10</v>
      </c>
      <c r="BR319">
        <v>7</v>
      </c>
      <c r="BS319">
        <v>1</v>
      </c>
      <c r="BT319">
        <v>6</v>
      </c>
      <c r="BU319">
        <v>7</v>
      </c>
      <c r="BV319">
        <v>7</v>
      </c>
      <c r="BW319">
        <v>6</v>
      </c>
      <c r="BX319">
        <v>5</v>
      </c>
      <c r="BY319">
        <v>9</v>
      </c>
      <c r="BZ319">
        <v>0</v>
      </c>
      <c r="CA319">
        <v>5</v>
      </c>
      <c r="CB319">
        <v>1</v>
      </c>
      <c r="CC319">
        <v>3</v>
      </c>
      <c r="CD319">
        <v>7</v>
      </c>
      <c r="CE319">
        <v>2</v>
      </c>
      <c r="CF319">
        <v>7</v>
      </c>
      <c r="CG319">
        <v>6</v>
      </c>
      <c r="CH319">
        <v>0</v>
      </c>
      <c r="CI319">
        <v>6</v>
      </c>
      <c r="CJ319">
        <v>1</v>
      </c>
      <c r="CK319">
        <v>3</v>
      </c>
      <c r="CL319">
        <v>6</v>
      </c>
      <c r="CM319">
        <v>9</v>
      </c>
      <c r="CN319">
        <v>10</v>
      </c>
      <c r="CO319">
        <v>6</v>
      </c>
      <c r="CP319">
        <v>9</v>
      </c>
      <c r="CQ319">
        <v>1</v>
      </c>
      <c r="CR319">
        <v>4</v>
      </c>
      <c r="CS319">
        <v>5</v>
      </c>
      <c r="CT319">
        <v>9</v>
      </c>
      <c r="CU319">
        <v>5</v>
      </c>
      <c r="CV319">
        <v>0</v>
      </c>
      <c r="CW319">
        <v>5</v>
      </c>
      <c r="CX319">
        <v>8</v>
      </c>
      <c r="CY319">
        <v>10</v>
      </c>
      <c r="CZ319">
        <v>10</v>
      </c>
      <c r="DA319">
        <v>5</v>
      </c>
      <c r="DB319">
        <v>5</v>
      </c>
      <c r="DC319">
        <v>0</v>
      </c>
      <c r="DD319">
        <v>9</v>
      </c>
      <c r="DE319">
        <v>5</v>
      </c>
      <c r="DF319">
        <v>3</v>
      </c>
      <c r="DG319">
        <v>5</v>
      </c>
      <c r="DH319">
        <v>0</v>
      </c>
      <c r="DI319">
        <v>0</v>
      </c>
      <c r="DJ319">
        <v>6</v>
      </c>
      <c r="DK319">
        <v>5</v>
      </c>
    </row>
    <row r="320" spans="1:115">
      <c r="A320" s="173">
        <f>Calculations[[#This Row],[Sum t eCO2]]*IF(Calculations[[#This Row],[GHG Scope]]="BIOGENIC",0,1)</f>
        <v>1.8918451757520003</v>
      </c>
      <c r="O320">
        <f t="shared" si="4"/>
        <v>319</v>
      </c>
      <c r="P320">
        <v>4</v>
      </c>
      <c r="Q320">
        <v>7</v>
      </c>
      <c r="R320">
        <v>3</v>
      </c>
      <c r="S320">
        <v>1</v>
      </c>
      <c r="T320">
        <v>9</v>
      </c>
      <c r="U320">
        <v>4</v>
      </c>
      <c r="V320">
        <v>2</v>
      </c>
      <c r="W320">
        <v>9</v>
      </c>
      <c r="X320">
        <v>5</v>
      </c>
      <c r="Y320">
        <v>10</v>
      </c>
      <c r="Z320">
        <v>10</v>
      </c>
      <c r="AA320">
        <v>7</v>
      </c>
      <c r="AB320">
        <v>5</v>
      </c>
      <c r="AC320">
        <v>4</v>
      </c>
      <c r="AD320">
        <v>10</v>
      </c>
      <c r="AE320">
        <v>5</v>
      </c>
      <c r="AF320">
        <v>0</v>
      </c>
      <c r="AG320">
        <v>5</v>
      </c>
      <c r="AH320">
        <v>1</v>
      </c>
      <c r="AI320">
        <v>1</v>
      </c>
      <c r="AJ320">
        <v>6</v>
      </c>
      <c r="AK320">
        <v>5</v>
      </c>
      <c r="AL320">
        <v>8</v>
      </c>
      <c r="AM320">
        <v>3</v>
      </c>
      <c r="AN320">
        <v>4</v>
      </c>
      <c r="AO320">
        <v>9</v>
      </c>
      <c r="AP320">
        <v>2</v>
      </c>
      <c r="AQ320">
        <v>9</v>
      </c>
      <c r="AR320">
        <v>5</v>
      </c>
      <c r="AS320">
        <v>7</v>
      </c>
      <c r="AT320">
        <v>6</v>
      </c>
      <c r="AU320">
        <v>6</v>
      </c>
      <c r="AV320">
        <v>9</v>
      </c>
      <c r="AW320">
        <v>8</v>
      </c>
      <c r="AX320">
        <v>8</v>
      </c>
      <c r="AY320">
        <v>3</v>
      </c>
      <c r="AZ320">
        <v>1</v>
      </c>
      <c r="BA320">
        <v>9</v>
      </c>
      <c r="BB320">
        <v>2</v>
      </c>
      <c r="BC320">
        <v>7</v>
      </c>
      <c r="BD320">
        <v>6</v>
      </c>
      <c r="BE320">
        <v>1</v>
      </c>
      <c r="BF320">
        <v>3</v>
      </c>
      <c r="BG320">
        <v>7</v>
      </c>
      <c r="BH320">
        <v>6</v>
      </c>
      <c r="BI320">
        <v>7</v>
      </c>
      <c r="BJ320">
        <v>7</v>
      </c>
      <c r="BK320">
        <v>5</v>
      </c>
      <c r="BL320">
        <v>5</v>
      </c>
      <c r="BM320">
        <v>1</v>
      </c>
      <c r="BN320">
        <v>1</v>
      </c>
      <c r="BO320">
        <v>2</v>
      </c>
      <c r="BP320">
        <v>1</v>
      </c>
      <c r="BQ320">
        <v>0</v>
      </c>
      <c r="BR320">
        <v>1</v>
      </c>
      <c r="BS320">
        <v>7</v>
      </c>
      <c r="BT320">
        <v>1</v>
      </c>
      <c r="BU320">
        <v>3</v>
      </c>
      <c r="BV320">
        <v>1</v>
      </c>
      <c r="BW320">
        <v>5</v>
      </c>
      <c r="BX320">
        <v>6</v>
      </c>
      <c r="BY320">
        <v>4</v>
      </c>
      <c r="BZ320">
        <v>1</v>
      </c>
      <c r="CA320">
        <v>7</v>
      </c>
      <c r="CB320">
        <v>0</v>
      </c>
      <c r="CC320">
        <v>6</v>
      </c>
      <c r="CD320">
        <v>1</v>
      </c>
      <c r="CE320">
        <v>2</v>
      </c>
      <c r="CF320">
        <v>9</v>
      </c>
      <c r="CG320">
        <v>6</v>
      </c>
      <c r="CH320">
        <v>0</v>
      </c>
      <c r="CI320">
        <v>10</v>
      </c>
      <c r="CJ320">
        <v>10</v>
      </c>
      <c r="CK320">
        <v>1</v>
      </c>
      <c r="CL320">
        <v>7</v>
      </c>
      <c r="CM320">
        <v>1</v>
      </c>
      <c r="CN320">
        <v>6</v>
      </c>
      <c r="CO320">
        <v>1</v>
      </c>
      <c r="CP320">
        <v>1</v>
      </c>
      <c r="CQ320">
        <v>3</v>
      </c>
      <c r="CR320">
        <v>6</v>
      </c>
      <c r="CS320">
        <v>0</v>
      </c>
      <c r="CT320">
        <v>2</v>
      </c>
      <c r="CU320">
        <v>2</v>
      </c>
      <c r="CV320">
        <v>0</v>
      </c>
      <c r="CW320">
        <v>4</v>
      </c>
      <c r="CX320">
        <v>8</v>
      </c>
      <c r="CY320">
        <v>5</v>
      </c>
      <c r="CZ320">
        <v>3</v>
      </c>
      <c r="DA320">
        <v>4</v>
      </c>
      <c r="DB320">
        <v>0</v>
      </c>
      <c r="DC320">
        <v>8</v>
      </c>
      <c r="DD320">
        <v>0</v>
      </c>
      <c r="DE320">
        <v>3</v>
      </c>
      <c r="DF320">
        <v>9</v>
      </c>
      <c r="DG320">
        <v>5</v>
      </c>
      <c r="DH320">
        <v>1</v>
      </c>
      <c r="DI320">
        <v>2</v>
      </c>
      <c r="DJ320">
        <v>8</v>
      </c>
      <c r="DK320">
        <v>3</v>
      </c>
    </row>
    <row r="321" spans="1:115">
      <c r="A321" s="173">
        <f>Calculations[[#This Row],[Sum t eCO2]]*IF(Calculations[[#This Row],[GHG Scope]]="BIOGENIC",0,1)</f>
        <v>1.75016478</v>
      </c>
      <c r="O321">
        <f t="shared" si="4"/>
        <v>320</v>
      </c>
      <c r="P321">
        <v>8</v>
      </c>
      <c r="Q321">
        <v>7</v>
      </c>
      <c r="R321">
        <v>3</v>
      </c>
      <c r="S321">
        <v>4</v>
      </c>
      <c r="T321">
        <v>5</v>
      </c>
      <c r="U321">
        <v>8</v>
      </c>
      <c r="V321">
        <v>4</v>
      </c>
      <c r="W321">
        <v>10</v>
      </c>
      <c r="X321">
        <v>2</v>
      </c>
      <c r="Y321">
        <v>5</v>
      </c>
      <c r="Z321">
        <v>1</v>
      </c>
      <c r="AA321">
        <v>3</v>
      </c>
      <c r="AB321">
        <v>0</v>
      </c>
      <c r="AC321">
        <v>7</v>
      </c>
      <c r="AD321">
        <v>9</v>
      </c>
      <c r="AE321">
        <v>0</v>
      </c>
      <c r="AF321">
        <v>6</v>
      </c>
      <c r="AG321">
        <v>4</v>
      </c>
      <c r="AH321">
        <v>0</v>
      </c>
      <c r="AI321">
        <v>5</v>
      </c>
      <c r="AJ321">
        <v>10</v>
      </c>
      <c r="AK321">
        <v>3</v>
      </c>
      <c r="AL321">
        <v>5</v>
      </c>
      <c r="AM321">
        <v>4</v>
      </c>
      <c r="AN321">
        <v>7</v>
      </c>
      <c r="AO321">
        <v>3</v>
      </c>
      <c r="AP321">
        <v>3</v>
      </c>
      <c r="AQ321">
        <v>4</v>
      </c>
      <c r="AR321">
        <v>10</v>
      </c>
      <c r="AS321">
        <v>4</v>
      </c>
      <c r="AT321">
        <v>3</v>
      </c>
      <c r="AU321">
        <v>3</v>
      </c>
      <c r="AV321">
        <v>5</v>
      </c>
      <c r="AW321">
        <v>8</v>
      </c>
      <c r="AX321">
        <v>2</v>
      </c>
      <c r="AY321">
        <v>1</v>
      </c>
      <c r="AZ321">
        <v>0</v>
      </c>
      <c r="BA321">
        <v>4</v>
      </c>
      <c r="BB321">
        <v>9</v>
      </c>
      <c r="BC321">
        <v>5</v>
      </c>
      <c r="BD321">
        <v>0</v>
      </c>
      <c r="BE321">
        <v>6</v>
      </c>
      <c r="BF321">
        <v>7</v>
      </c>
      <c r="BG321">
        <v>0</v>
      </c>
      <c r="BH321">
        <v>7</v>
      </c>
      <c r="BI321">
        <v>4</v>
      </c>
      <c r="BJ321">
        <v>3</v>
      </c>
      <c r="BK321">
        <v>5</v>
      </c>
      <c r="BL321">
        <v>3</v>
      </c>
      <c r="BM321">
        <v>10</v>
      </c>
      <c r="BN321">
        <v>5</v>
      </c>
      <c r="BO321">
        <v>5</v>
      </c>
      <c r="BP321">
        <v>8</v>
      </c>
      <c r="BQ321">
        <v>5</v>
      </c>
      <c r="BR321">
        <v>10</v>
      </c>
      <c r="BS321">
        <v>8</v>
      </c>
      <c r="BT321">
        <v>0</v>
      </c>
      <c r="BU321">
        <v>4</v>
      </c>
      <c r="BV321">
        <v>9</v>
      </c>
      <c r="BW321">
        <v>10</v>
      </c>
      <c r="BX321">
        <v>0</v>
      </c>
      <c r="BY321">
        <v>0</v>
      </c>
      <c r="BZ321">
        <v>3</v>
      </c>
      <c r="CA321">
        <v>0</v>
      </c>
      <c r="CB321">
        <v>10</v>
      </c>
      <c r="CC321">
        <v>3</v>
      </c>
      <c r="CD321">
        <v>6</v>
      </c>
      <c r="CE321">
        <v>7</v>
      </c>
      <c r="CF321">
        <v>6</v>
      </c>
      <c r="CG321">
        <v>0</v>
      </c>
      <c r="CH321">
        <v>3</v>
      </c>
      <c r="CI321">
        <v>0</v>
      </c>
      <c r="CJ321">
        <v>7</v>
      </c>
      <c r="CK321">
        <v>1</v>
      </c>
      <c r="CL321">
        <v>4</v>
      </c>
      <c r="CM321">
        <v>0</v>
      </c>
      <c r="CN321">
        <v>6</v>
      </c>
      <c r="CO321">
        <v>2</v>
      </c>
      <c r="CP321">
        <v>5</v>
      </c>
      <c r="CQ321">
        <v>7</v>
      </c>
      <c r="CR321">
        <v>5</v>
      </c>
      <c r="CS321">
        <v>10</v>
      </c>
      <c r="CT321">
        <v>6</v>
      </c>
      <c r="CU321">
        <v>4</v>
      </c>
      <c r="CV321">
        <v>8</v>
      </c>
      <c r="CW321">
        <v>9</v>
      </c>
      <c r="CX321">
        <v>5</v>
      </c>
      <c r="CY321">
        <v>0</v>
      </c>
      <c r="CZ321">
        <v>3</v>
      </c>
      <c r="DA321">
        <v>9</v>
      </c>
      <c r="DB321">
        <v>10</v>
      </c>
      <c r="DC321">
        <v>4</v>
      </c>
      <c r="DD321">
        <v>9</v>
      </c>
      <c r="DE321">
        <v>4</v>
      </c>
      <c r="DF321">
        <v>7</v>
      </c>
      <c r="DG321">
        <v>9</v>
      </c>
      <c r="DH321">
        <v>3</v>
      </c>
      <c r="DI321">
        <v>9</v>
      </c>
      <c r="DJ321">
        <v>3</v>
      </c>
      <c r="DK321">
        <v>6</v>
      </c>
    </row>
    <row r="322" spans="1:115">
      <c r="A322" s="173">
        <f>Calculations[[#This Row],[Sum t eCO2]]*IF(Calculations[[#This Row],[GHG Scope]]="BIOGENIC",0,1)</f>
        <v>4.3209567500000006</v>
      </c>
      <c r="O322">
        <f t="shared" si="4"/>
        <v>321</v>
      </c>
      <c r="P322">
        <v>3</v>
      </c>
      <c r="Q322">
        <v>9</v>
      </c>
      <c r="R322">
        <v>4</v>
      </c>
      <c r="S322">
        <v>5</v>
      </c>
      <c r="T322">
        <v>10</v>
      </c>
      <c r="U322">
        <v>2</v>
      </c>
      <c r="V322">
        <v>0</v>
      </c>
      <c r="W322">
        <v>4</v>
      </c>
      <c r="X322">
        <v>10</v>
      </c>
      <c r="Y322">
        <v>6</v>
      </c>
      <c r="Z322">
        <v>4</v>
      </c>
      <c r="AA322">
        <v>3</v>
      </c>
      <c r="AB322">
        <v>5</v>
      </c>
      <c r="AC322">
        <v>5</v>
      </c>
      <c r="AD322">
        <v>1</v>
      </c>
      <c r="AE322">
        <v>2</v>
      </c>
      <c r="AF322">
        <v>7</v>
      </c>
      <c r="AG322">
        <v>6</v>
      </c>
      <c r="AH322">
        <v>10</v>
      </c>
      <c r="AI322">
        <v>7</v>
      </c>
      <c r="AJ322">
        <v>10</v>
      </c>
      <c r="AK322">
        <v>2</v>
      </c>
      <c r="AL322">
        <v>4</v>
      </c>
      <c r="AM322">
        <v>6</v>
      </c>
      <c r="AN322">
        <v>1</v>
      </c>
      <c r="AO322">
        <v>1</v>
      </c>
      <c r="AP322">
        <v>1</v>
      </c>
      <c r="AQ322">
        <v>7</v>
      </c>
      <c r="AR322">
        <v>3</v>
      </c>
      <c r="AS322">
        <v>6</v>
      </c>
      <c r="AT322">
        <v>7</v>
      </c>
      <c r="AU322">
        <v>0</v>
      </c>
      <c r="AV322">
        <v>2</v>
      </c>
      <c r="AW322">
        <v>9</v>
      </c>
      <c r="AX322">
        <v>6</v>
      </c>
      <c r="AY322">
        <v>9</v>
      </c>
      <c r="AZ322">
        <v>1</v>
      </c>
      <c r="BA322">
        <v>7</v>
      </c>
      <c r="BB322">
        <v>2</v>
      </c>
      <c r="BC322">
        <v>1</v>
      </c>
      <c r="BD322">
        <v>8</v>
      </c>
      <c r="BE322">
        <v>9</v>
      </c>
      <c r="BF322">
        <v>6</v>
      </c>
      <c r="BG322">
        <v>7</v>
      </c>
      <c r="BH322">
        <v>6</v>
      </c>
      <c r="BI322">
        <v>5</v>
      </c>
      <c r="BJ322">
        <v>1</v>
      </c>
      <c r="BK322">
        <v>3</v>
      </c>
      <c r="BL322">
        <v>4</v>
      </c>
      <c r="BM322">
        <v>2</v>
      </c>
      <c r="BN322">
        <v>2</v>
      </c>
      <c r="BO322">
        <v>1</v>
      </c>
      <c r="BP322">
        <v>4</v>
      </c>
      <c r="BQ322">
        <v>7</v>
      </c>
      <c r="BR322">
        <v>4</v>
      </c>
      <c r="BS322">
        <v>8</v>
      </c>
      <c r="BT322">
        <v>3</v>
      </c>
      <c r="BU322">
        <v>10</v>
      </c>
      <c r="BV322">
        <v>7</v>
      </c>
      <c r="BW322">
        <v>3</v>
      </c>
      <c r="BX322">
        <v>6</v>
      </c>
      <c r="BY322">
        <v>7</v>
      </c>
      <c r="BZ322">
        <v>3</v>
      </c>
      <c r="CA322">
        <v>2</v>
      </c>
      <c r="CB322">
        <v>6</v>
      </c>
      <c r="CC322">
        <v>0</v>
      </c>
      <c r="CD322">
        <v>1</v>
      </c>
      <c r="CE322">
        <v>4</v>
      </c>
      <c r="CF322">
        <v>5</v>
      </c>
      <c r="CG322">
        <v>10</v>
      </c>
      <c r="CH322">
        <v>9</v>
      </c>
      <c r="CI322">
        <v>6</v>
      </c>
      <c r="CJ322">
        <v>9</v>
      </c>
      <c r="CK322">
        <v>8</v>
      </c>
      <c r="CL322">
        <v>2</v>
      </c>
      <c r="CM322">
        <v>8</v>
      </c>
      <c r="CN322">
        <v>9</v>
      </c>
      <c r="CO322">
        <v>0</v>
      </c>
      <c r="CP322">
        <v>6</v>
      </c>
      <c r="CQ322">
        <v>1</v>
      </c>
      <c r="CR322">
        <v>1</v>
      </c>
      <c r="CS322">
        <v>2</v>
      </c>
      <c r="CT322">
        <v>3</v>
      </c>
      <c r="CU322">
        <v>2</v>
      </c>
      <c r="CV322">
        <v>4</v>
      </c>
      <c r="CW322">
        <v>8</v>
      </c>
      <c r="CX322">
        <v>6</v>
      </c>
      <c r="CY322">
        <v>8</v>
      </c>
      <c r="CZ322">
        <v>1</v>
      </c>
      <c r="DA322">
        <v>8</v>
      </c>
      <c r="DB322">
        <v>0</v>
      </c>
      <c r="DC322">
        <v>8</v>
      </c>
      <c r="DD322">
        <v>9</v>
      </c>
      <c r="DE322">
        <v>1</v>
      </c>
      <c r="DF322">
        <v>0</v>
      </c>
      <c r="DG322">
        <v>7</v>
      </c>
      <c r="DH322">
        <v>8</v>
      </c>
      <c r="DI322">
        <v>10</v>
      </c>
      <c r="DJ322">
        <v>3</v>
      </c>
      <c r="DK322">
        <v>8</v>
      </c>
    </row>
    <row r="323" spans="1:115">
      <c r="A323" s="173">
        <f>Calculations[[#This Row],[Sum t eCO2]]*IF(Calculations[[#This Row],[GHG Scope]]="BIOGENIC",0,1)</f>
        <v>0.17083268630999998</v>
      </c>
      <c r="O323">
        <f t="shared" si="4"/>
        <v>322</v>
      </c>
      <c r="P323">
        <v>10</v>
      </c>
      <c r="Q323">
        <v>8</v>
      </c>
      <c r="R323">
        <v>9</v>
      </c>
      <c r="S323">
        <v>4</v>
      </c>
      <c r="T323">
        <v>2</v>
      </c>
      <c r="U323">
        <v>8</v>
      </c>
      <c r="V323">
        <v>0</v>
      </c>
      <c r="W323">
        <v>5</v>
      </c>
      <c r="X323">
        <v>9</v>
      </c>
      <c r="Y323">
        <v>5</v>
      </c>
      <c r="Z323">
        <v>2</v>
      </c>
      <c r="AA323">
        <v>7</v>
      </c>
      <c r="AB323">
        <v>5</v>
      </c>
      <c r="AC323">
        <v>10</v>
      </c>
      <c r="AD323">
        <v>9</v>
      </c>
      <c r="AE323">
        <v>0</v>
      </c>
      <c r="AF323">
        <v>10</v>
      </c>
      <c r="AG323">
        <v>2</v>
      </c>
      <c r="AH323">
        <v>10</v>
      </c>
      <c r="AI323">
        <v>7</v>
      </c>
      <c r="AJ323">
        <v>9</v>
      </c>
      <c r="AK323">
        <v>0</v>
      </c>
      <c r="AL323">
        <v>0</v>
      </c>
      <c r="AM323">
        <v>3</v>
      </c>
      <c r="AN323">
        <v>8</v>
      </c>
      <c r="AO323">
        <v>1</v>
      </c>
      <c r="AP323">
        <v>7</v>
      </c>
      <c r="AQ323">
        <v>0</v>
      </c>
      <c r="AR323">
        <v>1</v>
      </c>
      <c r="AS323">
        <v>3</v>
      </c>
      <c r="AT323">
        <v>5</v>
      </c>
      <c r="AU323">
        <v>4</v>
      </c>
      <c r="AV323">
        <v>6</v>
      </c>
      <c r="AW323">
        <v>6</v>
      </c>
      <c r="AX323">
        <v>2</v>
      </c>
      <c r="AY323">
        <v>10</v>
      </c>
      <c r="AZ323">
        <v>7</v>
      </c>
      <c r="BA323">
        <v>2</v>
      </c>
      <c r="BB323">
        <v>8</v>
      </c>
      <c r="BC323">
        <v>8</v>
      </c>
      <c r="BD323">
        <v>10</v>
      </c>
      <c r="BE323">
        <v>3</v>
      </c>
      <c r="BF323">
        <v>8</v>
      </c>
      <c r="BG323">
        <v>5</v>
      </c>
      <c r="BH323">
        <v>8</v>
      </c>
      <c r="BI323">
        <v>0</v>
      </c>
      <c r="BJ323">
        <v>9</v>
      </c>
      <c r="BK323">
        <v>5</v>
      </c>
      <c r="BL323">
        <v>7</v>
      </c>
      <c r="BM323">
        <v>10</v>
      </c>
      <c r="BN323">
        <v>6</v>
      </c>
      <c r="BO323">
        <v>4</v>
      </c>
      <c r="BP323">
        <v>1</v>
      </c>
      <c r="BQ323">
        <v>2</v>
      </c>
      <c r="BR323">
        <v>2</v>
      </c>
      <c r="BS323">
        <v>0</v>
      </c>
      <c r="BT323">
        <v>0</v>
      </c>
      <c r="BU323">
        <v>9</v>
      </c>
      <c r="BV323">
        <v>8</v>
      </c>
      <c r="BW323">
        <v>0</v>
      </c>
      <c r="BX323">
        <v>0</v>
      </c>
      <c r="BY323">
        <v>5</v>
      </c>
      <c r="BZ323">
        <v>8</v>
      </c>
      <c r="CA323">
        <v>3</v>
      </c>
      <c r="CB323">
        <v>7</v>
      </c>
      <c r="CC323">
        <v>1</v>
      </c>
      <c r="CD323">
        <v>9</v>
      </c>
      <c r="CE323">
        <v>5</v>
      </c>
      <c r="CF323">
        <v>9</v>
      </c>
      <c r="CG323">
        <v>2</v>
      </c>
      <c r="CH323">
        <v>4</v>
      </c>
      <c r="CI323">
        <v>10</v>
      </c>
      <c r="CJ323">
        <v>1</v>
      </c>
      <c r="CK323">
        <v>5</v>
      </c>
      <c r="CL323">
        <v>0</v>
      </c>
      <c r="CM323">
        <v>6</v>
      </c>
      <c r="CN323">
        <v>10</v>
      </c>
      <c r="CO323">
        <v>2</v>
      </c>
      <c r="CP323">
        <v>6</v>
      </c>
      <c r="CQ323">
        <v>6</v>
      </c>
      <c r="CR323">
        <v>8</v>
      </c>
      <c r="CS323">
        <v>7</v>
      </c>
      <c r="CT323">
        <v>1</v>
      </c>
      <c r="CU323">
        <v>2</v>
      </c>
      <c r="CV323">
        <v>4</v>
      </c>
      <c r="CW323">
        <v>7</v>
      </c>
      <c r="CX323">
        <v>1</v>
      </c>
      <c r="CY323">
        <v>4</v>
      </c>
      <c r="CZ323">
        <v>7</v>
      </c>
      <c r="DA323">
        <v>3</v>
      </c>
      <c r="DB323">
        <v>8</v>
      </c>
      <c r="DC323">
        <v>2</v>
      </c>
      <c r="DD323">
        <v>6</v>
      </c>
      <c r="DE323">
        <v>1</v>
      </c>
      <c r="DF323">
        <v>2</v>
      </c>
      <c r="DG323">
        <v>6</v>
      </c>
      <c r="DH323">
        <v>4</v>
      </c>
      <c r="DI323">
        <v>8</v>
      </c>
      <c r="DJ323">
        <v>7</v>
      </c>
      <c r="DK323">
        <v>6</v>
      </c>
    </row>
    <row r="324" spans="1:115">
      <c r="A324" s="173">
        <f>Calculations[[#This Row],[Sum t eCO2]]*IF(Calculations[[#This Row],[GHG Scope]]="BIOGENIC",0,1)</f>
        <v>2.4454424475000001</v>
      </c>
      <c r="O324">
        <f t="shared" ref="O324:O387" si="5">O323+1</f>
        <v>323</v>
      </c>
      <c r="P324">
        <v>10</v>
      </c>
      <c r="Q324">
        <v>2</v>
      </c>
      <c r="R324">
        <v>10</v>
      </c>
      <c r="S324">
        <v>8</v>
      </c>
      <c r="T324">
        <v>6</v>
      </c>
      <c r="U324">
        <v>9</v>
      </c>
      <c r="V324">
        <v>8</v>
      </c>
      <c r="W324">
        <v>9</v>
      </c>
      <c r="X324">
        <v>4</v>
      </c>
      <c r="Y324">
        <v>7</v>
      </c>
      <c r="Z324">
        <v>8</v>
      </c>
      <c r="AA324">
        <v>0</v>
      </c>
      <c r="AB324">
        <v>4</v>
      </c>
      <c r="AC324">
        <v>10</v>
      </c>
      <c r="AD324">
        <v>6</v>
      </c>
      <c r="AE324">
        <v>4</v>
      </c>
      <c r="AF324">
        <v>3</v>
      </c>
      <c r="AG324">
        <v>2</v>
      </c>
      <c r="AH324">
        <v>9</v>
      </c>
      <c r="AI324">
        <v>9</v>
      </c>
      <c r="AJ324">
        <v>5</v>
      </c>
      <c r="AK324">
        <v>5</v>
      </c>
      <c r="AL324">
        <v>8</v>
      </c>
      <c r="AM324">
        <v>9</v>
      </c>
      <c r="AN324">
        <v>9</v>
      </c>
      <c r="AO324">
        <v>4</v>
      </c>
      <c r="AP324">
        <v>4</v>
      </c>
      <c r="AQ324">
        <v>8</v>
      </c>
      <c r="AR324">
        <v>9</v>
      </c>
      <c r="AS324">
        <v>1</v>
      </c>
      <c r="AT324">
        <v>4</v>
      </c>
      <c r="AU324">
        <v>9</v>
      </c>
      <c r="AV324">
        <v>6</v>
      </c>
      <c r="AW324">
        <v>7</v>
      </c>
      <c r="AX324">
        <v>8</v>
      </c>
      <c r="AY324">
        <v>9</v>
      </c>
      <c r="AZ324">
        <v>0</v>
      </c>
      <c r="BA324">
        <v>2</v>
      </c>
      <c r="BB324">
        <v>9</v>
      </c>
      <c r="BC324">
        <v>0</v>
      </c>
      <c r="BD324">
        <v>9</v>
      </c>
      <c r="BE324">
        <v>3</v>
      </c>
      <c r="BF324">
        <v>9</v>
      </c>
      <c r="BG324">
        <v>8</v>
      </c>
      <c r="BH324">
        <v>1</v>
      </c>
      <c r="BI324">
        <v>1</v>
      </c>
      <c r="BJ324">
        <v>6</v>
      </c>
      <c r="BK324">
        <v>6</v>
      </c>
      <c r="BL324">
        <v>9</v>
      </c>
      <c r="BM324">
        <v>10</v>
      </c>
      <c r="BN324">
        <v>2</v>
      </c>
      <c r="BO324">
        <v>10</v>
      </c>
      <c r="BP324">
        <v>4</v>
      </c>
      <c r="BQ324">
        <v>2</v>
      </c>
      <c r="BR324">
        <v>1</v>
      </c>
      <c r="BS324">
        <v>6</v>
      </c>
      <c r="BT324">
        <v>8</v>
      </c>
      <c r="BU324">
        <v>9</v>
      </c>
      <c r="BV324">
        <v>10</v>
      </c>
      <c r="BW324">
        <v>10</v>
      </c>
      <c r="BX324">
        <v>2</v>
      </c>
      <c r="BY324">
        <v>0</v>
      </c>
      <c r="BZ324">
        <v>4</v>
      </c>
      <c r="CA324">
        <v>1</v>
      </c>
      <c r="CB324">
        <v>6</v>
      </c>
      <c r="CC324">
        <v>6</v>
      </c>
      <c r="CD324">
        <v>10</v>
      </c>
      <c r="CE324">
        <v>10</v>
      </c>
      <c r="CF324">
        <v>0</v>
      </c>
      <c r="CG324">
        <v>7</v>
      </c>
      <c r="CH324">
        <v>7</v>
      </c>
      <c r="CI324">
        <v>10</v>
      </c>
      <c r="CJ324">
        <v>2</v>
      </c>
      <c r="CK324">
        <v>0</v>
      </c>
      <c r="CL324">
        <v>0</v>
      </c>
      <c r="CM324">
        <v>10</v>
      </c>
      <c r="CN324">
        <v>7</v>
      </c>
      <c r="CO324">
        <v>2</v>
      </c>
      <c r="CP324">
        <v>5</v>
      </c>
      <c r="CQ324">
        <v>7</v>
      </c>
      <c r="CR324">
        <v>5</v>
      </c>
      <c r="CS324">
        <v>0</v>
      </c>
      <c r="CT324">
        <v>4</v>
      </c>
      <c r="CU324">
        <v>10</v>
      </c>
      <c r="CV324">
        <v>7</v>
      </c>
      <c r="CW324">
        <v>10</v>
      </c>
      <c r="CX324">
        <v>0</v>
      </c>
      <c r="CY324">
        <v>8</v>
      </c>
      <c r="CZ324">
        <v>4</v>
      </c>
      <c r="DA324">
        <v>8</v>
      </c>
      <c r="DB324">
        <v>4</v>
      </c>
      <c r="DC324">
        <v>8</v>
      </c>
      <c r="DD324">
        <v>6</v>
      </c>
      <c r="DE324">
        <v>5</v>
      </c>
      <c r="DF324">
        <v>1</v>
      </c>
      <c r="DG324">
        <v>0</v>
      </c>
      <c r="DH324">
        <v>10</v>
      </c>
      <c r="DI324">
        <v>2</v>
      </c>
      <c r="DJ324">
        <v>2</v>
      </c>
      <c r="DK324">
        <v>10</v>
      </c>
    </row>
    <row r="325" spans="1:115">
      <c r="A325" s="173">
        <f>Calculations[[#This Row],[Sum t eCO2]]*IF(Calculations[[#This Row],[GHG Scope]]="BIOGENIC",0,1)</f>
        <v>1.6351233779999996</v>
      </c>
      <c r="O325">
        <f t="shared" si="5"/>
        <v>324</v>
      </c>
      <c r="P325">
        <v>9</v>
      </c>
      <c r="Q325">
        <v>4</v>
      </c>
      <c r="R325">
        <v>6</v>
      </c>
      <c r="S325">
        <v>9</v>
      </c>
      <c r="T325">
        <v>1</v>
      </c>
      <c r="U325">
        <v>8</v>
      </c>
      <c r="V325">
        <v>1</v>
      </c>
      <c r="W325">
        <v>6</v>
      </c>
      <c r="X325">
        <v>2</v>
      </c>
      <c r="Y325">
        <v>4</v>
      </c>
      <c r="Z325">
        <v>2</v>
      </c>
      <c r="AA325">
        <v>9</v>
      </c>
      <c r="AB325">
        <v>1</v>
      </c>
      <c r="AC325">
        <v>9</v>
      </c>
      <c r="AD325">
        <v>2</v>
      </c>
      <c r="AE325">
        <v>0</v>
      </c>
      <c r="AF325">
        <v>10</v>
      </c>
      <c r="AG325">
        <v>5</v>
      </c>
      <c r="AH325">
        <v>3</v>
      </c>
      <c r="AI325">
        <v>3</v>
      </c>
      <c r="AJ325">
        <v>10</v>
      </c>
      <c r="AK325">
        <v>5</v>
      </c>
      <c r="AL325">
        <v>3</v>
      </c>
      <c r="AM325">
        <v>8</v>
      </c>
      <c r="AN325">
        <v>3</v>
      </c>
      <c r="AO325">
        <v>4</v>
      </c>
      <c r="AP325">
        <v>4</v>
      </c>
      <c r="AQ325">
        <v>9</v>
      </c>
      <c r="AR325">
        <v>9</v>
      </c>
      <c r="AS325">
        <v>9</v>
      </c>
      <c r="AT325">
        <v>9</v>
      </c>
      <c r="AU325">
        <v>0</v>
      </c>
      <c r="AV325">
        <v>2</v>
      </c>
      <c r="AW325">
        <v>4</v>
      </c>
      <c r="AX325">
        <v>3</v>
      </c>
      <c r="AY325">
        <v>7</v>
      </c>
      <c r="AZ325">
        <v>2</v>
      </c>
      <c r="BA325">
        <v>9</v>
      </c>
      <c r="BB325">
        <v>0</v>
      </c>
      <c r="BC325">
        <v>8</v>
      </c>
      <c r="BD325">
        <v>9</v>
      </c>
      <c r="BE325">
        <v>1</v>
      </c>
      <c r="BF325">
        <v>0</v>
      </c>
      <c r="BG325">
        <v>4</v>
      </c>
      <c r="BH325">
        <v>4</v>
      </c>
      <c r="BI325">
        <v>9</v>
      </c>
      <c r="BJ325">
        <v>9</v>
      </c>
      <c r="BK325">
        <v>1</v>
      </c>
      <c r="BL325">
        <v>0</v>
      </c>
      <c r="BM325">
        <v>9</v>
      </c>
      <c r="BN325">
        <v>3</v>
      </c>
      <c r="BO325">
        <v>9</v>
      </c>
      <c r="BP325">
        <v>1</v>
      </c>
      <c r="BQ325">
        <v>10</v>
      </c>
      <c r="BR325">
        <v>0</v>
      </c>
      <c r="BS325">
        <v>9</v>
      </c>
      <c r="BT325">
        <v>4</v>
      </c>
      <c r="BU325">
        <v>8</v>
      </c>
      <c r="BV325">
        <v>7</v>
      </c>
      <c r="BW325">
        <v>7</v>
      </c>
      <c r="BX325">
        <v>2</v>
      </c>
      <c r="BY325">
        <v>9</v>
      </c>
      <c r="BZ325">
        <v>0</v>
      </c>
      <c r="CA325">
        <v>10</v>
      </c>
      <c r="CB325">
        <v>0</v>
      </c>
      <c r="CC325">
        <v>10</v>
      </c>
      <c r="CD325">
        <v>8</v>
      </c>
      <c r="CE325">
        <v>4</v>
      </c>
      <c r="CF325">
        <v>6</v>
      </c>
      <c r="CG325">
        <v>0</v>
      </c>
      <c r="CH325">
        <v>8</v>
      </c>
      <c r="CI325">
        <v>5</v>
      </c>
      <c r="CJ325">
        <v>9</v>
      </c>
      <c r="CK325">
        <v>1</v>
      </c>
      <c r="CL325">
        <v>1</v>
      </c>
      <c r="CM325">
        <v>8</v>
      </c>
      <c r="CN325">
        <v>8</v>
      </c>
      <c r="CO325">
        <v>8</v>
      </c>
      <c r="CP325">
        <v>8</v>
      </c>
      <c r="CQ325">
        <v>2</v>
      </c>
      <c r="CR325">
        <v>4</v>
      </c>
      <c r="CS325">
        <v>6</v>
      </c>
      <c r="CT325">
        <v>10</v>
      </c>
      <c r="CU325">
        <v>9</v>
      </c>
      <c r="CV325">
        <v>4</v>
      </c>
      <c r="CW325">
        <v>0</v>
      </c>
      <c r="CX325">
        <v>5</v>
      </c>
      <c r="CY325">
        <v>6</v>
      </c>
      <c r="CZ325">
        <v>6</v>
      </c>
      <c r="DA325">
        <v>6</v>
      </c>
      <c r="DB325">
        <v>9</v>
      </c>
      <c r="DC325">
        <v>9</v>
      </c>
      <c r="DD325">
        <v>10</v>
      </c>
      <c r="DE325">
        <v>10</v>
      </c>
      <c r="DF325">
        <v>2</v>
      </c>
      <c r="DG325">
        <v>4</v>
      </c>
      <c r="DH325">
        <v>6</v>
      </c>
      <c r="DI325">
        <v>9</v>
      </c>
      <c r="DJ325">
        <v>8</v>
      </c>
      <c r="DK325">
        <v>9</v>
      </c>
    </row>
    <row r="326" spans="1:115">
      <c r="A326" s="173">
        <f>Calculations[[#This Row],[Sum t eCO2]]*IF(Calculations[[#This Row],[GHG Scope]]="BIOGENIC",0,1)</f>
        <v>1.1894443914599999</v>
      </c>
      <c r="O326">
        <f t="shared" si="5"/>
        <v>325</v>
      </c>
      <c r="P326">
        <v>0</v>
      </c>
      <c r="Q326">
        <v>2</v>
      </c>
      <c r="R326">
        <v>6</v>
      </c>
      <c r="S326">
        <v>4</v>
      </c>
      <c r="T326">
        <v>5</v>
      </c>
      <c r="U326">
        <v>6</v>
      </c>
      <c r="V326">
        <v>3</v>
      </c>
      <c r="W326">
        <v>8</v>
      </c>
      <c r="X326">
        <v>10</v>
      </c>
      <c r="Y326">
        <v>8</v>
      </c>
      <c r="Z326">
        <v>3</v>
      </c>
      <c r="AA326">
        <v>9</v>
      </c>
      <c r="AB326">
        <v>3</v>
      </c>
      <c r="AC326">
        <v>3</v>
      </c>
      <c r="AD326">
        <v>8</v>
      </c>
      <c r="AE326">
        <v>1</v>
      </c>
      <c r="AF326">
        <v>3</v>
      </c>
      <c r="AG326">
        <v>7</v>
      </c>
      <c r="AH326">
        <v>5</v>
      </c>
      <c r="AI326">
        <v>8</v>
      </c>
      <c r="AJ326">
        <v>7</v>
      </c>
      <c r="AK326">
        <v>10</v>
      </c>
      <c r="AL326">
        <v>10</v>
      </c>
      <c r="AM326">
        <v>10</v>
      </c>
      <c r="AN326">
        <v>8</v>
      </c>
      <c r="AO326">
        <v>2</v>
      </c>
      <c r="AP326">
        <v>2</v>
      </c>
      <c r="AQ326">
        <v>3</v>
      </c>
      <c r="AR326">
        <v>8</v>
      </c>
      <c r="AS326">
        <v>0</v>
      </c>
      <c r="AT326">
        <v>8</v>
      </c>
      <c r="AU326">
        <v>5</v>
      </c>
      <c r="AV326">
        <v>4</v>
      </c>
      <c r="AW326">
        <v>7</v>
      </c>
      <c r="AX326">
        <v>6</v>
      </c>
      <c r="AY326">
        <v>7</v>
      </c>
      <c r="AZ326">
        <v>3</v>
      </c>
      <c r="BA326">
        <v>6</v>
      </c>
      <c r="BB326">
        <v>4</v>
      </c>
      <c r="BC326">
        <v>8</v>
      </c>
      <c r="BD326">
        <v>7</v>
      </c>
      <c r="BE326">
        <v>8</v>
      </c>
      <c r="BF326">
        <v>1</v>
      </c>
      <c r="BG326">
        <v>2</v>
      </c>
      <c r="BH326">
        <v>2</v>
      </c>
      <c r="BI326">
        <v>9</v>
      </c>
      <c r="BJ326">
        <v>7</v>
      </c>
      <c r="BK326">
        <v>2</v>
      </c>
      <c r="BL326">
        <v>5</v>
      </c>
      <c r="BM326">
        <v>9</v>
      </c>
      <c r="BN326">
        <v>9</v>
      </c>
      <c r="BO326">
        <v>3</v>
      </c>
      <c r="BP326">
        <v>2</v>
      </c>
      <c r="BQ326">
        <v>1</v>
      </c>
      <c r="BR326">
        <v>6</v>
      </c>
      <c r="BS326">
        <v>8</v>
      </c>
      <c r="BT326">
        <v>4</v>
      </c>
      <c r="BU326">
        <v>3</v>
      </c>
      <c r="BV326">
        <v>5</v>
      </c>
      <c r="BW326">
        <v>7</v>
      </c>
      <c r="BX326">
        <v>6</v>
      </c>
      <c r="BY326">
        <v>0</v>
      </c>
      <c r="BZ326">
        <v>10</v>
      </c>
      <c r="CA326">
        <v>5</v>
      </c>
      <c r="CB326">
        <v>9</v>
      </c>
      <c r="CC326">
        <v>0</v>
      </c>
      <c r="CD326">
        <v>10</v>
      </c>
      <c r="CE326">
        <v>0</v>
      </c>
      <c r="CF326">
        <v>5</v>
      </c>
      <c r="CG326">
        <v>6</v>
      </c>
      <c r="CH326">
        <v>5</v>
      </c>
      <c r="CI326">
        <v>0</v>
      </c>
      <c r="CJ326">
        <v>1</v>
      </c>
      <c r="CK326">
        <v>7</v>
      </c>
      <c r="CL326">
        <v>10</v>
      </c>
      <c r="CM326">
        <v>3</v>
      </c>
      <c r="CN326">
        <v>7</v>
      </c>
      <c r="CO326">
        <v>0</v>
      </c>
      <c r="CP326">
        <v>6</v>
      </c>
      <c r="CQ326">
        <v>7</v>
      </c>
      <c r="CR326">
        <v>10</v>
      </c>
      <c r="CS326">
        <v>10</v>
      </c>
      <c r="CT326">
        <v>5</v>
      </c>
      <c r="CU326">
        <v>8</v>
      </c>
      <c r="CV326">
        <v>3</v>
      </c>
      <c r="CW326">
        <v>10</v>
      </c>
      <c r="CX326">
        <v>6</v>
      </c>
      <c r="CY326">
        <v>5</v>
      </c>
      <c r="CZ326">
        <v>6</v>
      </c>
      <c r="DA326">
        <v>8</v>
      </c>
      <c r="DB326">
        <v>7</v>
      </c>
      <c r="DC326">
        <v>2</v>
      </c>
      <c r="DD326">
        <v>10</v>
      </c>
      <c r="DE326">
        <v>1</v>
      </c>
      <c r="DF326">
        <v>9</v>
      </c>
      <c r="DG326">
        <v>8</v>
      </c>
      <c r="DH326">
        <v>5</v>
      </c>
      <c r="DI326">
        <v>5</v>
      </c>
      <c r="DJ326">
        <v>8</v>
      </c>
      <c r="DK326">
        <v>0</v>
      </c>
    </row>
    <row r="327" spans="1:115">
      <c r="A327" s="173">
        <f>Calculations[[#This Row],[Sum t eCO2]]*IF(Calculations[[#This Row],[GHG Scope]]="BIOGENIC",0,1)</f>
        <v>0.54114781967999992</v>
      </c>
      <c r="O327">
        <f t="shared" si="5"/>
        <v>326</v>
      </c>
      <c r="P327">
        <v>4</v>
      </c>
      <c r="Q327">
        <v>4</v>
      </c>
      <c r="R327">
        <v>6</v>
      </c>
      <c r="S327">
        <v>4</v>
      </c>
      <c r="T327">
        <v>2</v>
      </c>
      <c r="U327">
        <v>3</v>
      </c>
      <c r="V327">
        <v>4</v>
      </c>
      <c r="W327">
        <v>8</v>
      </c>
      <c r="X327">
        <v>3</v>
      </c>
      <c r="Y327">
        <v>9</v>
      </c>
      <c r="Z327">
        <v>9</v>
      </c>
      <c r="AA327">
        <v>3</v>
      </c>
      <c r="AB327">
        <v>0</v>
      </c>
      <c r="AC327">
        <v>4</v>
      </c>
      <c r="AD327">
        <v>3</v>
      </c>
      <c r="AE327">
        <v>5</v>
      </c>
      <c r="AF327">
        <v>6</v>
      </c>
      <c r="AG327">
        <v>5</v>
      </c>
      <c r="AH327">
        <v>4</v>
      </c>
      <c r="AI327">
        <v>2</v>
      </c>
      <c r="AJ327">
        <v>0</v>
      </c>
      <c r="AK327">
        <v>6</v>
      </c>
      <c r="AL327">
        <v>8</v>
      </c>
      <c r="AM327">
        <v>0</v>
      </c>
      <c r="AN327">
        <v>5</v>
      </c>
      <c r="AO327">
        <v>0</v>
      </c>
      <c r="AP327">
        <v>8</v>
      </c>
      <c r="AQ327">
        <v>7</v>
      </c>
      <c r="AR327">
        <v>1</v>
      </c>
      <c r="AS327">
        <v>4</v>
      </c>
      <c r="AT327">
        <v>3</v>
      </c>
      <c r="AU327">
        <v>4</v>
      </c>
      <c r="AV327">
        <v>7</v>
      </c>
      <c r="AW327">
        <v>0</v>
      </c>
      <c r="AX327">
        <v>10</v>
      </c>
      <c r="AY327">
        <v>8</v>
      </c>
      <c r="AZ327">
        <v>2</v>
      </c>
      <c r="BA327">
        <v>6</v>
      </c>
      <c r="BB327">
        <v>2</v>
      </c>
      <c r="BC327">
        <v>6</v>
      </c>
      <c r="BD327">
        <v>3</v>
      </c>
      <c r="BE327">
        <v>6</v>
      </c>
      <c r="BF327">
        <v>8</v>
      </c>
      <c r="BG327">
        <v>1</v>
      </c>
      <c r="BH327">
        <v>5</v>
      </c>
      <c r="BI327">
        <v>2</v>
      </c>
      <c r="BJ327">
        <v>2</v>
      </c>
      <c r="BK327">
        <v>9</v>
      </c>
      <c r="BL327">
        <v>7</v>
      </c>
      <c r="BM327">
        <v>2</v>
      </c>
      <c r="BN327">
        <v>4</v>
      </c>
      <c r="BO327">
        <v>8</v>
      </c>
      <c r="BP327">
        <v>2</v>
      </c>
      <c r="BQ327">
        <v>0</v>
      </c>
      <c r="BR327">
        <v>4</v>
      </c>
      <c r="BS327">
        <v>0</v>
      </c>
      <c r="BT327">
        <v>1</v>
      </c>
      <c r="BU327">
        <v>10</v>
      </c>
      <c r="BV327">
        <v>9</v>
      </c>
      <c r="BW327">
        <v>7</v>
      </c>
      <c r="BX327">
        <v>8</v>
      </c>
      <c r="BY327">
        <v>1</v>
      </c>
      <c r="BZ327">
        <v>6</v>
      </c>
      <c r="CA327">
        <v>6</v>
      </c>
      <c r="CB327">
        <v>8</v>
      </c>
      <c r="CC327">
        <v>6</v>
      </c>
      <c r="CD327">
        <v>4</v>
      </c>
      <c r="CE327">
        <v>6</v>
      </c>
      <c r="CF327">
        <v>3</v>
      </c>
      <c r="CG327">
        <v>2</v>
      </c>
      <c r="CH327">
        <v>9</v>
      </c>
      <c r="CI327">
        <v>10</v>
      </c>
      <c r="CJ327">
        <v>8</v>
      </c>
      <c r="CK327">
        <v>3</v>
      </c>
      <c r="CL327">
        <v>6</v>
      </c>
      <c r="CM327">
        <v>9</v>
      </c>
      <c r="CN327">
        <v>10</v>
      </c>
      <c r="CO327">
        <v>3</v>
      </c>
      <c r="CP327">
        <v>1</v>
      </c>
      <c r="CQ327">
        <v>6</v>
      </c>
      <c r="CR327">
        <v>10</v>
      </c>
      <c r="CS327">
        <v>6</v>
      </c>
      <c r="CT327">
        <v>5</v>
      </c>
      <c r="CU327">
        <v>6</v>
      </c>
      <c r="CV327">
        <v>5</v>
      </c>
      <c r="CW327">
        <v>0</v>
      </c>
      <c r="CX327">
        <v>3</v>
      </c>
      <c r="CY327">
        <v>1</v>
      </c>
      <c r="CZ327">
        <v>3</v>
      </c>
      <c r="DA327">
        <v>2</v>
      </c>
      <c r="DB327">
        <v>0</v>
      </c>
      <c r="DC327">
        <v>7</v>
      </c>
      <c r="DD327">
        <v>6</v>
      </c>
      <c r="DE327">
        <v>4</v>
      </c>
      <c r="DF327">
        <v>5</v>
      </c>
      <c r="DG327">
        <v>10</v>
      </c>
      <c r="DH327">
        <v>7</v>
      </c>
      <c r="DI327">
        <v>10</v>
      </c>
      <c r="DJ327">
        <v>8</v>
      </c>
      <c r="DK327">
        <v>10</v>
      </c>
    </row>
    <row r="328" spans="1:115">
      <c r="A328" s="173">
        <f>Calculations[[#This Row],[Sum t eCO2]]*IF(Calculations[[#This Row],[GHG Scope]]="BIOGENIC",0,1)</f>
        <v>0.13533155999999999</v>
      </c>
      <c r="O328">
        <f t="shared" si="5"/>
        <v>327</v>
      </c>
      <c r="P328">
        <v>7</v>
      </c>
      <c r="Q328">
        <v>2</v>
      </c>
      <c r="R328">
        <v>10</v>
      </c>
      <c r="S328">
        <v>5</v>
      </c>
      <c r="T328">
        <v>2</v>
      </c>
      <c r="U328">
        <v>8</v>
      </c>
      <c r="V328">
        <v>2</v>
      </c>
      <c r="W328">
        <v>4</v>
      </c>
      <c r="X328">
        <v>5</v>
      </c>
      <c r="Y328">
        <v>9</v>
      </c>
      <c r="Z328">
        <v>5</v>
      </c>
      <c r="AA328">
        <v>2</v>
      </c>
      <c r="AB328">
        <v>5</v>
      </c>
      <c r="AC328">
        <v>0</v>
      </c>
      <c r="AD328">
        <v>1</v>
      </c>
      <c r="AE328">
        <v>0</v>
      </c>
      <c r="AF328">
        <v>10</v>
      </c>
      <c r="AG328">
        <v>4</v>
      </c>
      <c r="AH328">
        <v>0</v>
      </c>
      <c r="AI328">
        <v>5</v>
      </c>
      <c r="AJ328">
        <v>8</v>
      </c>
      <c r="AK328">
        <v>7</v>
      </c>
      <c r="AL328">
        <v>10</v>
      </c>
      <c r="AM328">
        <v>9</v>
      </c>
      <c r="AN328">
        <v>8</v>
      </c>
      <c r="AO328">
        <v>9</v>
      </c>
      <c r="AP328">
        <v>6</v>
      </c>
      <c r="AQ328">
        <v>6</v>
      </c>
      <c r="AR328">
        <v>9</v>
      </c>
      <c r="AS328">
        <v>0</v>
      </c>
      <c r="AT328">
        <v>10</v>
      </c>
      <c r="AU328">
        <v>6</v>
      </c>
      <c r="AV328">
        <v>8</v>
      </c>
      <c r="AW328">
        <v>9</v>
      </c>
      <c r="AX328">
        <v>9</v>
      </c>
      <c r="AY328">
        <v>6</v>
      </c>
      <c r="AZ328">
        <v>7</v>
      </c>
      <c r="BA328">
        <v>4</v>
      </c>
      <c r="BB328">
        <v>2</v>
      </c>
      <c r="BC328">
        <v>2</v>
      </c>
      <c r="BD328">
        <v>3</v>
      </c>
      <c r="BE328">
        <v>10</v>
      </c>
      <c r="BF328">
        <v>7</v>
      </c>
      <c r="BG328">
        <v>0</v>
      </c>
      <c r="BH328">
        <v>1</v>
      </c>
      <c r="BI328">
        <v>10</v>
      </c>
      <c r="BJ328">
        <v>0</v>
      </c>
      <c r="BK328">
        <v>7</v>
      </c>
      <c r="BL328">
        <v>9</v>
      </c>
      <c r="BM328">
        <v>2</v>
      </c>
      <c r="BN328">
        <v>4</v>
      </c>
      <c r="BO328">
        <v>1</v>
      </c>
      <c r="BP328">
        <v>1</v>
      </c>
      <c r="BQ328">
        <v>1</v>
      </c>
      <c r="BR328">
        <v>10</v>
      </c>
      <c r="BS328">
        <v>6</v>
      </c>
      <c r="BT328">
        <v>9</v>
      </c>
      <c r="BU328">
        <v>4</v>
      </c>
      <c r="BV328">
        <v>8</v>
      </c>
      <c r="BW328">
        <v>10</v>
      </c>
      <c r="BX328">
        <v>6</v>
      </c>
      <c r="BY328">
        <v>4</v>
      </c>
      <c r="BZ328">
        <v>10</v>
      </c>
      <c r="CA328">
        <v>8</v>
      </c>
      <c r="CB328">
        <v>3</v>
      </c>
      <c r="CC328">
        <v>4</v>
      </c>
      <c r="CD328">
        <v>3</v>
      </c>
      <c r="CE328">
        <v>0</v>
      </c>
      <c r="CF328">
        <v>8</v>
      </c>
      <c r="CG328">
        <v>7</v>
      </c>
      <c r="CH328">
        <v>2</v>
      </c>
      <c r="CI328">
        <v>8</v>
      </c>
      <c r="CJ328">
        <v>0</v>
      </c>
      <c r="CK328">
        <v>6</v>
      </c>
      <c r="CL328">
        <v>0</v>
      </c>
      <c r="CM328">
        <v>7</v>
      </c>
      <c r="CN328">
        <v>1</v>
      </c>
      <c r="CO328">
        <v>3</v>
      </c>
      <c r="CP328">
        <v>6</v>
      </c>
      <c r="CQ328">
        <v>5</v>
      </c>
      <c r="CR328">
        <v>0</v>
      </c>
      <c r="CS328">
        <v>8</v>
      </c>
      <c r="CT328">
        <v>5</v>
      </c>
      <c r="CU328">
        <v>0</v>
      </c>
      <c r="CV328">
        <v>9</v>
      </c>
      <c r="CW328">
        <v>10</v>
      </c>
      <c r="CX328">
        <v>2</v>
      </c>
      <c r="CY328">
        <v>7</v>
      </c>
      <c r="CZ328">
        <v>7</v>
      </c>
      <c r="DA328">
        <v>4</v>
      </c>
      <c r="DB328">
        <v>9</v>
      </c>
      <c r="DC328">
        <v>2</v>
      </c>
      <c r="DD328">
        <v>4</v>
      </c>
      <c r="DE328">
        <v>1</v>
      </c>
      <c r="DF328">
        <v>10</v>
      </c>
      <c r="DG328">
        <v>8</v>
      </c>
      <c r="DH328">
        <v>2</v>
      </c>
      <c r="DI328">
        <v>0</v>
      </c>
      <c r="DJ328">
        <v>10</v>
      </c>
      <c r="DK328">
        <v>6</v>
      </c>
    </row>
    <row r="329" spans="1:115">
      <c r="A329" s="173">
        <f>Calculations[[#This Row],[Sum t eCO2]]*IF(Calculations[[#This Row],[GHG Scope]]="BIOGENIC",0,1)</f>
        <v>0.32736258400000007</v>
      </c>
      <c r="O329">
        <f t="shared" si="5"/>
        <v>328</v>
      </c>
      <c r="P329">
        <v>10</v>
      </c>
      <c r="Q329">
        <v>5</v>
      </c>
      <c r="R329">
        <v>0</v>
      </c>
      <c r="S329">
        <v>2</v>
      </c>
      <c r="T329">
        <v>4</v>
      </c>
      <c r="U329">
        <v>8</v>
      </c>
      <c r="V329">
        <v>8</v>
      </c>
      <c r="W329">
        <v>2</v>
      </c>
      <c r="X329">
        <v>4</v>
      </c>
      <c r="Y329">
        <v>4</v>
      </c>
      <c r="Z329">
        <v>1</v>
      </c>
      <c r="AA329">
        <v>5</v>
      </c>
      <c r="AB329">
        <v>6</v>
      </c>
      <c r="AC329">
        <v>7</v>
      </c>
      <c r="AD329">
        <v>9</v>
      </c>
      <c r="AE329">
        <v>8</v>
      </c>
      <c r="AF329">
        <v>1</v>
      </c>
      <c r="AG329">
        <v>7</v>
      </c>
      <c r="AH329">
        <v>2</v>
      </c>
      <c r="AI329">
        <v>7</v>
      </c>
      <c r="AJ329">
        <v>0</v>
      </c>
      <c r="AK329">
        <v>3</v>
      </c>
      <c r="AL329">
        <v>7</v>
      </c>
      <c r="AM329">
        <v>5</v>
      </c>
      <c r="AN329">
        <v>5</v>
      </c>
      <c r="AO329">
        <v>3</v>
      </c>
      <c r="AP329">
        <v>2</v>
      </c>
      <c r="AQ329">
        <v>1</v>
      </c>
      <c r="AR329">
        <v>2</v>
      </c>
      <c r="AS329">
        <v>4</v>
      </c>
      <c r="AT329">
        <v>5</v>
      </c>
      <c r="AU329">
        <v>7</v>
      </c>
      <c r="AV329">
        <v>10</v>
      </c>
      <c r="AW329">
        <v>4</v>
      </c>
      <c r="AX329">
        <v>9</v>
      </c>
      <c r="AY329">
        <v>0</v>
      </c>
      <c r="AZ329">
        <v>1</v>
      </c>
      <c r="BA329">
        <v>5</v>
      </c>
      <c r="BB329">
        <v>4</v>
      </c>
      <c r="BC329">
        <v>9</v>
      </c>
      <c r="BD329">
        <v>0</v>
      </c>
      <c r="BE329">
        <v>5</v>
      </c>
      <c r="BF329">
        <v>4</v>
      </c>
      <c r="BG329">
        <v>5</v>
      </c>
      <c r="BH329">
        <v>0</v>
      </c>
      <c r="BI329">
        <v>1</v>
      </c>
      <c r="BJ329">
        <v>6</v>
      </c>
      <c r="BK329">
        <v>8</v>
      </c>
      <c r="BL329">
        <v>8</v>
      </c>
      <c r="BM329">
        <v>10</v>
      </c>
      <c r="BN329">
        <v>10</v>
      </c>
      <c r="BO329">
        <v>6</v>
      </c>
      <c r="BP329">
        <v>0</v>
      </c>
      <c r="BQ329">
        <v>8</v>
      </c>
      <c r="BR329">
        <v>3</v>
      </c>
      <c r="BS329">
        <v>7</v>
      </c>
      <c r="BT329">
        <v>1</v>
      </c>
      <c r="BU329">
        <v>7</v>
      </c>
      <c r="BV329">
        <v>3</v>
      </c>
      <c r="BW329">
        <v>5</v>
      </c>
      <c r="BX329">
        <v>8</v>
      </c>
      <c r="BY329">
        <v>8</v>
      </c>
      <c r="BZ329">
        <v>5</v>
      </c>
      <c r="CA329">
        <v>3</v>
      </c>
      <c r="CB329">
        <v>4</v>
      </c>
      <c r="CC329">
        <v>0</v>
      </c>
      <c r="CD329">
        <v>2</v>
      </c>
      <c r="CE329">
        <v>1</v>
      </c>
      <c r="CF329">
        <v>4</v>
      </c>
      <c r="CG329">
        <v>0</v>
      </c>
      <c r="CH329">
        <v>2</v>
      </c>
      <c r="CI329">
        <v>6</v>
      </c>
      <c r="CJ329">
        <v>7</v>
      </c>
      <c r="CK329">
        <v>5</v>
      </c>
      <c r="CL329">
        <v>9</v>
      </c>
      <c r="CM329">
        <v>0</v>
      </c>
      <c r="CN329">
        <v>1</v>
      </c>
      <c r="CO329">
        <v>4</v>
      </c>
      <c r="CP329">
        <v>5</v>
      </c>
      <c r="CQ329">
        <v>0</v>
      </c>
      <c r="CR329">
        <v>6</v>
      </c>
      <c r="CS329">
        <v>7</v>
      </c>
      <c r="CT329">
        <v>8</v>
      </c>
      <c r="CU329">
        <v>7</v>
      </c>
      <c r="CV329">
        <v>9</v>
      </c>
      <c r="CW329">
        <v>4</v>
      </c>
      <c r="CX329">
        <v>6</v>
      </c>
      <c r="CY329">
        <v>7</v>
      </c>
      <c r="CZ329">
        <v>8</v>
      </c>
      <c r="DA329">
        <v>5</v>
      </c>
      <c r="DB329">
        <v>1</v>
      </c>
      <c r="DC329">
        <v>10</v>
      </c>
      <c r="DD329">
        <v>1</v>
      </c>
      <c r="DE329">
        <v>9</v>
      </c>
      <c r="DF329">
        <v>10</v>
      </c>
      <c r="DG329">
        <v>9</v>
      </c>
      <c r="DH329">
        <v>0</v>
      </c>
      <c r="DI329">
        <v>9</v>
      </c>
      <c r="DJ329">
        <v>1</v>
      </c>
      <c r="DK329">
        <v>1</v>
      </c>
    </row>
    <row r="330" spans="1:115">
      <c r="A330" s="173">
        <f>Calculations[[#This Row],[Sum t eCO2]]*IF(Calculations[[#This Row],[GHG Scope]]="BIOGENIC",0,1)</f>
        <v>8.653027499999999E-2</v>
      </c>
      <c r="O330">
        <f t="shared" si="5"/>
        <v>329</v>
      </c>
      <c r="P330">
        <v>7</v>
      </c>
      <c r="Q330">
        <v>1</v>
      </c>
      <c r="R330">
        <v>0</v>
      </c>
      <c r="S330">
        <v>5</v>
      </c>
      <c r="T330">
        <v>8</v>
      </c>
      <c r="U330">
        <v>5</v>
      </c>
      <c r="V330">
        <v>0</v>
      </c>
      <c r="W330">
        <v>5</v>
      </c>
      <c r="X330">
        <v>0</v>
      </c>
      <c r="Y330">
        <v>9</v>
      </c>
      <c r="Z330">
        <v>0</v>
      </c>
      <c r="AA330">
        <v>7</v>
      </c>
      <c r="AB330">
        <v>3</v>
      </c>
      <c r="AC330">
        <v>7</v>
      </c>
      <c r="AD330">
        <v>5</v>
      </c>
      <c r="AE330">
        <v>1</v>
      </c>
      <c r="AF330">
        <v>6</v>
      </c>
      <c r="AG330">
        <v>0</v>
      </c>
      <c r="AH330">
        <v>1</v>
      </c>
      <c r="AI330">
        <v>5</v>
      </c>
      <c r="AJ330">
        <v>6</v>
      </c>
      <c r="AK330">
        <v>2</v>
      </c>
      <c r="AL330">
        <v>1</v>
      </c>
      <c r="AM330">
        <v>3</v>
      </c>
      <c r="AN330">
        <v>0</v>
      </c>
      <c r="AO330">
        <v>2</v>
      </c>
      <c r="AP330">
        <v>4</v>
      </c>
      <c r="AQ330">
        <v>1</v>
      </c>
      <c r="AR330">
        <v>6</v>
      </c>
      <c r="AS330">
        <v>0</v>
      </c>
      <c r="AT330">
        <v>6</v>
      </c>
      <c r="AU330">
        <v>8</v>
      </c>
      <c r="AV330">
        <v>5</v>
      </c>
      <c r="AW330">
        <v>3</v>
      </c>
      <c r="AX330">
        <v>2</v>
      </c>
      <c r="AY330">
        <v>2</v>
      </c>
      <c r="AZ330">
        <v>9</v>
      </c>
      <c r="BA330">
        <v>2</v>
      </c>
      <c r="BB330">
        <v>6</v>
      </c>
      <c r="BC330">
        <v>9</v>
      </c>
      <c r="BD330">
        <v>2</v>
      </c>
      <c r="BE330">
        <v>5</v>
      </c>
      <c r="BF330">
        <v>3</v>
      </c>
      <c r="BG330">
        <v>10</v>
      </c>
      <c r="BH330">
        <v>9</v>
      </c>
      <c r="BI330">
        <v>2</v>
      </c>
      <c r="BJ330">
        <v>10</v>
      </c>
      <c r="BK330">
        <v>8</v>
      </c>
      <c r="BL330">
        <v>4</v>
      </c>
      <c r="BM330">
        <v>3</v>
      </c>
      <c r="BN330">
        <v>6</v>
      </c>
      <c r="BO330">
        <v>2</v>
      </c>
      <c r="BP330">
        <v>0</v>
      </c>
      <c r="BQ330">
        <v>4</v>
      </c>
      <c r="BR330">
        <v>8</v>
      </c>
      <c r="BS330">
        <v>8</v>
      </c>
      <c r="BT330">
        <v>10</v>
      </c>
      <c r="BU330">
        <v>7</v>
      </c>
      <c r="BV330">
        <v>9</v>
      </c>
      <c r="BW330">
        <v>10</v>
      </c>
      <c r="BX330">
        <v>0</v>
      </c>
      <c r="BY330">
        <v>2</v>
      </c>
      <c r="BZ330">
        <v>5</v>
      </c>
      <c r="CA330">
        <v>1</v>
      </c>
      <c r="CB330">
        <v>8</v>
      </c>
      <c r="CC330">
        <v>10</v>
      </c>
      <c r="CD330">
        <v>3</v>
      </c>
      <c r="CE330">
        <v>8</v>
      </c>
      <c r="CF330">
        <v>2</v>
      </c>
      <c r="CG330">
        <v>2</v>
      </c>
      <c r="CH330">
        <v>4</v>
      </c>
      <c r="CI330">
        <v>1</v>
      </c>
      <c r="CJ330">
        <v>0</v>
      </c>
      <c r="CK330">
        <v>0</v>
      </c>
      <c r="CL330">
        <v>4</v>
      </c>
      <c r="CM330">
        <v>2</v>
      </c>
      <c r="CN330">
        <v>7</v>
      </c>
      <c r="CO330">
        <v>8</v>
      </c>
      <c r="CP330">
        <v>4</v>
      </c>
      <c r="CQ330">
        <v>8</v>
      </c>
      <c r="CR330">
        <v>2</v>
      </c>
      <c r="CS330">
        <v>5</v>
      </c>
      <c r="CT330">
        <v>7</v>
      </c>
      <c r="CU330">
        <v>0</v>
      </c>
      <c r="CV330">
        <v>4</v>
      </c>
      <c r="CW330">
        <v>1</v>
      </c>
      <c r="CX330">
        <v>10</v>
      </c>
      <c r="CY330">
        <v>3</v>
      </c>
      <c r="CZ330">
        <v>6</v>
      </c>
      <c r="DA330">
        <v>6</v>
      </c>
      <c r="DB330">
        <v>0</v>
      </c>
      <c r="DC330">
        <v>6</v>
      </c>
      <c r="DD330">
        <v>8</v>
      </c>
      <c r="DE330">
        <v>4</v>
      </c>
      <c r="DF330">
        <v>10</v>
      </c>
      <c r="DG330">
        <v>4</v>
      </c>
      <c r="DH330">
        <v>3</v>
      </c>
      <c r="DI330">
        <v>0</v>
      </c>
      <c r="DJ330">
        <v>4</v>
      </c>
      <c r="DK330">
        <v>10</v>
      </c>
    </row>
    <row r="331" spans="1:115">
      <c r="A331" s="173">
        <f>Calculations[[#This Row],[Sum t eCO2]]*IF(Calculations[[#This Row],[GHG Scope]]="BIOGENIC",0,1)</f>
        <v>6.6809859479999997E-2</v>
      </c>
      <c r="O331">
        <f t="shared" si="5"/>
        <v>330</v>
      </c>
      <c r="P331">
        <v>4</v>
      </c>
      <c r="Q331">
        <v>7</v>
      </c>
      <c r="R331">
        <v>9</v>
      </c>
      <c r="S331">
        <v>3</v>
      </c>
      <c r="T331">
        <v>6</v>
      </c>
      <c r="U331">
        <v>10</v>
      </c>
      <c r="V331">
        <v>1</v>
      </c>
      <c r="W331">
        <v>8</v>
      </c>
      <c r="X331">
        <v>2</v>
      </c>
      <c r="Y331">
        <v>6</v>
      </c>
      <c r="Z331">
        <v>9</v>
      </c>
      <c r="AA331">
        <v>6</v>
      </c>
      <c r="AB331">
        <v>9</v>
      </c>
      <c r="AC331">
        <v>4</v>
      </c>
      <c r="AD331">
        <v>9</v>
      </c>
      <c r="AE331">
        <v>3</v>
      </c>
      <c r="AF331">
        <v>5</v>
      </c>
      <c r="AG331">
        <v>6</v>
      </c>
      <c r="AH331">
        <v>3</v>
      </c>
      <c r="AI331">
        <v>10</v>
      </c>
      <c r="AJ331">
        <v>8</v>
      </c>
      <c r="AK331">
        <v>9</v>
      </c>
      <c r="AL331">
        <v>10</v>
      </c>
      <c r="AM331">
        <v>10</v>
      </c>
      <c r="AN331">
        <v>1</v>
      </c>
      <c r="AO331">
        <v>5</v>
      </c>
      <c r="AP331">
        <v>6</v>
      </c>
      <c r="AQ331">
        <v>10</v>
      </c>
      <c r="AR331">
        <v>9</v>
      </c>
      <c r="AS331">
        <v>4</v>
      </c>
      <c r="AT331">
        <v>5</v>
      </c>
      <c r="AU331">
        <v>9</v>
      </c>
      <c r="AV331">
        <v>4</v>
      </c>
      <c r="AW331">
        <v>9</v>
      </c>
      <c r="AX331">
        <v>0</v>
      </c>
      <c r="AY331">
        <v>5</v>
      </c>
      <c r="AZ331">
        <v>7</v>
      </c>
      <c r="BA331">
        <v>6</v>
      </c>
      <c r="BB331">
        <v>6</v>
      </c>
      <c r="BC331">
        <v>8</v>
      </c>
      <c r="BD331">
        <v>10</v>
      </c>
      <c r="BE331">
        <v>10</v>
      </c>
      <c r="BF331">
        <v>3</v>
      </c>
      <c r="BG331">
        <v>8</v>
      </c>
      <c r="BH331">
        <v>3</v>
      </c>
      <c r="BI331">
        <v>6</v>
      </c>
      <c r="BJ331">
        <v>6</v>
      </c>
      <c r="BK331">
        <v>7</v>
      </c>
      <c r="BL331">
        <v>1</v>
      </c>
      <c r="BM331">
        <v>8</v>
      </c>
      <c r="BN331">
        <v>5</v>
      </c>
      <c r="BO331">
        <v>4</v>
      </c>
      <c r="BP331">
        <v>0</v>
      </c>
      <c r="BQ331">
        <v>1</v>
      </c>
      <c r="BR331">
        <v>9</v>
      </c>
      <c r="BS331">
        <v>1</v>
      </c>
      <c r="BT331">
        <v>4</v>
      </c>
      <c r="BU331">
        <v>5</v>
      </c>
      <c r="BV331">
        <v>10</v>
      </c>
      <c r="BW331">
        <v>6</v>
      </c>
      <c r="BX331">
        <v>8</v>
      </c>
      <c r="BY331">
        <v>8</v>
      </c>
      <c r="BZ331">
        <v>1</v>
      </c>
      <c r="CA331">
        <v>1</v>
      </c>
      <c r="CB331">
        <v>9</v>
      </c>
      <c r="CC331">
        <v>4</v>
      </c>
      <c r="CD331">
        <v>10</v>
      </c>
      <c r="CE331">
        <v>4</v>
      </c>
      <c r="CF331">
        <v>5</v>
      </c>
      <c r="CG331">
        <v>0</v>
      </c>
      <c r="CH331">
        <v>10</v>
      </c>
      <c r="CI331">
        <v>3</v>
      </c>
      <c r="CJ331">
        <v>2</v>
      </c>
      <c r="CK331">
        <v>2</v>
      </c>
      <c r="CL331">
        <v>6</v>
      </c>
      <c r="CM331">
        <v>0</v>
      </c>
      <c r="CN331">
        <v>9</v>
      </c>
      <c r="CO331">
        <v>0</v>
      </c>
      <c r="CP331">
        <v>5</v>
      </c>
      <c r="CQ331">
        <v>3</v>
      </c>
      <c r="CR331">
        <v>3</v>
      </c>
      <c r="CS331">
        <v>0</v>
      </c>
      <c r="CT331">
        <v>5</v>
      </c>
      <c r="CU331">
        <v>9</v>
      </c>
      <c r="CV331">
        <v>9</v>
      </c>
      <c r="CW331">
        <v>8</v>
      </c>
      <c r="CX331">
        <v>5</v>
      </c>
      <c r="CY331">
        <v>4</v>
      </c>
      <c r="CZ331">
        <v>9</v>
      </c>
      <c r="DA331">
        <v>1</v>
      </c>
      <c r="DB331">
        <v>3</v>
      </c>
      <c r="DC331">
        <v>8</v>
      </c>
      <c r="DD331">
        <v>3</v>
      </c>
      <c r="DE331">
        <v>1</v>
      </c>
      <c r="DF331">
        <v>0</v>
      </c>
      <c r="DG331">
        <v>6</v>
      </c>
      <c r="DH331">
        <v>6</v>
      </c>
      <c r="DI331">
        <v>1</v>
      </c>
      <c r="DJ331">
        <v>9</v>
      </c>
      <c r="DK331">
        <v>4</v>
      </c>
    </row>
    <row r="332" spans="1:115">
      <c r="A332" s="173">
        <f>Calculations[[#This Row],[Sum t eCO2]]*IF(Calculations[[#This Row],[GHG Scope]]="BIOGENIC",0,1)</f>
        <v>0.53262461999999999</v>
      </c>
      <c r="O332">
        <f t="shared" si="5"/>
        <v>331</v>
      </c>
      <c r="P332">
        <v>3</v>
      </c>
      <c r="Q332">
        <v>0</v>
      </c>
      <c r="R332">
        <v>4</v>
      </c>
      <c r="S332">
        <v>8</v>
      </c>
      <c r="T332">
        <v>9</v>
      </c>
      <c r="U332">
        <v>2</v>
      </c>
      <c r="V332">
        <v>8</v>
      </c>
      <c r="W332">
        <v>5</v>
      </c>
      <c r="X332">
        <v>4</v>
      </c>
      <c r="Y332">
        <v>0</v>
      </c>
      <c r="Z332">
        <v>10</v>
      </c>
      <c r="AA332">
        <v>1</v>
      </c>
      <c r="AB332">
        <v>3</v>
      </c>
      <c r="AC332">
        <v>7</v>
      </c>
      <c r="AD332">
        <v>3</v>
      </c>
      <c r="AE332">
        <v>6</v>
      </c>
      <c r="AF332">
        <v>10</v>
      </c>
      <c r="AG332">
        <v>5</v>
      </c>
      <c r="AH332">
        <v>5</v>
      </c>
      <c r="AI332">
        <v>9</v>
      </c>
      <c r="AJ332">
        <v>10</v>
      </c>
      <c r="AK332">
        <v>8</v>
      </c>
      <c r="AL332">
        <v>6</v>
      </c>
      <c r="AM332">
        <v>8</v>
      </c>
      <c r="AN332">
        <v>9</v>
      </c>
      <c r="AO332">
        <v>3</v>
      </c>
      <c r="AP332">
        <v>2</v>
      </c>
      <c r="AQ332">
        <v>3</v>
      </c>
      <c r="AR332">
        <v>10</v>
      </c>
      <c r="AS332">
        <v>5</v>
      </c>
      <c r="AT332">
        <v>6</v>
      </c>
      <c r="AU332">
        <v>9</v>
      </c>
      <c r="AV332">
        <v>9</v>
      </c>
      <c r="AW332">
        <v>8</v>
      </c>
      <c r="AX332">
        <v>6</v>
      </c>
      <c r="AY332">
        <v>3</v>
      </c>
      <c r="AZ332">
        <v>2</v>
      </c>
      <c r="BA332">
        <v>3</v>
      </c>
      <c r="BB332">
        <v>5</v>
      </c>
      <c r="BC332">
        <v>10</v>
      </c>
      <c r="BD332">
        <v>8</v>
      </c>
      <c r="BE332">
        <v>6</v>
      </c>
      <c r="BF332">
        <v>6</v>
      </c>
      <c r="BG332">
        <v>1</v>
      </c>
      <c r="BH332">
        <v>2</v>
      </c>
      <c r="BI332">
        <v>3</v>
      </c>
      <c r="BJ332">
        <v>2</v>
      </c>
      <c r="BK332">
        <v>2</v>
      </c>
      <c r="BL332">
        <v>9</v>
      </c>
      <c r="BM332">
        <v>9</v>
      </c>
      <c r="BN332">
        <v>7</v>
      </c>
      <c r="BO332">
        <v>4</v>
      </c>
      <c r="BP332">
        <v>7</v>
      </c>
      <c r="BQ332">
        <v>5</v>
      </c>
      <c r="BR332">
        <v>4</v>
      </c>
      <c r="BS332">
        <v>10</v>
      </c>
      <c r="BT332">
        <v>3</v>
      </c>
      <c r="BU332">
        <v>6</v>
      </c>
      <c r="BV332">
        <v>8</v>
      </c>
      <c r="BW332">
        <v>1</v>
      </c>
      <c r="BX332">
        <v>2</v>
      </c>
      <c r="BY332">
        <v>7</v>
      </c>
      <c r="BZ332">
        <v>2</v>
      </c>
      <c r="CA332">
        <v>7</v>
      </c>
      <c r="CB332">
        <v>0</v>
      </c>
      <c r="CC332">
        <v>3</v>
      </c>
      <c r="CD332">
        <v>6</v>
      </c>
      <c r="CE332">
        <v>0</v>
      </c>
      <c r="CF332">
        <v>9</v>
      </c>
      <c r="CG332">
        <v>5</v>
      </c>
      <c r="CH332">
        <v>9</v>
      </c>
      <c r="CI332">
        <v>10</v>
      </c>
      <c r="CJ332">
        <v>5</v>
      </c>
      <c r="CK332">
        <v>3</v>
      </c>
      <c r="CL332">
        <v>3</v>
      </c>
      <c r="CM332">
        <v>1</v>
      </c>
      <c r="CN332">
        <v>10</v>
      </c>
      <c r="CO332">
        <v>9</v>
      </c>
      <c r="CP332">
        <v>9</v>
      </c>
      <c r="CQ332">
        <v>9</v>
      </c>
      <c r="CR332">
        <v>5</v>
      </c>
      <c r="CS332">
        <v>2</v>
      </c>
      <c r="CT332">
        <v>1</v>
      </c>
      <c r="CU332">
        <v>8</v>
      </c>
      <c r="CV332">
        <v>0</v>
      </c>
      <c r="CW332">
        <v>5</v>
      </c>
      <c r="CX332">
        <v>5</v>
      </c>
      <c r="CY332">
        <v>7</v>
      </c>
      <c r="CZ332">
        <v>7</v>
      </c>
      <c r="DA332">
        <v>9</v>
      </c>
      <c r="DB332">
        <v>5</v>
      </c>
      <c r="DC332">
        <v>0</v>
      </c>
      <c r="DD332">
        <v>4</v>
      </c>
      <c r="DE332">
        <v>8</v>
      </c>
      <c r="DF332">
        <v>5</v>
      </c>
      <c r="DG332">
        <v>9</v>
      </c>
      <c r="DH332">
        <v>6</v>
      </c>
      <c r="DI332">
        <v>2</v>
      </c>
      <c r="DJ332">
        <v>0</v>
      </c>
      <c r="DK332">
        <v>9</v>
      </c>
    </row>
    <row r="333" spans="1:115">
      <c r="A333" s="173">
        <f>Calculations[[#This Row],[Sum t eCO2]]*IF(Calculations[[#This Row],[GHG Scope]]="BIOGENIC",0,1)</f>
        <v>8.8192781160000025E-2</v>
      </c>
      <c r="O333">
        <f t="shared" si="5"/>
        <v>332</v>
      </c>
      <c r="P333">
        <v>0</v>
      </c>
      <c r="Q333">
        <v>8</v>
      </c>
      <c r="R333">
        <v>7</v>
      </c>
      <c r="S333">
        <v>9</v>
      </c>
      <c r="T333">
        <v>2</v>
      </c>
      <c r="U333">
        <v>2</v>
      </c>
      <c r="V333">
        <v>10</v>
      </c>
      <c r="W333">
        <v>2</v>
      </c>
      <c r="X333">
        <v>1</v>
      </c>
      <c r="Y333">
        <v>6</v>
      </c>
      <c r="Z333">
        <v>0</v>
      </c>
      <c r="AA333">
        <v>5</v>
      </c>
      <c r="AB333">
        <v>3</v>
      </c>
      <c r="AC333">
        <v>0</v>
      </c>
      <c r="AD333">
        <v>5</v>
      </c>
      <c r="AE333">
        <v>5</v>
      </c>
      <c r="AF333">
        <v>6</v>
      </c>
      <c r="AG333">
        <v>0</v>
      </c>
      <c r="AH333">
        <v>2</v>
      </c>
      <c r="AI333">
        <v>4</v>
      </c>
      <c r="AJ333">
        <v>6</v>
      </c>
      <c r="AK333">
        <v>6</v>
      </c>
      <c r="AL333">
        <v>4</v>
      </c>
      <c r="AM333">
        <v>8</v>
      </c>
      <c r="AN333">
        <v>1</v>
      </c>
      <c r="AO333">
        <v>3</v>
      </c>
      <c r="AP333">
        <v>2</v>
      </c>
      <c r="AQ333">
        <v>10</v>
      </c>
      <c r="AR333">
        <v>3</v>
      </c>
      <c r="AS333">
        <v>7</v>
      </c>
      <c r="AT333">
        <v>8</v>
      </c>
      <c r="AU333">
        <v>5</v>
      </c>
      <c r="AV333">
        <v>7</v>
      </c>
      <c r="AW333">
        <v>3</v>
      </c>
      <c r="AX333">
        <v>10</v>
      </c>
      <c r="AY333">
        <v>7</v>
      </c>
      <c r="AZ333">
        <v>0</v>
      </c>
      <c r="BA333">
        <v>2</v>
      </c>
      <c r="BB333">
        <v>4</v>
      </c>
      <c r="BC333">
        <v>4</v>
      </c>
      <c r="BD333">
        <v>7</v>
      </c>
      <c r="BE333">
        <v>10</v>
      </c>
      <c r="BF333">
        <v>9</v>
      </c>
      <c r="BG333">
        <v>1</v>
      </c>
      <c r="BH333">
        <v>6</v>
      </c>
      <c r="BI333">
        <v>0</v>
      </c>
      <c r="BJ333">
        <v>1</v>
      </c>
      <c r="BK333">
        <v>4</v>
      </c>
      <c r="BL333">
        <v>2</v>
      </c>
      <c r="BM333">
        <v>1</v>
      </c>
      <c r="BN333">
        <v>2</v>
      </c>
      <c r="BO333">
        <v>10</v>
      </c>
      <c r="BP333">
        <v>3</v>
      </c>
      <c r="BQ333">
        <v>6</v>
      </c>
      <c r="BR333">
        <v>9</v>
      </c>
      <c r="BS333">
        <v>6</v>
      </c>
      <c r="BT333">
        <v>5</v>
      </c>
      <c r="BU333">
        <v>3</v>
      </c>
      <c r="BV333">
        <v>2</v>
      </c>
      <c r="BW333">
        <v>5</v>
      </c>
      <c r="BX333">
        <v>1</v>
      </c>
      <c r="BY333">
        <v>4</v>
      </c>
      <c r="BZ333">
        <v>4</v>
      </c>
      <c r="CA333">
        <v>6</v>
      </c>
      <c r="CB333">
        <v>4</v>
      </c>
      <c r="CC333">
        <v>4</v>
      </c>
      <c r="CD333">
        <v>4</v>
      </c>
      <c r="CE333">
        <v>0</v>
      </c>
      <c r="CF333">
        <v>1</v>
      </c>
      <c r="CG333">
        <v>5</v>
      </c>
      <c r="CH333">
        <v>5</v>
      </c>
      <c r="CI333">
        <v>2</v>
      </c>
      <c r="CJ333">
        <v>3</v>
      </c>
      <c r="CK333">
        <v>4</v>
      </c>
      <c r="CL333">
        <v>8</v>
      </c>
      <c r="CM333">
        <v>8</v>
      </c>
      <c r="CN333">
        <v>7</v>
      </c>
      <c r="CO333">
        <v>9</v>
      </c>
      <c r="CP333">
        <v>10</v>
      </c>
      <c r="CQ333">
        <v>1</v>
      </c>
      <c r="CR333">
        <v>9</v>
      </c>
      <c r="CS333">
        <v>2</v>
      </c>
      <c r="CT333">
        <v>7</v>
      </c>
      <c r="CU333">
        <v>3</v>
      </c>
      <c r="CV333">
        <v>1</v>
      </c>
      <c r="CW333">
        <v>3</v>
      </c>
      <c r="CX333">
        <v>6</v>
      </c>
      <c r="CY333">
        <v>10</v>
      </c>
      <c r="CZ333">
        <v>10</v>
      </c>
      <c r="DA333">
        <v>5</v>
      </c>
      <c r="DB333">
        <v>9</v>
      </c>
      <c r="DC333">
        <v>8</v>
      </c>
      <c r="DD333">
        <v>4</v>
      </c>
      <c r="DE333">
        <v>6</v>
      </c>
      <c r="DF333">
        <v>4</v>
      </c>
      <c r="DG333">
        <v>1</v>
      </c>
      <c r="DH333">
        <v>9</v>
      </c>
      <c r="DI333">
        <v>0</v>
      </c>
      <c r="DJ333">
        <v>2</v>
      </c>
      <c r="DK333">
        <v>10</v>
      </c>
    </row>
    <row r="334" spans="1:115">
      <c r="A334" s="173">
        <f>Calculations[[#This Row],[Sum t eCO2]]*IF(Calculations[[#This Row],[GHG Scope]]="BIOGENIC",0,1)</f>
        <v>6.4261957500000008E-2</v>
      </c>
      <c r="O334">
        <f t="shared" si="5"/>
        <v>333</v>
      </c>
      <c r="P334">
        <v>1</v>
      </c>
      <c r="Q334">
        <v>2</v>
      </c>
      <c r="R334">
        <v>9</v>
      </c>
      <c r="S334">
        <v>2</v>
      </c>
      <c r="T334">
        <v>10</v>
      </c>
      <c r="U334">
        <v>6</v>
      </c>
      <c r="V334">
        <v>2</v>
      </c>
      <c r="W334">
        <v>9</v>
      </c>
      <c r="X334">
        <v>10</v>
      </c>
      <c r="Y334">
        <v>3</v>
      </c>
      <c r="Z334">
        <v>9</v>
      </c>
      <c r="AA334">
        <v>8</v>
      </c>
      <c r="AB334">
        <v>1</v>
      </c>
      <c r="AC334">
        <v>2</v>
      </c>
      <c r="AD334">
        <v>5</v>
      </c>
      <c r="AE334">
        <v>4</v>
      </c>
      <c r="AF334">
        <v>3</v>
      </c>
      <c r="AG334">
        <v>0</v>
      </c>
      <c r="AH334">
        <v>6</v>
      </c>
      <c r="AI334">
        <v>7</v>
      </c>
      <c r="AJ334">
        <v>8</v>
      </c>
      <c r="AK334">
        <v>7</v>
      </c>
      <c r="AL334">
        <v>0</v>
      </c>
      <c r="AM334">
        <v>8</v>
      </c>
      <c r="AN334">
        <v>1</v>
      </c>
      <c r="AO334">
        <v>8</v>
      </c>
      <c r="AP334">
        <v>7</v>
      </c>
      <c r="AQ334">
        <v>5</v>
      </c>
      <c r="AR334">
        <v>7</v>
      </c>
      <c r="AS334">
        <v>9</v>
      </c>
      <c r="AT334">
        <v>7</v>
      </c>
      <c r="AU334">
        <v>7</v>
      </c>
      <c r="AV334">
        <v>8</v>
      </c>
      <c r="AW334">
        <v>9</v>
      </c>
      <c r="AX334">
        <v>4</v>
      </c>
      <c r="AY334">
        <v>0</v>
      </c>
      <c r="AZ334">
        <v>4</v>
      </c>
      <c r="BA334">
        <v>1</v>
      </c>
      <c r="BB334">
        <v>7</v>
      </c>
      <c r="BC334">
        <v>4</v>
      </c>
      <c r="BD334">
        <v>7</v>
      </c>
      <c r="BE334">
        <v>0</v>
      </c>
      <c r="BF334">
        <v>6</v>
      </c>
      <c r="BG334">
        <v>10</v>
      </c>
      <c r="BH334">
        <v>3</v>
      </c>
      <c r="BI334">
        <v>1</v>
      </c>
      <c r="BJ334">
        <v>1</v>
      </c>
      <c r="BK334">
        <v>2</v>
      </c>
      <c r="BL334">
        <v>8</v>
      </c>
      <c r="BM334">
        <v>9</v>
      </c>
      <c r="BN334">
        <v>3</v>
      </c>
      <c r="BO334">
        <v>8</v>
      </c>
      <c r="BP334">
        <v>7</v>
      </c>
      <c r="BQ334">
        <v>8</v>
      </c>
      <c r="BR334">
        <v>3</v>
      </c>
      <c r="BS334">
        <v>9</v>
      </c>
      <c r="BT334">
        <v>0</v>
      </c>
      <c r="BU334">
        <v>1</v>
      </c>
      <c r="BV334">
        <v>9</v>
      </c>
      <c r="BW334">
        <v>4</v>
      </c>
      <c r="BX334">
        <v>3</v>
      </c>
      <c r="BY334">
        <v>8</v>
      </c>
      <c r="BZ334">
        <v>6</v>
      </c>
      <c r="CA334">
        <v>4</v>
      </c>
      <c r="CB334">
        <v>3</v>
      </c>
      <c r="CC334">
        <v>6</v>
      </c>
      <c r="CD334">
        <v>0</v>
      </c>
      <c r="CE334">
        <v>10</v>
      </c>
      <c r="CF334">
        <v>8</v>
      </c>
      <c r="CG334">
        <v>4</v>
      </c>
      <c r="CH334">
        <v>6</v>
      </c>
      <c r="CI334">
        <v>1</v>
      </c>
      <c r="CJ334">
        <v>2</v>
      </c>
      <c r="CK334">
        <v>6</v>
      </c>
      <c r="CL334">
        <v>0</v>
      </c>
      <c r="CM334">
        <v>4</v>
      </c>
      <c r="CN334">
        <v>6</v>
      </c>
      <c r="CO334">
        <v>8</v>
      </c>
      <c r="CP334">
        <v>0</v>
      </c>
      <c r="CQ334">
        <v>9</v>
      </c>
      <c r="CR334">
        <v>4</v>
      </c>
      <c r="CS334">
        <v>8</v>
      </c>
      <c r="CT334">
        <v>7</v>
      </c>
      <c r="CU334">
        <v>1</v>
      </c>
      <c r="CV334">
        <v>5</v>
      </c>
      <c r="CW334">
        <v>0</v>
      </c>
      <c r="CX334">
        <v>10</v>
      </c>
      <c r="CY334">
        <v>5</v>
      </c>
      <c r="CZ334">
        <v>10</v>
      </c>
      <c r="DA334">
        <v>6</v>
      </c>
      <c r="DB334">
        <v>1</v>
      </c>
      <c r="DC334">
        <v>0</v>
      </c>
      <c r="DD334">
        <v>2</v>
      </c>
      <c r="DE334">
        <v>2</v>
      </c>
      <c r="DF334">
        <v>2</v>
      </c>
      <c r="DG334">
        <v>8</v>
      </c>
      <c r="DH334">
        <v>0</v>
      </c>
      <c r="DI334">
        <v>10</v>
      </c>
      <c r="DJ334">
        <v>8</v>
      </c>
      <c r="DK334">
        <v>7</v>
      </c>
    </row>
    <row r="335" spans="1:115">
      <c r="A335" s="173">
        <f>Calculations[[#This Row],[Sum t eCO2]]*IF(Calculations[[#This Row],[GHG Scope]]="BIOGENIC",0,1)</f>
        <v>0.76842527579999986</v>
      </c>
      <c r="O335">
        <f t="shared" si="5"/>
        <v>334</v>
      </c>
      <c r="P335">
        <v>8</v>
      </c>
      <c r="Q335">
        <v>7</v>
      </c>
      <c r="R335">
        <v>7</v>
      </c>
      <c r="S335">
        <v>7</v>
      </c>
      <c r="T335">
        <v>4</v>
      </c>
      <c r="U335">
        <v>5</v>
      </c>
      <c r="V335">
        <v>5</v>
      </c>
      <c r="W335">
        <v>4</v>
      </c>
      <c r="X335">
        <v>6</v>
      </c>
      <c r="Y335">
        <v>10</v>
      </c>
      <c r="Z335">
        <v>5</v>
      </c>
      <c r="AA335">
        <v>8</v>
      </c>
      <c r="AB335">
        <v>0</v>
      </c>
      <c r="AC335">
        <v>10</v>
      </c>
      <c r="AD335">
        <v>3</v>
      </c>
      <c r="AE335">
        <v>9</v>
      </c>
      <c r="AF335">
        <v>0</v>
      </c>
      <c r="AG335">
        <v>4</v>
      </c>
      <c r="AH335">
        <v>2</v>
      </c>
      <c r="AI335">
        <v>3</v>
      </c>
      <c r="AJ335">
        <v>7</v>
      </c>
      <c r="AK335">
        <v>7</v>
      </c>
      <c r="AL335">
        <v>5</v>
      </c>
      <c r="AM335">
        <v>2</v>
      </c>
      <c r="AN335">
        <v>7</v>
      </c>
      <c r="AO335">
        <v>2</v>
      </c>
      <c r="AP335">
        <v>0</v>
      </c>
      <c r="AQ335">
        <v>5</v>
      </c>
      <c r="AR335">
        <v>3</v>
      </c>
      <c r="AS335">
        <v>1</v>
      </c>
      <c r="AT335">
        <v>9</v>
      </c>
      <c r="AU335">
        <v>3</v>
      </c>
      <c r="AV335">
        <v>3</v>
      </c>
      <c r="AW335">
        <v>0</v>
      </c>
      <c r="AX335">
        <v>3</v>
      </c>
      <c r="AY335">
        <v>9</v>
      </c>
      <c r="AZ335">
        <v>0</v>
      </c>
      <c r="BA335">
        <v>5</v>
      </c>
      <c r="BB335">
        <v>6</v>
      </c>
      <c r="BC335">
        <v>10</v>
      </c>
      <c r="BD335">
        <v>1</v>
      </c>
      <c r="BE335">
        <v>6</v>
      </c>
      <c r="BF335">
        <v>0</v>
      </c>
      <c r="BG335">
        <v>6</v>
      </c>
      <c r="BH335">
        <v>10</v>
      </c>
      <c r="BI335">
        <v>1</v>
      </c>
      <c r="BJ335">
        <v>4</v>
      </c>
      <c r="BK335">
        <v>5</v>
      </c>
      <c r="BL335">
        <v>5</v>
      </c>
      <c r="BM335">
        <v>4</v>
      </c>
      <c r="BN335">
        <v>3</v>
      </c>
      <c r="BO335">
        <v>0</v>
      </c>
      <c r="BP335">
        <v>9</v>
      </c>
      <c r="BQ335">
        <v>7</v>
      </c>
      <c r="BR335">
        <v>7</v>
      </c>
      <c r="BS335">
        <v>0</v>
      </c>
      <c r="BT335">
        <v>4</v>
      </c>
      <c r="BU335">
        <v>1</v>
      </c>
      <c r="BV335">
        <v>4</v>
      </c>
      <c r="BW335">
        <v>3</v>
      </c>
      <c r="BX335">
        <v>1</v>
      </c>
      <c r="BY335">
        <v>2</v>
      </c>
      <c r="BZ335">
        <v>10</v>
      </c>
      <c r="CA335">
        <v>6</v>
      </c>
      <c r="CB335">
        <v>7</v>
      </c>
      <c r="CC335">
        <v>0</v>
      </c>
      <c r="CD335">
        <v>7</v>
      </c>
      <c r="CE335">
        <v>2</v>
      </c>
      <c r="CF335">
        <v>10</v>
      </c>
      <c r="CG335">
        <v>10</v>
      </c>
      <c r="CH335">
        <v>2</v>
      </c>
      <c r="CI335">
        <v>7</v>
      </c>
      <c r="CJ335">
        <v>8</v>
      </c>
      <c r="CK335">
        <v>6</v>
      </c>
      <c r="CL335">
        <v>4</v>
      </c>
      <c r="CM335">
        <v>0</v>
      </c>
      <c r="CN335">
        <v>3</v>
      </c>
      <c r="CO335">
        <v>8</v>
      </c>
      <c r="CP335">
        <v>3</v>
      </c>
      <c r="CQ335">
        <v>5</v>
      </c>
      <c r="CR335">
        <v>3</v>
      </c>
      <c r="CS335">
        <v>5</v>
      </c>
      <c r="CT335">
        <v>8</v>
      </c>
      <c r="CU335">
        <v>10</v>
      </c>
      <c r="CV335">
        <v>9</v>
      </c>
      <c r="CW335">
        <v>2</v>
      </c>
      <c r="CX335">
        <v>10</v>
      </c>
      <c r="CY335">
        <v>9</v>
      </c>
      <c r="CZ335">
        <v>4</v>
      </c>
      <c r="DA335">
        <v>2</v>
      </c>
      <c r="DB335">
        <v>0</v>
      </c>
      <c r="DC335">
        <v>0</v>
      </c>
      <c r="DD335">
        <v>8</v>
      </c>
      <c r="DE335">
        <v>9</v>
      </c>
      <c r="DF335">
        <v>10</v>
      </c>
      <c r="DG335">
        <v>6</v>
      </c>
      <c r="DH335">
        <v>3</v>
      </c>
      <c r="DI335">
        <v>2</v>
      </c>
      <c r="DJ335">
        <v>1</v>
      </c>
      <c r="DK335">
        <v>2</v>
      </c>
    </row>
    <row r="336" spans="1:115">
      <c r="A336" s="173">
        <f>Calculations[[#This Row],[Sum t eCO2]]*IF(Calculations[[#This Row],[GHG Scope]]="BIOGENIC",0,1)</f>
        <v>5.5118284649999988E-2</v>
      </c>
      <c r="O336">
        <f t="shared" si="5"/>
        <v>335</v>
      </c>
      <c r="P336">
        <v>10</v>
      </c>
      <c r="Q336">
        <v>10</v>
      </c>
      <c r="R336">
        <v>7</v>
      </c>
      <c r="S336">
        <v>9</v>
      </c>
      <c r="T336">
        <v>2</v>
      </c>
      <c r="U336">
        <v>7</v>
      </c>
      <c r="V336">
        <v>8</v>
      </c>
      <c r="W336">
        <v>3</v>
      </c>
      <c r="X336">
        <v>8</v>
      </c>
      <c r="Y336">
        <v>1</v>
      </c>
      <c r="Z336">
        <v>4</v>
      </c>
      <c r="AA336">
        <v>8</v>
      </c>
      <c r="AB336">
        <v>4</v>
      </c>
      <c r="AC336">
        <v>4</v>
      </c>
      <c r="AD336">
        <v>5</v>
      </c>
      <c r="AE336">
        <v>6</v>
      </c>
      <c r="AF336">
        <v>3</v>
      </c>
      <c r="AG336">
        <v>1</v>
      </c>
      <c r="AH336">
        <v>5</v>
      </c>
      <c r="AI336">
        <v>8</v>
      </c>
      <c r="AJ336">
        <v>6</v>
      </c>
      <c r="AK336">
        <v>6</v>
      </c>
      <c r="AL336">
        <v>2</v>
      </c>
      <c r="AM336">
        <v>10</v>
      </c>
      <c r="AN336">
        <v>6</v>
      </c>
      <c r="AO336">
        <v>10</v>
      </c>
      <c r="AP336">
        <v>4</v>
      </c>
      <c r="AQ336">
        <v>0</v>
      </c>
      <c r="AR336">
        <v>4</v>
      </c>
      <c r="AS336">
        <v>2</v>
      </c>
      <c r="AT336">
        <v>1</v>
      </c>
      <c r="AU336">
        <v>10</v>
      </c>
      <c r="AV336">
        <v>8</v>
      </c>
      <c r="AW336">
        <v>4</v>
      </c>
      <c r="AX336">
        <v>2</v>
      </c>
      <c r="AY336">
        <v>8</v>
      </c>
      <c r="AZ336">
        <v>1</v>
      </c>
      <c r="BA336">
        <v>4</v>
      </c>
      <c r="BB336">
        <v>8</v>
      </c>
      <c r="BC336">
        <v>10</v>
      </c>
      <c r="BD336">
        <v>1</v>
      </c>
      <c r="BE336">
        <v>8</v>
      </c>
      <c r="BF336">
        <v>10</v>
      </c>
      <c r="BG336">
        <v>1</v>
      </c>
      <c r="BH336">
        <v>0</v>
      </c>
      <c r="BI336">
        <v>5</v>
      </c>
      <c r="BJ336">
        <v>4</v>
      </c>
      <c r="BK336">
        <v>8</v>
      </c>
      <c r="BL336">
        <v>3</v>
      </c>
      <c r="BM336">
        <v>1</v>
      </c>
      <c r="BN336">
        <v>4</v>
      </c>
      <c r="BO336">
        <v>9</v>
      </c>
      <c r="BP336">
        <v>7</v>
      </c>
      <c r="BQ336">
        <v>6</v>
      </c>
      <c r="BR336">
        <v>4</v>
      </c>
      <c r="BS336">
        <v>6</v>
      </c>
      <c r="BT336">
        <v>2</v>
      </c>
      <c r="BU336">
        <v>7</v>
      </c>
      <c r="BV336">
        <v>6</v>
      </c>
      <c r="BW336">
        <v>10</v>
      </c>
      <c r="BX336">
        <v>7</v>
      </c>
      <c r="BY336">
        <v>8</v>
      </c>
      <c r="BZ336">
        <v>6</v>
      </c>
      <c r="CA336">
        <v>10</v>
      </c>
      <c r="CB336">
        <v>7</v>
      </c>
      <c r="CC336">
        <v>1</v>
      </c>
      <c r="CD336">
        <v>3</v>
      </c>
      <c r="CE336">
        <v>2</v>
      </c>
      <c r="CF336">
        <v>8</v>
      </c>
      <c r="CG336">
        <v>2</v>
      </c>
      <c r="CH336">
        <v>5</v>
      </c>
      <c r="CI336">
        <v>1</v>
      </c>
      <c r="CJ336">
        <v>7</v>
      </c>
      <c r="CK336">
        <v>0</v>
      </c>
      <c r="CL336">
        <v>4</v>
      </c>
      <c r="CM336">
        <v>7</v>
      </c>
      <c r="CN336">
        <v>9</v>
      </c>
      <c r="CO336">
        <v>2</v>
      </c>
      <c r="CP336">
        <v>3</v>
      </c>
      <c r="CQ336">
        <v>5</v>
      </c>
      <c r="CR336">
        <v>3</v>
      </c>
      <c r="CS336">
        <v>2</v>
      </c>
      <c r="CT336">
        <v>2</v>
      </c>
      <c r="CU336">
        <v>8</v>
      </c>
      <c r="CV336">
        <v>3</v>
      </c>
      <c r="CW336">
        <v>5</v>
      </c>
      <c r="CX336">
        <v>1</v>
      </c>
      <c r="CY336">
        <v>6</v>
      </c>
      <c r="CZ336">
        <v>3</v>
      </c>
      <c r="DA336">
        <v>0</v>
      </c>
      <c r="DB336">
        <v>4</v>
      </c>
      <c r="DC336">
        <v>1</v>
      </c>
      <c r="DD336">
        <v>10</v>
      </c>
      <c r="DE336">
        <v>10</v>
      </c>
      <c r="DF336">
        <v>6</v>
      </c>
      <c r="DG336">
        <v>4</v>
      </c>
      <c r="DH336">
        <v>0</v>
      </c>
      <c r="DI336">
        <v>8</v>
      </c>
      <c r="DJ336">
        <v>8</v>
      </c>
      <c r="DK336">
        <v>0</v>
      </c>
    </row>
    <row r="337" spans="1:115">
      <c r="A337" s="173">
        <f>Calculations[[#This Row],[Sum t eCO2]]*IF(Calculations[[#This Row],[GHG Scope]]="BIOGENIC",0,1)</f>
        <v>9.0060604919999995E-2</v>
      </c>
      <c r="O337">
        <f t="shared" si="5"/>
        <v>336</v>
      </c>
      <c r="P337">
        <v>4</v>
      </c>
      <c r="Q337">
        <v>7</v>
      </c>
      <c r="R337">
        <v>6</v>
      </c>
      <c r="S337">
        <v>3</v>
      </c>
      <c r="T337">
        <v>9</v>
      </c>
      <c r="U337">
        <v>5</v>
      </c>
      <c r="V337">
        <v>3</v>
      </c>
      <c r="W337">
        <v>0</v>
      </c>
      <c r="X337">
        <v>4</v>
      </c>
      <c r="Y337">
        <v>1</v>
      </c>
      <c r="Z337">
        <v>4</v>
      </c>
      <c r="AA337">
        <v>9</v>
      </c>
      <c r="AB337">
        <v>1</v>
      </c>
      <c r="AC337">
        <v>9</v>
      </c>
      <c r="AD337">
        <v>9</v>
      </c>
      <c r="AE337">
        <v>6</v>
      </c>
      <c r="AF337">
        <v>4</v>
      </c>
      <c r="AG337">
        <v>1</v>
      </c>
      <c r="AH337">
        <v>2</v>
      </c>
      <c r="AI337">
        <v>3</v>
      </c>
      <c r="AJ337">
        <v>1</v>
      </c>
      <c r="AK337">
        <v>2</v>
      </c>
      <c r="AL337">
        <v>3</v>
      </c>
      <c r="AM337">
        <v>1</v>
      </c>
      <c r="AN337">
        <v>0</v>
      </c>
      <c r="AO337">
        <v>10</v>
      </c>
      <c r="AP337">
        <v>8</v>
      </c>
      <c r="AQ337">
        <v>10</v>
      </c>
      <c r="AR337">
        <v>10</v>
      </c>
      <c r="AS337">
        <v>4</v>
      </c>
      <c r="AT337">
        <v>6</v>
      </c>
      <c r="AU337">
        <v>9</v>
      </c>
      <c r="AV337">
        <v>5</v>
      </c>
      <c r="AW337">
        <v>7</v>
      </c>
      <c r="AX337">
        <v>2</v>
      </c>
      <c r="AY337">
        <v>8</v>
      </c>
      <c r="AZ337">
        <v>1</v>
      </c>
      <c r="BA337">
        <v>6</v>
      </c>
      <c r="BB337">
        <v>7</v>
      </c>
      <c r="BC337">
        <v>0</v>
      </c>
      <c r="BD337">
        <v>8</v>
      </c>
      <c r="BE337">
        <v>7</v>
      </c>
      <c r="BF337">
        <v>10</v>
      </c>
      <c r="BG337">
        <v>9</v>
      </c>
      <c r="BH337">
        <v>10</v>
      </c>
      <c r="BI337">
        <v>2</v>
      </c>
      <c r="BJ337">
        <v>0</v>
      </c>
      <c r="BK337">
        <v>6</v>
      </c>
      <c r="BL337">
        <v>6</v>
      </c>
      <c r="BM337">
        <v>7</v>
      </c>
      <c r="BN337">
        <v>4</v>
      </c>
      <c r="BO337">
        <v>8</v>
      </c>
      <c r="BP337">
        <v>5</v>
      </c>
      <c r="BQ337">
        <v>4</v>
      </c>
      <c r="BR337">
        <v>4</v>
      </c>
      <c r="BS337">
        <v>7</v>
      </c>
      <c r="BT337">
        <v>0</v>
      </c>
      <c r="BU337">
        <v>10</v>
      </c>
      <c r="BV337">
        <v>5</v>
      </c>
      <c r="BW337">
        <v>6</v>
      </c>
      <c r="BX337">
        <v>5</v>
      </c>
      <c r="BY337">
        <v>3</v>
      </c>
      <c r="BZ337">
        <v>7</v>
      </c>
      <c r="CA337">
        <v>3</v>
      </c>
      <c r="CB337">
        <v>7</v>
      </c>
      <c r="CC337">
        <v>1</v>
      </c>
      <c r="CD337">
        <v>9</v>
      </c>
      <c r="CE337">
        <v>4</v>
      </c>
      <c r="CF337">
        <v>4</v>
      </c>
      <c r="CG337">
        <v>3</v>
      </c>
      <c r="CH337">
        <v>3</v>
      </c>
      <c r="CI337">
        <v>0</v>
      </c>
      <c r="CJ337">
        <v>4</v>
      </c>
      <c r="CK337">
        <v>3</v>
      </c>
      <c r="CL337">
        <v>9</v>
      </c>
      <c r="CM337">
        <v>7</v>
      </c>
      <c r="CN337">
        <v>9</v>
      </c>
      <c r="CO337">
        <v>8</v>
      </c>
      <c r="CP337">
        <v>3</v>
      </c>
      <c r="CQ337">
        <v>5</v>
      </c>
      <c r="CR337">
        <v>4</v>
      </c>
      <c r="CS337">
        <v>2</v>
      </c>
      <c r="CT337">
        <v>4</v>
      </c>
      <c r="CU337">
        <v>8</v>
      </c>
      <c r="CV337">
        <v>8</v>
      </c>
      <c r="CW337">
        <v>10</v>
      </c>
      <c r="CX337">
        <v>10</v>
      </c>
      <c r="CY337">
        <v>10</v>
      </c>
      <c r="CZ337">
        <v>7</v>
      </c>
      <c r="DA337">
        <v>6</v>
      </c>
      <c r="DB337">
        <v>7</v>
      </c>
      <c r="DC337">
        <v>10</v>
      </c>
      <c r="DD337">
        <v>10</v>
      </c>
      <c r="DE337">
        <v>4</v>
      </c>
      <c r="DF337">
        <v>10</v>
      </c>
      <c r="DG337">
        <v>8</v>
      </c>
      <c r="DH337">
        <v>0</v>
      </c>
      <c r="DI337">
        <v>5</v>
      </c>
      <c r="DJ337">
        <v>5</v>
      </c>
      <c r="DK337">
        <v>5</v>
      </c>
    </row>
    <row r="338" spans="1:115">
      <c r="A338" s="173">
        <f>Calculations[[#This Row],[Sum t eCO2]]*IF(Calculations[[#This Row],[GHG Scope]]="BIOGENIC",0,1)</f>
        <v>4.9717859999999996E-2</v>
      </c>
      <c r="O338">
        <f t="shared" si="5"/>
        <v>337</v>
      </c>
      <c r="P338">
        <v>2</v>
      </c>
      <c r="Q338">
        <v>9</v>
      </c>
      <c r="R338">
        <v>1</v>
      </c>
      <c r="S338">
        <v>4</v>
      </c>
      <c r="T338">
        <v>7</v>
      </c>
      <c r="U338">
        <v>9</v>
      </c>
      <c r="V338">
        <v>8</v>
      </c>
      <c r="W338">
        <v>10</v>
      </c>
      <c r="X338">
        <v>8</v>
      </c>
      <c r="Y338">
        <v>7</v>
      </c>
      <c r="Z338">
        <v>7</v>
      </c>
      <c r="AA338">
        <v>8</v>
      </c>
      <c r="AB338">
        <v>1</v>
      </c>
      <c r="AC338">
        <v>4</v>
      </c>
      <c r="AD338">
        <v>7</v>
      </c>
      <c r="AE338">
        <v>10</v>
      </c>
      <c r="AF338">
        <v>8</v>
      </c>
      <c r="AG338">
        <v>7</v>
      </c>
      <c r="AH338">
        <v>8</v>
      </c>
      <c r="AI338">
        <v>8</v>
      </c>
      <c r="AJ338">
        <v>1</v>
      </c>
      <c r="AK338">
        <v>10</v>
      </c>
      <c r="AL338">
        <v>6</v>
      </c>
      <c r="AM338">
        <v>4</v>
      </c>
      <c r="AN338">
        <v>6</v>
      </c>
      <c r="AO338">
        <v>4</v>
      </c>
      <c r="AP338">
        <v>6</v>
      </c>
      <c r="AQ338">
        <v>4</v>
      </c>
      <c r="AR338">
        <v>8</v>
      </c>
      <c r="AS338">
        <v>4</v>
      </c>
      <c r="AT338">
        <v>9</v>
      </c>
      <c r="AU338">
        <v>1</v>
      </c>
      <c r="AV338">
        <v>3</v>
      </c>
      <c r="AW338">
        <v>6</v>
      </c>
      <c r="AX338">
        <v>2</v>
      </c>
      <c r="AY338">
        <v>6</v>
      </c>
      <c r="AZ338">
        <v>5</v>
      </c>
      <c r="BA338">
        <v>1</v>
      </c>
      <c r="BB338">
        <v>3</v>
      </c>
      <c r="BC338">
        <v>8</v>
      </c>
      <c r="BD338">
        <v>5</v>
      </c>
      <c r="BE338">
        <v>3</v>
      </c>
      <c r="BF338">
        <v>0</v>
      </c>
      <c r="BG338">
        <v>9</v>
      </c>
      <c r="BH338">
        <v>0</v>
      </c>
      <c r="BI338">
        <v>1</v>
      </c>
      <c r="BJ338">
        <v>5</v>
      </c>
      <c r="BK338">
        <v>0</v>
      </c>
      <c r="BL338">
        <v>9</v>
      </c>
      <c r="BM338">
        <v>4</v>
      </c>
      <c r="BN338">
        <v>9</v>
      </c>
      <c r="BO338">
        <v>6</v>
      </c>
      <c r="BP338">
        <v>0</v>
      </c>
      <c r="BQ338">
        <v>4</v>
      </c>
      <c r="BR338">
        <v>0</v>
      </c>
      <c r="BS338">
        <v>1</v>
      </c>
      <c r="BT338">
        <v>5</v>
      </c>
      <c r="BU338">
        <v>3</v>
      </c>
      <c r="BV338">
        <v>4</v>
      </c>
      <c r="BW338">
        <v>6</v>
      </c>
      <c r="BX338">
        <v>4</v>
      </c>
      <c r="BY338">
        <v>4</v>
      </c>
      <c r="BZ338">
        <v>10</v>
      </c>
      <c r="CA338">
        <v>8</v>
      </c>
      <c r="CB338">
        <v>3</v>
      </c>
      <c r="CC338">
        <v>4</v>
      </c>
      <c r="CD338">
        <v>8</v>
      </c>
      <c r="CE338">
        <v>6</v>
      </c>
      <c r="CF338">
        <v>3</v>
      </c>
      <c r="CG338">
        <v>4</v>
      </c>
      <c r="CH338">
        <v>0</v>
      </c>
      <c r="CI338">
        <v>0</v>
      </c>
      <c r="CJ338">
        <v>1</v>
      </c>
      <c r="CK338">
        <v>7</v>
      </c>
      <c r="CL338">
        <v>4</v>
      </c>
      <c r="CM338">
        <v>8</v>
      </c>
      <c r="CN338">
        <v>4</v>
      </c>
      <c r="CO338">
        <v>2</v>
      </c>
      <c r="CP338">
        <v>2</v>
      </c>
      <c r="CQ338">
        <v>8</v>
      </c>
      <c r="CR338">
        <v>7</v>
      </c>
      <c r="CS338">
        <v>5</v>
      </c>
      <c r="CT338">
        <v>0</v>
      </c>
      <c r="CU338">
        <v>2</v>
      </c>
      <c r="CV338">
        <v>6</v>
      </c>
      <c r="CW338">
        <v>0</v>
      </c>
      <c r="CX338">
        <v>2</v>
      </c>
      <c r="CY338">
        <v>6</v>
      </c>
      <c r="CZ338">
        <v>2</v>
      </c>
      <c r="DA338">
        <v>2</v>
      </c>
      <c r="DB338">
        <v>9</v>
      </c>
      <c r="DC338">
        <v>6</v>
      </c>
      <c r="DD338">
        <v>3</v>
      </c>
      <c r="DE338">
        <v>7</v>
      </c>
      <c r="DF338">
        <v>9</v>
      </c>
      <c r="DG338">
        <v>3</v>
      </c>
      <c r="DH338">
        <v>3</v>
      </c>
      <c r="DI338">
        <v>8</v>
      </c>
      <c r="DJ338">
        <v>8</v>
      </c>
      <c r="DK338">
        <v>10</v>
      </c>
    </row>
    <row r="339" spans="1:115">
      <c r="A339" s="173">
        <f>Calculations[[#This Row],[Sum t eCO2]]*IF(Calculations[[#This Row],[GHG Scope]]="BIOGENIC",0,1)</f>
        <v>6.2396568000000008E-3</v>
      </c>
      <c r="O339">
        <f t="shared" si="5"/>
        <v>338</v>
      </c>
      <c r="P339">
        <v>3</v>
      </c>
      <c r="Q339">
        <v>10</v>
      </c>
      <c r="R339">
        <v>2</v>
      </c>
      <c r="S339">
        <v>6</v>
      </c>
      <c r="T339">
        <v>1</v>
      </c>
      <c r="U339">
        <v>9</v>
      </c>
      <c r="V339">
        <v>3</v>
      </c>
      <c r="W339">
        <v>9</v>
      </c>
      <c r="X339">
        <v>0</v>
      </c>
      <c r="Y339">
        <v>9</v>
      </c>
      <c r="Z339">
        <v>2</v>
      </c>
      <c r="AA339">
        <v>5</v>
      </c>
      <c r="AB339">
        <v>9</v>
      </c>
      <c r="AC339">
        <v>0</v>
      </c>
      <c r="AD339">
        <v>6</v>
      </c>
      <c r="AE339">
        <v>0</v>
      </c>
      <c r="AF339">
        <v>4</v>
      </c>
      <c r="AG339">
        <v>3</v>
      </c>
      <c r="AH339">
        <v>10</v>
      </c>
      <c r="AI339">
        <v>4</v>
      </c>
      <c r="AJ339">
        <v>0</v>
      </c>
      <c r="AK339">
        <v>4</v>
      </c>
      <c r="AL339">
        <v>1</v>
      </c>
      <c r="AM339">
        <v>2</v>
      </c>
      <c r="AN339">
        <v>1</v>
      </c>
      <c r="AO339">
        <v>8</v>
      </c>
      <c r="AP339">
        <v>10</v>
      </c>
      <c r="AQ339">
        <v>8</v>
      </c>
      <c r="AR339">
        <v>7</v>
      </c>
      <c r="AS339">
        <v>10</v>
      </c>
      <c r="AT339">
        <v>8</v>
      </c>
      <c r="AU339">
        <v>9</v>
      </c>
      <c r="AV339">
        <v>1</v>
      </c>
      <c r="AW339">
        <v>10</v>
      </c>
      <c r="AX339">
        <v>7</v>
      </c>
      <c r="AY339">
        <v>9</v>
      </c>
      <c r="AZ339">
        <v>3</v>
      </c>
      <c r="BA339">
        <v>10</v>
      </c>
      <c r="BB339">
        <v>3</v>
      </c>
      <c r="BC339">
        <v>6</v>
      </c>
      <c r="BD339">
        <v>4</v>
      </c>
      <c r="BE339">
        <v>2</v>
      </c>
      <c r="BF339">
        <v>7</v>
      </c>
      <c r="BG339">
        <v>5</v>
      </c>
      <c r="BH339">
        <v>8</v>
      </c>
      <c r="BI339">
        <v>0</v>
      </c>
      <c r="BJ339">
        <v>7</v>
      </c>
      <c r="BK339">
        <v>3</v>
      </c>
      <c r="BL339">
        <v>5</v>
      </c>
      <c r="BM339">
        <v>6</v>
      </c>
      <c r="BN339">
        <v>2</v>
      </c>
      <c r="BO339">
        <v>6</v>
      </c>
      <c r="BP339">
        <v>2</v>
      </c>
      <c r="BQ339">
        <v>6</v>
      </c>
      <c r="BR339">
        <v>2</v>
      </c>
      <c r="BS339">
        <v>7</v>
      </c>
      <c r="BT339">
        <v>6</v>
      </c>
      <c r="BU339">
        <v>9</v>
      </c>
      <c r="BV339">
        <v>3</v>
      </c>
      <c r="BW339">
        <v>5</v>
      </c>
      <c r="BX339">
        <v>8</v>
      </c>
      <c r="BY339">
        <v>5</v>
      </c>
      <c r="BZ339">
        <v>9</v>
      </c>
      <c r="CA339">
        <v>2</v>
      </c>
      <c r="CB339">
        <v>5</v>
      </c>
      <c r="CC339">
        <v>9</v>
      </c>
      <c r="CD339">
        <v>4</v>
      </c>
      <c r="CE339">
        <v>9</v>
      </c>
      <c r="CF339">
        <v>5</v>
      </c>
      <c r="CG339">
        <v>3</v>
      </c>
      <c r="CH339">
        <v>8</v>
      </c>
      <c r="CI339">
        <v>10</v>
      </c>
      <c r="CJ339">
        <v>1</v>
      </c>
      <c r="CK339">
        <v>8</v>
      </c>
      <c r="CL339">
        <v>4</v>
      </c>
      <c r="CM339">
        <v>4</v>
      </c>
      <c r="CN339">
        <v>7</v>
      </c>
      <c r="CO339">
        <v>8</v>
      </c>
      <c r="CP339">
        <v>1</v>
      </c>
      <c r="CQ339">
        <v>1</v>
      </c>
      <c r="CR339">
        <v>9</v>
      </c>
      <c r="CS339">
        <v>1</v>
      </c>
      <c r="CT339">
        <v>10</v>
      </c>
      <c r="CU339">
        <v>2</v>
      </c>
      <c r="CV339">
        <v>7</v>
      </c>
      <c r="CW339">
        <v>4</v>
      </c>
      <c r="CX339">
        <v>7</v>
      </c>
      <c r="CY339">
        <v>6</v>
      </c>
      <c r="CZ339">
        <v>0</v>
      </c>
      <c r="DA339">
        <v>6</v>
      </c>
      <c r="DB339">
        <v>5</v>
      </c>
      <c r="DC339">
        <v>6</v>
      </c>
      <c r="DD339">
        <v>3</v>
      </c>
      <c r="DE339">
        <v>5</v>
      </c>
      <c r="DF339">
        <v>10</v>
      </c>
      <c r="DG339">
        <v>0</v>
      </c>
      <c r="DH339">
        <v>2</v>
      </c>
      <c r="DI339">
        <v>10</v>
      </c>
      <c r="DJ339">
        <v>9</v>
      </c>
      <c r="DK339">
        <v>1</v>
      </c>
    </row>
    <row r="340" spans="1:115">
      <c r="A340" s="173">
        <f>Calculations[[#This Row],[Sum t eCO2]]*IF(Calculations[[#This Row],[GHG Scope]]="BIOGENIC",0,1)</f>
        <v>5.430396816E-2</v>
      </c>
      <c r="O340">
        <f t="shared" si="5"/>
        <v>339</v>
      </c>
      <c r="P340">
        <v>7</v>
      </c>
      <c r="Q340">
        <v>2</v>
      </c>
      <c r="R340">
        <v>1</v>
      </c>
      <c r="S340">
        <v>4</v>
      </c>
      <c r="T340">
        <v>5</v>
      </c>
      <c r="U340">
        <v>6</v>
      </c>
      <c r="V340">
        <v>4</v>
      </c>
      <c r="W340">
        <v>8</v>
      </c>
      <c r="X340">
        <v>8</v>
      </c>
      <c r="Y340">
        <v>4</v>
      </c>
      <c r="Z340">
        <v>9</v>
      </c>
      <c r="AA340">
        <v>4</v>
      </c>
      <c r="AB340">
        <v>9</v>
      </c>
      <c r="AC340">
        <v>7</v>
      </c>
      <c r="AD340">
        <v>5</v>
      </c>
      <c r="AE340">
        <v>6</v>
      </c>
      <c r="AF340">
        <v>5</v>
      </c>
      <c r="AG340">
        <v>7</v>
      </c>
      <c r="AH340">
        <v>0</v>
      </c>
      <c r="AI340">
        <v>5</v>
      </c>
      <c r="AJ340">
        <v>8</v>
      </c>
      <c r="AK340">
        <v>0</v>
      </c>
      <c r="AL340">
        <v>1</v>
      </c>
      <c r="AM340">
        <v>2</v>
      </c>
      <c r="AN340">
        <v>7</v>
      </c>
      <c r="AO340">
        <v>3</v>
      </c>
      <c r="AP340">
        <v>6</v>
      </c>
      <c r="AQ340">
        <v>2</v>
      </c>
      <c r="AR340">
        <v>5</v>
      </c>
      <c r="AS340">
        <v>10</v>
      </c>
      <c r="AT340">
        <v>0</v>
      </c>
      <c r="AU340">
        <v>0</v>
      </c>
      <c r="AV340">
        <v>1</v>
      </c>
      <c r="AW340">
        <v>0</v>
      </c>
      <c r="AX340">
        <v>5</v>
      </c>
      <c r="AY340">
        <v>5</v>
      </c>
      <c r="AZ340">
        <v>10</v>
      </c>
      <c r="BA340">
        <v>9</v>
      </c>
      <c r="BB340">
        <v>7</v>
      </c>
      <c r="BC340">
        <v>8</v>
      </c>
      <c r="BD340">
        <v>3</v>
      </c>
      <c r="BE340">
        <v>8</v>
      </c>
      <c r="BF340">
        <v>7</v>
      </c>
      <c r="BG340">
        <v>5</v>
      </c>
      <c r="BH340">
        <v>0</v>
      </c>
      <c r="BI340">
        <v>2</v>
      </c>
      <c r="BJ340">
        <v>8</v>
      </c>
      <c r="BK340">
        <v>6</v>
      </c>
      <c r="BL340">
        <v>0</v>
      </c>
      <c r="BM340">
        <v>6</v>
      </c>
      <c r="BN340">
        <v>7</v>
      </c>
      <c r="BO340">
        <v>10</v>
      </c>
      <c r="BP340">
        <v>2</v>
      </c>
      <c r="BQ340">
        <v>8</v>
      </c>
      <c r="BR340">
        <v>5</v>
      </c>
      <c r="BS340">
        <v>10</v>
      </c>
      <c r="BT340">
        <v>6</v>
      </c>
      <c r="BU340">
        <v>1</v>
      </c>
      <c r="BV340">
        <v>6</v>
      </c>
      <c r="BW340">
        <v>5</v>
      </c>
      <c r="BX340">
        <v>6</v>
      </c>
      <c r="BY340">
        <v>3</v>
      </c>
      <c r="BZ340">
        <v>2</v>
      </c>
      <c r="CA340">
        <v>1</v>
      </c>
      <c r="CB340">
        <v>5</v>
      </c>
      <c r="CC340">
        <v>7</v>
      </c>
      <c r="CD340">
        <v>6</v>
      </c>
      <c r="CE340">
        <v>6</v>
      </c>
      <c r="CF340">
        <v>10</v>
      </c>
      <c r="CG340">
        <v>6</v>
      </c>
      <c r="CH340">
        <v>1</v>
      </c>
      <c r="CI340">
        <v>1</v>
      </c>
      <c r="CJ340">
        <v>0</v>
      </c>
      <c r="CK340">
        <v>8</v>
      </c>
      <c r="CL340">
        <v>10</v>
      </c>
      <c r="CM340">
        <v>6</v>
      </c>
      <c r="CN340">
        <v>5</v>
      </c>
      <c r="CO340">
        <v>8</v>
      </c>
      <c r="CP340">
        <v>2</v>
      </c>
      <c r="CQ340">
        <v>2</v>
      </c>
      <c r="CR340">
        <v>4</v>
      </c>
      <c r="CS340">
        <v>4</v>
      </c>
      <c r="CT340">
        <v>10</v>
      </c>
      <c r="CU340">
        <v>1</v>
      </c>
      <c r="CV340">
        <v>6</v>
      </c>
      <c r="CW340">
        <v>3</v>
      </c>
      <c r="CX340">
        <v>7</v>
      </c>
      <c r="CY340">
        <v>0</v>
      </c>
      <c r="CZ340">
        <v>1</v>
      </c>
      <c r="DA340">
        <v>1</v>
      </c>
      <c r="DB340">
        <v>8</v>
      </c>
      <c r="DC340">
        <v>2</v>
      </c>
      <c r="DD340">
        <v>3</v>
      </c>
      <c r="DE340">
        <v>7</v>
      </c>
      <c r="DF340">
        <v>7</v>
      </c>
      <c r="DG340">
        <v>5</v>
      </c>
      <c r="DH340">
        <v>1</v>
      </c>
      <c r="DI340">
        <v>7</v>
      </c>
      <c r="DJ340">
        <v>10</v>
      </c>
      <c r="DK340">
        <v>4</v>
      </c>
    </row>
    <row r="341" spans="1:115">
      <c r="A341" s="173">
        <f>Calculations[[#This Row],[Sum t eCO2]]*IF(Calculations[[#This Row],[GHG Scope]]="BIOGENIC",0,1)</f>
        <v>0</v>
      </c>
      <c r="O341">
        <f t="shared" si="5"/>
        <v>340</v>
      </c>
      <c r="P341">
        <v>10</v>
      </c>
      <c r="Q341">
        <v>3</v>
      </c>
      <c r="R341">
        <v>9</v>
      </c>
      <c r="S341">
        <v>4</v>
      </c>
      <c r="T341">
        <v>2</v>
      </c>
      <c r="U341">
        <v>9</v>
      </c>
      <c r="V341">
        <v>10</v>
      </c>
      <c r="W341">
        <v>5</v>
      </c>
      <c r="X341">
        <v>3</v>
      </c>
      <c r="Y341">
        <v>8</v>
      </c>
      <c r="Z341">
        <v>2</v>
      </c>
      <c r="AA341">
        <v>2</v>
      </c>
      <c r="AB341">
        <v>1</v>
      </c>
      <c r="AC341">
        <v>9</v>
      </c>
      <c r="AD341">
        <v>0</v>
      </c>
      <c r="AE341">
        <v>7</v>
      </c>
      <c r="AF341">
        <v>3</v>
      </c>
      <c r="AG341">
        <v>2</v>
      </c>
      <c r="AH341">
        <v>7</v>
      </c>
      <c r="AI341">
        <v>10</v>
      </c>
      <c r="AJ341">
        <v>10</v>
      </c>
      <c r="AK341">
        <v>8</v>
      </c>
      <c r="AL341">
        <v>8</v>
      </c>
      <c r="AM341">
        <v>10</v>
      </c>
      <c r="AN341">
        <v>10</v>
      </c>
      <c r="AO341">
        <v>1</v>
      </c>
      <c r="AP341">
        <v>8</v>
      </c>
      <c r="AQ341">
        <v>7</v>
      </c>
      <c r="AR341">
        <v>6</v>
      </c>
      <c r="AS341">
        <v>5</v>
      </c>
      <c r="AT341">
        <v>2</v>
      </c>
      <c r="AU341">
        <v>10</v>
      </c>
      <c r="AV341">
        <v>5</v>
      </c>
      <c r="AW341">
        <v>7</v>
      </c>
      <c r="AX341">
        <v>9</v>
      </c>
      <c r="AY341">
        <v>9</v>
      </c>
      <c r="AZ341">
        <v>8</v>
      </c>
      <c r="BA341">
        <v>7</v>
      </c>
      <c r="BB341">
        <v>8</v>
      </c>
      <c r="BC341">
        <v>5</v>
      </c>
      <c r="BD341">
        <v>5</v>
      </c>
      <c r="BE341">
        <v>9</v>
      </c>
      <c r="BF341">
        <v>1</v>
      </c>
      <c r="BG341">
        <v>3</v>
      </c>
      <c r="BH341">
        <v>7</v>
      </c>
      <c r="BI341">
        <v>0</v>
      </c>
      <c r="BJ341">
        <v>5</v>
      </c>
      <c r="BK341">
        <v>7</v>
      </c>
      <c r="BL341">
        <v>3</v>
      </c>
      <c r="BM341">
        <v>2</v>
      </c>
      <c r="BN341">
        <v>6</v>
      </c>
      <c r="BO341">
        <v>1</v>
      </c>
      <c r="BP341">
        <v>5</v>
      </c>
      <c r="BQ341">
        <v>8</v>
      </c>
      <c r="BR341">
        <v>4</v>
      </c>
      <c r="BS341">
        <v>1</v>
      </c>
      <c r="BT341">
        <v>8</v>
      </c>
      <c r="BU341">
        <v>2</v>
      </c>
      <c r="BV341">
        <v>5</v>
      </c>
      <c r="BW341">
        <v>9</v>
      </c>
      <c r="BX341">
        <v>10</v>
      </c>
      <c r="BY341">
        <v>5</v>
      </c>
      <c r="BZ341">
        <v>3</v>
      </c>
      <c r="CA341">
        <v>10</v>
      </c>
      <c r="CB341">
        <v>0</v>
      </c>
      <c r="CC341">
        <v>4</v>
      </c>
      <c r="CD341">
        <v>0</v>
      </c>
      <c r="CE341">
        <v>1</v>
      </c>
      <c r="CF341">
        <v>4</v>
      </c>
      <c r="CG341">
        <v>10</v>
      </c>
      <c r="CH341">
        <v>1</v>
      </c>
      <c r="CI341">
        <v>3</v>
      </c>
      <c r="CJ341">
        <v>5</v>
      </c>
      <c r="CK341">
        <v>4</v>
      </c>
      <c r="CL341">
        <v>9</v>
      </c>
      <c r="CM341">
        <v>7</v>
      </c>
      <c r="CN341">
        <v>7</v>
      </c>
      <c r="CO341">
        <v>6</v>
      </c>
      <c r="CP341">
        <v>9</v>
      </c>
      <c r="CQ341">
        <v>6</v>
      </c>
      <c r="CR341">
        <v>4</v>
      </c>
      <c r="CS341">
        <v>1</v>
      </c>
      <c r="CT341">
        <v>1</v>
      </c>
      <c r="CU341">
        <v>0</v>
      </c>
      <c r="CV341">
        <v>0</v>
      </c>
      <c r="CW341">
        <v>6</v>
      </c>
      <c r="CX341">
        <v>4</v>
      </c>
      <c r="CY341">
        <v>1</v>
      </c>
      <c r="CZ341">
        <v>4</v>
      </c>
      <c r="DA341">
        <v>3</v>
      </c>
      <c r="DB341">
        <v>5</v>
      </c>
      <c r="DC341">
        <v>9</v>
      </c>
      <c r="DD341">
        <v>10</v>
      </c>
      <c r="DE341">
        <v>5</v>
      </c>
      <c r="DF341">
        <v>0</v>
      </c>
      <c r="DG341">
        <v>9</v>
      </c>
      <c r="DH341">
        <v>6</v>
      </c>
      <c r="DI341">
        <v>1</v>
      </c>
      <c r="DJ341">
        <v>4</v>
      </c>
      <c r="DK341">
        <v>0</v>
      </c>
    </row>
    <row r="342" spans="1:115">
      <c r="A342" s="173">
        <f>Calculations[[#This Row],[Sum t eCO2]]*IF(Calculations[[#This Row],[GHG Scope]]="BIOGENIC",0,1)</f>
        <v>87.234890897560021</v>
      </c>
      <c r="O342">
        <f t="shared" si="5"/>
        <v>341</v>
      </c>
      <c r="P342">
        <v>4</v>
      </c>
      <c r="Q342">
        <v>7</v>
      </c>
      <c r="R342">
        <v>6</v>
      </c>
      <c r="S342">
        <v>6</v>
      </c>
      <c r="T342">
        <v>4</v>
      </c>
      <c r="U342">
        <v>10</v>
      </c>
      <c r="V342">
        <v>6</v>
      </c>
      <c r="W342">
        <v>10</v>
      </c>
      <c r="X342">
        <v>2</v>
      </c>
      <c r="Y342">
        <v>3</v>
      </c>
      <c r="Z342">
        <v>9</v>
      </c>
      <c r="AA342">
        <v>9</v>
      </c>
      <c r="AB342">
        <v>10</v>
      </c>
      <c r="AC342">
        <v>8</v>
      </c>
      <c r="AD342">
        <v>2</v>
      </c>
      <c r="AE342">
        <v>0</v>
      </c>
      <c r="AF342">
        <v>6</v>
      </c>
      <c r="AG342">
        <v>7</v>
      </c>
      <c r="AH342">
        <v>8</v>
      </c>
      <c r="AI342">
        <v>8</v>
      </c>
      <c r="AJ342">
        <v>4</v>
      </c>
      <c r="AK342">
        <v>3</v>
      </c>
      <c r="AL342">
        <v>7</v>
      </c>
      <c r="AM342">
        <v>2</v>
      </c>
      <c r="AN342">
        <v>1</v>
      </c>
      <c r="AO342">
        <v>6</v>
      </c>
      <c r="AP342">
        <v>5</v>
      </c>
      <c r="AQ342">
        <v>0</v>
      </c>
      <c r="AR342">
        <v>0</v>
      </c>
      <c r="AS342">
        <v>1</v>
      </c>
      <c r="AT342">
        <v>4</v>
      </c>
      <c r="AU342">
        <v>2</v>
      </c>
      <c r="AV342">
        <v>0</v>
      </c>
      <c r="AW342">
        <v>4</v>
      </c>
      <c r="AX342">
        <v>3</v>
      </c>
      <c r="AY342">
        <v>8</v>
      </c>
      <c r="AZ342">
        <v>3</v>
      </c>
      <c r="BA342">
        <v>2</v>
      </c>
      <c r="BB342">
        <v>2</v>
      </c>
      <c r="BC342">
        <v>4</v>
      </c>
      <c r="BD342">
        <v>2</v>
      </c>
      <c r="BE342">
        <v>6</v>
      </c>
      <c r="BF342">
        <v>7</v>
      </c>
      <c r="BG342">
        <v>2</v>
      </c>
      <c r="BH342">
        <v>2</v>
      </c>
      <c r="BI342">
        <v>9</v>
      </c>
      <c r="BJ342">
        <v>10</v>
      </c>
      <c r="BK342">
        <v>9</v>
      </c>
      <c r="BL342">
        <v>9</v>
      </c>
      <c r="BM342">
        <v>6</v>
      </c>
      <c r="BN342">
        <v>8</v>
      </c>
      <c r="BO342">
        <v>2</v>
      </c>
      <c r="BP342">
        <v>4</v>
      </c>
      <c r="BQ342">
        <v>4</v>
      </c>
      <c r="BR342">
        <v>1</v>
      </c>
      <c r="BS342">
        <v>0</v>
      </c>
      <c r="BT342">
        <v>8</v>
      </c>
      <c r="BU342">
        <v>3</v>
      </c>
      <c r="BV342">
        <v>6</v>
      </c>
      <c r="BW342">
        <v>0</v>
      </c>
      <c r="BX342">
        <v>10</v>
      </c>
      <c r="BY342">
        <v>10</v>
      </c>
      <c r="BZ342">
        <v>4</v>
      </c>
      <c r="CA342">
        <v>2</v>
      </c>
      <c r="CB342">
        <v>3</v>
      </c>
      <c r="CC342">
        <v>5</v>
      </c>
      <c r="CD342">
        <v>3</v>
      </c>
      <c r="CE342">
        <v>5</v>
      </c>
      <c r="CF342">
        <v>6</v>
      </c>
      <c r="CG342">
        <v>8</v>
      </c>
      <c r="CH342">
        <v>8</v>
      </c>
      <c r="CI342">
        <v>9</v>
      </c>
      <c r="CJ342">
        <v>9</v>
      </c>
      <c r="CK342">
        <v>2</v>
      </c>
      <c r="CL342">
        <v>10</v>
      </c>
      <c r="CM342">
        <v>4</v>
      </c>
      <c r="CN342">
        <v>2</v>
      </c>
      <c r="CO342">
        <v>10</v>
      </c>
      <c r="CP342">
        <v>1</v>
      </c>
      <c r="CQ342">
        <v>1</v>
      </c>
      <c r="CR342">
        <v>3</v>
      </c>
      <c r="CS342">
        <v>4</v>
      </c>
      <c r="CT342">
        <v>9</v>
      </c>
      <c r="CU342">
        <v>1</v>
      </c>
      <c r="CV342">
        <v>9</v>
      </c>
      <c r="CW342">
        <v>0</v>
      </c>
      <c r="CX342">
        <v>1</v>
      </c>
      <c r="CY342">
        <v>3</v>
      </c>
      <c r="CZ342">
        <v>9</v>
      </c>
      <c r="DA342">
        <v>0</v>
      </c>
      <c r="DB342">
        <v>7</v>
      </c>
      <c r="DC342">
        <v>2</v>
      </c>
      <c r="DD342">
        <v>9</v>
      </c>
      <c r="DE342">
        <v>2</v>
      </c>
      <c r="DF342">
        <v>5</v>
      </c>
      <c r="DG342">
        <v>5</v>
      </c>
      <c r="DH342">
        <v>1</v>
      </c>
      <c r="DI342">
        <v>4</v>
      </c>
      <c r="DJ342">
        <v>9</v>
      </c>
      <c r="DK342">
        <v>2</v>
      </c>
    </row>
    <row r="343" spans="1:115">
      <c r="A343" s="173">
        <f>Calculations[[#This Row],[Sum t eCO2]]*IF(Calculations[[#This Row],[GHG Scope]]="BIOGENIC",0,1)</f>
        <v>114.64255658232003</v>
      </c>
      <c r="O343">
        <f t="shared" si="5"/>
        <v>342</v>
      </c>
      <c r="P343">
        <v>0</v>
      </c>
      <c r="Q343">
        <v>1</v>
      </c>
      <c r="R343">
        <v>10</v>
      </c>
      <c r="S343">
        <v>5</v>
      </c>
      <c r="T343">
        <v>9</v>
      </c>
      <c r="U343">
        <v>9</v>
      </c>
      <c r="V343">
        <v>1</v>
      </c>
      <c r="W343">
        <v>1</v>
      </c>
      <c r="X343">
        <v>3</v>
      </c>
      <c r="Y343">
        <v>6</v>
      </c>
      <c r="Z343">
        <v>3</v>
      </c>
      <c r="AA343">
        <v>10</v>
      </c>
      <c r="AB343">
        <v>6</v>
      </c>
      <c r="AC343">
        <v>8</v>
      </c>
      <c r="AD343">
        <v>4</v>
      </c>
      <c r="AE343">
        <v>9</v>
      </c>
      <c r="AF343">
        <v>5</v>
      </c>
      <c r="AG343">
        <v>6</v>
      </c>
      <c r="AH343">
        <v>4</v>
      </c>
      <c r="AI343">
        <v>6</v>
      </c>
      <c r="AJ343">
        <v>9</v>
      </c>
      <c r="AK343">
        <v>1</v>
      </c>
      <c r="AL343">
        <v>4</v>
      </c>
      <c r="AM343">
        <v>2</v>
      </c>
      <c r="AN343">
        <v>8</v>
      </c>
      <c r="AO343">
        <v>10</v>
      </c>
      <c r="AP343">
        <v>7</v>
      </c>
      <c r="AQ343">
        <v>7</v>
      </c>
      <c r="AR343">
        <v>6</v>
      </c>
      <c r="AS343">
        <v>8</v>
      </c>
      <c r="AT343">
        <v>9</v>
      </c>
      <c r="AU343">
        <v>0</v>
      </c>
      <c r="AV343">
        <v>5</v>
      </c>
      <c r="AW343">
        <v>7</v>
      </c>
      <c r="AX343">
        <v>2</v>
      </c>
      <c r="AY343">
        <v>6</v>
      </c>
      <c r="AZ343">
        <v>0</v>
      </c>
      <c r="BA343">
        <v>5</v>
      </c>
      <c r="BB343">
        <v>6</v>
      </c>
      <c r="BC343">
        <v>4</v>
      </c>
      <c r="BD343">
        <v>10</v>
      </c>
      <c r="BE343">
        <v>7</v>
      </c>
      <c r="BF343">
        <v>3</v>
      </c>
      <c r="BG343">
        <v>7</v>
      </c>
      <c r="BH343">
        <v>8</v>
      </c>
      <c r="BI343">
        <v>5</v>
      </c>
      <c r="BJ343">
        <v>2</v>
      </c>
      <c r="BK343">
        <v>8</v>
      </c>
      <c r="BL343">
        <v>10</v>
      </c>
      <c r="BM343">
        <v>7</v>
      </c>
      <c r="BN343">
        <v>10</v>
      </c>
      <c r="BO343">
        <v>4</v>
      </c>
      <c r="BP343">
        <v>6</v>
      </c>
      <c r="BQ343">
        <v>7</v>
      </c>
      <c r="BR343">
        <v>3</v>
      </c>
      <c r="BS343">
        <v>1</v>
      </c>
      <c r="BT343">
        <v>5</v>
      </c>
      <c r="BU343">
        <v>5</v>
      </c>
      <c r="BV343">
        <v>3</v>
      </c>
      <c r="BW343">
        <v>2</v>
      </c>
      <c r="BX343">
        <v>4</v>
      </c>
      <c r="BY343">
        <v>7</v>
      </c>
      <c r="BZ343">
        <v>8</v>
      </c>
      <c r="CA343">
        <v>4</v>
      </c>
      <c r="CB343">
        <v>4</v>
      </c>
      <c r="CC343">
        <v>3</v>
      </c>
      <c r="CD343">
        <v>9</v>
      </c>
      <c r="CE343">
        <v>9</v>
      </c>
      <c r="CF343">
        <v>4</v>
      </c>
      <c r="CG343">
        <v>0</v>
      </c>
      <c r="CH343">
        <v>10</v>
      </c>
      <c r="CI343">
        <v>4</v>
      </c>
      <c r="CJ343">
        <v>4</v>
      </c>
      <c r="CK343">
        <v>5</v>
      </c>
      <c r="CL343">
        <v>8</v>
      </c>
      <c r="CM343">
        <v>0</v>
      </c>
      <c r="CN343">
        <v>7</v>
      </c>
      <c r="CO343">
        <v>7</v>
      </c>
      <c r="CP343">
        <v>1</v>
      </c>
      <c r="CQ343">
        <v>7</v>
      </c>
      <c r="CR343">
        <v>7</v>
      </c>
      <c r="CS343">
        <v>1</v>
      </c>
      <c r="CT343">
        <v>1</v>
      </c>
      <c r="CU343">
        <v>6</v>
      </c>
      <c r="CV343">
        <v>10</v>
      </c>
      <c r="CW343">
        <v>8</v>
      </c>
      <c r="CX343">
        <v>5</v>
      </c>
      <c r="CY343">
        <v>4</v>
      </c>
      <c r="CZ343">
        <v>7</v>
      </c>
      <c r="DA343">
        <v>1</v>
      </c>
      <c r="DB343">
        <v>0</v>
      </c>
      <c r="DC343">
        <v>3</v>
      </c>
      <c r="DD343">
        <v>6</v>
      </c>
      <c r="DE343">
        <v>2</v>
      </c>
      <c r="DF343">
        <v>7</v>
      </c>
      <c r="DG343">
        <v>9</v>
      </c>
      <c r="DH343">
        <v>8</v>
      </c>
      <c r="DI343">
        <v>5</v>
      </c>
      <c r="DJ343">
        <v>2</v>
      </c>
      <c r="DK343">
        <v>6</v>
      </c>
    </row>
    <row r="344" spans="1:115">
      <c r="A344" s="173">
        <f>Calculations[[#This Row],[Sum t eCO2]]*IF(Calculations[[#This Row],[GHG Scope]]="BIOGENIC",0,1)</f>
        <v>52.342419359999994</v>
      </c>
      <c r="O344">
        <f t="shared" si="5"/>
        <v>343</v>
      </c>
      <c r="P344">
        <v>1</v>
      </c>
      <c r="Q344">
        <v>7</v>
      </c>
      <c r="R344">
        <v>6</v>
      </c>
      <c r="S344">
        <v>0</v>
      </c>
      <c r="T344">
        <v>10</v>
      </c>
      <c r="U344">
        <v>5</v>
      </c>
      <c r="V344">
        <v>4</v>
      </c>
      <c r="W344">
        <v>4</v>
      </c>
      <c r="X344">
        <v>3</v>
      </c>
      <c r="Y344">
        <v>3</v>
      </c>
      <c r="Z344">
        <v>2</v>
      </c>
      <c r="AA344">
        <v>4</v>
      </c>
      <c r="AB344">
        <v>8</v>
      </c>
      <c r="AC344">
        <v>1</v>
      </c>
      <c r="AD344">
        <v>2</v>
      </c>
      <c r="AE344">
        <v>10</v>
      </c>
      <c r="AF344">
        <v>0</v>
      </c>
      <c r="AG344">
        <v>3</v>
      </c>
      <c r="AH344">
        <v>9</v>
      </c>
      <c r="AI344">
        <v>2</v>
      </c>
      <c r="AJ344">
        <v>2</v>
      </c>
      <c r="AK344">
        <v>6</v>
      </c>
      <c r="AL344">
        <v>5</v>
      </c>
      <c r="AM344">
        <v>0</v>
      </c>
      <c r="AN344">
        <v>8</v>
      </c>
      <c r="AO344">
        <v>2</v>
      </c>
      <c r="AP344">
        <v>1</v>
      </c>
      <c r="AQ344">
        <v>3</v>
      </c>
      <c r="AR344">
        <v>7</v>
      </c>
      <c r="AS344">
        <v>1</v>
      </c>
      <c r="AT344">
        <v>3</v>
      </c>
      <c r="AU344">
        <v>10</v>
      </c>
      <c r="AV344">
        <v>3</v>
      </c>
      <c r="AW344">
        <v>6</v>
      </c>
      <c r="AX344">
        <v>3</v>
      </c>
      <c r="AY344">
        <v>9</v>
      </c>
      <c r="AZ344">
        <v>9</v>
      </c>
      <c r="BA344">
        <v>7</v>
      </c>
      <c r="BB344">
        <v>2</v>
      </c>
      <c r="BC344">
        <v>6</v>
      </c>
      <c r="BD344">
        <v>8</v>
      </c>
      <c r="BE344">
        <v>7</v>
      </c>
      <c r="BF344">
        <v>9</v>
      </c>
      <c r="BG344">
        <v>8</v>
      </c>
      <c r="BH344">
        <v>8</v>
      </c>
      <c r="BI344">
        <v>6</v>
      </c>
      <c r="BJ344">
        <v>0</v>
      </c>
      <c r="BK344">
        <v>2</v>
      </c>
      <c r="BL344">
        <v>8</v>
      </c>
      <c r="BM344">
        <v>2</v>
      </c>
      <c r="BN344">
        <v>6</v>
      </c>
      <c r="BO344">
        <v>9</v>
      </c>
      <c r="BP344">
        <v>4</v>
      </c>
      <c r="BQ344">
        <v>0</v>
      </c>
      <c r="BR344">
        <v>0</v>
      </c>
      <c r="BS344">
        <v>6</v>
      </c>
      <c r="BT344">
        <v>0</v>
      </c>
      <c r="BU344">
        <v>8</v>
      </c>
      <c r="BV344">
        <v>3</v>
      </c>
      <c r="BW344">
        <v>0</v>
      </c>
      <c r="BX344">
        <v>2</v>
      </c>
      <c r="BY344">
        <v>3</v>
      </c>
      <c r="BZ344">
        <v>9</v>
      </c>
      <c r="CA344">
        <v>8</v>
      </c>
      <c r="CB344">
        <v>6</v>
      </c>
      <c r="CC344">
        <v>5</v>
      </c>
      <c r="CD344">
        <v>1</v>
      </c>
      <c r="CE344">
        <v>3</v>
      </c>
      <c r="CF344">
        <v>9</v>
      </c>
      <c r="CG344">
        <v>0</v>
      </c>
      <c r="CH344">
        <v>2</v>
      </c>
      <c r="CI344">
        <v>4</v>
      </c>
      <c r="CJ344">
        <v>8</v>
      </c>
      <c r="CK344">
        <v>2</v>
      </c>
      <c r="CL344">
        <v>0</v>
      </c>
      <c r="CM344">
        <v>7</v>
      </c>
      <c r="CN344">
        <v>8</v>
      </c>
      <c r="CO344">
        <v>6</v>
      </c>
      <c r="CP344">
        <v>7</v>
      </c>
      <c r="CQ344">
        <v>3</v>
      </c>
      <c r="CR344">
        <v>3</v>
      </c>
      <c r="CS344">
        <v>8</v>
      </c>
      <c r="CT344">
        <v>10</v>
      </c>
      <c r="CU344">
        <v>2</v>
      </c>
      <c r="CV344">
        <v>0</v>
      </c>
      <c r="CW344">
        <v>10</v>
      </c>
      <c r="CX344">
        <v>7</v>
      </c>
      <c r="CY344">
        <v>0</v>
      </c>
      <c r="CZ344">
        <v>10</v>
      </c>
      <c r="DA344">
        <v>5</v>
      </c>
      <c r="DB344">
        <v>3</v>
      </c>
      <c r="DC344">
        <v>6</v>
      </c>
      <c r="DD344">
        <v>2</v>
      </c>
      <c r="DE344">
        <v>1</v>
      </c>
      <c r="DF344">
        <v>10</v>
      </c>
      <c r="DG344">
        <v>5</v>
      </c>
      <c r="DH344">
        <v>3</v>
      </c>
      <c r="DI344">
        <v>7</v>
      </c>
      <c r="DJ344">
        <v>8</v>
      </c>
      <c r="DK344">
        <v>6</v>
      </c>
    </row>
    <row r="345" spans="1:115">
      <c r="A345" s="173">
        <f>Calculations[[#This Row],[Sum t eCO2]]*IF(Calculations[[#This Row],[GHG Scope]]="BIOGENIC",0,1)</f>
        <v>8.14871729529</v>
      </c>
      <c r="O345">
        <f t="shared" si="5"/>
        <v>344</v>
      </c>
      <c r="P345">
        <v>0</v>
      </c>
      <c r="Q345">
        <v>7</v>
      </c>
      <c r="R345">
        <v>8</v>
      </c>
      <c r="S345">
        <v>2</v>
      </c>
      <c r="T345">
        <v>3</v>
      </c>
      <c r="U345">
        <v>5</v>
      </c>
      <c r="V345">
        <v>3</v>
      </c>
      <c r="W345">
        <v>0</v>
      </c>
      <c r="X345">
        <v>2</v>
      </c>
      <c r="Y345">
        <v>0</v>
      </c>
      <c r="Z345">
        <v>0</v>
      </c>
      <c r="AA345">
        <v>3</v>
      </c>
      <c r="AB345">
        <v>3</v>
      </c>
      <c r="AC345">
        <v>9</v>
      </c>
      <c r="AD345">
        <v>8</v>
      </c>
      <c r="AE345">
        <v>8</v>
      </c>
      <c r="AF345">
        <v>0</v>
      </c>
      <c r="AG345">
        <v>7</v>
      </c>
      <c r="AH345">
        <v>6</v>
      </c>
      <c r="AI345">
        <v>4</v>
      </c>
      <c r="AJ345">
        <v>9</v>
      </c>
      <c r="AK345">
        <v>8</v>
      </c>
      <c r="AL345">
        <v>6</v>
      </c>
      <c r="AM345">
        <v>4</v>
      </c>
      <c r="AN345">
        <v>10</v>
      </c>
      <c r="AO345">
        <v>3</v>
      </c>
      <c r="AP345">
        <v>8</v>
      </c>
      <c r="AQ345">
        <v>3</v>
      </c>
      <c r="AR345">
        <v>7</v>
      </c>
      <c r="AS345">
        <v>6</v>
      </c>
      <c r="AT345">
        <v>1</v>
      </c>
      <c r="AU345">
        <v>9</v>
      </c>
      <c r="AV345">
        <v>2</v>
      </c>
      <c r="AW345">
        <v>2</v>
      </c>
      <c r="AX345">
        <v>2</v>
      </c>
      <c r="AY345">
        <v>0</v>
      </c>
      <c r="AZ345">
        <v>4</v>
      </c>
      <c r="BA345">
        <v>5</v>
      </c>
      <c r="BB345">
        <v>4</v>
      </c>
      <c r="BC345">
        <v>0</v>
      </c>
      <c r="BD345">
        <v>3</v>
      </c>
      <c r="BE345">
        <v>6</v>
      </c>
      <c r="BF345">
        <v>7</v>
      </c>
      <c r="BG345">
        <v>2</v>
      </c>
      <c r="BH345">
        <v>10</v>
      </c>
      <c r="BI345">
        <v>3</v>
      </c>
      <c r="BJ345">
        <v>6</v>
      </c>
      <c r="BK345">
        <v>7</v>
      </c>
      <c r="BL345">
        <v>3</v>
      </c>
      <c r="BM345">
        <v>9</v>
      </c>
      <c r="BN345">
        <v>4</v>
      </c>
      <c r="BO345">
        <v>9</v>
      </c>
      <c r="BP345">
        <v>9</v>
      </c>
      <c r="BQ345">
        <v>4</v>
      </c>
      <c r="BR345">
        <v>1</v>
      </c>
      <c r="BS345">
        <v>6</v>
      </c>
      <c r="BT345">
        <v>7</v>
      </c>
      <c r="BU345">
        <v>0</v>
      </c>
      <c r="BV345">
        <v>5</v>
      </c>
      <c r="BW345">
        <v>9</v>
      </c>
      <c r="BX345">
        <v>10</v>
      </c>
      <c r="BY345">
        <v>2</v>
      </c>
      <c r="BZ345">
        <v>10</v>
      </c>
      <c r="CA345">
        <v>5</v>
      </c>
      <c r="CB345">
        <v>10</v>
      </c>
      <c r="CC345">
        <v>3</v>
      </c>
      <c r="CD345">
        <v>4</v>
      </c>
      <c r="CE345">
        <v>8</v>
      </c>
      <c r="CF345">
        <v>1</v>
      </c>
      <c r="CG345">
        <v>6</v>
      </c>
      <c r="CH345">
        <v>8</v>
      </c>
      <c r="CI345">
        <v>9</v>
      </c>
      <c r="CJ345">
        <v>10</v>
      </c>
      <c r="CK345">
        <v>7</v>
      </c>
      <c r="CL345">
        <v>9</v>
      </c>
      <c r="CM345">
        <v>7</v>
      </c>
      <c r="CN345">
        <v>5</v>
      </c>
      <c r="CO345">
        <v>0</v>
      </c>
      <c r="CP345">
        <v>2</v>
      </c>
      <c r="CQ345">
        <v>9</v>
      </c>
      <c r="CR345">
        <v>2</v>
      </c>
      <c r="CS345">
        <v>1</v>
      </c>
      <c r="CT345">
        <v>10</v>
      </c>
      <c r="CU345">
        <v>0</v>
      </c>
      <c r="CV345">
        <v>0</v>
      </c>
      <c r="CW345">
        <v>1</v>
      </c>
      <c r="CX345">
        <v>8</v>
      </c>
      <c r="CY345">
        <v>3</v>
      </c>
      <c r="CZ345">
        <v>2</v>
      </c>
      <c r="DA345">
        <v>3</v>
      </c>
      <c r="DB345">
        <v>9</v>
      </c>
      <c r="DC345">
        <v>5</v>
      </c>
      <c r="DD345">
        <v>1</v>
      </c>
      <c r="DE345">
        <v>3</v>
      </c>
      <c r="DF345">
        <v>7</v>
      </c>
      <c r="DG345">
        <v>0</v>
      </c>
      <c r="DH345">
        <v>1</v>
      </c>
      <c r="DI345">
        <v>0</v>
      </c>
      <c r="DJ345">
        <v>4</v>
      </c>
      <c r="DK345">
        <v>9</v>
      </c>
    </row>
    <row r="346" spans="1:115">
      <c r="A346" s="173">
        <f>Calculations[[#This Row],[Sum t eCO2]]*IF(Calculations[[#This Row],[GHG Scope]]="BIOGENIC",0,1)</f>
        <v>16.781742954423997</v>
      </c>
      <c r="O346">
        <f t="shared" si="5"/>
        <v>345</v>
      </c>
      <c r="P346">
        <v>3</v>
      </c>
      <c r="Q346">
        <v>8</v>
      </c>
      <c r="R346">
        <v>1</v>
      </c>
      <c r="S346">
        <v>0</v>
      </c>
      <c r="T346">
        <v>10</v>
      </c>
      <c r="U346">
        <v>6</v>
      </c>
      <c r="V346">
        <v>4</v>
      </c>
      <c r="W346">
        <v>0</v>
      </c>
      <c r="X346">
        <v>1</v>
      </c>
      <c r="Y346">
        <v>3</v>
      </c>
      <c r="Z346">
        <v>7</v>
      </c>
      <c r="AA346">
        <v>8</v>
      </c>
      <c r="AB346">
        <v>8</v>
      </c>
      <c r="AC346">
        <v>2</v>
      </c>
      <c r="AD346">
        <v>8</v>
      </c>
      <c r="AE346">
        <v>1</v>
      </c>
      <c r="AF346">
        <v>10</v>
      </c>
      <c r="AG346">
        <v>8</v>
      </c>
      <c r="AH346">
        <v>4</v>
      </c>
      <c r="AI346">
        <v>3</v>
      </c>
      <c r="AJ346">
        <v>7</v>
      </c>
      <c r="AK346">
        <v>7</v>
      </c>
      <c r="AL346">
        <v>8</v>
      </c>
      <c r="AM346">
        <v>6</v>
      </c>
      <c r="AN346">
        <v>7</v>
      </c>
      <c r="AO346">
        <v>6</v>
      </c>
      <c r="AP346">
        <v>6</v>
      </c>
      <c r="AQ346">
        <v>0</v>
      </c>
      <c r="AR346">
        <v>1</v>
      </c>
      <c r="AS346">
        <v>10</v>
      </c>
      <c r="AT346">
        <v>2</v>
      </c>
      <c r="AU346">
        <v>2</v>
      </c>
      <c r="AV346">
        <v>8</v>
      </c>
      <c r="AW346">
        <v>8</v>
      </c>
      <c r="AX346">
        <v>9</v>
      </c>
      <c r="AY346">
        <v>1</v>
      </c>
      <c r="AZ346">
        <v>2</v>
      </c>
      <c r="BA346">
        <v>9</v>
      </c>
      <c r="BB346">
        <v>4</v>
      </c>
      <c r="BC346">
        <v>4</v>
      </c>
      <c r="BD346">
        <v>8</v>
      </c>
      <c r="BE346">
        <v>7</v>
      </c>
      <c r="BF346">
        <v>9</v>
      </c>
      <c r="BG346">
        <v>6</v>
      </c>
      <c r="BH346">
        <v>5</v>
      </c>
      <c r="BI346">
        <v>0</v>
      </c>
      <c r="BJ346">
        <v>1</v>
      </c>
      <c r="BK346">
        <v>10</v>
      </c>
      <c r="BL346">
        <v>5</v>
      </c>
      <c r="BM346">
        <v>9</v>
      </c>
      <c r="BN346">
        <v>2</v>
      </c>
      <c r="BO346">
        <v>3</v>
      </c>
      <c r="BP346">
        <v>1</v>
      </c>
      <c r="BQ346">
        <v>8</v>
      </c>
      <c r="BR346">
        <v>0</v>
      </c>
      <c r="BS346">
        <v>0</v>
      </c>
      <c r="BT346">
        <v>7</v>
      </c>
      <c r="BU346">
        <v>5</v>
      </c>
      <c r="BV346">
        <v>0</v>
      </c>
      <c r="BW346">
        <v>9</v>
      </c>
      <c r="BX346">
        <v>6</v>
      </c>
      <c r="BY346">
        <v>6</v>
      </c>
      <c r="BZ346">
        <v>6</v>
      </c>
      <c r="CA346">
        <v>9</v>
      </c>
      <c r="CB346">
        <v>5</v>
      </c>
      <c r="CC346">
        <v>0</v>
      </c>
      <c r="CD346">
        <v>5</v>
      </c>
      <c r="CE346">
        <v>10</v>
      </c>
      <c r="CF346">
        <v>8</v>
      </c>
      <c r="CG346">
        <v>1</v>
      </c>
      <c r="CH346">
        <v>6</v>
      </c>
      <c r="CI346">
        <v>7</v>
      </c>
      <c r="CJ346">
        <v>10</v>
      </c>
      <c r="CK346">
        <v>10</v>
      </c>
      <c r="CL346">
        <v>10</v>
      </c>
      <c r="CM346">
        <v>8</v>
      </c>
      <c r="CN346">
        <v>7</v>
      </c>
      <c r="CO346">
        <v>4</v>
      </c>
      <c r="CP346">
        <v>1</v>
      </c>
      <c r="CQ346">
        <v>1</v>
      </c>
      <c r="CR346">
        <v>3</v>
      </c>
      <c r="CS346">
        <v>2</v>
      </c>
      <c r="CT346">
        <v>8</v>
      </c>
      <c r="CU346">
        <v>8</v>
      </c>
      <c r="CV346">
        <v>10</v>
      </c>
      <c r="CW346">
        <v>8</v>
      </c>
      <c r="CX346">
        <v>10</v>
      </c>
      <c r="CY346">
        <v>1</v>
      </c>
      <c r="CZ346">
        <v>5</v>
      </c>
      <c r="DA346">
        <v>10</v>
      </c>
      <c r="DB346">
        <v>7</v>
      </c>
      <c r="DC346">
        <v>2</v>
      </c>
      <c r="DD346">
        <v>4</v>
      </c>
      <c r="DE346">
        <v>8</v>
      </c>
      <c r="DF346">
        <v>7</v>
      </c>
      <c r="DG346">
        <v>1</v>
      </c>
      <c r="DH346">
        <v>6</v>
      </c>
      <c r="DI346">
        <v>9</v>
      </c>
      <c r="DJ346">
        <v>0</v>
      </c>
      <c r="DK346">
        <v>2</v>
      </c>
    </row>
    <row r="347" spans="1:115">
      <c r="A347" s="173">
        <f>Calculations[[#This Row],[Sum t eCO2]]*IF(Calculations[[#This Row],[GHG Scope]]="BIOGENIC",0,1)</f>
        <v>2.6681674114200002</v>
      </c>
      <c r="O347">
        <f t="shared" si="5"/>
        <v>346</v>
      </c>
      <c r="P347">
        <v>0</v>
      </c>
      <c r="Q347">
        <v>9</v>
      </c>
      <c r="R347">
        <v>7</v>
      </c>
      <c r="S347">
        <v>2</v>
      </c>
      <c r="T347">
        <v>2</v>
      </c>
      <c r="U347">
        <v>3</v>
      </c>
      <c r="V347">
        <v>8</v>
      </c>
      <c r="W347">
        <v>10</v>
      </c>
      <c r="X347">
        <v>1</v>
      </c>
      <c r="Y347">
        <v>10</v>
      </c>
      <c r="Z347">
        <v>9</v>
      </c>
      <c r="AA347">
        <v>4</v>
      </c>
      <c r="AB347">
        <v>10</v>
      </c>
      <c r="AC347">
        <v>2</v>
      </c>
      <c r="AD347">
        <v>5</v>
      </c>
      <c r="AE347">
        <v>4</v>
      </c>
      <c r="AF347">
        <v>6</v>
      </c>
      <c r="AG347">
        <v>6</v>
      </c>
      <c r="AH347">
        <v>7</v>
      </c>
      <c r="AI347">
        <v>4</v>
      </c>
      <c r="AJ347">
        <v>8</v>
      </c>
      <c r="AK347">
        <v>8</v>
      </c>
      <c r="AL347">
        <v>10</v>
      </c>
      <c r="AM347">
        <v>4</v>
      </c>
      <c r="AN347">
        <v>1</v>
      </c>
      <c r="AO347">
        <v>4</v>
      </c>
      <c r="AP347">
        <v>5</v>
      </c>
      <c r="AQ347">
        <v>0</v>
      </c>
      <c r="AR347">
        <v>9</v>
      </c>
      <c r="AS347">
        <v>3</v>
      </c>
      <c r="AT347">
        <v>10</v>
      </c>
      <c r="AU347">
        <v>6</v>
      </c>
      <c r="AV347">
        <v>3</v>
      </c>
      <c r="AW347">
        <v>5</v>
      </c>
      <c r="AX347">
        <v>1</v>
      </c>
      <c r="AY347">
        <v>3</v>
      </c>
      <c r="AZ347">
        <v>0</v>
      </c>
      <c r="BA347">
        <v>0</v>
      </c>
      <c r="BB347">
        <v>5</v>
      </c>
      <c r="BC347">
        <v>1</v>
      </c>
      <c r="BD347">
        <v>9</v>
      </c>
      <c r="BE347">
        <v>10</v>
      </c>
      <c r="BF347">
        <v>7</v>
      </c>
      <c r="BG347">
        <v>1</v>
      </c>
      <c r="BH347">
        <v>3</v>
      </c>
      <c r="BI347">
        <v>10</v>
      </c>
      <c r="BJ347">
        <v>0</v>
      </c>
      <c r="BK347">
        <v>6</v>
      </c>
      <c r="BL347">
        <v>6</v>
      </c>
      <c r="BM347">
        <v>5</v>
      </c>
      <c r="BN347">
        <v>5</v>
      </c>
      <c r="BO347">
        <v>0</v>
      </c>
      <c r="BP347">
        <v>8</v>
      </c>
      <c r="BQ347">
        <v>2</v>
      </c>
      <c r="BR347">
        <v>9</v>
      </c>
      <c r="BS347">
        <v>0</v>
      </c>
      <c r="BT347">
        <v>5</v>
      </c>
      <c r="BU347">
        <v>3</v>
      </c>
      <c r="BV347">
        <v>2</v>
      </c>
      <c r="BW347">
        <v>7</v>
      </c>
      <c r="BX347">
        <v>1</v>
      </c>
      <c r="BY347">
        <v>1</v>
      </c>
      <c r="BZ347">
        <v>3</v>
      </c>
      <c r="CA347">
        <v>6</v>
      </c>
      <c r="CB347">
        <v>7</v>
      </c>
      <c r="CC347">
        <v>2</v>
      </c>
      <c r="CD347">
        <v>6</v>
      </c>
      <c r="CE347">
        <v>6</v>
      </c>
      <c r="CF347">
        <v>2</v>
      </c>
      <c r="CG347">
        <v>0</v>
      </c>
      <c r="CH347">
        <v>0</v>
      </c>
      <c r="CI347">
        <v>0</v>
      </c>
      <c r="CJ347">
        <v>6</v>
      </c>
      <c r="CK347">
        <v>9</v>
      </c>
      <c r="CL347">
        <v>3</v>
      </c>
      <c r="CM347">
        <v>0</v>
      </c>
      <c r="CN347">
        <v>3</v>
      </c>
      <c r="CO347">
        <v>6</v>
      </c>
      <c r="CP347">
        <v>0</v>
      </c>
      <c r="CQ347">
        <v>0</v>
      </c>
      <c r="CR347">
        <v>3</v>
      </c>
      <c r="CS347">
        <v>5</v>
      </c>
      <c r="CT347">
        <v>7</v>
      </c>
      <c r="CU347">
        <v>7</v>
      </c>
      <c r="CV347">
        <v>9</v>
      </c>
      <c r="CW347">
        <v>7</v>
      </c>
      <c r="CX347">
        <v>1</v>
      </c>
      <c r="CY347">
        <v>7</v>
      </c>
      <c r="CZ347">
        <v>8</v>
      </c>
      <c r="DA347">
        <v>1</v>
      </c>
      <c r="DB347">
        <v>5</v>
      </c>
      <c r="DC347">
        <v>1</v>
      </c>
      <c r="DD347">
        <v>9</v>
      </c>
      <c r="DE347">
        <v>0</v>
      </c>
      <c r="DF347">
        <v>2</v>
      </c>
      <c r="DG347">
        <v>10</v>
      </c>
      <c r="DH347">
        <v>9</v>
      </c>
      <c r="DI347">
        <v>7</v>
      </c>
      <c r="DJ347">
        <v>0</v>
      </c>
      <c r="DK347">
        <v>7</v>
      </c>
    </row>
    <row r="348" spans="1:115">
      <c r="A348" s="173">
        <f>Calculations[[#This Row],[Sum t eCO2]]*IF(Calculations[[#This Row],[GHG Scope]]="BIOGENIC",0,1)</f>
        <v>7.310938793</v>
      </c>
      <c r="O348">
        <f t="shared" si="5"/>
        <v>347</v>
      </c>
      <c r="P348">
        <v>4</v>
      </c>
      <c r="Q348">
        <v>10</v>
      </c>
      <c r="R348">
        <v>0</v>
      </c>
      <c r="S348">
        <v>7</v>
      </c>
      <c r="T348">
        <v>7</v>
      </c>
      <c r="U348">
        <v>7</v>
      </c>
      <c r="V348">
        <v>9</v>
      </c>
      <c r="W348">
        <v>9</v>
      </c>
      <c r="X348">
        <v>8</v>
      </c>
      <c r="Y348">
        <v>6</v>
      </c>
      <c r="Z348">
        <v>10</v>
      </c>
      <c r="AA348">
        <v>2</v>
      </c>
      <c r="AB348">
        <v>5</v>
      </c>
      <c r="AC348">
        <v>9</v>
      </c>
      <c r="AD348">
        <v>5</v>
      </c>
      <c r="AE348">
        <v>10</v>
      </c>
      <c r="AF348">
        <v>10</v>
      </c>
      <c r="AG348">
        <v>5</v>
      </c>
      <c r="AH348">
        <v>4</v>
      </c>
      <c r="AI348">
        <v>2</v>
      </c>
      <c r="AJ348">
        <v>10</v>
      </c>
      <c r="AK348">
        <v>9</v>
      </c>
      <c r="AL348">
        <v>9</v>
      </c>
      <c r="AM348">
        <v>3</v>
      </c>
      <c r="AN348">
        <v>0</v>
      </c>
      <c r="AO348">
        <v>6</v>
      </c>
      <c r="AP348">
        <v>5</v>
      </c>
      <c r="AQ348">
        <v>7</v>
      </c>
      <c r="AR348">
        <v>10</v>
      </c>
      <c r="AS348">
        <v>2</v>
      </c>
      <c r="AT348">
        <v>8</v>
      </c>
      <c r="AU348">
        <v>2</v>
      </c>
      <c r="AV348">
        <v>8</v>
      </c>
      <c r="AW348">
        <v>5</v>
      </c>
      <c r="AX348">
        <v>6</v>
      </c>
      <c r="AY348">
        <v>8</v>
      </c>
      <c r="AZ348">
        <v>4</v>
      </c>
      <c r="BA348">
        <v>0</v>
      </c>
      <c r="BB348">
        <v>6</v>
      </c>
      <c r="BC348">
        <v>8</v>
      </c>
      <c r="BD348">
        <v>3</v>
      </c>
      <c r="BE348">
        <v>9</v>
      </c>
      <c r="BF348">
        <v>8</v>
      </c>
      <c r="BG348">
        <v>3</v>
      </c>
      <c r="BH348">
        <v>10</v>
      </c>
      <c r="BI348">
        <v>5</v>
      </c>
      <c r="BJ348">
        <v>0</v>
      </c>
      <c r="BK348">
        <v>9</v>
      </c>
      <c r="BL348">
        <v>6</v>
      </c>
      <c r="BM348">
        <v>2</v>
      </c>
      <c r="BN348">
        <v>10</v>
      </c>
      <c r="BO348">
        <v>2</v>
      </c>
      <c r="BP348">
        <v>7</v>
      </c>
      <c r="BQ348">
        <v>0</v>
      </c>
      <c r="BR348">
        <v>6</v>
      </c>
      <c r="BS348">
        <v>8</v>
      </c>
      <c r="BT348">
        <v>10</v>
      </c>
      <c r="BU348">
        <v>7</v>
      </c>
      <c r="BV348">
        <v>0</v>
      </c>
      <c r="BW348">
        <v>6</v>
      </c>
      <c r="BX348">
        <v>7</v>
      </c>
      <c r="BY348">
        <v>7</v>
      </c>
      <c r="BZ348">
        <v>8</v>
      </c>
      <c r="CA348">
        <v>7</v>
      </c>
      <c r="CB348">
        <v>6</v>
      </c>
      <c r="CC348">
        <v>5</v>
      </c>
      <c r="CD348">
        <v>8</v>
      </c>
      <c r="CE348">
        <v>2</v>
      </c>
      <c r="CF348">
        <v>7</v>
      </c>
      <c r="CG348">
        <v>1</v>
      </c>
      <c r="CH348">
        <v>1</v>
      </c>
      <c r="CI348">
        <v>8</v>
      </c>
      <c r="CJ348">
        <v>5</v>
      </c>
      <c r="CK348">
        <v>5</v>
      </c>
      <c r="CL348">
        <v>10</v>
      </c>
      <c r="CM348">
        <v>5</v>
      </c>
      <c r="CN348">
        <v>3</v>
      </c>
      <c r="CO348">
        <v>5</v>
      </c>
      <c r="CP348">
        <v>2</v>
      </c>
      <c r="CQ348">
        <v>5</v>
      </c>
      <c r="CR348">
        <v>0</v>
      </c>
      <c r="CS348">
        <v>6</v>
      </c>
      <c r="CT348">
        <v>0</v>
      </c>
      <c r="CU348">
        <v>6</v>
      </c>
      <c r="CV348">
        <v>1</v>
      </c>
      <c r="CW348">
        <v>3</v>
      </c>
      <c r="CX348">
        <v>7</v>
      </c>
      <c r="CY348">
        <v>4</v>
      </c>
      <c r="CZ348">
        <v>9</v>
      </c>
      <c r="DA348">
        <v>2</v>
      </c>
      <c r="DB348">
        <v>4</v>
      </c>
      <c r="DC348">
        <v>4</v>
      </c>
      <c r="DD348">
        <v>2</v>
      </c>
      <c r="DE348">
        <v>9</v>
      </c>
      <c r="DF348">
        <v>2</v>
      </c>
      <c r="DG348">
        <v>1</v>
      </c>
      <c r="DH348">
        <v>2</v>
      </c>
      <c r="DI348">
        <v>6</v>
      </c>
      <c r="DJ348">
        <v>8</v>
      </c>
      <c r="DK348">
        <v>1</v>
      </c>
    </row>
    <row r="349" spans="1:115">
      <c r="A349" s="173">
        <f>Calculations[[#This Row],[Sum t eCO2]]*IF(Calculations[[#This Row],[GHG Scope]]="BIOGENIC",0,1)</f>
        <v>3.2503625000000005</v>
      </c>
      <c r="O349">
        <f t="shared" si="5"/>
        <v>348</v>
      </c>
      <c r="P349">
        <v>1</v>
      </c>
      <c r="Q349">
        <v>0</v>
      </c>
      <c r="R349">
        <v>8</v>
      </c>
      <c r="S349">
        <v>0</v>
      </c>
      <c r="T349">
        <v>9</v>
      </c>
      <c r="U349">
        <v>0</v>
      </c>
      <c r="V349">
        <v>7</v>
      </c>
      <c r="W349">
        <v>8</v>
      </c>
      <c r="X349">
        <v>9</v>
      </c>
      <c r="Y349">
        <v>7</v>
      </c>
      <c r="Z349">
        <v>7</v>
      </c>
      <c r="AA349">
        <v>9</v>
      </c>
      <c r="AB349">
        <v>9</v>
      </c>
      <c r="AC349">
        <v>6</v>
      </c>
      <c r="AD349">
        <v>7</v>
      </c>
      <c r="AE349">
        <v>1</v>
      </c>
      <c r="AF349">
        <v>1</v>
      </c>
      <c r="AG349">
        <v>6</v>
      </c>
      <c r="AH349">
        <v>10</v>
      </c>
      <c r="AI349">
        <v>6</v>
      </c>
      <c r="AJ349">
        <v>4</v>
      </c>
      <c r="AK349">
        <v>10</v>
      </c>
      <c r="AL349">
        <v>4</v>
      </c>
      <c r="AM349">
        <v>0</v>
      </c>
      <c r="AN349">
        <v>8</v>
      </c>
      <c r="AO349">
        <v>7</v>
      </c>
      <c r="AP349">
        <v>5</v>
      </c>
      <c r="AQ349">
        <v>8</v>
      </c>
      <c r="AR349">
        <v>5</v>
      </c>
      <c r="AS349">
        <v>9</v>
      </c>
      <c r="AT349">
        <v>10</v>
      </c>
      <c r="AU349">
        <v>7</v>
      </c>
      <c r="AV349">
        <v>4</v>
      </c>
      <c r="AW349">
        <v>3</v>
      </c>
      <c r="AX349">
        <v>5</v>
      </c>
      <c r="AY349">
        <v>0</v>
      </c>
      <c r="AZ349">
        <v>7</v>
      </c>
      <c r="BA349">
        <v>6</v>
      </c>
      <c r="BB349">
        <v>7</v>
      </c>
      <c r="BC349">
        <v>3</v>
      </c>
      <c r="BD349">
        <v>10</v>
      </c>
      <c r="BE349">
        <v>1</v>
      </c>
      <c r="BF349">
        <v>4</v>
      </c>
      <c r="BG349">
        <v>0</v>
      </c>
      <c r="BH349">
        <v>8</v>
      </c>
      <c r="BI349">
        <v>2</v>
      </c>
      <c r="BJ349">
        <v>4</v>
      </c>
      <c r="BK349">
        <v>10</v>
      </c>
      <c r="BL349">
        <v>10</v>
      </c>
      <c r="BM349">
        <v>3</v>
      </c>
      <c r="BN349">
        <v>0</v>
      </c>
      <c r="BO349">
        <v>6</v>
      </c>
      <c r="BP349">
        <v>6</v>
      </c>
      <c r="BQ349">
        <v>9</v>
      </c>
      <c r="BR349">
        <v>0</v>
      </c>
      <c r="BS349">
        <v>3</v>
      </c>
      <c r="BT349">
        <v>9</v>
      </c>
      <c r="BU349">
        <v>7</v>
      </c>
      <c r="BV349">
        <v>9</v>
      </c>
      <c r="BW349">
        <v>10</v>
      </c>
      <c r="BX349">
        <v>4</v>
      </c>
      <c r="BY349">
        <v>7</v>
      </c>
      <c r="BZ349">
        <v>5</v>
      </c>
      <c r="CA349">
        <v>2</v>
      </c>
      <c r="CB349">
        <v>5</v>
      </c>
      <c r="CC349">
        <v>2</v>
      </c>
      <c r="CD349">
        <v>2</v>
      </c>
      <c r="CE349">
        <v>5</v>
      </c>
      <c r="CF349">
        <v>7</v>
      </c>
      <c r="CG349">
        <v>1</v>
      </c>
      <c r="CH349">
        <v>9</v>
      </c>
      <c r="CI349">
        <v>2</v>
      </c>
      <c r="CJ349">
        <v>7</v>
      </c>
      <c r="CK349">
        <v>5</v>
      </c>
      <c r="CL349">
        <v>1</v>
      </c>
      <c r="CM349">
        <v>7</v>
      </c>
      <c r="CN349">
        <v>5</v>
      </c>
      <c r="CO349">
        <v>4</v>
      </c>
      <c r="CP349">
        <v>5</v>
      </c>
      <c r="CQ349">
        <v>1</v>
      </c>
      <c r="CR349">
        <v>5</v>
      </c>
      <c r="CS349">
        <v>4</v>
      </c>
      <c r="CT349">
        <v>9</v>
      </c>
      <c r="CU349">
        <v>3</v>
      </c>
      <c r="CV349">
        <v>4</v>
      </c>
      <c r="CW349">
        <v>6</v>
      </c>
      <c r="CX349">
        <v>7</v>
      </c>
      <c r="CY349">
        <v>9</v>
      </c>
      <c r="CZ349">
        <v>8</v>
      </c>
      <c r="DA349">
        <v>6</v>
      </c>
      <c r="DB349">
        <v>3</v>
      </c>
      <c r="DC349">
        <v>5</v>
      </c>
      <c r="DD349">
        <v>9</v>
      </c>
      <c r="DE349">
        <v>5</v>
      </c>
      <c r="DF349">
        <v>2</v>
      </c>
      <c r="DG349">
        <v>1</v>
      </c>
      <c r="DH349">
        <v>9</v>
      </c>
      <c r="DI349">
        <v>2</v>
      </c>
      <c r="DJ349">
        <v>2</v>
      </c>
      <c r="DK349">
        <v>8</v>
      </c>
    </row>
    <row r="350" spans="1:115">
      <c r="A350" s="173">
        <f>Calculations[[#This Row],[Sum t eCO2]]*IF(Calculations[[#This Row],[GHG Scope]]="BIOGENIC",0,1)</f>
        <v>4.1321251483200001</v>
      </c>
      <c r="O350">
        <f t="shared" si="5"/>
        <v>349</v>
      </c>
      <c r="P350">
        <v>4</v>
      </c>
      <c r="Q350">
        <v>6</v>
      </c>
      <c r="R350">
        <v>10</v>
      </c>
      <c r="S350">
        <v>7</v>
      </c>
      <c r="T350">
        <v>5</v>
      </c>
      <c r="U350">
        <v>7</v>
      </c>
      <c r="V350">
        <v>6</v>
      </c>
      <c r="W350">
        <v>3</v>
      </c>
      <c r="X350">
        <v>7</v>
      </c>
      <c r="Y350">
        <v>8</v>
      </c>
      <c r="Z350">
        <v>7</v>
      </c>
      <c r="AA350">
        <v>4</v>
      </c>
      <c r="AB350">
        <v>0</v>
      </c>
      <c r="AC350">
        <v>3</v>
      </c>
      <c r="AD350">
        <v>1</v>
      </c>
      <c r="AE350">
        <v>6</v>
      </c>
      <c r="AF350">
        <v>1</v>
      </c>
      <c r="AG350">
        <v>6</v>
      </c>
      <c r="AH350">
        <v>7</v>
      </c>
      <c r="AI350">
        <v>5</v>
      </c>
      <c r="AJ350">
        <v>6</v>
      </c>
      <c r="AK350">
        <v>1</v>
      </c>
      <c r="AL350">
        <v>8</v>
      </c>
      <c r="AM350">
        <v>4</v>
      </c>
      <c r="AN350">
        <v>9</v>
      </c>
      <c r="AO350">
        <v>5</v>
      </c>
      <c r="AP350">
        <v>4</v>
      </c>
      <c r="AQ350">
        <v>3</v>
      </c>
      <c r="AR350">
        <v>8</v>
      </c>
      <c r="AS350">
        <v>8</v>
      </c>
      <c r="AT350">
        <v>10</v>
      </c>
      <c r="AU350">
        <v>3</v>
      </c>
      <c r="AV350">
        <v>9</v>
      </c>
      <c r="AW350">
        <v>9</v>
      </c>
      <c r="AX350">
        <v>3</v>
      </c>
      <c r="AY350">
        <v>3</v>
      </c>
      <c r="AZ350">
        <v>1</v>
      </c>
      <c r="BA350">
        <v>4</v>
      </c>
      <c r="BB350">
        <v>4</v>
      </c>
      <c r="BC350">
        <v>3</v>
      </c>
      <c r="BD350">
        <v>7</v>
      </c>
      <c r="BE350">
        <v>7</v>
      </c>
      <c r="BF350">
        <v>3</v>
      </c>
      <c r="BG350">
        <v>7</v>
      </c>
      <c r="BH350">
        <v>4</v>
      </c>
      <c r="BI350">
        <v>10</v>
      </c>
      <c r="BJ350">
        <v>6</v>
      </c>
      <c r="BK350">
        <v>7</v>
      </c>
      <c r="BL350">
        <v>6</v>
      </c>
      <c r="BM350">
        <v>3</v>
      </c>
      <c r="BN350">
        <v>6</v>
      </c>
      <c r="BO350">
        <v>8</v>
      </c>
      <c r="BP350">
        <v>1</v>
      </c>
      <c r="BQ350">
        <v>7</v>
      </c>
      <c r="BR350">
        <v>1</v>
      </c>
      <c r="BS350">
        <v>5</v>
      </c>
      <c r="BT350">
        <v>9</v>
      </c>
      <c r="BU350">
        <v>0</v>
      </c>
      <c r="BV350">
        <v>4</v>
      </c>
      <c r="BW350">
        <v>8</v>
      </c>
      <c r="BX350">
        <v>8</v>
      </c>
      <c r="BY350">
        <v>9</v>
      </c>
      <c r="BZ350">
        <v>9</v>
      </c>
      <c r="CA350">
        <v>4</v>
      </c>
      <c r="CB350">
        <v>8</v>
      </c>
      <c r="CC350">
        <v>0</v>
      </c>
      <c r="CD350">
        <v>5</v>
      </c>
      <c r="CE350">
        <v>0</v>
      </c>
      <c r="CF350">
        <v>1</v>
      </c>
      <c r="CG350">
        <v>6</v>
      </c>
      <c r="CH350">
        <v>0</v>
      </c>
      <c r="CI350">
        <v>3</v>
      </c>
      <c r="CJ350">
        <v>4</v>
      </c>
      <c r="CK350">
        <v>1</v>
      </c>
      <c r="CL350">
        <v>2</v>
      </c>
      <c r="CM350">
        <v>1</v>
      </c>
      <c r="CN350">
        <v>1</v>
      </c>
      <c r="CO350">
        <v>5</v>
      </c>
      <c r="CP350">
        <v>5</v>
      </c>
      <c r="CQ350">
        <v>6</v>
      </c>
      <c r="CR350">
        <v>7</v>
      </c>
      <c r="CS350">
        <v>6</v>
      </c>
      <c r="CT350">
        <v>4</v>
      </c>
      <c r="CU350">
        <v>9</v>
      </c>
      <c r="CV350">
        <v>4</v>
      </c>
      <c r="CW350">
        <v>6</v>
      </c>
      <c r="CX350">
        <v>4</v>
      </c>
      <c r="CY350">
        <v>0</v>
      </c>
      <c r="CZ350">
        <v>7</v>
      </c>
      <c r="DA350">
        <v>3</v>
      </c>
      <c r="DB350">
        <v>1</v>
      </c>
      <c r="DC350">
        <v>9</v>
      </c>
      <c r="DD350">
        <v>1</v>
      </c>
      <c r="DE350">
        <v>4</v>
      </c>
      <c r="DF350">
        <v>4</v>
      </c>
      <c r="DG350">
        <v>7</v>
      </c>
      <c r="DH350">
        <v>6</v>
      </c>
      <c r="DI350">
        <v>0</v>
      </c>
      <c r="DJ350">
        <v>0</v>
      </c>
      <c r="DK350">
        <v>7</v>
      </c>
    </row>
    <row r="351" spans="1:115">
      <c r="A351" s="173">
        <f>Calculations[[#This Row],[Sum t eCO2]]*IF(Calculations[[#This Row],[GHG Scope]]="BIOGENIC",0,1)</f>
        <v>4.0035264281999989</v>
      </c>
      <c r="O351">
        <f t="shared" si="5"/>
        <v>350</v>
      </c>
      <c r="P351">
        <v>10</v>
      </c>
      <c r="Q351">
        <v>5</v>
      </c>
      <c r="R351">
        <v>4</v>
      </c>
      <c r="S351">
        <v>3</v>
      </c>
      <c r="T351">
        <v>9</v>
      </c>
      <c r="U351">
        <v>1</v>
      </c>
      <c r="V351">
        <v>7</v>
      </c>
      <c r="W351">
        <v>4</v>
      </c>
      <c r="X351">
        <v>10</v>
      </c>
      <c r="Y351">
        <v>5</v>
      </c>
      <c r="Z351">
        <v>8</v>
      </c>
      <c r="AA351">
        <v>7</v>
      </c>
      <c r="AB351">
        <v>8</v>
      </c>
      <c r="AC351">
        <v>5</v>
      </c>
      <c r="AD351">
        <v>6</v>
      </c>
      <c r="AE351">
        <v>7</v>
      </c>
      <c r="AF351">
        <v>4</v>
      </c>
      <c r="AG351">
        <v>9</v>
      </c>
      <c r="AH351">
        <v>4</v>
      </c>
      <c r="AI351">
        <v>1</v>
      </c>
      <c r="AJ351">
        <v>2</v>
      </c>
      <c r="AK351">
        <v>2</v>
      </c>
      <c r="AL351">
        <v>2</v>
      </c>
      <c r="AM351">
        <v>10</v>
      </c>
      <c r="AN351">
        <v>7</v>
      </c>
      <c r="AO351">
        <v>0</v>
      </c>
      <c r="AP351">
        <v>5</v>
      </c>
      <c r="AQ351">
        <v>1</v>
      </c>
      <c r="AR351">
        <v>4</v>
      </c>
      <c r="AS351">
        <v>1</v>
      </c>
      <c r="AT351">
        <v>3</v>
      </c>
      <c r="AU351">
        <v>1</v>
      </c>
      <c r="AV351">
        <v>5</v>
      </c>
      <c r="AW351">
        <v>3</v>
      </c>
      <c r="AX351">
        <v>9</v>
      </c>
      <c r="AY351">
        <v>10</v>
      </c>
      <c r="AZ351">
        <v>3</v>
      </c>
      <c r="BA351">
        <v>9</v>
      </c>
      <c r="BB351">
        <v>6</v>
      </c>
      <c r="BC351">
        <v>5</v>
      </c>
      <c r="BD351">
        <v>9</v>
      </c>
      <c r="BE351">
        <v>9</v>
      </c>
      <c r="BF351">
        <v>0</v>
      </c>
      <c r="BG351">
        <v>5</v>
      </c>
      <c r="BH351">
        <v>3</v>
      </c>
      <c r="BI351">
        <v>5</v>
      </c>
      <c r="BJ351">
        <v>6</v>
      </c>
      <c r="BK351">
        <v>2</v>
      </c>
      <c r="BL351">
        <v>3</v>
      </c>
      <c r="BM351">
        <v>3</v>
      </c>
      <c r="BN351">
        <v>10</v>
      </c>
      <c r="BO351">
        <v>9</v>
      </c>
      <c r="BP351">
        <v>3</v>
      </c>
      <c r="BQ351">
        <v>1</v>
      </c>
      <c r="BR351">
        <v>6</v>
      </c>
      <c r="BS351">
        <v>7</v>
      </c>
      <c r="BT351">
        <v>5</v>
      </c>
      <c r="BU351">
        <v>1</v>
      </c>
      <c r="BV351">
        <v>5</v>
      </c>
      <c r="BW351">
        <v>2</v>
      </c>
      <c r="BX351">
        <v>5</v>
      </c>
      <c r="BY351">
        <v>3</v>
      </c>
      <c r="BZ351">
        <v>5</v>
      </c>
      <c r="CA351">
        <v>5</v>
      </c>
      <c r="CB351">
        <v>4</v>
      </c>
      <c r="CC351">
        <v>7</v>
      </c>
      <c r="CD351">
        <v>10</v>
      </c>
      <c r="CE351">
        <v>9</v>
      </c>
      <c r="CF351">
        <v>8</v>
      </c>
      <c r="CG351">
        <v>6</v>
      </c>
      <c r="CH351">
        <v>8</v>
      </c>
      <c r="CI351">
        <v>1</v>
      </c>
      <c r="CJ351">
        <v>2</v>
      </c>
      <c r="CK351">
        <v>5</v>
      </c>
      <c r="CL351">
        <v>5</v>
      </c>
      <c r="CM351">
        <v>3</v>
      </c>
      <c r="CN351">
        <v>5</v>
      </c>
      <c r="CO351">
        <v>7</v>
      </c>
      <c r="CP351">
        <v>10</v>
      </c>
      <c r="CQ351">
        <v>3</v>
      </c>
      <c r="CR351">
        <v>8</v>
      </c>
      <c r="CS351">
        <v>10</v>
      </c>
      <c r="CT351">
        <v>6</v>
      </c>
      <c r="CU351">
        <v>7</v>
      </c>
      <c r="CV351">
        <v>3</v>
      </c>
      <c r="CW351">
        <v>5</v>
      </c>
      <c r="CX351">
        <v>5</v>
      </c>
      <c r="CY351">
        <v>9</v>
      </c>
      <c r="CZ351">
        <v>1</v>
      </c>
      <c r="DA351">
        <v>0</v>
      </c>
      <c r="DB351">
        <v>5</v>
      </c>
      <c r="DC351">
        <v>9</v>
      </c>
      <c r="DD351">
        <v>2</v>
      </c>
      <c r="DE351">
        <v>2</v>
      </c>
      <c r="DF351">
        <v>4</v>
      </c>
      <c r="DG351">
        <v>8</v>
      </c>
      <c r="DH351">
        <v>9</v>
      </c>
      <c r="DI351">
        <v>5</v>
      </c>
      <c r="DJ351">
        <v>8</v>
      </c>
      <c r="DK351">
        <v>7</v>
      </c>
    </row>
    <row r="352" spans="1:115">
      <c r="A352" s="173">
        <f>Calculations[[#This Row],[Sum t eCO2]]*IF(Calculations[[#This Row],[GHG Scope]]="BIOGENIC",0,1)</f>
        <v>2.1095379724900001</v>
      </c>
      <c r="O352">
        <f t="shared" si="5"/>
        <v>351</v>
      </c>
      <c r="P352">
        <v>8</v>
      </c>
      <c r="Q352">
        <v>6</v>
      </c>
      <c r="R352">
        <v>7</v>
      </c>
      <c r="S352">
        <v>9</v>
      </c>
      <c r="T352">
        <v>8</v>
      </c>
      <c r="U352">
        <v>8</v>
      </c>
      <c r="V352">
        <v>9</v>
      </c>
      <c r="W352">
        <v>9</v>
      </c>
      <c r="X352">
        <v>3</v>
      </c>
      <c r="Y352">
        <v>1</v>
      </c>
      <c r="Z352">
        <v>6</v>
      </c>
      <c r="AA352">
        <v>7</v>
      </c>
      <c r="AB352">
        <v>3</v>
      </c>
      <c r="AC352">
        <v>10</v>
      </c>
      <c r="AD352">
        <v>10</v>
      </c>
      <c r="AE352">
        <v>4</v>
      </c>
      <c r="AF352">
        <v>4</v>
      </c>
      <c r="AG352">
        <v>6</v>
      </c>
      <c r="AH352">
        <v>5</v>
      </c>
      <c r="AI352">
        <v>9</v>
      </c>
      <c r="AJ352">
        <v>8</v>
      </c>
      <c r="AK352">
        <v>10</v>
      </c>
      <c r="AL352">
        <v>3</v>
      </c>
      <c r="AM352">
        <v>7</v>
      </c>
      <c r="AN352">
        <v>5</v>
      </c>
      <c r="AO352">
        <v>1</v>
      </c>
      <c r="AP352">
        <v>2</v>
      </c>
      <c r="AQ352">
        <v>7</v>
      </c>
      <c r="AR352">
        <v>3</v>
      </c>
      <c r="AS352">
        <v>5</v>
      </c>
      <c r="AT352">
        <v>7</v>
      </c>
      <c r="AU352">
        <v>8</v>
      </c>
      <c r="AV352">
        <v>6</v>
      </c>
      <c r="AW352">
        <v>5</v>
      </c>
      <c r="AX352">
        <v>6</v>
      </c>
      <c r="AY352">
        <v>10</v>
      </c>
      <c r="AZ352">
        <v>2</v>
      </c>
      <c r="BA352">
        <v>7</v>
      </c>
      <c r="BB352">
        <v>9</v>
      </c>
      <c r="BC352">
        <v>5</v>
      </c>
      <c r="BD352">
        <v>1</v>
      </c>
      <c r="BE352">
        <v>8</v>
      </c>
      <c r="BF352">
        <v>0</v>
      </c>
      <c r="BG352">
        <v>2</v>
      </c>
      <c r="BH352">
        <v>0</v>
      </c>
      <c r="BI352">
        <v>6</v>
      </c>
      <c r="BJ352">
        <v>9</v>
      </c>
      <c r="BK352">
        <v>0</v>
      </c>
      <c r="BL352">
        <v>2</v>
      </c>
      <c r="BM352">
        <v>2</v>
      </c>
      <c r="BN352">
        <v>5</v>
      </c>
      <c r="BO352">
        <v>10</v>
      </c>
      <c r="BP352">
        <v>0</v>
      </c>
      <c r="BQ352">
        <v>3</v>
      </c>
      <c r="BR352">
        <v>5</v>
      </c>
      <c r="BS352">
        <v>8</v>
      </c>
      <c r="BT352">
        <v>1</v>
      </c>
      <c r="BU352">
        <v>2</v>
      </c>
      <c r="BV352">
        <v>3</v>
      </c>
      <c r="BW352">
        <v>4</v>
      </c>
      <c r="BX352">
        <v>6</v>
      </c>
      <c r="BY352">
        <v>4</v>
      </c>
      <c r="BZ352">
        <v>7</v>
      </c>
      <c r="CA352">
        <v>8</v>
      </c>
      <c r="CB352">
        <v>8</v>
      </c>
      <c r="CC352">
        <v>0</v>
      </c>
      <c r="CD352">
        <v>10</v>
      </c>
      <c r="CE352">
        <v>2</v>
      </c>
      <c r="CF352">
        <v>9</v>
      </c>
      <c r="CG352">
        <v>6</v>
      </c>
      <c r="CH352">
        <v>7</v>
      </c>
      <c r="CI352">
        <v>10</v>
      </c>
      <c r="CJ352">
        <v>4</v>
      </c>
      <c r="CK352">
        <v>6</v>
      </c>
      <c r="CL352">
        <v>8</v>
      </c>
      <c r="CM352">
        <v>9</v>
      </c>
      <c r="CN352">
        <v>7</v>
      </c>
      <c r="CO352">
        <v>0</v>
      </c>
      <c r="CP352">
        <v>8</v>
      </c>
      <c r="CQ352">
        <v>7</v>
      </c>
      <c r="CR352">
        <v>6</v>
      </c>
      <c r="CS352">
        <v>7</v>
      </c>
      <c r="CT352">
        <v>1</v>
      </c>
      <c r="CU352">
        <v>1</v>
      </c>
      <c r="CV352">
        <v>10</v>
      </c>
      <c r="CW352">
        <v>7</v>
      </c>
      <c r="CX352">
        <v>2</v>
      </c>
      <c r="CY352">
        <v>4</v>
      </c>
      <c r="CZ352">
        <v>2</v>
      </c>
      <c r="DA352">
        <v>0</v>
      </c>
      <c r="DB352">
        <v>9</v>
      </c>
      <c r="DC352">
        <v>5</v>
      </c>
      <c r="DD352">
        <v>2</v>
      </c>
      <c r="DE352">
        <v>3</v>
      </c>
      <c r="DF352">
        <v>5</v>
      </c>
      <c r="DG352">
        <v>0</v>
      </c>
      <c r="DH352">
        <v>4</v>
      </c>
      <c r="DI352">
        <v>9</v>
      </c>
      <c r="DJ352">
        <v>4</v>
      </c>
      <c r="DK352">
        <v>4</v>
      </c>
    </row>
    <row r="353" spans="1:115">
      <c r="A353" s="173">
        <f>Calculations[[#This Row],[Sum t eCO2]]*IF(Calculations[[#This Row],[GHG Scope]]="BIOGENIC",0,1)</f>
        <v>6.7799520879999999</v>
      </c>
      <c r="O353">
        <f t="shared" si="5"/>
        <v>352</v>
      </c>
      <c r="P353">
        <v>9</v>
      </c>
      <c r="Q353">
        <v>9</v>
      </c>
      <c r="R353">
        <v>4</v>
      </c>
      <c r="S353">
        <v>7</v>
      </c>
      <c r="T353">
        <v>2</v>
      </c>
      <c r="U353">
        <v>4</v>
      </c>
      <c r="V353">
        <v>0</v>
      </c>
      <c r="W353">
        <v>9</v>
      </c>
      <c r="X353">
        <v>6</v>
      </c>
      <c r="Y353">
        <v>10</v>
      </c>
      <c r="Z353">
        <v>3</v>
      </c>
      <c r="AA353">
        <v>9</v>
      </c>
      <c r="AB353">
        <v>1</v>
      </c>
      <c r="AC353">
        <v>5</v>
      </c>
      <c r="AD353">
        <v>3</v>
      </c>
      <c r="AE353">
        <v>1</v>
      </c>
      <c r="AF353">
        <v>10</v>
      </c>
      <c r="AG353">
        <v>7</v>
      </c>
      <c r="AH353">
        <v>3</v>
      </c>
      <c r="AI353">
        <v>5</v>
      </c>
      <c r="AJ353">
        <v>3</v>
      </c>
      <c r="AK353">
        <v>3</v>
      </c>
      <c r="AL353">
        <v>2</v>
      </c>
      <c r="AM353">
        <v>3</v>
      </c>
      <c r="AN353">
        <v>7</v>
      </c>
      <c r="AO353">
        <v>0</v>
      </c>
      <c r="AP353">
        <v>6</v>
      </c>
      <c r="AQ353">
        <v>8</v>
      </c>
      <c r="AR353">
        <v>6</v>
      </c>
      <c r="AS353">
        <v>4</v>
      </c>
      <c r="AT353">
        <v>8</v>
      </c>
      <c r="AU353">
        <v>6</v>
      </c>
      <c r="AV353">
        <v>2</v>
      </c>
      <c r="AW353">
        <v>7</v>
      </c>
      <c r="AX353">
        <v>1</v>
      </c>
      <c r="AY353">
        <v>4</v>
      </c>
      <c r="AZ353">
        <v>6</v>
      </c>
      <c r="BA353">
        <v>5</v>
      </c>
      <c r="BB353">
        <v>0</v>
      </c>
      <c r="BC353">
        <v>8</v>
      </c>
      <c r="BD353">
        <v>9</v>
      </c>
      <c r="BE353">
        <v>2</v>
      </c>
      <c r="BF353">
        <v>2</v>
      </c>
      <c r="BG353">
        <v>0</v>
      </c>
      <c r="BH353">
        <v>1</v>
      </c>
      <c r="BI353">
        <v>1</v>
      </c>
      <c r="BJ353">
        <v>10</v>
      </c>
      <c r="BK353">
        <v>2</v>
      </c>
      <c r="BL353">
        <v>9</v>
      </c>
      <c r="BM353">
        <v>1</v>
      </c>
      <c r="BN353">
        <v>7</v>
      </c>
      <c r="BO353">
        <v>4</v>
      </c>
      <c r="BP353">
        <v>10</v>
      </c>
      <c r="BQ353">
        <v>7</v>
      </c>
      <c r="BR353">
        <v>3</v>
      </c>
      <c r="BS353">
        <v>4</v>
      </c>
      <c r="BT353">
        <v>8</v>
      </c>
      <c r="BU353">
        <v>7</v>
      </c>
      <c r="BV353">
        <v>2</v>
      </c>
      <c r="BW353">
        <v>9</v>
      </c>
      <c r="BX353">
        <v>2</v>
      </c>
      <c r="BY353">
        <v>3</v>
      </c>
      <c r="BZ353">
        <v>9</v>
      </c>
      <c r="CA353">
        <v>9</v>
      </c>
      <c r="CB353">
        <v>6</v>
      </c>
      <c r="CC353">
        <v>7</v>
      </c>
      <c r="CD353">
        <v>3</v>
      </c>
      <c r="CE353">
        <v>0</v>
      </c>
      <c r="CF353">
        <v>8</v>
      </c>
      <c r="CG353">
        <v>10</v>
      </c>
      <c r="CH353">
        <v>7</v>
      </c>
      <c r="CI353">
        <v>2</v>
      </c>
      <c r="CJ353">
        <v>4</v>
      </c>
      <c r="CK353">
        <v>3</v>
      </c>
      <c r="CL353">
        <v>7</v>
      </c>
      <c r="CM353">
        <v>10</v>
      </c>
      <c r="CN353">
        <v>7</v>
      </c>
      <c r="CO353">
        <v>7</v>
      </c>
      <c r="CP353">
        <v>9</v>
      </c>
      <c r="CQ353">
        <v>5</v>
      </c>
      <c r="CR353">
        <v>3</v>
      </c>
      <c r="CS353">
        <v>5</v>
      </c>
      <c r="CT353">
        <v>6</v>
      </c>
      <c r="CU353">
        <v>0</v>
      </c>
      <c r="CV353">
        <v>7</v>
      </c>
      <c r="CW353">
        <v>0</v>
      </c>
      <c r="CX353">
        <v>6</v>
      </c>
      <c r="CY353">
        <v>8</v>
      </c>
      <c r="CZ353">
        <v>7</v>
      </c>
      <c r="DA353">
        <v>4</v>
      </c>
      <c r="DB353">
        <v>9</v>
      </c>
      <c r="DC353">
        <v>0</v>
      </c>
      <c r="DD353">
        <v>0</v>
      </c>
      <c r="DE353">
        <v>0</v>
      </c>
      <c r="DF353">
        <v>10</v>
      </c>
      <c r="DG353">
        <v>6</v>
      </c>
      <c r="DH353">
        <v>10</v>
      </c>
      <c r="DI353">
        <v>2</v>
      </c>
      <c r="DJ353">
        <v>9</v>
      </c>
      <c r="DK353">
        <v>5</v>
      </c>
    </row>
    <row r="354" spans="1:115">
      <c r="A354" s="173">
        <f>Calculations[[#This Row],[Sum t eCO2]]*IF(Calculations[[#This Row],[GHG Scope]]="BIOGENIC",0,1)</f>
        <v>1.6148905507800002</v>
      </c>
      <c r="O354">
        <f t="shared" si="5"/>
        <v>353</v>
      </c>
      <c r="P354">
        <v>2</v>
      </c>
      <c r="Q354">
        <v>4</v>
      </c>
      <c r="R354">
        <v>10</v>
      </c>
      <c r="S354">
        <v>9</v>
      </c>
      <c r="T354">
        <v>2</v>
      </c>
      <c r="U354">
        <v>8</v>
      </c>
      <c r="V354">
        <v>5</v>
      </c>
      <c r="W354">
        <v>8</v>
      </c>
      <c r="X354">
        <v>7</v>
      </c>
      <c r="Y354">
        <v>2</v>
      </c>
      <c r="Z354">
        <v>9</v>
      </c>
      <c r="AA354">
        <v>9</v>
      </c>
      <c r="AB354">
        <v>8</v>
      </c>
      <c r="AC354">
        <v>2</v>
      </c>
      <c r="AD354">
        <v>9</v>
      </c>
      <c r="AE354">
        <v>2</v>
      </c>
      <c r="AF354">
        <v>1</v>
      </c>
      <c r="AG354">
        <v>0</v>
      </c>
      <c r="AH354">
        <v>2</v>
      </c>
      <c r="AI354">
        <v>5</v>
      </c>
      <c r="AJ354">
        <v>10</v>
      </c>
      <c r="AK354">
        <v>2</v>
      </c>
      <c r="AL354">
        <v>3</v>
      </c>
      <c r="AM354">
        <v>0</v>
      </c>
      <c r="AN354">
        <v>8</v>
      </c>
      <c r="AO354">
        <v>6</v>
      </c>
      <c r="AP354">
        <v>1</v>
      </c>
      <c r="AQ354">
        <v>6</v>
      </c>
      <c r="AR354">
        <v>10</v>
      </c>
      <c r="AS354">
        <v>0</v>
      </c>
      <c r="AT354">
        <v>7</v>
      </c>
      <c r="AU354">
        <v>8</v>
      </c>
      <c r="AV354">
        <v>3</v>
      </c>
      <c r="AW354">
        <v>9</v>
      </c>
      <c r="AX354">
        <v>1</v>
      </c>
      <c r="AY354">
        <v>2</v>
      </c>
      <c r="AZ354">
        <v>7</v>
      </c>
      <c r="BA354">
        <v>4</v>
      </c>
      <c r="BB354">
        <v>2</v>
      </c>
      <c r="BC354">
        <v>9</v>
      </c>
      <c r="BD354">
        <v>2</v>
      </c>
      <c r="BE354">
        <v>7</v>
      </c>
      <c r="BF354">
        <v>1</v>
      </c>
      <c r="BG354">
        <v>4</v>
      </c>
      <c r="BH354">
        <v>7</v>
      </c>
      <c r="BI354">
        <v>9</v>
      </c>
      <c r="BJ354">
        <v>1</v>
      </c>
      <c r="BK354">
        <v>2</v>
      </c>
      <c r="BL354">
        <v>3</v>
      </c>
      <c r="BM354">
        <v>10</v>
      </c>
      <c r="BN354">
        <v>10</v>
      </c>
      <c r="BO354">
        <v>6</v>
      </c>
      <c r="BP354">
        <v>4</v>
      </c>
      <c r="BQ354">
        <v>6</v>
      </c>
      <c r="BR354">
        <v>3</v>
      </c>
      <c r="BS354">
        <v>6</v>
      </c>
      <c r="BT354">
        <v>2</v>
      </c>
      <c r="BU354">
        <v>9</v>
      </c>
      <c r="BV354">
        <v>3</v>
      </c>
      <c r="BW354">
        <v>8</v>
      </c>
      <c r="BX354">
        <v>6</v>
      </c>
      <c r="BY354">
        <v>8</v>
      </c>
      <c r="BZ354">
        <v>1</v>
      </c>
      <c r="CA354">
        <v>4</v>
      </c>
      <c r="CB354">
        <v>2</v>
      </c>
      <c r="CC354">
        <v>8</v>
      </c>
      <c r="CD354">
        <v>4</v>
      </c>
      <c r="CE354">
        <v>4</v>
      </c>
      <c r="CF354">
        <v>4</v>
      </c>
      <c r="CG354">
        <v>9</v>
      </c>
      <c r="CH354">
        <v>7</v>
      </c>
      <c r="CI354">
        <v>4</v>
      </c>
      <c r="CJ354">
        <v>9</v>
      </c>
      <c r="CK354">
        <v>10</v>
      </c>
      <c r="CL354">
        <v>8</v>
      </c>
      <c r="CM354">
        <v>5</v>
      </c>
      <c r="CN354">
        <v>2</v>
      </c>
      <c r="CO354">
        <v>0</v>
      </c>
      <c r="CP354">
        <v>7</v>
      </c>
      <c r="CQ354">
        <v>4</v>
      </c>
      <c r="CR354">
        <v>9</v>
      </c>
      <c r="CS354">
        <v>8</v>
      </c>
      <c r="CT354">
        <v>4</v>
      </c>
      <c r="CU354">
        <v>8</v>
      </c>
      <c r="CV354">
        <v>0</v>
      </c>
      <c r="CW354">
        <v>2</v>
      </c>
      <c r="CX354">
        <v>8</v>
      </c>
      <c r="CY354">
        <v>1</v>
      </c>
      <c r="CZ354">
        <v>6</v>
      </c>
      <c r="DA354">
        <v>1</v>
      </c>
      <c r="DB354">
        <v>6</v>
      </c>
      <c r="DC354">
        <v>10</v>
      </c>
      <c r="DD354">
        <v>1</v>
      </c>
      <c r="DE354">
        <v>8</v>
      </c>
      <c r="DF354">
        <v>8</v>
      </c>
      <c r="DG354">
        <v>2</v>
      </c>
      <c r="DH354">
        <v>5</v>
      </c>
      <c r="DI354">
        <v>9</v>
      </c>
      <c r="DJ354">
        <v>5</v>
      </c>
      <c r="DK354">
        <v>7</v>
      </c>
    </row>
    <row r="355" spans="1:115">
      <c r="A355" s="173">
        <f>Calculations[[#This Row],[Sum t eCO2]]*IF(Calculations[[#This Row],[GHG Scope]]="BIOGENIC",0,1)</f>
        <v>1.45127893833</v>
      </c>
      <c r="O355">
        <f t="shared" si="5"/>
        <v>354</v>
      </c>
      <c r="P355">
        <v>3</v>
      </c>
      <c r="Q355">
        <v>2</v>
      </c>
      <c r="R355">
        <v>5</v>
      </c>
      <c r="S355">
        <v>10</v>
      </c>
      <c r="T355">
        <v>4</v>
      </c>
      <c r="U355">
        <v>0</v>
      </c>
      <c r="V355">
        <v>4</v>
      </c>
      <c r="W355">
        <v>5</v>
      </c>
      <c r="X355">
        <v>5</v>
      </c>
      <c r="Y355">
        <v>4</v>
      </c>
      <c r="Z355">
        <v>2</v>
      </c>
      <c r="AA355">
        <v>2</v>
      </c>
      <c r="AB355">
        <v>6</v>
      </c>
      <c r="AC355">
        <v>9</v>
      </c>
      <c r="AD355">
        <v>0</v>
      </c>
      <c r="AE355">
        <v>8</v>
      </c>
      <c r="AF355">
        <v>5</v>
      </c>
      <c r="AG355">
        <v>1</v>
      </c>
      <c r="AH355">
        <v>2</v>
      </c>
      <c r="AI355">
        <v>9</v>
      </c>
      <c r="AJ355">
        <v>1</v>
      </c>
      <c r="AK355">
        <v>8</v>
      </c>
      <c r="AL355">
        <v>8</v>
      </c>
      <c r="AM355">
        <v>4</v>
      </c>
      <c r="AN355">
        <v>5</v>
      </c>
      <c r="AO355">
        <v>3</v>
      </c>
      <c r="AP355">
        <v>1</v>
      </c>
      <c r="AQ355">
        <v>1</v>
      </c>
      <c r="AR355">
        <v>6</v>
      </c>
      <c r="AS355">
        <v>0</v>
      </c>
      <c r="AT355">
        <v>2</v>
      </c>
      <c r="AU355">
        <v>7</v>
      </c>
      <c r="AV355">
        <v>3</v>
      </c>
      <c r="AW355">
        <v>7</v>
      </c>
      <c r="AX355">
        <v>7</v>
      </c>
      <c r="AY355">
        <v>0</v>
      </c>
      <c r="AZ355">
        <v>1</v>
      </c>
      <c r="BA355">
        <v>9</v>
      </c>
      <c r="BB355">
        <v>1</v>
      </c>
      <c r="BC355">
        <v>7</v>
      </c>
      <c r="BD355">
        <v>4</v>
      </c>
      <c r="BE355">
        <v>2</v>
      </c>
      <c r="BF355">
        <v>3</v>
      </c>
      <c r="BG355">
        <v>8</v>
      </c>
      <c r="BH355">
        <v>2</v>
      </c>
      <c r="BI355">
        <v>6</v>
      </c>
      <c r="BJ355">
        <v>8</v>
      </c>
      <c r="BK355">
        <v>0</v>
      </c>
      <c r="BL355">
        <v>3</v>
      </c>
      <c r="BM355">
        <v>0</v>
      </c>
      <c r="BN355">
        <v>2</v>
      </c>
      <c r="BO355">
        <v>6</v>
      </c>
      <c r="BP355">
        <v>8</v>
      </c>
      <c r="BQ355">
        <v>8</v>
      </c>
      <c r="BR355">
        <v>5</v>
      </c>
      <c r="BS355">
        <v>1</v>
      </c>
      <c r="BT355">
        <v>5</v>
      </c>
      <c r="BU355">
        <v>0</v>
      </c>
      <c r="BV355">
        <v>2</v>
      </c>
      <c r="BW355">
        <v>8</v>
      </c>
      <c r="BX355">
        <v>5</v>
      </c>
      <c r="BY355">
        <v>5</v>
      </c>
      <c r="BZ355">
        <v>10</v>
      </c>
      <c r="CA355">
        <v>5</v>
      </c>
      <c r="CB355">
        <v>10</v>
      </c>
      <c r="CC355">
        <v>3</v>
      </c>
      <c r="CD355">
        <v>5</v>
      </c>
      <c r="CE355">
        <v>3</v>
      </c>
      <c r="CF355">
        <v>3</v>
      </c>
      <c r="CG355">
        <v>3</v>
      </c>
      <c r="CH355">
        <v>5</v>
      </c>
      <c r="CI355">
        <v>7</v>
      </c>
      <c r="CJ355">
        <v>2</v>
      </c>
      <c r="CK355">
        <v>2</v>
      </c>
      <c r="CL355">
        <v>3</v>
      </c>
      <c r="CM355">
        <v>8</v>
      </c>
      <c r="CN355">
        <v>4</v>
      </c>
      <c r="CO355">
        <v>5</v>
      </c>
      <c r="CP355">
        <v>3</v>
      </c>
      <c r="CQ355">
        <v>0</v>
      </c>
      <c r="CR355">
        <v>5</v>
      </c>
      <c r="CS355">
        <v>3</v>
      </c>
      <c r="CT355">
        <v>10</v>
      </c>
      <c r="CU355">
        <v>5</v>
      </c>
      <c r="CV355">
        <v>6</v>
      </c>
      <c r="CW355">
        <v>7</v>
      </c>
      <c r="CX355">
        <v>0</v>
      </c>
      <c r="CY355">
        <v>6</v>
      </c>
      <c r="CZ355">
        <v>3</v>
      </c>
      <c r="DA355">
        <v>6</v>
      </c>
      <c r="DB355">
        <v>1</v>
      </c>
      <c r="DC355">
        <v>7</v>
      </c>
      <c r="DD355">
        <v>4</v>
      </c>
      <c r="DE355">
        <v>7</v>
      </c>
      <c r="DF355">
        <v>0</v>
      </c>
      <c r="DG355">
        <v>6</v>
      </c>
      <c r="DH355">
        <v>1</v>
      </c>
      <c r="DI355">
        <v>5</v>
      </c>
      <c r="DJ355">
        <v>3</v>
      </c>
      <c r="DK355">
        <v>0</v>
      </c>
    </row>
    <row r="356" spans="1:115">
      <c r="A356" s="173">
        <f>Calculations[[#This Row],[Sum t eCO2]]*IF(Calculations[[#This Row],[GHG Scope]]="BIOGENIC",0,1)</f>
        <v>0.99420665057999991</v>
      </c>
      <c r="O356">
        <f t="shared" si="5"/>
        <v>355</v>
      </c>
      <c r="P356">
        <v>5</v>
      </c>
      <c r="Q356">
        <v>9</v>
      </c>
      <c r="R356">
        <v>8</v>
      </c>
      <c r="S356">
        <v>0</v>
      </c>
      <c r="T356">
        <v>10</v>
      </c>
      <c r="U356">
        <v>5</v>
      </c>
      <c r="V356">
        <v>8</v>
      </c>
      <c r="W356">
        <v>6</v>
      </c>
      <c r="X356">
        <v>3</v>
      </c>
      <c r="Y356">
        <v>3</v>
      </c>
      <c r="Z356">
        <v>4</v>
      </c>
      <c r="AA356">
        <v>5</v>
      </c>
      <c r="AB356">
        <v>0</v>
      </c>
      <c r="AC356">
        <v>7</v>
      </c>
      <c r="AD356">
        <v>1</v>
      </c>
      <c r="AE356">
        <v>10</v>
      </c>
      <c r="AF356">
        <v>2</v>
      </c>
      <c r="AG356">
        <v>6</v>
      </c>
      <c r="AH356">
        <v>10</v>
      </c>
      <c r="AI356">
        <v>6</v>
      </c>
      <c r="AJ356">
        <v>7</v>
      </c>
      <c r="AK356">
        <v>0</v>
      </c>
      <c r="AL356">
        <v>6</v>
      </c>
      <c r="AM356">
        <v>7</v>
      </c>
      <c r="AN356">
        <v>9</v>
      </c>
      <c r="AO356">
        <v>9</v>
      </c>
      <c r="AP356">
        <v>9</v>
      </c>
      <c r="AQ356">
        <v>3</v>
      </c>
      <c r="AR356">
        <v>5</v>
      </c>
      <c r="AS356">
        <v>3</v>
      </c>
      <c r="AT356">
        <v>0</v>
      </c>
      <c r="AU356">
        <v>7</v>
      </c>
      <c r="AV356">
        <v>1</v>
      </c>
      <c r="AW356">
        <v>6</v>
      </c>
      <c r="AX356">
        <v>8</v>
      </c>
      <c r="AY356">
        <v>9</v>
      </c>
      <c r="AZ356">
        <v>7</v>
      </c>
      <c r="BA356">
        <v>3</v>
      </c>
      <c r="BB356">
        <v>6</v>
      </c>
      <c r="BC356">
        <v>7</v>
      </c>
      <c r="BD356">
        <v>8</v>
      </c>
      <c r="BE356">
        <v>9</v>
      </c>
      <c r="BF356">
        <v>9</v>
      </c>
      <c r="BG356">
        <v>9</v>
      </c>
      <c r="BH356">
        <v>6</v>
      </c>
      <c r="BI356">
        <v>7</v>
      </c>
      <c r="BJ356">
        <v>6</v>
      </c>
      <c r="BK356">
        <v>7</v>
      </c>
      <c r="BL356">
        <v>2</v>
      </c>
      <c r="BM356">
        <v>3</v>
      </c>
      <c r="BN356">
        <v>2</v>
      </c>
      <c r="BO356">
        <v>5</v>
      </c>
      <c r="BP356">
        <v>10</v>
      </c>
      <c r="BQ356">
        <v>10</v>
      </c>
      <c r="BR356">
        <v>2</v>
      </c>
      <c r="BS356">
        <v>2</v>
      </c>
      <c r="BT356">
        <v>9</v>
      </c>
      <c r="BU356">
        <v>10</v>
      </c>
      <c r="BV356">
        <v>2</v>
      </c>
      <c r="BW356">
        <v>9</v>
      </c>
      <c r="BX356">
        <v>2</v>
      </c>
      <c r="BY356">
        <v>1</v>
      </c>
      <c r="BZ356">
        <v>2</v>
      </c>
      <c r="CA356">
        <v>3</v>
      </c>
      <c r="CB356">
        <v>4</v>
      </c>
      <c r="CC356">
        <v>1</v>
      </c>
      <c r="CD356">
        <v>2</v>
      </c>
      <c r="CE356">
        <v>0</v>
      </c>
      <c r="CF356">
        <v>6</v>
      </c>
      <c r="CG356">
        <v>4</v>
      </c>
      <c r="CH356">
        <v>5</v>
      </c>
      <c r="CI356">
        <v>1</v>
      </c>
      <c r="CJ356">
        <v>6</v>
      </c>
      <c r="CK356">
        <v>1</v>
      </c>
      <c r="CL356">
        <v>3</v>
      </c>
      <c r="CM356">
        <v>5</v>
      </c>
      <c r="CN356">
        <v>7</v>
      </c>
      <c r="CO356">
        <v>6</v>
      </c>
      <c r="CP356">
        <v>2</v>
      </c>
      <c r="CQ356">
        <v>10</v>
      </c>
      <c r="CR356">
        <v>4</v>
      </c>
      <c r="CS356">
        <v>9</v>
      </c>
      <c r="CT356">
        <v>2</v>
      </c>
      <c r="CU356">
        <v>2</v>
      </c>
      <c r="CV356">
        <v>0</v>
      </c>
      <c r="CW356">
        <v>10</v>
      </c>
      <c r="CX356">
        <v>8</v>
      </c>
      <c r="CY356">
        <v>3</v>
      </c>
      <c r="CZ356">
        <v>6</v>
      </c>
      <c r="DA356">
        <v>9</v>
      </c>
      <c r="DB356">
        <v>0</v>
      </c>
      <c r="DC356">
        <v>4</v>
      </c>
      <c r="DD356">
        <v>8</v>
      </c>
      <c r="DE356">
        <v>5</v>
      </c>
      <c r="DF356">
        <v>9</v>
      </c>
      <c r="DG356">
        <v>9</v>
      </c>
      <c r="DH356">
        <v>7</v>
      </c>
      <c r="DI356">
        <v>10</v>
      </c>
      <c r="DJ356">
        <v>6</v>
      </c>
      <c r="DK356">
        <v>4</v>
      </c>
    </row>
    <row r="357" spans="1:115">
      <c r="A357" s="173">
        <f>Calculations[[#This Row],[Sum t eCO2]]*IF(Calculations[[#This Row],[GHG Scope]]="BIOGENIC",0,1)</f>
        <v>0.30814991999999997</v>
      </c>
      <c r="O357">
        <f t="shared" si="5"/>
        <v>356</v>
      </c>
      <c r="P357">
        <v>6</v>
      </c>
      <c r="Q357">
        <v>10</v>
      </c>
      <c r="R357">
        <v>2</v>
      </c>
      <c r="S357">
        <v>2</v>
      </c>
      <c r="T357">
        <v>1</v>
      </c>
      <c r="U357">
        <v>8</v>
      </c>
      <c r="V357">
        <v>6</v>
      </c>
      <c r="W357">
        <v>8</v>
      </c>
      <c r="X357">
        <v>3</v>
      </c>
      <c r="Y357">
        <v>9</v>
      </c>
      <c r="Z357">
        <v>7</v>
      </c>
      <c r="AA357">
        <v>4</v>
      </c>
      <c r="AB357">
        <v>0</v>
      </c>
      <c r="AC357">
        <v>7</v>
      </c>
      <c r="AD357">
        <v>2</v>
      </c>
      <c r="AE357">
        <v>10</v>
      </c>
      <c r="AF357">
        <v>5</v>
      </c>
      <c r="AG357">
        <v>5</v>
      </c>
      <c r="AH357">
        <v>8</v>
      </c>
      <c r="AI357">
        <v>4</v>
      </c>
      <c r="AJ357">
        <v>10</v>
      </c>
      <c r="AK357">
        <v>6</v>
      </c>
      <c r="AL357">
        <v>0</v>
      </c>
      <c r="AM357">
        <v>0</v>
      </c>
      <c r="AN357">
        <v>0</v>
      </c>
      <c r="AO357">
        <v>5</v>
      </c>
      <c r="AP357">
        <v>6</v>
      </c>
      <c r="AQ357">
        <v>7</v>
      </c>
      <c r="AR357">
        <v>1</v>
      </c>
      <c r="AS357">
        <v>9</v>
      </c>
      <c r="AT357">
        <v>4</v>
      </c>
      <c r="AU357">
        <v>6</v>
      </c>
      <c r="AV357">
        <v>4</v>
      </c>
      <c r="AW357">
        <v>9</v>
      </c>
      <c r="AX357">
        <v>8</v>
      </c>
      <c r="AY357">
        <v>3</v>
      </c>
      <c r="AZ357">
        <v>8</v>
      </c>
      <c r="BA357">
        <v>10</v>
      </c>
      <c r="BB357">
        <v>6</v>
      </c>
      <c r="BC357">
        <v>3</v>
      </c>
      <c r="BD357">
        <v>7</v>
      </c>
      <c r="BE357">
        <v>4</v>
      </c>
      <c r="BF357">
        <v>1</v>
      </c>
      <c r="BG357">
        <v>6</v>
      </c>
      <c r="BH357">
        <v>9</v>
      </c>
      <c r="BI357">
        <v>9</v>
      </c>
      <c r="BJ357">
        <v>1</v>
      </c>
      <c r="BK357">
        <v>2</v>
      </c>
      <c r="BL357">
        <v>4</v>
      </c>
      <c r="BM357">
        <v>7</v>
      </c>
      <c r="BN357">
        <v>6</v>
      </c>
      <c r="BO357">
        <v>6</v>
      </c>
      <c r="BP357">
        <v>0</v>
      </c>
      <c r="BQ357">
        <v>10</v>
      </c>
      <c r="BR357">
        <v>5</v>
      </c>
      <c r="BS357">
        <v>0</v>
      </c>
      <c r="BT357">
        <v>7</v>
      </c>
      <c r="BU357">
        <v>10</v>
      </c>
      <c r="BV357">
        <v>1</v>
      </c>
      <c r="BW357">
        <v>2</v>
      </c>
      <c r="BX357">
        <v>5</v>
      </c>
      <c r="BY357">
        <v>10</v>
      </c>
      <c r="BZ357">
        <v>4</v>
      </c>
      <c r="CA357">
        <v>0</v>
      </c>
      <c r="CB357">
        <v>3</v>
      </c>
      <c r="CC357">
        <v>3</v>
      </c>
      <c r="CD357">
        <v>9</v>
      </c>
      <c r="CE357">
        <v>10</v>
      </c>
      <c r="CF357">
        <v>1</v>
      </c>
      <c r="CG357">
        <v>2</v>
      </c>
      <c r="CH357">
        <v>4</v>
      </c>
      <c r="CI357">
        <v>2</v>
      </c>
      <c r="CJ357">
        <v>8</v>
      </c>
      <c r="CK357">
        <v>0</v>
      </c>
      <c r="CL357">
        <v>2</v>
      </c>
      <c r="CM357">
        <v>2</v>
      </c>
      <c r="CN357">
        <v>1</v>
      </c>
      <c r="CO357">
        <v>4</v>
      </c>
      <c r="CP357">
        <v>8</v>
      </c>
      <c r="CQ357">
        <v>2</v>
      </c>
      <c r="CR357">
        <v>2</v>
      </c>
      <c r="CS357">
        <v>2</v>
      </c>
      <c r="CT357">
        <v>3</v>
      </c>
      <c r="CU357">
        <v>4</v>
      </c>
      <c r="CV357">
        <v>3</v>
      </c>
      <c r="CW357">
        <v>0</v>
      </c>
      <c r="CX357">
        <v>5</v>
      </c>
      <c r="CY357">
        <v>10</v>
      </c>
      <c r="CZ357">
        <v>4</v>
      </c>
      <c r="DA357">
        <v>8</v>
      </c>
      <c r="DB357">
        <v>9</v>
      </c>
      <c r="DC357">
        <v>2</v>
      </c>
      <c r="DD357">
        <v>1</v>
      </c>
      <c r="DE357">
        <v>9</v>
      </c>
      <c r="DF357">
        <v>6</v>
      </c>
      <c r="DG357">
        <v>6</v>
      </c>
      <c r="DH357">
        <v>10</v>
      </c>
      <c r="DI357">
        <v>6</v>
      </c>
      <c r="DJ357">
        <v>2</v>
      </c>
      <c r="DK357">
        <v>8</v>
      </c>
    </row>
    <row r="358" spans="1:115">
      <c r="A358" s="173">
        <f>Calculations[[#This Row],[Sum t eCO2]]*IF(Calculations[[#This Row],[GHG Scope]]="BIOGENIC",0,1)</f>
        <v>1.5095507263200001</v>
      </c>
      <c r="O358">
        <f t="shared" si="5"/>
        <v>357</v>
      </c>
      <c r="P358">
        <v>2</v>
      </c>
      <c r="Q358">
        <v>0</v>
      </c>
      <c r="R358">
        <v>5</v>
      </c>
      <c r="S358">
        <v>0</v>
      </c>
      <c r="T358">
        <v>6</v>
      </c>
      <c r="U358">
        <v>1</v>
      </c>
      <c r="V358">
        <v>2</v>
      </c>
      <c r="W358">
        <v>9</v>
      </c>
      <c r="X358">
        <v>10</v>
      </c>
      <c r="Y358">
        <v>5</v>
      </c>
      <c r="Z358">
        <v>5</v>
      </c>
      <c r="AA358">
        <v>9</v>
      </c>
      <c r="AB358">
        <v>5</v>
      </c>
      <c r="AC358">
        <v>10</v>
      </c>
      <c r="AD358">
        <v>0</v>
      </c>
      <c r="AE358">
        <v>3</v>
      </c>
      <c r="AF358">
        <v>9</v>
      </c>
      <c r="AG358">
        <v>7</v>
      </c>
      <c r="AH358">
        <v>6</v>
      </c>
      <c r="AI358">
        <v>0</v>
      </c>
      <c r="AJ358">
        <v>4</v>
      </c>
      <c r="AK358">
        <v>0</v>
      </c>
      <c r="AL358">
        <v>1</v>
      </c>
      <c r="AM358">
        <v>6</v>
      </c>
      <c r="AN358">
        <v>0</v>
      </c>
      <c r="AO358">
        <v>6</v>
      </c>
      <c r="AP358">
        <v>6</v>
      </c>
      <c r="AQ358">
        <v>8</v>
      </c>
      <c r="AR358">
        <v>0</v>
      </c>
      <c r="AS358">
        <v>1</v>
      </c>
      <c r="AT358">
        <v>1</v>
      </c>
      <c r="AU358">
        <v>8</v>
      </c>
      <c r="AV358">
        <v>10</v>
      </c>
      <c r="AW358">
        <v>6</v>
      </c>
      <c r="AX358">
        <v>8</v>
      </c>
      <c r="AY358">
        <v>3</v>
      </c>
      <c r="AZ358">
        <v>10</v>
      </c>
      <c r="BA358">
        <v>0</v>
      </c>
      <c r="BB358">
        <v>0</v>
      </c>
      <c r="BC358">
        <v>0</v>
      </c>
      <c r="BD358">
        <v>8</v>
      </c>
      <c r="BE358">
        <v>4</v>
      </c>
      <c r="BF358">
        <v>3</v>
      </c>
      <c r="BG358">
        <v>0</v>
      </c>
      <c r="BH358">
        <v>3</v>
      </c>
      <c r="BI358">
        <v>6</v>
      </c>
      <c r="BJ358">
        <v>6</v>
      </c>
      <c r="BK358">
        <v>4</v>
      </c>
      <c r="BL358">
        <v>2</v>
      </c>
      <c r="BM358">
        <v>9</v>
      </c>
      <c r="BN358">
        <v>3</v>
      </c>
      <c r="BO358">
        <v>4</v>
      </c>
      <c r="BP358">
        <v>4</v>
      </c>
      <c r="BQ358">
        <v>5</v>
      </c>
      <c r="BR358">
        <v>4</v>
      </c>
      <c r="BS358">
        <v>5</v>
      </c>
      <c r="BT358">
        <v>6</v>
      </c>
      <c r="BU358">
        <v>0</v>
      </c>
      <c r="BV358">
        <v>0</v>
      </c>
      <c r="BW358">
        <v>4</v>
      </c>
      <c r="BX358">
        <v>6</v>
      </c>
      <c r="BY358">
        <v>5</v>
      </c>
      <c r="BZ358">
        <v>4</v>
      </c>
      <c r="CA358">
        <v>6</v>
      </c>
      <c r="CB358">
        <v>10</v>
      </c>
      <c r="CC358">
        <v>10</v>
      </c>
      <c r="CD358">
        <v>0</v>
      </c>
      <c r="CE358">
        <v>9</v>
      </c>
      <c r="CF358">
        <v>8</v>
      </c>
      <c r="CG358">
        <v>8</v>
      </c>
      <c r="CH358">
        <v>9</v>
      </c>
      <c r="CI358">
        <v>8</v>
      </c>
      <c r="CJ358">
        <v>10</v>
      </c>
      <c r="CK358">
        <v>1</v>
      </c>
      <c r="CL358">
        <v>0</v>
      </c>
      <c r="CM358">
        <v>7</v>
      </c>
      <c r="CN358">
        <v>5</v>
      </c>
      <c r="CO358">
        <v>8</v>
      </c>
      <c r="CP358">
        <v>5</v>
      </c>
      <c r="CQ358">
        <v>5</v>
      </c>
      <c r="CR358">
        <v>10</v>
      </c>
      <c r="CS358">
        <v>5</v>
      </c>
      <c r="CT358">
        <v>6</v>
      </c>
      <c r="CU358">
        <v>2</v>
      </c>
      <c r="CV358">
        <v>8</v>
      </c>
      <c r="CW358">
        <v>0</v>
      </c>
      <c r="CX358">
        <v>2</v>
      </c>
      <c r="CY358">
        <v>10</v>
      </c>
      <c r="CZ358">
        <v>10</v>
      </c>
      <c r="DA358">
        <v>0</v>
      </c>
      <c r="DB358">
        <v>8</v>
      </c>
      <c r="DC358">
        <v>7</v>
      </c>
      <c r="DD358">
        <v>10</v>
      </c>
      <c r="DE358">
        <v>4</v>
      </c>
      <c r="DF358">
        <v>4</v>
      </c>
      <c r="DG358">
        <v>1</v>
      </c>
      <c r="DH358">
        <v>8</v>
      </c>
      <c r="DI358">
        <v>0</v>
      </c>
      <c r="DJ358">
        <v>10</v>
      </c>
      <c r="DK358">
        <v>0</v>
      </c>
    </row>
    <row r="359" spans="1:115">
      <c r="A359" s="173">
        <f>Calculations[[#This Row],[Sum t eCO2]]*IF(Calculations[[#This Row],[GHG Scope]]="BIOGENIC",0,1)</f>
        <v>3.516</v>
      </c>
      <c r="O359">
        <f t="shared" si="5"/>
        <v>358</v>
      </c>
      <c r="P359">
        <v>1</v>
      </c>
      <c r="Q359">
        <v>0</v>
      </c>
      <c r="R359">
        <v>3</v>
      </c>
      <c r="S359">
        <v>10</v>
      </c>
      <c r="T359">
        <v>9</v>
      </c>
      <c r="U359">
        <v>10</v>
      </c>
      <c r="V359">
        <v>8</v>
      </c>
      <c r="W359">
        <v>3</v>
      </c>
      <c r="X359">
        <v>3</v>
      </c>
      <c r="Y359">
        <v>7</v>
      </c>
      <c r="Z359">
        <v>10</v>
      </c>
      <c r="AA359">
        <v>10</v>
      </c>
      <c r="AB359">
        <v>9</v>
      </c>
      <c r="AC359">
        <v>8</v>
      </c>
      <c r="AD359">
        <v>1</v>
      </c>
      <c r="AE359">
        <v>0</v>
      </c>
      <c r="AF359">
        <v>1</v>
      </c>
      <c r="AG359">
        <v>7</v>
      </c>
      <c r="AH359">
        <v>10</v>
      </c>
      <c r="AI359">
        <v>3</v>
      </c>
      <c r="AJ359">
        <v>4</v>
      </c>
      <c r="AK359">
        <v>0</v>
      </c>
      <c r="AL359">
        <v>1</v>
      </c>
      <c r="AM359">
        <v>8</v>
      </c>
      <c r="AN359">
        <v>5</v>
      </c>
      <c r="AO359">
        <v>5</v>
      </c>
      <c r="AP359">
        <v>3</v>
      </c>
      <c r="AQ359">
        <v>5</v>
      </c>
      <c r="AR359">
        <v>8</v>
      </c>
      <c r="AS359">
        <v>6</v>
      </c>
      <c r="AT359">
        <v>1</v>
      </c>
      <c r="AU359">
        <v>10</v>
      </c>
      <c r="AV359">
        <v>6</v>
      </c>
      <c r="AW359">
        <v>0</v>
      </c>
      <c r="AX359">
        <v>4</v>
      </c>
      <c r="AY359">
        <v>0</v>
      </c>
      <c r="AZ359">
        <v>10</v>
      </c>
      <c r="BA359">
        <v>0</v>
      </c>
      <c r="BB359">
        <v>0</v>
      </c>
      <c r="BC359">
        <v>8</v>
      </c>
      <c r="BD359">
        <v>8</v>
      </c>
      <c r="BE359">
        <v>2</v>
      </c>
      <c r="BF359">
        <v>9</v>
      </c>
      <c r="BG359">
        <v>5</v>
      </c>
      <c r="BH359">
        <v>3</v>
      </c>
      <c r="BI359">
        <v>2</v>
      </c>
      <c r="BJ359">
        <v>8</v>
      </c>
      <c r="BK359">
        <v>8</v>
      </c>
      <c r="BL359">
        <v>0</v>
      </c>
      <c r="BM359">
        <v>6</v>
      </c>
      <c r="BN359">
        <v>6</v>
      </c>
      <c r="BO359">
        <v>10</v>
      </c>
      <c r="BP359">
        <v>7</v>
      </c>
      <c r="BQ359">
        <v>0</v>
      </c>
      <c r="BR359">
        <v>10</v>
      </c>
      <c r="BS359">
        <v>8</v>
      </c>
      <c r="BT359">
        <v>8</v>
      </c>
      <c r="BU359">
        <v>8</v>
      </c>
      <c r="BV359">
        <v>7</v>
      </c>
      <c r="BW359">
        <v>9</v>
      </c>
      <c r="BX359">
        <v>0</v>
      </c>
      <c r="BY359">
        <v>0</v>
      </c>
      <c r="BZ359">
        <v>8</v>
      </c>
      <c r="CA359">
        <v>9</v>
      </c>
      <c r="CB359">
        <v>9</v>
      </c>
      <c r="CC359">
        <v>10</v>
      </c>
      <c r="CD359">
        <v>6</v>
      </c>
      <c r="CE359">
        <v>9</v>
      </c>
      <c r="CF359">
        <v>4</v>
      </c>
      <c r="CG359">
        <v>5</v>
      </c>
      <c r="CH359">
        <v>5</v>
      </c>
      <c r="CI359">
        <v>2</v>
      </c>
      <c r="CJ359">
        <v>0</v>
      </c>
      <c r="CK359">
        <v>2</v>
      </c>
      <c r="CL359">
        <v>2</v>
      </c>
      <c r="CM359">
        <v>0</v>
      </c>
      <c r="CN359">
        <v>4</v>
      </c>
      <c r="CO359">
        <v>9</v>
      </c>
      <c r="CP359">
        <v>9</v>
      </c>
      <c r="CQ359">
        <v>3</v>
      </c>
      <c r="CR359">
        <v>3</v>
      </c>
      <c r="CS359">
        <v>10</v>
      </c>
      <c r="CT359">
        <v>1</v>
      </c>
      <c r="CU359">
        <v>6</v>
      </c>
      <c r="CV359">
        <v>3</v>
      </c>
      <c r="CW359">
        <v>8</v>
      </c>
      <c r="CX359">
        <v>3</v>
      </c>
      <c r="CY359">
        <v>1</v>
      </c>
      <c r="CZ359">
        <v>8</v>
      </c>
      <c r="DA359">
        <v>0</v>
      </c>
      <c r="DB359">
        <v>3</v>
      </c>
      <c r="DC359">
        <v>1</v>
      </c>
      <c r="DD359">
        <v>0</v>
      </c>
      <c r="DE359">
        <v>3</v>
      </c>
      <c r="DF359">
        <v>0</v>
      </c>
      <c r="DG359">
        <v>8</v>
      </c>
      <c r="DH359">
        <v>7</v>
      </c>
      <c r="DI359">
        <v>1</v>
      </c>
      <c r="DJ359">
        <v>8</v>
      </c>
      <c r="DK359">
        <v>3</v>
      </c>
    </row>
    <row r="360" spans="1:115">
      <c r="A360" s="173">
        <f>Calculations[[#This Row],[Sum t eCO2]]*IF(Calculations[[#This Row],[GHG Scope]]="BIOGENIC",0,1)</f>
        <v>2.13557979586</v>
      </c>
      <c r="O360">
        <f t="shared" si="5"/>
        <v>359</v>
      </c>
      <c r="P360">
        <v>10</v>
      </c>
      <c r="Q360">
        <v>10</v>
      </c>
      <c r="R360">
        <v>2</v>
      </c>
      <c r="S360">
        <v>7</v>
      </c>
      <c r="T360">
        <v>2</v>
      </c>
      <c r="U360">
        <v>7</v>
      </c>
      <c r="V360">
        <v>3</v>
      </c>
      <c r="W360">
        <v>0</v>
      </c>
      <c r="X360">
        <v>3</v>
      </c>
      <c r="Y360">
        <v>4</v>
      </c>
      <c r="Z360">
        <v>4</v>
      </c>
      <c r="AA360">
        <v>7</v>
      </c>
      <c r="AB360">
        <v>4</v>
      </c>
      <c r="AC360">
        <v>4</v>
      </c>
      <c r="AD360">
        <v>3</v>
      </c>
      <c r="AE360">
        <v>3</v>
      </c>
      <c r="AF360">
        <v>4</v>
      </c>
      <c r="AG360">
        <v>8</v>
      </c>
      <c r="AH360">
        <v>8</v>
      </c>
      <c r="AI360">
        <v>0</v>
      </c>
      <c r="AJ360">
        <v>1</v>
      </c>
      <c r="AK360">
        <v>4</v>
      </c>
      <c r="AL360">
        <v>6</v>
      </c>
      <c r="AM360">
        <v>5</v>
      </c>
      <c r="AN360">
        <v>2</v>
      </c>
      <c r="AO360">
        <v>1</v>
      </c>
      <c r="AP360">
        <v>1</v>
      </c>
      <c r="AQ360">
        <v>5</v>
      </c>
      <c r="AR360">
        <v>7</v>
      </c>
      <c r="AS360">
        <v>8</v>
      </c>
      <c r="AT360">
        <v>0</v>
      </c>
      <c r="AU360">
        <v>5</v>
      </c>
      <c r="AV360">
        <v>8</v>
      </c>
      <c r="AW360">
        <v>1</v>
      </c>
      <c r="AX360">
        <v>5</v>
      </c>
      <c r="AY360">
        <v>7</v>
      </c>
      <c r="AZ360">
        <v>4</v>
      </c>
      <c r="BA360">
        <v>0</v>
      </c>
      <c r="BB360">
        <v>10</v>
      </c>
      <c r="BC360">
        <v>4</v>
      </c>
      <c r="BD360">
        <v>4</v>
      </c>
      <c r="BE360">
        <v>7</v>
      </c>
      <c r="BF360">
        <v>3</v>
      </c>
      <c r="BG360">
        <v>4</v>
      </c>
      <c r="BH360">
        <v>9</v>
      </c>
      <c r="BI360">
        <v>5</v>
      </c>
      <c r="BJ360">
        <v>2</v>
      </c>
      <c r="BK360">
        <v>8</v>
      </c>
      <c r="BL360">
        <v>6</v>
      </c>
      <c r="BM360">
        <v>9</v>
      </c>
      <c r="BN360">
        <v>5</v>
      </c>
      <c r="BO360">
        <v>4</v>
      </c>
      <c r="BP360">
        <v>6</v>
      </c>
      <c r="BQ360">
        <v>7</v>
      </c>
      <c r="BR360">
        <v>9</v>
      </c>
      <c r="BS360">
        <v>6</v>
      </c>
      <c r="BT360">
        <v>8</v>
      </c>
      <c r="BU360">
        <v>3</v>
      </c>
      <c r="BV360">
        <v>1</v>
      </c>
      <c r="BW360">
        <v>6</v>
      </c>
      <c r="BX360">
        <v>7</v>
      </c>
      <c r="BY360">
        <v>3</v>
      </c>
      <c r="BZ360">
        <v>9</v>
      </c>
      <c r="CA360">
        <v>10</v>
      </c>
      <c r="CB360">
        <v>9</v>
      </c>
      <c r="CC360">
        <v>2</v>
      </c>
      <c r="CD360">
        <v>6</v>
      </c>
      <c r="CE360">
        <v>3</v>
      </c>
      <c r="CF360">
        <v>7</v>
      </c>
      <c r="CG360">
        <v>1</v>
      </c>
      <c r="CH360">
        <v>1</v>
      </c>
      <c r="CI360">
        <v>4</v>
      </c>
      <c r="CJ360">
        <v>4</v>
      </c>
      <c r="CK360">
        <v>1</v>
      </c>
      <c r="CL360">
        <v>2</v>
      </c>
      <c r="CM360">
        <v>1</v>
      </c>
      <c r="CN360">
        <v>2</v>
      </c>
      <c r="CO360">
        <v>3</v>
      </c>
      <c r="CP360">
        <v>8</v>
      </c>
      <c r="CQ360">
        <v>5</v>
      </c>
      <c r="CR360">
        <v>5</v>
      </c>
      <c r="CS360">
        <v>3</v>
      </c>
      <c r="CT360">
        <v>1</v>
      </c>
      <c r="CU360">
        <v>8</v>
      </c>
      <c r="CV360">
        <v>3</v>
      </c>
      <c r="CW360">
        <v>7</v>
      </c>
      <c r="CX360">
        <v>1</v>
      </c>
      <c r="CY360">
        <v>1</v>
      </c>
      <c r="CZ360">
        <v>9</v>
      </c>
      <c r="DA360">
        <v>8</v>
      </c>
      <c r="DB360">
        <v>8</v>
      </c>
      <c r="DC360">
        <v>10</v>
      </c>
      <c r="DD360">
        <v>2</v>
      </c>
      <c r="DE360">
        <v>6</v>
      </c>
      <c r="DF360">
        <v>2</v>
      </c>
      <c r="DG360">
        <v>10</v>
      </c>
      <c r="DH360">
        <v>4</v>
      </c>
      <c r="DI360">
        <v>3</v>
      </c>
      <c r="DJ360">
        <v>10</v>
      </c>
      <c r="DK360">
        <v>10</v>
      </c>
    </row>
    <row r="361" spans="1:115">
      <c r="A361" s="173">
        <f>Calculations[[#This Row],[Sum t eCO2]]*IF(Calculations[[#This Row],[GHG Scope]]="BIOGENIC",0,1)</f>
        <v>0.71527657499999986</v>
      </c>
      <c r="O361">
        <f t="shared" si="5"/>
        <v>360</v>
      </c>
      <c r="P361">
        <v>10</v>
      </c>
      <c r="Q361">
        <v>0</v>
      </c>
      <c r="R361">
        <v>2</v>
      </c>
      <c r="S361">
        <v>10</v>
      </c>
      <c r="T361">
        <v>2</v>
      </c>
      <c r="U361">
        <v>9</v>
      </c>
      <c r="V361">
        <v>7</v>
      </c>
      <c r="W361">
        <v>10</v>
      </c>
      <c r="X361">
        <v>8</v>
      </c>
      <c r="Y361">
        <v>5</v>
      </c>
      <c r="Z361">
        <v>2</v>
      </c>
      <c r="AA361">
        <v>2</v>
      </c>
      <c r="AB361">
        <v>5</v>
      </c>
      <c r="AC361">
        <v>8</v>
      </c>
      <c r="AD361">
        <v>10</v>
      </c>
      <c r="AE361">
        <v>2</v>
      </c>
      <c r="AF361">
        <v>2</v>
      </c>
      <c r="AG361">
        <v>1</v>
      </c>
      <c r="AH361">
        <v>2</v>
      </c>
      <c r="AI361">
        <v>0</v>
      </c>
      <c r="AJ361">
        <v>6</v>
      </c>
      <c r="AK361">
        <v>2</v>
      </c>
      <c r="AL361">
        <v>8</v>
      </c>
      <c r="AM361">
        <v>7</v>
      </c>
      <c r="AN361">
        <v>4</v>
      </c>
      <c r="AO361">
        <v>7</v>
      </c>
      <c r="AP361">
        <v>5</v>
      </c>
      <c r="AQ361">
        <v>3</v>
      </c>
      <c r="AR361">
        <v>10</v>
      </c>
      <c r="AS361">
        <v>10</v>
      </c>
      <c r="AT361">
        <v>9</v>
      </c>
      <c r="AU361">
        <v>9</v>
      </c>
      <c r="AV361">
        <v>10</v>
      </c>
      <c r="AW361">
        <v>7</v>
      </c>
      <c r="AX361">
        <v>7</v>
      </c>
      <c r="AY361">
        <v>0</v>
      </c>
      <c r="AZ361">
        <v>2</v>
      </c>
      <c r="BA361">
        <v>3</v>
      </c>
      <c r="BB361">
        <v>3</v>
      </c>
      <c r="BC361">
        <v>10</v>
      </c>
      <c r="BD361">
        <v>2</v>
      </c>
      <c r="BE361">
        <v>1</v>
      </c>
      <c r="BF361">
        <v>4</v>
      </c>
      <c r="BG361">
        <v>1</v>
      </c>
      <c r="BH361">
        <v>1</v>
      </c>
      <c r="BI361">
        <v>10</v>
      </c>
      <c r="BJ361">
        <v>7</v>
      </c>
      <c r="BK361">
        <v>7</v>
      </c>
      <c r="BL361">
        <v>6</v>
      </c>
      <c r="BM361">
        <v>4</v>
      </c>
      <c r="BN361">
        <v>5</v>
      </c>
      <c r="BO361">
        <v>1</v>
      </c>
      <c r="BP361">
        <v>8</v>
      </c>
      <c r="BQ361">
        <v>0</v>
      </c>
      <c r="BR361">
        <v>0</v>
      </c>
      <c r="BS361">
        <v>0</v>
      </c>
      <c r="BT361">
        <v>9</v>
      </c>
      <c r="BU361">
        <v>1</v>
      </c>
      <c r="BV361">
        <v>2</v>
      </c>
      <c r="BW361">
        <v>4</v>
      </c>
      <c r="BX361">
        <v>3</v>
      </c>
      <c r="BY361">
        <v>6</v>
      </c>
      <c r="BZ361">
        <v>6</v>
      </c>
      <c r="CA361">
        <v>9</v>
      </c>
      <c r="CB361">
        <v>8</v>
      </c>
      <c r="CC361">
        <v>5</v>
      </c>
      <c r="CD361">
        <v>0</v>
      </c>
      <c r="CE361">
        <v>10</v>
      </c>
      <c r="CF361">
        <v>2</v>
      </c>
      <c r="CG361">
        <v>2</v>
      </c>
      <c r="CH361">
        <v>5</v>
      </c>
      <c r="CI361">
        <v>2</v>
      </c>
      <c r="CJ361">
        <v>6</v>
      </c>
      <c r="CK361">
        <v>7</v>
      </c>
      <c r="CL361">
        <v>10</v>
      </c>
      <c r="CM361">
        <v>1</v>
      </c>
      <c r="CN361">
        <v>2</v>
      </c>
      <c r="CO361">
        <v>10</v>
      </c>
      <c r="CP361">
        <v>5</v>
      </c>
      <c r="CQ361">
        <v>8</v>
      </c>
      <c r="CR361">
        <v>5</v>
      </c>
      <c r="CS361">
        <v>5</v>
      </c>
      <c r="CT361">
        <v>10</v>
      </c>
      <c r="CU361">
        <v>9</v>
      </c>
      <c r="CV361">
        <v>6</v>
      </c>
      <c r="CW361">
        <v>2</v>
      </c>
      <c r="CX361">
        <v>1</v>
      </c>
      <c r="CY361">
        <v>1</v>
      </c>
      <c r="CZ361">
        <v>0</v>
      </c>
      <c r="DA361">
        <v>5</v>
      </c>
      <c r="DB361">
        <v>10</v>
      </c>
      <c r="DC361">
        <v>7</v>
      </c>
      <c r="DD361">
        <v>1</v>
      </c>
      <c r="DE361">
        <v>4</v>
      </c>
      <c r="DF361">
        <v>10</v>
      </c>
      <c r="DG361">
        <v>3</v>
      </c>
      <c r="DH361">
        <v>9</v>
      </c>
      <c r="DI361">
        <v>4</v>
      </c>
      <c r="DJ361">
        <v>7</v>
      </c>
      <c r="DK361">
        <v>2</v>
      </c>
    </row>
    <row r="362" spans="1:115">
      <c r="A362" s="173">
        <f>Calculations[[#This Row],[Sum t eCO2]]*IF(Calculations[[#This Row],[GHG Scope]]="BIOGENIC",0,1)</f>
        <v>0.39633345108000007</v>
      </c>
      <c r="O362">
        <f t="shared" si="5"/>
        <v>361</v>
      </c>
      <c r="P362">
        <v>8</v>
      </c>
      <c r="Q362">
        <v>9</v>
      </c>
      <c r="R362">
        <v>9</v>
      </c>
      <c r="S362">
        <v>10</v>
      </c>
      <c r="T362">
        <v>8</v>
      </c>
      <c r="U362">
        <v>0</v>
      </c>
      <c r="V362">
        <v>0</v>
      </c>
      <c r="W362">
        <v>9</v>
      </c>
      <c r="X362">
        <v>4</v>
      </c>
      <c r="Y362">
        <v>1</v>
      </c>
      <c r="Z362">
        <v>8</v>
      </c>
      <c r="AA362">
        <v>9</v>
      </c>
      <c r="AB362">
        <v>1</v>
      </c>
      <c r="AC362">
        <v>1</v>
      </c>
      <c r="AD362">
        <v>10</v>
      </c>
      <c r="AE362">
        <v>0</v>
      </c>
      <c r="AF362">
        <v>4</v>
      </c>
      <c r="AG362">
        <v>6</v>
      </c>
      <c r="AH362">
        <v>2</v>
      </c>
      <c r="AI362">
        <v>0</v>
      </c>
      <c r="AJ362">
        <v>1</v>
      </c>
      <c r="AK362">
        <v>4</v>
      </c>
      <c r="AL362">
        <v>8</v>
      </c>
      <c r="AM362">
        <v>5</v>
      </c>
      <c r="AN362">
        <v>7</v>
      </c>
      <c r="AO362">
        <v>9</v>
      </c>
      <c r="AP362">
        <v>8</v>
      </c>
      <c r="AQ362">
        <v>9</v>
      </c>
      <c r="AR362">
        <v>5</v>
      </c>
      <c r="AS362">
        <v>4</v>
      </c>
      <c r="AT362">
        <v>4</v>
      </c>
      <c r="AU362">
        <v>4</v>
      </c>
      <c r="AV362">
        <v>2</v>
      </c>
      <c r="AW362">
        <v>2</v>
      </c>
      <c r="AX362">
        <v>3</v>
      </c>
      <c r="AY362">
        <v>8</v>
      </c>
      <c r="AZ362">
        <v>3</v>
      </c>
      <c r="BA362">
        <v>4</v>
      </c>
      <c r="BB362">
        <v>8</v>
      </c>
      <c r="BC362">
        <v>6</v>
      </c>
      <c r="BD362">
        <v>3</v>
      </c>
      <c r="BE362">
        <v>0</v>
      </c>
      <c r="BF362">
        <v>8</v>
      </c>
      <c r="BG362">
        <v>3</v>
      </c>
      <c r="BH362">
        <v>8</v>
      </c>
      <c r="BI362">
        <v>2</v>
      </c>
      <c r="BJ362">
        <v>5</v>
      </c>
      <c r="BK362">
        <v>2</v>
      </c>
      <c r="BL362">
        <v>2</v>
      </c>
      <c r="BM362">
        <v>0</v>
      </c>
      <c r="BN362">
        <v>4</v>
      </c>
      <c r="BO362">
        <v>7</v>
      </c>
      <c r="BP362">
        <v>9</v>
      </c>
      <c r="BQ362">
        <v>1</v>
      </c>
      <c r="BR362">
        <v>7</v>
      </c>
      <c r="BS362">
        <v>5</v>
      </c>
      <c r="BT362">
        <v>2</v>
      </c>
      <c r="BU362">
        <v>0</v>
      </c>
      <c r="BV362">
        <v>9</v>
      </c>
      <c r="BW362">
        <v>0</v>
      </c>
      <c r="BX362">
        <v>7</v>
      </c>
      <c r="BY362">
        <v>9</v>
      </c>
      <c r="BZ362">
        <v>10</v>
      </c>
      <c r="CA362">
        <v>4</v>
      </c>
      <c r="CB362">
        <v>7</v>
      </c>
      <c r="CC362">
        <v>2</v>
      </c>
      <c r="CD362">
        <v>6</v>
      </c>
      <c r="CE362">
        <v>1</v>
      </c>
      <c r="CF362">
        <v>5</v>
      </c>
      <c r="CG362">
        <v>7</v>
      </c>
      <c r="CH362">
        <v>1</v>
      </c>
      <c r="CI362">
        <v>10</v>
      </c>
      <c r="CJ362">
        <v>7</v>
      </c>
      <c r="CK362">
        <v>6</v>
      </c>
      <c r="CL362">
        <v>7</v>
      </c>
      <c r="CM362">
        <v>8</v>
      </c>
      <c r="CN362">
        <v>5</v>
      </c>
      <c r="CO362">
        <v>5</v>
      </c>
      <c r="CP362">
        <v>4</v>
      </c>
      <c r="CQ362">
        <v>2</v>
      </c>
      <c r="CR362">
        <v>7</v>
      </c>
      <c r="CS362">
        <v>7</v>
      </c>
      <c r="CT362">
        <v>7</v>
      </c>
      <c r="CU362">
        <v>0</v>
      </c>
      <c r="CV362">
        <v>2</v>
      </c>
      <c r="CW362">
        <v>1</v>
      </c>
      <c r="CX362">
        <v>8</v>
      </c>
      <c r="CY362">
        <v>8</v>
      </c>
      <c r="CZ362">
        <v>1</v>
      </c>
      <c r="DA362">
        <v>9</v>
      </c>
      <c r="DB362">
        <v>0</v>
      </c>
      <c r="DC362">
        <v>0</v>
      </c>
      <c r="DD362">
        <v>5</v>
      </c>
      <c r="DE362">
        <v>0</v>
      </c>
      <c r="DF362">
        <v>9</v>
      </c>
      <c r="DG362">
        <v>4</v>
      </c>
      <c r="DH362">
        <v>0</v>
      </c>
      <c r="DI362">
        <v>2</v>
      </c>
      <c r="DJ362">
        <v>8</v>
      </c>
      <c r="DK362">
        <v>10</v>
      </c>
    </row>
    <row r="363" spans="1:115">
      <c r="A363" s="173">
        <f>Calculations[[#This Row],[Sum t eCO2]]*IF(Calculations[[#This Row],[GHG Scope]]="BIOGENIC",0,1)</f>
        <v>0.24348170000000002</v>
      </c>
      <c r="O363">
        <f t="shared" si="5"/>
        <v>362</v>
      </c>
      <c r="P363">
        <v>1</v>
      </c>
      <c r="Q363">
        <v>7</v>
      </c>
      <c r="R363">
        <v>3</v>
      </c>
      <c r="S363">
        <v>9</v>
      </c>
      <c r="T363">
        <v>5</v>
      </c>
      <c r="U363">
        <v>3</v>
      </c>
      <c r="V363">
        <v>7</v>
      </c>
      <c r="W363">
        <v>6</v>
      </c>
      <c r="X363">
        <v>3</v>
      </c>
      <c r="Y363">
        <v>0</v>
      </c>
      <c r="Z363">
        <v>6</v>
      </c>
      <c r="AA363">
        <v>0</v>
      </c>
      <c r="AB363">
        <v>1</v>
      </c>
      <c r="AC363">
        <v>4</v>
      </c>
      <c r="AD363">
        <v>7</v>
      </c>
      <c r="AE363">
        <v>0</v>
      </c>
      <c r="AF363">
        <v>5</v>
      </c>
      <c r="AG363">
        <v>4</v>
      </c>
      <c r="AH363">
        <v>9</v>
      </c>
      <c r="AI363">
        <v>3</v>
      </c>
      <c r="AJ363">
        <v>1</v>
      </c>
      <c r="AK363">
        <v>10</v>
      </c>
      <c r="AL363">
        <v>9</v>
      </c>
      <c r="AM363">
        <v>0</v>
      </c>
      <c r="AN363">
        <v>5</v>
      </c>
      <c r="AO363">
        <v>6</v>
      </c>
      <c r="AP363">
        <v>9</v>
      </c>
      <c r="AQ363">
        <v>0</v>
      </c>
      <c r="AR363">
        <v>0</v>
      </c>
      <c r="AS363">
        <v>6</v>
      </c>
      <c r="AT363">
        <v>8</v>
      </c>
      <c r="AU363">
        <v>7</v>
      </c>
      <c r="AV363">
        <v>5</v>
      </c>
      <c r="AW363">
        <v>4</v>
      </c>
      <c r="AX363">
        <v>0</v>
      </c>
      <c r="AY363">
        <v>1</v>
      </c>
      <c r="AZ363">
        <v>4</v>
      </c>
      <c r="BA363">
        <v>3</v>
      </c>
      <c r="BB363">
        <v>5</v>
      </c>
      <c r="BC363">
        <v>9</v>
      </c>
      <c r="BD363">
        <v>8</v>
      </c>
      <c r="BE363">
        <v>6</v>
      </c>
      <c r="BF363">
        <v>5</v>
      </c>
      <c r="BG363">
        <v>10</v>
      </c>
      <c r="BH363">
        <v>2</v>
      </c>
      <c r="BI363">
        <v>9</v>
      </c>
      <c r="BJ363">
        <v>6</v>
      </c>
      <c r="BK363">
        <v>6</v>
      </c>
      <c r="BL363">
        <v>0</v>
      </c>
      <c r="BM363">
        <v>1</v>
      </c>
      <c r="BN363">
        <v>6</v>
      </c>
      <c r="BO363">
        <v>2</v>
      </c>
      <c r="BP363">
        <v>3</v>
      </c>
      <c r="BQ363">
        <v>10</v>
      </c>
      <c r="BR363">
        <v>4</v>
      </c>
      <c r="BS363">
        <v>3</v>
      </c>
      <c r="BT363">
        <v>1</v>
      </c>
      <c r="BU363">
        <v>4</v>
      </c>
      <c r="BV363">
        <v>9</v>
      </c>
      <c r="BW363">
        <v>10</v>
      </c>
      <c r="BX363">
        <v>7</v>
      </c>
      <c r="BY363">
        <v>3</v>
      </c>
      <c r="BZ363">
        <v>2</v>
      </c>
      <c r="CA363">
        <v>9</v>
      </c>
      <c r="CB363">
        <v>10</v>
      </c>
      <c r="CC363">
        <v>10</v>
      </c>
      <c r="CD363">
        <v>9</v>
      </c>
      <c r="CE363">
        <v>0</v>
      </c>
      <c r="CF363">
        <v>2</v>
      </c>
      <c r="CG363">
        <v>0</v>
      </c>
      <c r="CH363">
        <v>10</v>
      </c>
      <c r="CI363">
        <v>8</v>
      </c>
      <c r="CJ363">
        <v>8</v>
      </c>
      <c r="CK363">
        <v>6</v>
      </c>
      <c r="CL363">
        <v>0</v>
      </c>
      <c r="CM363">
        <v>7</v>
      </c>
      <c r="CN363">
        <v>8</v>
      </c>
      <c r="CO363">
        <v>4</v>
      </c>
      <c r="CP363">
        <v>7</v>
      </c>
      <c r="CQ363">
        <v>10</v>
      </c>
      <c r="CR363">
        <v>10</v>
      </c>
      <c r="CS363">
        <v>6</v>
      </c>
      <c r="CT363">
        <v>7</v>
      </c>
      <c r="CU363">
        <v>0</v>
      </c>
      <c r="CV363">
        <v>7</v>
      </c>
      <c r="CW363">
        <v>3</v>
      </c>
      <c r="CX363">
        <v>10</v>
      </c>
      <c r="CY363">
        <v>9</v>
      </c>
      <c r="CZ363">
        <v>6</v>
      </c>
      <c r="DA363">
        <v>0</v>
      </c>
      <c r="DB363">
        <v>4</v>
      </c>
      <c r="DC363">
        <v>6</v>
      </c>
      <c r="DD363">
        <v>10</v>
      </c>
      <c r="DE363">
        <v>4</v>
      </c>
      <c r="DF363">
        <v>2</v>
      </c>
      <c r="DG363">
        <v>5</v>
      </c>
      <c r="DH363">
        <v>4</v>
      </c>
      <c r="DI363">
        <v>4</v>
      </c>
      <c r="DJ363">
        <v>6</v>
      </c>
      <c r="DK363">
        <v>8</v>
      </c>
    </row>
    <row r="364" spans="1:115">
      <c r="A364" s="173">
        <f>Calculations[[#This Row],[Sum t eCO2]]*IF(Calculations[[#This Row],[GHG Scope]]="BIOGENIC",0,1)</f>
        <v>0.72827452060160014</v>
      </c>
      <c r="O364">
        <f t="shared" si="5"/>
        <v>363</v>
      </c>
      <c r="P364">
        <v>1</v>
      </c>
      <c r="Q364">
        <v>7</v>
      </c>
      <c r="R364">
        <v>3</v>
      </c>
      <c r="S364">
        <v>5</v>
      </c>
      <c r="T364">
        <v>6</v>
      </c>
      <c r="U364">
        <v>9</v>
      </c>
      <c r="V364">
        <v>10</v>
      </c>
      <c r="W364">
        <v>1</v>
      </c>
      <c r="X364">
        <v>2</v>
      </c>
      <c r="Y364">
        <v>3</v>
      </c>
      <c r="Z364">
        <v>0</v>
      </c>
      <c r="AA364">
        <v>7</v>
      </c>
      <c r="AB364">
        <v>7</v>
      </c>
      <c r="AC364">
        <v>2</v>
      </c>
      <c r="AD364">
        <v>9</v>
      </c>
      <c r="AE364">
        <v>1</v>
      </c>
      <c r="AF364">
        <v>4</v>
      </c>
      <c r="AG364">
        <v>5</v>
      </c>
      <c r="AH364">
        <v>1</v>
      </c>
      <c r="AI364">
        <v>9</v>
      </c>
      <c r="AJ364">
        <v>8</v>
      </c>
      <c r="AK364">
        <v>4</v>
      </c>
      <c r="AL364">
        <v>8</v>
      </c>
      <c r="AM364">
        <v>0</v>
      </c>
      <c r="AN364">
        <v>3</v>
      </c>
      <c r="AO364">
        <v>5</v>
      </c>
      <c r="AP364">
        <v>2</v>
      </c>
      <c r="AQ364">
        <v>10</v>
      </c>
      <c r="AR364">
        <v>10</v>
      </c>
      <c r="AS364">
        <v>1</v>
      </c>
      <c r="AT364">
        <v>5</v>
      </c>
      <c r="AU364">
        <v>6</v>
      </c>
      <c r="AV364">
        <v>8</v>
      </c>
      <c r="AW364">
        <v>8</v>
      </c>
      <c r="AX364">
        <v>8</v>
      </c>
      <c r="AY364">
        <v>6</v>
      </c>
      <c r="AZ364">
        <v>10</v>
      </c>
      <c r="BA364">
        <v>9</v>
      </c>
      <c r="BB364">
        <v>8</v>
      </c>
      <c r="BC364">
        <v>2</v>
      </c>
      <c r="BD364">
        <v>8</v>
      </c>
      <c r="BE364">
        <v>3</v>
      </c>
      <c r="BF364">
        <v>1</v>
      </c>
      <c r="BG364">
        <v>9</v>
      </c>
      <c r="BH364">
        <v>0</v>
      </c>
      <c r="BI364">
        <v>1</v>
      </c>
      <c r="BJ364">
        <v>8</v>
      </c>
      <c r="BK364">
        <v>1</v>
      </c>
      <c r="BL364">
        <v>9</v>
      </c>
      <c r="BM364">
        <v>6</v>
      </c>
      <c r="BN364">
        <v>3</v>
      </c>
      <c r="BO364">
        <v>3</v>
      </c>
      <c r="BP364">
        <v>10</v>
      </c>
      <c r="BQ364">
        <v>10</v>
      </c>
      <c r="BR364">
        <v>2</v>
      </c>
      <c r="BS364">
        <v>9</v>
      </c>
      <c r="BT364">
        <v>3</v>
      </c>
      <c r="BU364">
        <v>5</v>
      </c>
      <c r="BV364">
        <v>1</v>
      </c>
      <c r="BW364">
        <v>8</v>
      </c>
      <c r="BX364">
        <v>9</v>
      </c>
      <c r="BY364">
        <v>9</v>
      </c>
      <c r="BZ364">
        <v>5</v>
      </c>
      <c r="CA364">
        <v>5</v>
      </c>
      <c r="CB364">
        <v>4</v>
      </c>
      <c r="CC364">
        <v>5</v>
      </c>
      <c r="CD364">
        <v>4</v>
      </c>
      <c r="CE364">
        <v>4</v>
      </c>
      <c r="CF364">
        <v>6</v>
      </c>
      <c r="CG364">
        <v>2</v>
      </c>
      <c r="CH364">
        <v>1</v>
      </c>
      <c r="CI364">
        <v>0</v>
      </c>
      <c r="CJ364">
        <v>8</v>
      </c>
      <c r="CK364">
        <v>4</v>
      </c>
      <c r="CL364">
        <v>6</v>
      </c>
      <c r="CM364">
        <v>0</v>
      </c>
      <c r="CN364">
        <v>7</v>
      </c>
      <c r="CO364">
        <v>10</v>
      </c>
      <c r="CP364">
        <v>2</v>
      </c>
      <c r="CQ364">
        <v>4</v>
      </c>
      <c r="CR364">
        <v>10</v>
      </c>
      <c r="CS364">
        <v>4</v>
      </c>
      <c r="CT364">
        <v>7</v>
      </c>
      <c r="CU364">
        <v>0</v>
      </c>
      <c r="CV364">
        <v>1</v>
      </c>
      <c r="CW364">
        <v>9</v>
      </c>
      <c r="CX364">
        <v>9</v>
      </c>
      <c r="CY364">
        <v>9</v>
      </c>
      <c r="CZ364">
        <v>3</v>
      </c>
      <c r="DA364">
        <v>2</v>
      </c>
      <c r="DB364">
        <v>7</v>
      </c>
      <c r="DC364">
        <v>6</v>
      </c>
      <c r="DD364">
        <v>5</v>
      </c>
      <c r="DE364">
        <v>0</v>
      </c>
      <c r="DF364">
        <v>3</v>
      </c>
      <c r="DG364">
        <v>10</v>
      </c>
      <c r="DH364">
        <v>3</v>
      </c>
      <c r="DI364">
        <v>5</v>
      </c>
      <c r="DJ364">
        <v>6</v>
      </c>
      <c r="DK364">
        <v>5</v>
      </c>
    </row>
    <row r="365" spans="1:115">
      <c r="A365" s="173">
        <f>Calculations[[#This Row],[Sum t eCO2]]*IF(Calculations[[#This Row],[GHG Scope]]="BIOGENIC",0,1)</f>
        <v>2.00835623</v>
      </c>
      <c r="O365">
        <f t="shared" si="5"/>
        <v>364</v>
      </c>
      <c r="P365">
        <v>3</v>
      </c>
      <c r="Q365">
        <v>2</v>
      </c>
      <c r="R365">
        <v>1</v>
      </c>
      <c r="S365">
        <v>0</v>
      </c>
      <c r="T365">
        <v>9</v>
      </c>
      <c r="U365">
        <v>0</v>
      </c>
      <c r="V365">
        <v>10</v>
      </c>
      <c r="W365">
        <v>0</v>
      </c>
      <c r="X365">
        <v>4</v>
      </c>
      <c r="Y365">
        <v>5</v>
      </c>
      <c r="Z365">
        <v>3</v>
      </c>
      <c r="AA365">
        <v>4</v>
      </c>
      <c r="AB365">
        <v>4</v>
      </c>
      <c r="AC365">
        <v>10</v>
      </c>
      <c r="AD365">
        <v>6</v>
      </c>
      <c r="AE365">
        <v>9</v>
      </c>
      <c r="AF365">
        <v>10</v>
      </c>
      <c r="AG365">
        <v>5</v>
      </c>
      <c r="AH365">
        <v>3</v>
      </c>
      <c r="AI365">
        <v>6</v>
      </c>
      <c r="AJ365">
        <v>7</v>
      </c>
      <c r="AK365">
        <v>4</v>
      </c>
      <c r="AL365">
        <v>3</v>
      </c>
      <c r="AM365">
        <v>1</v>
      </c>
      <c r="AN365">
        <v>1</v>
      </c>
      <c r="AO365">
        <v>9</v>
      </c>
      <c r="AP365">
        <v>8</v>
      </c>
      <c r="AQ365">
        <v>9</v>
      </c>
      <c r="AR365">
        <v>10</v>
      </c>
      <c r="AS365">
        <v>9</v>
      </c>
      <c r="AT365">
        <v>4</v>
      </c>
      <c r="AU365">
        <v>1</v>
      </c>
      <c r="AV365">
        <v>0</v>
      </c>
      <c r="AW365">
        <v>0</v>
      </c>
      <c r="AX365">
        <v>0</v>
      </c>
      <c r="AY365">
        <v>7</v>
      </c>
      <c r="AZ365">
        <v>4</v>
      </c>
      <c r="BA365">
        <v>3</v>
      </c>
      <c r="BB365">
        <v>3</v>
      </c>
      <c r="BC365">
        <v>4</v>
      </c>
      <c r="BD365">
        <v>3</v>
      </c>
      <c r="BE365">
        <v>4</v>
      </c>
      <c r="BF365">
        <v>3</v>
      </c>
      <c r="BG365">
        <v>0</v>
      </c>
      <c r="BH365">
        <v>7</v>
      </c>
      <c r="BI365">
        <v>6</v>
      </c>
      <c r="BJ365">
        <v>7</v>
      </c>
      <c r="BK365">
        <v>0</v>
      </c>
      <c r="BL365">
        <v>6</v>
      </c>
      <c r="BM365">
        <v>8</v>
      </c>
      <c r="BN365">
        <v>6</v>
      </c>
      <c r="BO365">
        <v>6</v>
      </c>
      <c r="BP365">
        <v>5</v>
      </c>
      <c r="BQ365">
        <v>2</v>
      </c>
      <c r="BR365">
        <v>5</v>
      </c>
      <c r="BS365">
        <v>10</v>
      </c>
      <c r="BT365">
        <v>7</v>
      </c>
      <c r="BU365">
        <v>10</v>
      </c>
      <c r="BV365">
        <v>5</v>
      </c>
      <c r="BW365">
        <v>10</v>
      </c>
      <c r="BX365">
        <v>2</v>
      </c>
      <c r="BY365">
        <v>6</v>
      </c>
      <c r="BZ365">
        <v>9</v>
      </c>
      <c r="CA365">
        <v>4</v>
      </c>
      <c r="CB365">
        <v>3</v>
      </c>
      <c r="CC365">
        <v>8</v>
      </c>
      <c r="CD365">
        <v>6</v>
      </c>
      <c r="CE365">
        <v>1</v>
      </c>
      <c r="CF365">
        <v>9</v>
      </c>
      <c r="CG365">
        <v>7</v>
      </c>
      <c r="CH365">
        <v>0</v>
      </c>
      <c r="CI365">
        <v>4</v>
      </c>
      <c r="CJ365">
        <v>0</v>
      </c>
      <c r="CK365">
        <v>3</v>
      </c>
      <c r="CL365">
        <v>2</v>
      </c>
      <c r="CM365">
        <v>10</v>
      </c>
      <c r="CN365">
        <v>1</v>
      </c>
      <c r="CO365">
        <v>9</v>
      </c>
      <c r="CP365">
        <v>3</v>
      </c>
      <c r="CQ365">
        <v>2</v>
      </c>
      <c r="CR365">
        <v>6</v>
      </c>
      <c r="CS365">
        <v>10</v>
      </c>
      <c r="CT365">
        <v>9</v>
      </c>
      <c r="CU365">
        <v>8</v>
      </c>
      <c r="CV365">
        <v>7</v>
      </c>
      <c r="CW365">
        <v>0</v>
      </c>
      <c r="CX365">
        <v>5</v>
      </c>
      <c r="CY365">
        <v>6</v>
      </c>
      <c r="CZ365">
        <v>0</v>
      </c>
      <c r="DA365">
        <v>5</v>
      </c>
      <c r="DB365">
        <v>3</v>
      </c>
      <c r="DC365">
        <v>2</v>
      </c>
      <c r="DD365">
        <v>1</v>
      </c>
      <c r="DE365">
        <v>2</v>
      </c>
      <c r="DF365">
        <v>8</v>
      </c>
      <c r="DG365">
        <v>3</v>
      </c>
      <c r="DH365">
        <v>1</v>
      </c>
      <c r="DI365">
        <v>9</v>
      </c>
      <c r="DJ365">
        <v>7</v>
      </c>
      <c r="DK365">
        <v>0</v>
      </c>
    </row>
    <row r="366" spans="1:115">
      <c r="A366" s="173">
        <f>Calculations[[#This Row],[Sum t eCO2]]*IF(Calculations[[#This Row],[GHG Scope]]="BIOGENIC",0,1)</f>
        <v>0.45298427199999997</v>
      </c>
      <c r="O366">
        <f t="shared" si="5"/>
        <v>365</v>
      </c>
      <c r="P366">
        <v>4</v>
      </c>
      <c r="Q366">
        <v>7</v>
      </c>
      <c r="R366">
        <v>10</v>
      </c>
      <c r="S366">
        <v>7</v>
      </c>
      <c r="T366">
        <v>9</v>
      </c>
      <c r="U366">
        <v>8</v>
      </c>
      <c r="V366">
        <v>10</v>
      </c>
      <c r="W366">
        <v>9</v>
      </c>
      <c r="X366">
        <v>10</v>
      </c>
      <c r="Y366">
        <v>5</v>
      </c>
      <c r="Z366">
        <v>2</v>
      </c>
      <c r="AA366">
        <v>0</v>
      </c>
      <c r="AB366">
        <v>3</v>
      </c>
      <c r="AC366">
        <v>10</v>
      </c>
      <c r="AD366">
        <v>10</v>
      </c>
      <c r="AE366">
        <v>0</v>
      </c>
      <c r="AF366">
        <v>8</v>
      </c>
      <c r="AG366">
        <v>8</v>
      </c>
      <c r="AH366">
        <v>7</v>
      </c>
      <c r="AI366">
        <v>6</v>
      </c>
      <c r="AJ366">
        <v>5</v>
      </c>
      <c r="AK366">
        <v>5</v>
      </c>
      <c r="AL366">
        <v>9</v>
      </c>
      <c r="AM366">
        <v>5</v>
      </c>
      <c r="AN366">
        <v>1</v>
      </c>
      <c r="AO366">
        <v>9</v>
      </c>
      <c r="AP366">
        <v>4</v>
      </c>
      <c r="AQ366">
        <v>7</v>
      </c>
      <c r="AR366">
        <v>9</v>
      </c>
      <c r="AS366">
        <v>3</v>
      </c>
      <c r="AT366">
        <v>2</v>
      </c>
      <c r="AU366">
        <v>0</v>
      </c>
      <c r="AV366">
        <v>6</v>
      </c>
      <c r="AW366">
        <v>3</v>
      </c>
      <c r="AX366">
        <v>4</v>
      </c>
      <c r="AY366">
        <v>9</v>
      </c>
      <c r="AZ366">
        <v>7</v>
      </c>
      <c r="BA366">
        <v>10</v>
      </c>
      <c r="BB366">
        <v>5</v>
      </c>
      <c r="BC366">
        <v>4</v>
      </c>
      <c r="BD366">
        <v>1</v>
      </c>
      <c r="BE366">
        <v>6</v>
      </c>
      <c r="BF366">
        <v>5</v>
      </c>
      <c r="BG366">
        <v>7</v>
      </c>
      <c r="BH366">
        <v>8</v>
      </c>
      <c r="BI366">
        <v>8</v>
      </c>
      <c r="BJ366">
        <v>7</v>
      </c>
      <c r="BK366">
        <v>8</v>
      </c>
      <c r="BL366">
        <v>10</v>
      </c>
      <c r="BM366">
        <v>9</v>
      </c>
      <c r="BN366">
        <v>3</v>
      </c>
      <c r="BO366">
        <v>3</v>
      </c>
      <c r="BP366">
        <v>1</v>
      </c>
      <c r="BQ366">
        <v>5</v>
      </c>
      <c r="BR366">
        <v>1</v>
      </c>
      <c r="BS366">
        <v>0</v>
      </c>
      <c r="BT366">
        <v>8</v>
      </c>
      <c r="BU366">
        <v>9</v>
      </c>
      <c r="BV366">
        <v>6</v>
      </c>
      <c r="BW366">
        <v>6</v>
      </c>
      <c r="BX366">
        <v>4</v>
      </c>
      <c r="BY366">
        <v>3</v>
      </c>
      <c r="BZ366">
        <v>3</v>
      </c>
      <c r="CA366">
        <v>5</v>
      </c>
      <c r="CB366">
        <v>2</v>
      </c>
      <c r="CC366">
        <v>3</v>
      </c>
      <c r="CD366">
        <v>6</v>
      </c>
      <c r="CE366">
        <v>7</v>
      </c>
      <c r="CF366">
        <v>9</v>
      </c>
      <c r="CG366">
        <v>2</v>
      </c>
      <c r="CH366">
        <v>9</v>
      </c>
      <c r="CI366">
        <v>0</v>
      </c>
      <c r="CJ366">
        <v>9</v>
      </c>
      <c r="CK366">
        <v>4</v>
      </c>
      <c r="CL366">
        <v>0</v>
      </c>
      <c r="CM366">
        <v>10</v>
      </c>
      <c r="CN366">
        <v>6</v>
      </c>
      <c r="CO366">
        <v>10</v>
      </c>
      <c r="CP366">
        <v>3</v>
      </c>
      <c r="CQ366">
        <v>5</v>
      </c>
      <c r="CR366">
        <v>5</v>
      </c>
      <c r="CS366">
        <v>1</v>
      </c>
      <c r="CT366">
        <v>6</v>
      </c>
      <c r="CU366">
        <v>5</v>
      </c>
      <c r="CV366">
        <v>1</v>
      </c>
      <c r="CW366">
        <v>9</v>
      </c>
      <c r="CX366">
        <v>9</v>
      </c>
      <c r="CY366">
        <v>8</v>
      </c>
      <c r="CZ366">
        <v>4</v>
      </c>
      <c r="DA366">
        <v>3</v>
      </c>
      <c r="DB366">
        <v>0</v>
      </c>
      <c r="DC366">
        <v>2</v>
      </c>
      <c r="DD366">
        <v>4</v>
      </c>
      <c r="DE366">
        <v>0</v>
      </c>
      <c r="DF366">
        <v>9</v>
      </c>
      <c r="DG366">
        <v>6</v>
      </c>
      <c r="DH366">
        <v>3</v>
      </c>
      <c r="DI366">
        <v>2</v>
      </c>
      <c r="DJ366">
        <v>7</v>
      </c>
      <c r="DK366">
        <v>8</v>
      </c>
    </row>
    <row r="367" spans="1:115">
      <c r="A367" s="173">
        <f>Calculations[[#This Row],[Sum t eCO2]]*IF(Calculations[[#This Row],[GHG Scope]]="BIOGENIC",0,1)</f>
        <v>2.3118942E-2</v>
      </c>
      <c r="O367">
        <f t="shared" si="5"/>
        <v>366</v>
      </c>
      <c r="P367">
        <v>5</v>
      </c>
      <c r="Q367">
        <v>10</v>
      </c>
      <c r="R367">
        <v>9</v>
      </c>
      <c r="S367">
        <v>8</v>
      </c>
      <c r="T367">
        <v>10</v>
      </c>
      <c r="U367">
        <v>10</v>
      </c>
      <c r="V367">
        <v>4</v>
      </c>
      <c r="W367">
        <v>1</v>
      </c>
      <c r="X367">
        <v>4</v>
      </c>
      <c r="Y367">
        <v>0</v>
      </c>
      <c r="Z367">
        <v>0</v>
      </c>
      <c r="AA367">
        <v>10</v>
      </c>
      <c r="AB367">
        <v>2</v>
      </c>
      <c r="AC367">
        <v>4</v>
      </c>
      <c r="AD367">
        <v>2</v>
      </c>
      <c r="AE367">
        <v>1</v>
      </c>
      <c r="AF367">
        <v>7</v>
      </c>
      <c r="AG367">
        <v>5</v>
      </c>
      <c r="AH367">
        <v>9</v>
      </c>
      <c r="AI367">
        <v>1</v>
      </c>
      <c r="AJ367">
        <v>3</v>
      </c>
      <c r="AK367">
        <v>3</v>
      </c>
      <c r="AL367">
        <v>9</v>
      </c>
      <c r="AM367">
        <v>2</v>
      </c>
      <c r="AN367">
        <v>10</v>
      </c>
      <c r="AO367">
        <v>10</v>
      </c>
      <c r="AP367">
        <v>7</v>
      </c>
      <c r="AQ367">
        <v>5</v>
      </c>
      <c r="AR367">
        <v>1</v>
      </c>
      <c r="AS367">
        <v>3</v>
      </c>
      <c r="AT367">
        <v>6</v>
      </c>
      <c r="AU367">
        <v>6</v>
      </c>
      <c r="AV367">
        <v>8</v>
      </c>
      <c r="AW367">
        <v>0</v>
      </c>
      <c r="AX367">
        <v>3</v>
      </c>
      <c r="AY367">
        <v>3</v>
      </c>
      <c r="AZ367">
        <v>1</v>
      </c>
      <c r="BA367">
        <v>3</v>
      </c>
      <c r="BB367">
        <v>8</v>
      </c>
      <c r="BC367">
        <v>2</v>
      </c>
      <c r="BD367">
        <v>4</v>
      </c>
      <c r="BE367">
        <v>9</v>
      </c>
      <c r="BF367">
        <v>8</v>
      </c>
      <c r="BG367">
        <v>8</v>
      </c>
      <c r="BH367">
        <v>8</v>
      </c>
      <c r="BI367">
        <v>7</v>
      </c>
      <c r="BJ367">
        <v>4</v>
      </c>
      <c r="BK367">
        <v>9</v>
      </c>
      <c r="BL367">
        <v>5</v>
      </c>
      <c r="BM367">
        <v>3</v>
      </c>
      <c r="BN367">
        <v>1</v>
      </c>
      <c r="BO367">
        <v>4</v>
      </c>
      <c r="BP367">
        <v>0</v>
      </c>
      <c r="BQ367">
        <v>6</v>
      </c>
      <c r="BR367">
        <v>1</v>
      </c>
      <c r="BS367">
        <v>10</v>
      </c>
      <c r="BT367">
        <v>1</v>
      </c>
      <c r="BU367">
        <v>6</v>
      </c>
      <c r="BV367">
        <v>5</v>
      </c>
      <c r="BW367">
        <v>2</v>
      </c>
      <c r="BX367">
        <v>4</v>
      </c>
      <c r="BY367">
        <v>3</v>
      </c>
      <c r="BZ367">
        <v>6</v>
      </c>
      <c r="CA367">
        <v>1</v>
      </c>
      <c r="CB367">
        <v>1</v>
      </c>
      <c r="CC367">
        <v>6</v>
      </c>
      <c r="CD367">
        <v>4</v>
      </c>
      <c r="CE367">
        <v>5</v>
      </c>
      <c r="CF367">
        <v>2</v>
      </c>
      <c r="CG367">
        <v>1</v>
      </c>
      <c r="CH367">
        <v>7</v>
      </c>
      <c r="CI367">
        <v>3</v>
      </c>
      <c r="CJ367">
        <v>4</v>
      </c>
      <c r="CK367">
        <v>7</v>
      </c>
      <c r="CL367">
        <v>1</v>
      </c>
      <c r="CM367">
        <v>4</v>
      </c>
      <c r="CN367">
        <v>6</v>
      </c>
      <c r="CO367">
        <v>9</v>
      </c>
      <c r="CP367">
        <v>5</v>
      </c>
      <c r="CQ367">
        <v>6</v>
      </c>
      <c r="CR367">
        <v>6</v>
      </c>
      <c r="CS367">
        <v>0</v>
      </c>
      <c r="CT367">
        <v>5</v>
      </c>
      <c r="CU367">
        <v>10</v>
      </c>
      <c r="CV367">
        <v>4</v>
      </c>
      <c r="CW367">
        <v>7</v>
      </c>
      <c r="CX367">
        <v>5</v>
      </c>
      <c r="CY367">
        <v>5</v>
      </c>
      <c r="CZ367">
        <v>1</v>
      </c>
      <c r="DA367">
        <v>4</v>
      </c>
      <c r="DB367">
        <v>3</v>
      </c>
      <c r="DC367">
        <v>10</v>
      </c>
      <c r="DD367">
        <v>7</v>
      </c>
      <c r="DE367">
        <v>8</v>
      </c>
      <c r="DF367">
        <v>10</v>
      </c>
      <c r="DG367">
        <v>9</v>
      </c>
      <c r="DH367">
        <v>8</v>
      </c>
      <c r="DI367">
        <v>2</v>
      </c>
      <c r="DJ367">
        <v>5</v>
      </c>
      <c r="DK367">
        <v>2</v>
      </c>
    </row>
    <row r="368" spans="1:115">
      <c r="A368" s="173">
        <f>Calculations[[#This Row],[Sum t eCO2]]*IF(Calculations[[#This Row],[GHG Scope]]="BIOGENIC",0,1)</f>
        <v>0.59097500000000003</v>
      </c>
      <c r="O368">
        <f t="shared" si="5"/>
        <v>367</v>
      </c>
      <c r="P368">
        <v>10</v>
      </c>
      <c r="Q368">
        <v>2</v>
      </c>
      <c r="R368">
        <v>7</v>
      </c>
      <c r="S368">
        <v>10</v>
      </c>
      <c r="T368">
        <v>1</v>
      </c>
      <c r="U368">
        <v>4</v>
      </c>
      <c r="V368">
        <v>10</v>
      </c>
      <c r="W368">
        <v>8</v>
      </c>
      <c r="X368">
        <v>2</v>
      </c>
      <c r="Y368">
        <v>0</v>
      </c>
      <c r="Z368">
        <v>8</v>
      </c>
      <c r="AA368">
        <v>6</v>
      </c>
      <c r="AB368">
        <v>9</v>
      </c>
      <c r="AC368">
        <v>0</v>
      </c>
      <c r="AD368">
        <v>8</v>
      </c>
      <c r="AE368">
        <v>0</v>
      </c>
      <c r="AF368">
        <v>7</v>
      </c>
      <c r="AG368">
        <v>3</v>
      </c>
      <c r="AH368">
        <v>4</v>
      </c>
      <c r="AI368">
        <v>4</v>
      </c>
      <c r="AJ368">
        <v>10</v>
      </c>
      <c r="AK368">
        <v>7</v>
      </c>
      <c r="AL368">
        <v>1</v>
      </c>
      <c r="AM368">
        <v>0</v>
      </c>
      <c r="AN368">
        <v>9</v>
      </c>
      <c r="AO368">
        <v>0</v>
      </c>
      <c r="AP368">
        <v>4</v>
      </c>
      <c r="AQ368">
        <v>4</v>
      </c>
      <c r="AR368">
        <v>5</v>
      </c>
      <c r="AS368">
        <v>6</v>
      </c>
      <c r="AT368">
        <v>4</v>
      </c>
      <c r="AU368">
        <v>2</v>
      </c>
      <c r="AV368">
        <v>2</v>
      </c>
      <c r="AW368">
        <v>0</v>
      </c>
      <c r="AX368">
        <v>2</v>
      </c>
      <c r="AY368">
        <v>2</v>
      </c>
      <c r="AZ368">
        <v>9</v>
      </c>
      <c r="BA368">
        <v>4</v>
      </c>
      <c r="BB368">
        <v>7</v>
      </c>
      <c r="BC368">
        <v>7</v>
      </c>
      <c r="BD368">
        <v>8</v>
      </c>
      <c r="BE368">
        <v>3</v>
      </c>
      <c r="BF368">
        <v>6</v>
      </c>
      <c r="BG368">
        <v>1</v>
      </c>
      <c r="BH368">
        <v>3</v>
      </c>
      <c r="BI368">
        <v>3</v>
      </c>
      <c r="BJ368">
        <v>9</v>
      </c>
      <c r="BK368">
        <v>10</v>
      </c>
      <c r="BL368">
        <v>1</v>
      </c>
      <c r="BM368">
        <v>0</v>
      </c>
      <c r="BN368">
        <v>7</v>
      </c>
      <c r="BO368">
        <v>7</v>
      </c>
      <c r="BP368">
        <v>7</v>
      </c>
      <c r="BQ368">
        <v>6</v>
      </c>
      <c r="BR368">
        <v>3</v>
      </c>
      <c r="BS368">
        <v>0</v>
      </c>
      <c r="BT368">
        <v>7</v>
      </c>
      <c r="BU368">
        <v>9</v>
      </c>
      <c r="BV368">
        <v>1</v>
      </c>
      <c r="BW368">
        <v>3</v>
      </c>
      <c r="BX368">
        <v>7</v>
      </c>
      <c r="BY368">
        <v>9</v>
      </c>
      <c r="BZ368">
        <v>7</v>
      </c>
      <c r="CA368">
        <v>9</v>
      </c>
      <c r="CB368">
        <v>9</v>
      </c>
      <c r="CC368">
        <v>7</v>
      </c>
      <c r="CD368">
        <v>5</v>
      </c>
      <c r="CE368">
        <v>6</v>
      </c>
      <c r="CF368">
        <v>3</v>
      </c>
      <c r="CG368">
        <v>0</v>
      </c>
      <c r="CH368">
        <v>9</v>
      </c>
      <c r="CI368">
        <v>0</v>
      </c>
      <c r="CJ368">
        <v>7</v>
      </c>
      <c r="CK368">
        <v>10</v>
      </c>
      <c r="CL368">
        <v>4</v>
      </c>
      <c r="CM368">
        <v>4</v>
      </c>
      <c r="CN368">
        <v>1</v>
      </c>
      <c r="CO368">
        <v>0</v>
      </c>
      <c r="CP368">
        <v>8</v>
      </c>
      <c r="CQ368">
        <v>9</v>
      </c>
      <c r="CR368">
        <v>10</v>
      </c>
      <c r="CS368">
        <v>4</v>
      </c>
      <c r="CT368">
        <v>8</v>
      </c>
      <c r="CU368">
        <v>1</v>
      </c>
      <c r="CV368">
        <v>7</v>
      </c>
      <c r="CW368">
        <v>8</v>
      </c>
      <c r="CX368">
        <v>10</v>
      </c>
      <c r="CY368">
        <v>2</v>
      </c>
      <c r="CZ368">
        <v>10</v>
      </c>
      <c r="DA368">
        <v>10</v>
      </c>
      <c r="DB368">
        <v>6</v>
      </c>
      <c r="DC368">
        <v>6</v>
      </c>
      <c r="DD368">
        <v>4</v>
      </c>
      <c r="DE368">
        <v>4</v>
      </c>
      <c r="DF368">
        <v>5</v>
      </c>
      <c r="DG368">
        <v>4</v>
      </c>
      <c r="DH368">
        <v>2</v>
      </c>
      <c r="DI368">
        <v>7</v>
      </c>
      <c r="DJ368">
        <v>2</v>
      </c>
      <c r="DK368">
        <v>1</v>
      </c>
    </row>
    <row r="369" spans="1:115">
      <c r="A369" s="173">
        <f>Calculations[[#This Row],[Sum t eCO2]]*IF(Calculations[[#This Row],[GHG Scope]]="BIOGENIC",0,1)</f>
        <v>9.0022022999999981E-4</v>
      </c>
      <c r="O369">
        <f t="shared" si="5"/>
        <v>368</v>
      </c>
      <c r="P369">
        <v>10</v>
      </c>
      <c r="Q369">
        <v>7</v>
      </c>
      <c r="R369">
        <v>4</v>
      </c>
      <c r="S369">
        <v>4</v>
      </c>
      <c r="T369">
        <v>4</v>
      </c>
      <c r="U369">
        <v>0</v>
      </c>
      <c r="V369">
        <v>4</v>
      </c>
      <c r="W369">
        <v>4</v>
      </c>
      <c r="X369">
        <v>6</v>
      </c>
      <c r="Y369">
        <v>8</v>
      </c>
      <c r="Z369">
        <v>7</v>
      </c>
      <c r="AA369">
        <v>10</v>
      </c>
      <c r="AB369">
        <v>0</v>
      </c>
      <c r="AC369">
        <v>2</v>
      </c>
      <c r="AD369">
        <v>5</v>
      </c>
      <c r="AE369">
        <v>0</v>
      </c>
      <c r="AF369">
        <v>2</v>
      </c>
      <c r="AG369">
        <v>2</v>
      </c>
      <c r="AH369">
        <v>4</v>
      </c>
      <c r="AI369">
        <v>7</v>
      </c>
      <c r="AJ369">
        <v>1</v>
      </c>
      <c r="AK369">
        <v>1</v>
      </c>
      <c r="AL369">
        <v>7</v>
      </c>
      <c r="AM369">
        <v>3</v>
      </c>
      <c r="AN369">
        <v>7</v>
      </c>
      <c r="AO369">
        <v>1</v>
      </c>
      <c r="AP369">
        <v>0</v>
      </c>
      <c r="AQ369">
        <v>0</v>
      </c>
      <c r="AR369">
        <v>9</v>
      </c>
      <c r="AS369">
        <v>8</v>
      </c>
      <c r="AT369">
        <v>8</v>
      </c>
      <c r="AU369">
        <v>4</v>
      </c>
      <c r="AV369">
        <v>7</v>
      </c>
      <c r="AW369">
        <v>8</v>
      </c>
      <c r="AX369">
        <v>10</v>
      </c>
      <c r="AY369">
        <v>3</v>
      </c>
      <c r="AZ369">
        <v>2</v>
      </c>
      <c r="BA369">
        <v>8</v>
      </c>
      <c r="BB369">
        <v>1</v>
      </c>
      <c r="BC369">
        <v>6</v>
      </c>
      <c r="BD369">
        <v>4</v>
      </c>
      <c r="BE369">
        <v>4</v>
      </c>
      <c r="BF369">
        <v>0</v>
      </c>
      <c r="BG369">
        <v>3</v>
      </c>
      <c r="BH369">
        <v>8</v>
      </c>
      <c r="BI369">
        <v>9</v>
      </c>
      <c r="BJ369">
        <v>0</v>
      </c>
      <c r="BK369">
        <v>4</v>
      </c>
      <c r="BL369">
        <v>1</v>
      </c>
      <c r="BM369">
        <v>0</v>
      </c>
      <c r="BN369">
        <v>0</v>
      </c>
      <c r="BO369">
        <v>7</v>
      </c>
      <c r="BP369">
        <v>3</v>
      </c>
      <c r="BQ369">
        <v>0</v>
      </c>
      <c r="BR369">
        <v>1</v>
      </c>
      <c r="BS369">
        <v>4</v>
      </c>
      <c r="BT369">
        <v>8</v>
      </c>
      <c r="BU369">
        <v>1</v>
      </c>
      <c r="BV369">
        <v>7</v>
      </c>
      <c r="BW369">
        <v>3</v>
      </c>
      <c r="BX369">
        <v>6</v>
      </c>
      <c r="BY369">
        <v>6</v>
      </c>
      <c r="BZ369">
        <v>2</v>
      </c>
      <c r="CA369">
        <v>9</v>
      </c>
      <c r="CB369">
        <v>10</v>
      </c>
      <c r="CC369">
        <v>3</v>
      </c>
      <c r="CD369">
        <v>1</v>
      </c>
      <c r="CE369">
        <v>7</v>
      </c>
      <c r="CF369">
        <v>8</v>
      </c>
      <c r="CG369">
        <v>5</v>
      </c>
      <c r="CH369">
        <v>8</v>
      </c>
      <c r="CI369">
        <v>2</v>
      </c>
      <c r="CJ369">
        <v>0</v>
      </c>
      <c r="CK369">
        <v>9</v>
      </c>
      <c r="CL369">
        <v>5</v>
      </c>
      <c r="CM369">
        <v>7</v>
      </c>
      <c r="CN369">
        <v>4</v>
      </c>
      <c r="CO369">
        <v>6</v>
      </c>
      <c r="CP369">
        <v>9</v>
      </c>
      <c r="CQ369">
        <v>3</v>
      </c>
      <c r="CR369">
        <v>6</v>
      </c>
      <c r="CS369">
        <v>1</v>
      </c>
      <c r="CT369">
        <v>5</v>
      </c>
      <c r="CU369">
        <v>1</v>
      </c>
      <c r="CV369">
        <v>1</v>
      </c>
      <c r="CW369">
        <v>0</v>
      </c>
      <c r="CX369">
        <v>1</v>
      </c>
      <c r="CY369">
        <v>6</v>
      </c>
      <c r="CZ369">
        <v>2</v>
      </c>
      <c r="DA369">
        <v>9</v>
      </c>
      <c r="DB369">
        <v>4</v>
      </c>
      <c r="DC369">
        <v>9</v>
      </c>
      <c r="DD369">
        <v>7</v>
      </c>
      <c r="DE369">
        <v>7</v>
      </c>
      <c r="DF369">
        <v>6</v>
      </c>
      <c r="DG369">
        <v>3</v>
      </c>
      <c r="DH369">
        <v>9</v>
      </c>
      <c r="DI369">
        <v>6</v>
      </c>
      <c r="DJ369">
        <v>5</v>
      </c>
      <c r="DK369">
        <v>0</v>
      </c>
    </row>
    <row r="370" spans="1:115">
      <c r="A370" s="173">
        <f>Calculations[[#This Row],[Sum t eCO2]]*IF(Calculations[[#This Row],[GHG Scope]]="BIOGENIC",0,1)</f>
        <v>0.11821902582000002</v>
      </c>
      <c r="O370">
        <f t="shared" si="5"/>
        <v>369</v>
      </c>
      <c r="P370">
        <v>7</v>
      </c>
      <c r="Q370">
        <v>7</v>
      </c>
      <c r="R370">
        <v>0</v>
      </c>
      <c r="S370">
        <v>6</v>
      </c>
      <c r="T370">
        <v>1</v>
      </c>
      <c r="U370">
        <v>1</v>
      </c>
      <c r="V370">
        <v>8</v>
      </c>
      <c r="W370">
        <v>2</v>
      </c>
      <c r="X370">
        <v>0</v>
      </c>
      <c r="Y370">
        <v>9</v>
      </c>
      <c r="Z370">
        <v>4</v>
      </c>
      <c r="AA370">
        <v>1</v>
      </c>
      <c r="AB370">
        <v>6</v>
      </c>
      <c r="AC370">
        <v>0</v>
      </c>
      <c r="AD370">
        <v>6</v>
      </c>
      <c r="AE370">
        <v>0</v>
      </c>
      <c r="AF370">
        <v>7</v>
      </c>
      <c r="AG370">
        <v>2</v>
      </c>
      <c r="AH370">
        <v>2</v>
      </c>
      <c r="AI370">
        <v>9</v>
      </c>
      <c r="AJ370">
        <v>5</v>
      </c>
      <c r="AK370">
        <v>1</v>
      </c>
      <c r="AL370">
        <v>5</v>
      </c>
      <c r="AM370">
        <v>9</v>
      </c>
      <c r="AN370">
        <v>3</v>
      </c>
      <c r="AO370">
        <v>6</v>
      </c>
      <c r="AP370">
        <v>7</v>
      </c>
      <c r="AQ370">
        <v>9</v>
      </c>
      <c r="AR370">
        <v>6</v>
      </c>
      <c r="AS370">
        <v>2</v>
      </c>
      <c r="AT370">
        <v>3</v>
      </c>
      <c r="AU370">
        <v>3</v>
      </c>
      <c r="AV370">
        <v>6</v>
      </c>
      <c r="AW370">
        <v>6</v>
      </c>
      <c r="AX370">
        <v>5</v>
      </c>
      <c r="AY370">
        <v>1</v>
      </c>
      <c r="AZ370">
        <v>1</v>
      </c>
      <c r="BA370">
        <v>10</v>
      </c>
      <c r="BB370">
        <v>9</v>
      </c>
      <c r="BC370">
        <v>8</v>
      </c>
      <c r="BD370">
        <v>1</v>
      </c>
      <c r="BE370">
        <v>2</v>
      </c>
      <c r="BF370">
        <v>10</v>
      </c>
      <c r="BG370">
        <v>7</v>
      </c>
      <c r="BH370">
        <v>4</v>
      </c>
      <c r="BI370">
        <v>8</v>
      </c>
      <c r="BJ370">
        <v>1</v>
      </c>
      <c r="BK370">
        <v>1</v>
      </c>
      <c r="BL370">
        <v>5</v>
      </c>
      <c r="BM370">
        <v>3</v>
      </c>
      <c r="BN370">
        <v>0</v>
      </c>
      <c r="BO370">
        <v>10</v>
      </c>
      <c r="BP370">
        <v>0</v>
      </c>
      <c r="BQ370">
        <v>1</v>
      </c>
      <c r="BR370">
        <v>10</v>
      </c>
      <c r="BS370">
        <v>5</v>
      </c>
      <c r="BT370">
        <v>2</v>
      </c>
      <c r="BU370">
        <v>5</v>
      </c>
      <c r="BV370">
        <v>8</v>
      </c>
      <c r="BW370">
        <v>0</v>
      </c>
      <c r="BX370">
        <v>4</v>
      </c>
      <c r="BY370">
        <v>8</v>
      </c>
      <c r="BZ370">
        <v>4</v>
      </c>
      <c r="CA370">
        <v>9</v>
      </c>
      <c r="CB370">
        <v>9</v>
      </c>
      <c r="CC370">
        <v>1</v>
      </c>
      <c r="CD370">
        <v>10</v>
      </c>
      <c r="CE370">
        <v>3</v>
      </c>
      <c r="CF370">
        <v>8</v>
      </c>
      <c r="CG370">
        <v>2</v>
      </c>
      <c r="CH370">
        <v>9</v>
      </c>
      <c r="CI370">
        <v>7</v>
      </c>
      <c r="CJ370">
        <v>2</v>
      </c>
      <c r="CK370">
        <v>2</v>
      </c>
      <c r="CL370">
        <v>10</v>
      </c>
      <c r="CM370">
        <v>5</v>
      </c>
      <c r="CN370">
        <v>4</v>
      </c>
      <c r="CO370">
        <v>4</v>
      </c>
      <c r="CP370">
        <v>4</v>
      </c>
      <c r="CQ370">
        <v>2</v>
      </c>
      <c r="CR370">
        <v>0</v>
      </c>
      <c r="CS370">
        <v>6</v>
      </c>
      <c r="CT370">
        <v>4</v>
      </c>
      <c r="CU370">
        <v>5</v>
      </c>
      <c r="CV370">
        <v>10</v>
      </c>
      <c r="CW370">
        <v>4</v>
      </c>
      <c r="CX370">
        <v>10</v>
      </c>
      <c r="CY370">
        <v>8</v>
      </c>
      <c r="CZ370">
        <v>10</v>
      </c>
      <c r="DA370">
        <v>0</v>
      </c>
      <c r="DB370">
        <v>9</v>
      </c>
      <c r="DC370">
        <v>6</v>
      </c>
      <c r="DD370">
        <v>0</v>
      </c>
      <c r="DE370">
        <v>1</v>
      </c>
      <c r="DF370">
        <v>2</v>
      </c>
      <c r="DG370">
        <v>4</v>
      </c>
      <c r="DH370">
        <v>7</v>
      </c>
      <c r="DI370">
        <v>5</v>
      </c>
      <c r="DJ370">
        <v>4</v>
      </c>
      <c r="DK370">
        <v>7</v>
      </c>
    </row>
    <row r="371" spans="1:115">
      <c r="A371" s="173">
        <f>Calculations[[#This Row],[Sum t eCO2]]*IF(Calculations[[#This Row],[GHG Scope]]="BIOGENIC",0,1)</f>
        <v>8.3566079999999987E-2</v>
      </c>
      <c r="O371">
        <f t="shared" si="5"/>
        <v>370</v>
      </c>
      <c r="P371">
        <v>0</v>
      </c>
      <c r="Q371">
        <v>0</v>
      </c>
      <c r="R371">
        <v>5</v>
      </c>
      <c r="S371">
        <v>10</v>
      </c>
      <c r="T371">
        <v>0</v>
      </c>
      <c r="U371">
        <v>7</v>
      </c>
      <c r="V371">
        <v>0</v>
      </c>
      <c r="W371">
        <v>3</v>
      </c>
      <c r="X371">
        <v>7</v>
      </c>
      <c r="Y371">
        <v>6</v>
      </c>
      <c r="Z371">
        <v>7</v>
      </c>
      <c r="AA371">
        <v>9</v>
      </c>
      <c r="AB371">
        <v>2</v>
      </c>
      <c r="AC371">
        <v>6</v>
      </c>
      <c r="AD371">
        <v>10</v>
      </c>
      <c r="AE371">
        <v>4</v>
      </c>
      <c r="AF371">
        <v>9</v>
      </c>
      <c r="AG371">
        <v>3</v>
      </c>
      <c r="AH371">
        <v>2</v>
      </c>
      <c r="AI371">
        <v>5</v>
      </c>
      <c r="AJ371">
        <v>5</v>
      </c>
      <c r="AK371">
        <v>2</v>
      </c>
      <c r="AL371">
        <v>1</v>
      </c>
      <c r="AM371">
        <v>2</v>
      </c>
      <c r="AN371">
        <v>7</v>
      </c>
      <c r="AO371">
        <v>4</v>
      </c>
      <c r="AP371">
        <v>1</v>
      </c>
      <c r="AQ371">
        <v>8</v>
      </c>
      <c r="AR371">
        <v>6</v>
      </c>
      <c r="AS371">
        <v>0</v>
      </c>
      <c r="AT371">
        <v>2</v>
      </c>
      <c r="AU371">
        <v>8</v>
      </c>
      <c r="AV371">
        <v>6</v>
      </c>
      <c r="AW371">
        <v>3</v>
      </c>
      <c r="AX371">
        <v>9</v>
      </c>
      <c r="AY371">
        <v>8</v>
      </c>
      <c r="AZ371">
        <v>3</v>
      </c>
      <c r="BA371">
        <v>6</v>
      </c>
      <c r="BB371">
        <v>10</v>
      </c>
      <c r="BC371">
        <v>1</v>
      </c>
      <c r="BD371">
        <v>5</v>
      </c>
      <c r="BE371">
        <v>3</v>
      </c>
      <c r="BF371">
        <v>6</v>
      </c>
      <c r="BG371">
        <v>2</v>
      </c>
      <c r="BH371">
        <v>7</v>
      </c>
      <c r="BI371">
        <v>1</v>
      </c>
      <c r="BJ371">
        <v>0</v>
      </c>
      <c r="BK371">
        <v>6</v>
      </c>
      <c r="BL371">
        <v>5</v>
      </c>
      <c r="BM371">
        <v>6</v>
      </c>
      <c r="BN371">
        <v>0</v>
      </c>
      <c r="BO371">
        <v>5</v>
      </c>
      <c r="BP371">
        <v>5</v>
      </c>
      <c r="BQ371">
        <v>4</v>
      </c>
      <c r="BR371">
        <v>4</v>
      </c>
      <c r="BS371">
        <v>1</v>
      </c>
      <c r="BT371">
        <v>8</v>
      </c>
      <c r="BU371">
        <v>0</v>
      </c>
      <c r="BV371">
        <v>5</v>
      </c>
      <c r="BW371">
        <v>6</v>
      </c>
      <c r="BX371">
        <v>6</v>
      </c>
      <c r="BY371">
        <v>3</v>
      </c>
      <c r="BZ371">
        <v>8</v>
      </c>
      <c r="CA371">
        <v>5</v>
      </c>
      <c r="CB371">
        <v>9</v>
      </c>
      <c r="CC371">
        <v>8</v>
      </c>
      <c r="CD371">
        <v>10</v>
      </c>
      <c r="CE371">
        <v>0</v>
      </c>
      <c r="CF371">
        <v>6</v>
      </c>
      <c r="CG371">
        <v>4</v>
      </c>
      <c r="CH371">
        <v>8</v>
      </c>
      <c r="CI371">
        <v>4</v>
      </c>
      <c r="CJ371">
        <v>5</v>
      </c>
      <c r="CK371">
        <v>6</v>
      </c>
      <c r="CL371">
        <v>7</v>
      </c>
      <c r="CM371">
        <v>4</v>
      </c>
      <c r="CN371">
        <v>0</v>
      </c>
      <c r="CO371">
        <v>5</v>
      </c>
      <c r="CP371">
        <v>2</v>
      </c>
      <c r="CQ371">
        <v>9</v>
      </c>
      <c r="CR371">
        <v>7</v>
      </c>
      <c r="CS371">
        <v>0</v>
      </c>
      <c r="CT371">
        <v>2</v>
      </c>
      <c r="CU371">
        <v>9</v>
      </c>
      <c r="CV371">
        <v>6</v>
      </c>
      <c r="CW371">
        <v>7</v>
      </c>
      <c r="CX371">
        <v>8</v>
      </c>
      <c r="CY371">
        <v>5</v>
      </c>
      <c r="CZ371">
        <v>5</v>
      </c>
      <c r="DA371">
        <v>8</v>
      </c>
      <c r="DB371">
        <v>8</v>
      </c>
      <c r="DC371">
        <v>3</v>
      </c>
      <c r="DD371">
        <v>6</v>
      </c>
      <c r="DE371">
        <v>2</v>
      </c>
      <c r="DF371">
        <v>6</v>
      </c>
      <c r="DG371">
        <v>8</v>
      </c>
      <c r="DH371">
        <v>5</v>
      </c>
      <c r="DI371">
        <v>9</v>
      </c>
      <c r="DJ371">
        <v>2</v>
      </c>
      <c r="DK371">
        <v>10</v>
      </c>
    </row>
    <row r="372" spans="1:115">
      <c r="A372" s="173">
        <f>Calculations[[#This Row],[Sum t eCO2]]*IF(Calculations[[#This Row],[GHG Scope]]="BIOGENIC",0,1)</f>
        <v>1.08875E-2</v>
      </c>
      <c r="O372">
        <f t="shared" si="5"/>
        <v>371</v>
      </c>
      <c r="P372">
        <v>1</v>
      </c>
      <c r="Q372">
        <v>0</v>
      </c>
      <c r="R372">
        <v>10</v>
      </c>
      <c r="S372">
        <v>4</v>
      </c>
      <c r="T372">
        <v>7</v>
      </c>
      <c r="U372">
        <v>2</v>
      </c>
      <c r="V372">
        <v>9</v>
      </c>
      <c r="W372">
        <v>0</v>
      </c>
      <c r="X372">
        <v>8</v>
      </c>
      <c r="Y372">
        <v>6</v>
      </c>
      <c r="Z372">
        <v>8</v>
      </c>
      <c r="AA372">
        <v>5</v>
      </c>
      <c r="AB372">
        <v>1</v>
      </c>
      <c r="AC372">
        <v>10</v>
      </c>
      <c r="AD372">
        <v>4</v>
      </c>
      <c r="AE372">
        <v>9</v>
      </c>
      <c r="AF372">
        <v>9</v>
      </c>
      <c r="AG372">
        <v>10</v>
      </c>
      <c r="AH372">
        <v>9</v>
      </c>
      <c r="AI372">
        <v>10</v>
      </c>
      <c r="AJ372">
        <v>2</v>
      </c>
      <c r="AK372">
        <v>3</v>
      </c>
      <c r="AL372">
        <v>0</v>
      </c>
      <c r="AM372">
        <v>3</v>
      </c>
      <c r="AN372">
        <v>4</v>
      </c>
      <c r="AO372">
        <v>7</v>
      </c>
      <c r="AP372">
        <v>3</v>
      </c>
      <c r="AQ372">
        <v>1</v>
      </c>
      <c r="AR372">
        <v>7</v>
      </c>
      <c r="AS372">
        <v>6</v>
      </c>
      <c r="AT372">
        <v>10</v>
      </c>
      <c r="AU372">
        <v>5</v>
      </c>
      <c r="AV372">
        <v>6</v>
      </c>
      <c r="AW372">
        <v>5</v>
      </c>
      <c r="AX372">
        <v>2</v>
      </c>
      <c r="AY372">
        <v>6</v>
      </c>
      <c r="AZ372">
        <v>10</v>
      </c>
      <c r="BA372">
        <v>3</v>
      </c>
      <c r="BB372">
        <v>5</v>
      </c>
      <c r="BC372">
        <v>8</v>
      </c>
      <c r="BD372">
        <v>7</v>
      </c>
      <c r="BE372">
        <v>6</v>
      </c>
      <c r="BF372">
        <v>6</v>
      </c>
      <c r="BG372">
        <v>2</v>
      </c>
      <c r="BH372">
        <v>4</v>
      </c>
      <c r="BI372">
        <v>7</v>
      </c>
      <c r="BJ372">
        <v>1</v>
      </c>
      <c r="BK372">
        <v>8</v>
      </c>
      <c r="BL372">
        <v>0</v>
      </c>
      <c r="BM372">
        <v>6</v>
      </c>
      <c r="BN372">
        <v>0</v>
      </c>
      <c r="BO372">
        <v>8</v>
      </c>
      <c r="BP372">
        <v>10</v>
      </c>
      <c r="BQ372">
        <v>1</v>
      </c>
      <c r="BR372">
        <v>10</v>
      </c>
      <c r="BS372">
        <v>8</v>
      </c>
      <c r="BT372">
        <v>10</v>
      </c>
      <c r="BU372">
        <v>9</v>
      </c>
      <c r="BV372">
        <v>1</v>
      </c>
      <c r="BW372">
        <v>0</v>
      </c>
      <c r="BX372">
        <v>0</v>
      </c>
      <c r="BY372">
        <v>9</v>
      </c>
      <c r="BZ372">
        <v>8</v>
      </c>
      <c r="CA372">
        <v>3</v>
      </c>
      <c r="CB372">
        <v>6</v>
      </c>
      <c r="CC372">
        <v>4</v>
      </c>
      <c r="CD372">
        <v>7</v>
      </c>
      <c r="CE372">
        <v>10</v>
      </c>
      <c r="CF372">
        <v>1</v>
      </c>
      <c r="CG372">
        <v>4</v>
      </c>
      <c r="CH372">
        <v>5</v>
      </c>
      <c r="CI372">
        <v>4</v>
      </c>
      <c r="CJ372">
        <v>9</v>
      </c>
      <c r="CK372">
        <v>9</v>
      </c>
      <c r="CL372">
        <v>2</v>
      </c>
      <c r="CM372">
        <v>6</v>
      </c>
      <c r="CN372">
        <v>1</v>
      </c>
      <c r="CO372">
        <v>6</v>
      </c>
      <c r="CP372">
        <v>9</v>
      </c>
      <c r="CQ372">
        <v>1</v>
      </c>
      <c r="CR372">
        <v>4</v>
      </c>
      <c r="CS372">
        <v>1</v>
      </c>
      <c r="CT372">
        <v>1</v>
      </c>
      <c r="CU372">
        <v>2</v>
      </c>
      <c r="CV372">
        <v>8</v>
      </c>
      <c r="CW372">
        <v>1</v>
      </c>
      <c r="CX372">
        <v>3</v>
      </c>
      <c r="CY372">
        <v>0</v>
      </c>
      <c r="CZ372">
        <v>5</v>
      </c>
      <c r="DA372">
        <v>7</v>
      </c>
      <c r="DB372">
        <v>5</v>
      </c>
      <c r="DC372">
        <v>10</v>
      </c>
      <c r="DD372">
        <v>9</v>
      </c>
      <c r="DE372">
        <v>1</v>
      </c>
      <c r="DF372">
        <v>5</v>
      </c>
      <c r="DG372">
        <v>0</v>
      </c>
      <c r="DH372">
        <v>1</v>
      </c>
      <c r="DI372">
        <v>9</v>
      </c>
      <c r="DJ372">
        <v>3</v>
      </c>
      <c r="DK372">
        <v>10</v>
      </c>
    </row>
    <row r="373" spans="1:115">
      <c r="A373" s="173">
        <f>Calculations[[#This Row],[Sum t eCO2]]*IF(Calculations[[#This Row],[GHG Scope]]="BIOGENIC",0,1)</f>
        <v>2.4626079270000001</v>
      </c>
      <c r="O373">
        <f t="shared" si="5"/>
        <v>372</v>
      </c>
      <c r="P373">
        <v>7</v>
      </c>
      <c r="Q373">
        <v>4</v>
      </c>
      <c r="R373">
        <v>2</v>
      </c>
      <c r="S373">
        <v>3</v>
      </c>
      <c r="T373">
        <v>3</v>
      </c>
      <c r="U373">
        <v>4</v>
      </c>
      <c r="V373">
        <v>4</v>
      </c>
      <c r="W373">
        <v>9</v>
      </c>
      <c r="X373">
        <v>0</v>
      </c>
      <c r="Y373">
        <v>4</v>
      </c>
      <c r="Z373">
        <v>4</v>
      </c>
      <c r="AA373">
        <v>7</v>
      </c>
      <c r="AB373">
        <v>7</v>
      </c>
      <c r="AC373">
        <v>8</v>
      </c>
      <c r="AD373">
        <v>5</v>
      </c>
      <c r="AE373">
        <v>10</v>
      </c>
      <c r="AF373">
        <v>7</v>
      </c>
      <c r="AG373">
        <v>8</v>
      </c>
      <c r="AH373">
        <v>7</v>
      </c>
      <c r="AI373">
        <v>4</v>
      </c>
      <c r="AJ373">
        <v>6</v>
      </c>
      <c r="AK373">
        <v>0</v>
      </c>
      <c r="AL373">
        <v>5</v>
      </c>
      <c r="AM373">
        <v>6</v>
      </c>
      <c r="AN373">
        <v>3</v>
      </c>
      <c r="AO373">
        <v>10</v>
      </c>
      <c r="AP373">
        <v>1</v>
      </c>
      <c r="AQ373">
        <v>2</v>
      </c>
      <c r="AR373">
        <v>3</v>
      </c>
      <c r="AS373">
        <v>0</v>
      </c>
      <c r="AT373">
        <v>10</v>
      </c>
      <c r="AU373">
        <v>8</v>
      </c>
      <c r="AV373">
        <v>6</v>
      </c>
      <c r="AW373">
        <v>6</v>
      </c>
      <c r="AX373">
        <v>3</v>
      </c>
      <c r="AY373">
        <v>6</v>
      </c>
      <c r="AZ373">
        <v>2</v>
      </c>
      <c r="BA373">
        <v>10</v>
      </c>
      <c r="BB373">
        <v>4</v>
      </c>
      <c r="BC373">
        <v>3</v>
      </c>
      <c r="BD373">
        <v>3</v>
      </c>
      <c r="BE373">
        <v>9</v>
      </c>
      <c r="BF373">
        <v>10</v>
      </c>
      <c r="BG373">
        <v>4</v>
      </c>
      <c r="BH373">
        <v>3</v>
      </c>
      <c r="BI373">
        <v>0</v>
      </c>
      <c r="BJ373">
        <v>8</v>
      </c>
      <c r="BK373">
        <v>10</v>
      </c>
      <c r="BL373">
        <v>4</v>
      </c>
      <c r="BM373">
        <v>10</v>
      </c>
      <c r="BN373">
        <v>7</v>
      </c>
      <c r="BO373">
        <v>5</v>
      </c>
      <c r="BP373">
        <v>10</v>
      </c>
      <c r="BQ373">
        <v>9</v>
      </c>
      <c r="BR373">
        <v>5</v>
      </c>
      <c r="BS373">
        <v>10</v>
      </c>
      <c r="BT373">
        <v>7</v>
      </c>
      <c r="BU373">
        <v>9</v>
      </c>
      <c r="BV373">
        <v>5</v>
      </c>
      <c r="BW373">
        <v>4</v>
      </c>
      <c r="BX373">
        <v>4</v>
      </c>
      <c r="BY373">
        <v>2</v>
      </c>
      <c r="BZ373">
        <v>6</v>
      </c>
      <c r="CA373">
        <v>9</v>
      </c>
      <c r="CB373">
        <v>5</v>
      </c>
      <c r="CC373">
        <v>1</v>
      </c>
      <c r="CD373">
        <v>2</v>
      </c>
      <c r="CE373">
        <v>3</v>
      </c>
      <c r="CF373">
        <v>4</v>
      </c>
      <c r="CG373">
        <v>1</v>
      </c>
      <c r="CH373">
        <v>10</v>
      </c>
      <c r="CI373">
        <v>3</v>
      </c>
      <c r="CJ373">
        <v>6</v>
      </c>
      <c r="CK373">
        <v>7</v>
      </c>
      <c r="CL373">
        <v>9</v>
      </c>
      <c r="CM373">
        <v>1</v>
      </c>
      <c r="CN373">
        <v>3</v>
      </c>
      <c r="CO373">
        <v>2</v>
      </c>
      <c r="CP373">
        <v>9</v>
      </c>
      <c r="CQ373">
        <v>2</v>
      </c>
      <c r="CR373">
        <v>9</v>
      </c>
      <c r="CS373">
        <v>2</v>
      </c>
      <c r="CT373">
        <v>7</v>
      </c>
      <c r="CU373">
        <v>9</v>
      </c>
      <c r="CV373">
        <v>3</v>
      </c>
      <c r="CW373">
        <v>8</v>
      </c>
      <c r="CX373">
        <v>9</v>
      </c>
      <c r="CY373">
        <v>4</v>
      </c>
      <c r="CZ373">
        <v>7</v>
      </c>
      <c r="DA373">
        <v>0</v>
      </c>
      <c r="DB373">
        <v>1</v>
      </c>
      <c r="DC373">
        <v>3</v>
      </c>
      <c r="DD373">
        <v>5</v>
      </c>
      <c r="DE373">
        <v>0</v>
      </c>
      <c r="DF373">
        <v>1</v>
      </c>
      <c r="DG373">
        <v>4</v>
      </c>
      <c r="DH373">
        <v>0</v>
      </c>
      <c r="DI373">
        <v>3</v>
      </c>
      <c r="DJ373">
        <v>5</v>
      </c>
      <c r="DK373">
        <v>8</v>
      </c>
    </row>
    <row r="374" spans="1:115">
      <c r="A374" s="173">
        <f>Calculations[[#This Row],[Sum t eCO2]]*IF(Calculations[[#This Row],[GHG Scope]]="BIOGENIC",0,1)</f>
        <v>2.3565372217016005</v>
      </c>
      <c r="O374">
        <f t="shared" si="5"/>
        <v>373</v>
      </c>
      <c r="P374">
        <v>9</v>
      </c>
      <c r="Q374">
        <v>9</v>
      </c>
      <c r="R374">
        <v>3</v>
      </c>
      <c r="S374">
        <v>6</v>
      </c>
      <c r="T374">
        <v>4</v>
      </c>
      <c r="U374">
        <v>6</v>
      </c>
      <c r="V374">
        <v>2</v>
      </c>
      <c r="W374">
        <v>6</v>
      </c>
      <c r="X374">
        <v>5</v>
      </c>
      <c r="Y374">
        <v>7</v>
      </c>
      <c r="Z374">
        <v>6</v>
      </c>
      <c r="AA374">
        <v>10</v>
      </c>
      <c r="AB374">
        <v>7</v>
      </c>
      <c r="AC374">
        <v>8</v>
      </c>
      <c r="AD374">
        <v>1</v>
      </c>
      <c r="AE374">
        <v>8</v>
      </c>
      <c r="AF374">
        <v>0</v>
      </c>
      <c r="AG374">
        <v>1</v>
      </c>
      <c r="AH374">
        <v>1</v>
      </c>
      <c r="AI374">
        <v>4</v>
      </c>
      <c r="AJ374">
        <v>9</v>
      </c>
      <c r="AK374">
        <v>10</v>
      </c>
      <c r="AL374">
        <v>10</v>
      </c>
      <c r="AM374">
        <v>6</v>
      </c>
      <c r="AN374">
        <v>8</v>
      </c>
      <c r="AO374">
        <v>7</v>
      </c>
      <c r="AP374">
        <v>5</v>
      </c>
      <c r="AQ374">
        <v>3</v>
      </c>
      <c r="AR374">
        <v>7</v>
      </c>
      <c r="AS374">
        <v>9</v>
      </c>
      <c r="AT374">
        <v>9</v>
      </c>
      <c r="AU374">
        <v>5</v>
      </c>
      <c r="AV374">
        <v>6</v>
      </c>
      <c r="AW374">
        <v>4</v>
      </c>
      <c r="AX374">
        <v>9</v>
      </c>
      <c r="AY374">
        <v>3</v>
      </c>
      <c r="AZ374">
        <v>3</v>
      </c>
      <c r="BA374">
        <v>5</v>
      </c>
      <c r="BB374">
        <v>10</v>
      </c>
      <c r="BC374">
        <v>9</v>
      </c>
      <c r="BD374">
        <v>5</v>
      </c>
      <c r="BE374">
        <v>8</v>
      </c>
      <c r="BF374">
        <v>3</v>
      </c>
      <c r="BG374">
        <v>7</v>
      </c>
      <c r="BH374">
        <v>4</v>
      </c>
      <c r="BI374">
        <v>1</v>
      </c>
      <c r="BJ374">
        <v>7</v>
      </c>
      <c r="BK374">
        <v>1</v>
      </c>
      <c r="BL374">
        <v>2</v>
      </c>
      <c r="BM374">
        <v>4</v>
      </c>
      <c r="BN374">
        <v>5</v>
      </c>
      <c r="BO374">
        <v>5</v>
      </c>
      <c r="BP374">
        <v>8</v>
      </c>
      <c r="BQ374">
        <v>0</v>
      </c>
      <c r="BR374">
        <v>5</v>
      </c>
      <c r="BS374">
        <v>8</v>
      </c>
      <c r="BT374">
        <v>3</v>
      </c>
      <c r="BU374">
        <v>6</v>
      </c>
      <c r="BV374">
        <v>5</v>
      </c>
      <c r="BW374">
        <v>6</v>
      </c>
      <c r="BX374">
        <v>1</v>
      </c>
      <c r="BY374">
        <v>5</v>
      </c>
      <c r="BZ374">
        <v>5</v>
      </c>
      <c r="CA374">
        <v>7</v>
      </c>
      <c r="CB374">
        <v>5</v>
      </c>
      <c r="CC374">
        <v>4</v>
      </c>
      <c r="CD374">
        <v>4</v>
      </c>
      <c r="CE374">
        <v>6</v>
      </c>
      <c r="CF374">
        <v>7</v>
      </c>
      <c r="CG374">
        <v>7</v>
      </c>
      <c r="CH374">
        <v>7</v>
      </c>
      <c r="CI374">
        <v>7</v>
      </c>
      <c r="CJ374">
        <v>8</v>
      </c>
      <c r="CK374">
        <v>10</v>
      </c>
      <c r="CL374">
        <v>9</v>
      </c>
      <c r="CM374">
        <v>1</v>
      </c>
      <c r="CN374">
        <v>8</v>
      </c>
      <c r="CO374">
        <v>1</v>
      </c>
      <c r="CP374">
        <v>9</v>
      </c>
      <c r="CQ374">
        <v>4</v>
      </c>
      <c r="CR374">
        <v>1</v>
      </c>
      <c r="CS374">
        <v>9</v>
      </c>
      <c r="CT374">
        <v>3</v>
      </c>
      <c r="CU374">
        <v>10</v>
      </c>
      <c r="CV374">
        <v>3</v>
      </c>
      <c r="CW374">
        <v>0</v>
      </c>
      <c r="CX374">
        <v>10</v>
      </c>
      <c r="CY374">
        <v>6</v>
      </c>
      <c r="CZ374">
        <v>8</v>
      </c>
      <c r="DA374">
        <v>0</v>
      </c>
      <c r="DB374">
        <v>10</v>
      </c>
      <c r="DC374">
        <v>3</v>
      </c>
      <c r="DD374">
        <v>3</v>
      </c>
      <c r="DE374">
        <v>8</v>
      </c>
      <c r="DF374">
        <v>6</v>
      </c>
      <c r="DG374">
        <v>8</v>
      </c>
      <c r="DH374">
        <v>6</v>
      </c>
      <c r="DI374">
        <v>6</v>
      </c>
      <c r="DJ374">
        <v>1</v>
      </c>
      <c r="DK374">
        <v>10</v>
      </c>
    </row>
    <row r="375" spans="1:115">
      <c r="A375" s="173">
        <f>Calculations[[#This Row],[Sum t eCO2]]*IF(Calculations[[#This Row],[GHG Scope]]="BIOGENIC",0,1)</f>
        <v>2.2335550200000003</v>
      </c>
      <c r="O375">
        <f t="shared" si="5"/>
        <v>374</v>
      </c>
      <c r="P375">
        <v>5</v>
      </c>
      <c r="Q375">
        <v>8</v>
      </c>
      <c r="R375">
        <v>8</v>
      </c>
      <c r="S375">
        <v>5</v>
      </c>
      <c r="T375">
        <v>6</v>
      </c>
      <c r="U375">
        <v>5</v>
      </c>
      <c r="V375">
        <v>1</v>
      </c>
      <c r="W375">
        <v>3</v>
      </c>
      <c r="X375">
        <v>8</v>
      </c>
      <c r="Y375">
        <v>9</v>
      </c>
      <c r="Z375">
        <v>0</v>
      </c>
      <c r="AA375">
        <v>1</v>
      </c>
      <c r="AB375">
        <v>3</v>
      </c>
      <c r="AC375">
        <v>5</v>
      </c>
      <c r="AD375">
        <v>3</v>
      </c>
      <c r="AE375">
        <v>6</v>
      </c>
      <c r="AF375">
        <v>5</v>
      </c>
      <c r="AG375">
        <v>8</v>
      </c>
      <c r="AH375">
        <v>0</v>
      </c>
      <c r="AI375">
        <v>3</v>
      </c>
      <c r="AJ375">
        <v>2</v>
      </c>
      <c r="AK375">
        <v>4</v>
      </c>
      <c r="AL375">
        <v>8</v>
      </c>
      <c r="AM375">
        <v>10</v>
      </c>
      <c r="AN375">
        <v>9</v>
      </c>
      <c r="AO375">
        <v>7</v>
      </c>
      <c r="AP375">
        <v>8</v>
      </c>
      <c r="AQ375">
        <v>9</v>
      </c>
      <c r="AR375">
        <v>9</v>
      </c>
      <c r="AS375">
        <v>1</v>
      </c>
      <c r="AT375">
        <v>6</v>
      </c>
      <c r="AU375">
        <v>5</v>
      </c>
      <c r="AV375">
        <v>1</v>
      </c>
      <c r="AW375">
        <v>1</v>
      </c>
      <c r="AX375">
        <v>5</v>
      </c>
      <c r="AY375">
        <v>3</v>
      </c>
      <c r="AZ375">
        <v>4</v>
      </c>
      <c r="BA375">
        <v>4</v>
      </c>
      <c r="BB375">
        <v>4</v>
      </c>
      <c r="BC375">
        <v>9</v>
      </c>
      <c r="BD375">
        <v>3</v>
      </c>
      <c r="BE375">
        <v>8</v>
      </c>
      <c r="BF375">
        <v>1</v>
      </c>
      <c r="BG375">
        <v>8</v>
      </c>
      <c r="BH375">
        <v>10</v>
      </c>
      <c r="BI375">
        <v>10</v>
      </c>
      <c r="BJ375">
        <v>8</v>
      </c>
      <c r="BK375">
        <v>0</v>
      </c>
      <c r="BL375">
        <v>10</v>
      </c>
      <c r="BM375">
        <v>3</v>
      </c>
      <c r="BN375">
        <v>4</v>
      </c>
      <c r="BO375">
        <v>6</v>
      </c>
      <c r="BP375">
        <v>4</v>
      </c>
      <c r="BQ375">
        <v>2</v>
      </c>
      <c r="BR375">
        <v>6</v>
      </c>
      <c r="BS375">
        <v>2</v>
      </c>
      <c r="BT375">
        <v>8</v>
      </c>
      <c r="BU375">
        <v>7</v>
      </c>
      <c r="BV375">
        <v>10</v>
      </c>
      <c r="BW375">
        <v>6</v>
      </c>
      <c r="BX375">
        <v>1</v>
      </c>
      <c r="BY375">
        <v>4</v>
      </c>
      <c r="BZ375">
        <v>8</v>
      </c>
      <c r="CA375">
        <v>6</v>
      </c>
      <c r="CB375">
        <v>7</v>
      </c>
      <c r="CC375">
        <v>6</v>
      </c>
      <c r="CD375">
        <v>9</v>
      </c>
      <c r="CE375">
        <v>6</v>
      </c>
      <c r="CF375">
        <v>7</v>
      </c>
      <c r="CG375">
        <v>2</v>
      </c>
      <c r="CH375">
        <v>2</v>
      </c>
      <c r="CI375">
        <v>8</v>
      </c>
      <c r="CJ375">
        <v>8</v>
      </c>
      <c r="CK375">
        <v>9</v>
      </c>
      <c r="CL375">
        <v>7</v>
      </c>
      <c r="CM375">
        <v>9</v>
      </c>
      <c r="CN375">
        <v>3</v>
      </c>
      <c r="CO375">
        <v>0</v>
      </c>
      <c r="CP375">
        <v>8</v>
      </c>
      <c r="CQ375">
        <v>0</v>
      </c>
      <c r="CR375">
        <v>4</v>
      </c>
      <c r="CS375">
        <v>0</v>
      </c>
      <c r="CT375">
        <v>2</v>
      </c>
      <c r="CU375">
        <v>2</v>
      </c>
      <c r="CV375">
        <v>8</v>
      </c>
      <c r="CW375">
        <v>8</v>
      </c>
      <c r="CX375">
        <v>0</v>
      </c>
      <c r="CY375">
        <v>1</v>
      </c>
      <c r="CZ375">
        <v>8</v>
      </c>
      <c r="DA375">
        <v>2</v>
      </c>
      <c r="DB375">
        <v>9</v>
      </c>
      <c r="DC375">
        <v>0</v>
      </c>
      <c r="DD375">
        <v>5</v>
      </c>
      <c r="DE375">
        <v>4</v>
      </c>
      <c r="DF375">
        <v>8</v>
      </c>
      <c r="DG375">
        <v>6</v>
      </c>
      <c r="DH375">
        <v>6</v>
      </c>
      <c r="DI375">
        <v>4</v>
      </c>
      <c r="DJ375">
        <v>10</v>
      </c>
      <c r="DK375">
        <v>9</v>
      </c>
    </row>
    <row r="376" spans="1:115">
      <c r="A376" s="173">
        <f>Calculations[[#This Row],[Sum t eCO2]]*IF(Calculations[[#This Row],[GHG Scope]]="BIOGENIC",0,1)</f>
        <v>0.82478728800000012</v>
      </c>
      <c r="O376">
        <f t="shared" si="5"/>
        <v>375</v>
      </c>
      <c r="P376">
        <v>5</v>
      </c>
      <c r="Q376">
        <v>2</v>
      </c>
      <c r="R376">
        <v>2</v>
      </c>
      <c r="S376">
        <v>4</v>
      </c>
      <c r="T376">
        <v>4</v>
      </c>
      <c r="U376">
        <v>7</v>
      </c>
      <c r="V376">
        <v>8</v>
      </c>
      <c r="W376">
        <v>3</v>
      </c>
      <c r="X376">
        <v>5</v>
      </c>
      <c r="Y376">
        <v>1</v>
      </c>
      <c r="Z376">
        <v>7</v>
      </c>
      <c r="AA376">
        <v>3</v>
      </c>
      <c r="AB376">
        <v>7</v>
      </c>
      <c r="AC376">
        <v>8</v>
      </c>
      <c r="AD376">
        <v>7</v>
      </c>
      <c r="AE376">
        <v>2</v>
      </c>
      <c r="AF376">
        <v>6</v>
      </c>
      <c r="AG376">
        <v>5</v>
      </c>
      <c r="AH376">
        <v>5</v>
      </c>
      <c r="AI376">
        <v>9</v>
      </c>
      <c r="AJ376">
        <v>9</v>
      </c>
      <c r="AK376">
        <v>6</v>
      </c>
      <c r="AL376">
        <v>8</v>
      </c>
      <c r="AM376">
        <v>6</v>
      </c>
      <c r="AN376">
        <v>8</v>
      </c>
      <c r="AO376">
        <v>3</v>
      </c>
      <c r="AP376">
        <v>4</v>
      </c>
      <c r="AQ376">
        <v>6</v>
      </c>
      <c r="AR376">
        <v>3</v>
      </c>
      <c r="AS376">
        <v>6</v>
      </c>
      <c r="AT376">
        <v>9</v>
      </c>
      <c r="AU376">
        <v>6</v>
      </c>
      <c r="AV376">
        <v>9</v>
      </c>
      <c r="AW376">
        <v>1</v>
      </c>
      <c r="AX376">
        <v>9</v>
      </c>
      <c r="AY376">
        <v>1</v>
      </c>
      <c r="AZ376">
        <v>3</v>
      </c>
      <c r="BA376">
        <v>4</v>
      </c>
      <c r="BB376">
        <v>4</v>
      </c>
      <c r="BC376">
        <v>6</v>
      </c>
      <c r="BD376">
        <v>2</v>
      </c>
      <c r="BE376">
        <v>3</v>
      </c>
      <c r="BF376">
        <v>1</v>
      </c>
      <c r="BG376">
        <v>3</v>
      </c>
      <c r="BH376">
        <v>9</v>
      </c>
      <c r="BI376">
        <v>2</v>
      </c>
      <c r="BJ376">
        <v>8</v>
      </c>
      <c r="BK376">
        <v>8</v>
      </c>
      <c r="BL376">
        <v>0</v>
      </c>
      <c r="BM376">
        <v>7</v>
      </c>
      <c r="BN376">
        <v>7</v>
      </c>
      <c r="BO376">
        <v>5</v>
      </c>
      <c r="BP376">
        <v>10</v>
      </c>
      <c r="BQ376">
        <v>3</v>
      </c>
      <c r="BR376">
        <v>5</v>
      </c>
      <c r="BS376">
        <v>5</v>
      </c>
      <c r="BT376">
        <v>3</v>
      </c>
      <c r="BU376">
        <v>1</v>
      </c>
      <c r="BV376">
        <v>3</v>
      </c>
      <c r="BW376">
        <v>0</v>
      </c>
      <c r="BX376">
        <v>9</v>
      </c>
      <c r="BY376">
        <v>6</v>
      </c>
      <c r="BZ376">
        <v>9</v>
      </c>
      <c r="CA376">
        <v>7</v>
      </c>
      <c r="CB376">
        <v>1</v>
      </c>
      <c r="CC376">
        <v>10</v>
      </c>
      <c r="CD376">
        <v>5</v>
      </c>
      <c r="CE376">
        <v>6</v>
      </c>
      <c r="CF376">
        <v>8</v>
      </c>
      <c r="CG376">
        <v>9</v>
      </c>
      <c r="CH376">
        <v>8</v>
      </c>
      <c r="CI376">
        <v>7</v>
      </c>
      <c r="CJ376">
        <v>4</v>
      </c>
      <c r="CK376">
        <v>2</v>
      </c>
      <c r="CL376">
        <v>8</v>
      </c>
      <c r="CM376">
        <v>4</v>
      </c>
      <c r="CN376">
        <v>2</v>
      </c>
      <c r="CO376">
        <v>5</v>
      </c>
      <c r="CP376">
        <v>3</v>
      </c>
      <c r="CQ376">
        <v>4</v>
      </c>
      <c r="CR376">
        <v>4</v>
      </c>
      <c r="CS376">
        <v>4</v>
      </c>
      <c r="CT376">
        <v>1</v>
      </c>
      <c r="CU376">
        <v>8</v>
      </c>
      <c r="CV376">
        <v>1</v>
      </c>
      <c r="CW376">
        <v>1</v>
      </c>
      <c r="CX376">
        <v>6</v>
      </c>
      <c r="CY376">
        <v>1</v>
      </c>
      <c r="CZ376">
        <v>2</v>
      </c>
      <c r="DA376">
        <v>7</v>
      </c>
      <c r="DB376">
        <v>7</v>
      </c>
      <c r="DC376">
        <v>3</v>
      </c>
      <c r="DD376">
        <v>4</v>
      </c>
      <c r="DE376">
        <v>10</v>
      </c>
      <c r="DF376">
        <v>7</v>
      </c>
      <c r="DG376">
        <v>1</v>
      </c>
      <c r="DH376">
        <v>1</v>
      </c>
      <c r="DI376">
        <v>3</v>
      </c>
      <c r="DJ376">
        <v>1</v>
      </c>
      <c r="DK376">
        <v>5</v>
      </c>
    </row>
    <row r="377" spans="1:115">
      <c r="A377" s="173">
        <f>Calculations[[#This Row],[Sum t eCO2]]*IF(Calculations[[#This Row],[GHG Scope]]="BIOGENIC",0,1)</f>
        <v>38.803794845774</v>
      </c>
      <c r="O377">
        <f t="shared" si="5"/>
        <v>376</v>
      </c>
      <c r="P377">
        <v>8</v>
      </c>
      <c r="Q377">
        <v>8</v>
      </c>
      <c r="R377">
        <v>2</v>
      </c>
      <c r="S377">
        <v>3</v>
      </c>
      <c r="T377">
        <v>5</v>
      </c>
      <c r="U377">
        <v>7</v>
      </c>
      <c r="V377">
        <v>4</v>
      </c>
      <c r="W377">
        <v>7</v>
      </c>
      <c r="X377">
        <v>9</v>
      </c>
      <c r="Y377">
        <v>0</v>
      </c>
      <c r="Z377">
        <v>3</v>
      </c>
      <c r="AA377">
        <v>9</v>
      </c>
      <c r="AB377">
        <v>7</v>
      </c>
      <c r="AC377">
        <v>5</v>
      </c>
      <c r="AD377">
        <v>8</v>
      </c>
      <c r="AE377">
        <v>1</v>
      </c>
      <c r="AF377">
        <v>2</v>
      </c>
      <c r="AG377">
        <v>1</v>
      </c>
      <c r="AH377">
        <v>7</v>
      </c>
      <c r="AI377">
        <v>3</v>
      </c>
      <c r="AJ377">
        <v>1</v>
      </c>
      <c r="AK377">
        <v>5</v>
      </c>
      <c r="AL377">
        <v>1</v>
      </c>
      <c r="AM377">
        <v>1</v>
      </c>
      <c r="AN377">
        <v>10</v>
      </c>
      <c r="AO377">
        <v>1</v>
      </c>
      <c r="AP377">
        <v>10</v>
      </c>
      <c r="AQ377">
        <v>3</v>
      </c>
      <c r="AR377">
        <v>6</v>
      </c>
      <c r="AS377">
        <v>4</v>
      </c>
      <c r="AT377">
        <v>2</v>
      </c>
      <c r="AU377">
        <v>7</v>
      </c>
      <c r="AV377">
        <v>10</v>
      </c>
      <c r="AW377">
        <v>6</v>
      </c>
      <c r="AX377">
        <v>9</v>
      </c>
      <c r="AY377">
        <v>5</v>
      </c>
      <c r="AZ377">
        <v>10</v>
      </c>
      <c r="BA377">
        <v>0</v>
      </c>
      <c r="BB377">
        <v>10</v>
      </c>
      <c r="BC377">
        <v>6</v>
      </c>
      <c r="BD377">
        <v>8</v>
      </c>
      <c r="BE377">
        <v>6</v>
      </c>
      <c r="BF377">
        <v>8</v>
      </c>
      <c r="BG377">
        <v>4</v>
      </c>
      <c r="BH377">
        <v>10</v>
      </c>
      <c r="BI377">
        <v>4</v>
      </c>
      <c r="BJ377">
        <v>10</v>
      </c>
      <c r="BK377">
        <v>2</v>
      </c>
      <c r="BL377">
        <v>7</v>
      </c>
      <c r="BM377">
        <v>0</v>
      </c>
      <c r="BN377">
        <v>0</v>
      </c>
      <c r="BO377">
        <v>0</v>
      </c>
      <c r="BP377">
        <v>9</v>
      </c>
      <c r="BQ377">
        <v>6</v>
      </c>
      <c r="BR377">
        <v>8</v>
      </c>
      <c r="BS377">
        <v>0</v>
      </c>
      <c r="BT377">
        <v>0</v>
      </c>
      <c r="BU377">
        <v>10</v>
      </c>
      <c r="BV377">
        <v>6</v>
      </c>
      <c r="BW377">
        <v>10</v>
      </c>
      <c r="BX377">
        <v>1</v>
      </c>
      <c r="BY377">
        <v>0</v>
      </c>
      <c r="BZ377">
        <v>4</v>
      </c>
      <c r="CA377">
        <v>1</v>
      </c>
      <c r="CB377">
        <v>9</v>
      </c>
      <c r="CC377">
        <v>8</v>
      </c>
      <c r="CD377">
        <v>6</v>
      </c>
      <c r="CE377">
        <v>0</v>
      </c>
      <c r="CF377">
        <v>1</v>
      </c>
      <c r="CG377">
        <v>5</v>
      </c>
      <c r="CH377">
        <v>3</v>
      </c>
      <c r="CI377">
        <v>10</v>
      </c>
      <c r="CJ377">
        <v>2</v>
      </c>
      <c r="CK377">
        <v>1</v>
      </c>
      <c r="CL377">
        <v>10</v>
      </c>
      <c r="CM377">
        <v>8</v>
      </c>
      <c r="CN377">
        <v>2</v>
      </c>
      <c r="CO377">
        <v>7</v>
      </c>
      <c r="CP377">
        <v>6</v>
      </c>
      <c r="CQ377">
        <v>9</v>
      </c>
      <c r="CR377">
        <v>0</v>
      </c>
      <c r="CS377">
        <v>2</v>
      </c>
      <c r="CT377">
        <v>0</v>
      </c>
      <c r="CU377">
        <v>9</v>
      </c>
      <c r="CV377">
        <v>6</v>
      </c>
      <c r="CW377">
        <v>1</v>
      </c>
      <c r="CX377">
        <v>9</v>
      </c>
      <c r="CY377">
        <v>1</v>
      </c>
      <c r="CZ377">
        <v>6</v>
      </c>
      <c r="DA377">
        <v>7</v>
      </c>
      <c r="DB377">
        <v>1</v>
      </c>
      <c r="DC377">
        <v>10</v>
      </c>
      <c r="DD377">
        <v>6</v>
      </c>
      <c r="DE377">
        <v>4</v>
      </c>
      <c r="DF377">
        <v>4</v>
      </c>
      <c r="DG377">
        <v>6</v>
      </c>
      <c r="DH377">
        <v>4</v>
      </c>
      <c r="DI377">
        <v>6</v>
      </c>
      <c r="DJ377">
        <v>4</v>
      </c>
      <c r="DK377">
        <v>5</v>
      </c>
    </row>
    <row r="378" spans="1:115">
      <c r="A378" s="173">
        <f>Calculations[[#This Row],[Sum t eCO2]]*IF(Calculations[[#This Row],[GHG Scope]]="BIOGENIC",0,1)</f>
        <v>82.38432066223335</v>
      </c>
      <c r="O378">
        <f t="shared" si="5"/>
        <v>377</v>
      </c>
      <c r="P378">
        <v>8</v>
      </c>
      <c r="Q378">
        <v>1</v>
      </c>
      <c r="R378">
        <v>2</v>
      </c>
      <c r="S378">
        <v>5</v>
      </c>
      <c r="T378">
        <v>0</v>
      </c>
      <c r="U378">
        <v>5</v>
      </c>
      <c r="V378">
        <v>2</v>
      </c>
      <c r="W378">
        <v>4</v>
      </c>
      <c r="X378">
        <v>8</v>
      </c>
      <c r="Y378">
        <v>10</v>
      </c>
      <c r="Z378">
        <v>3</v>
      </c>
      <c r="AA378">
        <v>1</v>
      </c>
      <c r="AB378">
        <v>10</v>
      </c>
      <c r="AC378">
        <v>1</v>
      </c>
      <c r="AD378">
        <v>3</v>
      </c>
      <c r="AE378">
        <v>8</v>
      </c>
      <c r="AF378">
        <v>8</v>
      </c>
      <c r="AG378">
        <v>7</v>
      </c>
      <c r="AH378">
        <v>4</v>
      </c>
      <c r="AI378">
        <v>9</v>
      </c>
      <c r="AJ378">
        <v>9</v>
      </c>
      <c r="AK378">
        <v>6</v>
      </c>
      <c r="AL378">
        <v>6</v>
      </c>
      <c r="AM378">
        <v>2</v>
      </c>
      <c r="AN378">
        <v>8</v>
      </c>
      <c r="AO378">
        <v>1</v>
      </c>
      <c r="AP378">
        <v>6</v>
      </c>
      <c r="AQ378">
        <v>0</v>
      </c>
      <c r="AR378">
        <v>9</v>
      </c>
      <c r="AS378">
        <v>10</v>
      </c>
      <c r="AT378">
        <v>10</v>
      </c>
      <c r="AU378">
        <v>0</v>
      </c>
      <c r="AV378">
        <v>2</v>
      </c>
      <c r="AW378">
        <v>2</v>
      </c>
      <c r="AX378">
        <v>7</v>
      </c>
      <c r="AY378">
        <v>2</v>
      </c>
      <c r="AZ378">
        <v>0</v>
      </c>
      <c r="BA378">
        <v>4</v>
      </c>
      <c r="BB378">
        <v>9</v>
      </c>
      <c r="BC378">
        <v>5</v>
      </c>
      <c r="BD378">
        <v>9</v>
      </c>
      <c r="BE378">
        <v>7</v>
      </c>
      <c r="BF378">
        <v>0</v>
      </c>
      <c r="BG378">
        <v>10</v>
      </c>
      <c r="BH378">
        <v>1</v>
      </c>
      <c r="BI378">
        <v>2</v>
      </c>
      <c r="BJ378">
        <v>3</v>
      </c>
      <c r="BK378">
        <v>3</v>
      </c>
      <c r="BL378">
        <v>1</v>
      </c>
      <c r="BM378">
        <v>8</v>
      </c>
      <c r="BN378">
        <v>10</v>
      </c>
      <c r="BO378">
        <v>9</v>
      </c>
      <c r="BP378">
        <v>9</v>
      </c>
      <c r="BQ378">
        <v>6</v>
      </c>
      <c r="BR378">
        <v>1</v>
      </c>
      <c r="BS378">
        <v>4</v>
      </c>
      <c r="BT378">
        <v>6</v>
      </c>
      <c r="BU378">
        <v>9</v>
      </c>
      <c r="BV378">
        <v>6</v>
      </c>
      <c r="BW378">
        <v>3</v>
      </c>
      <c r="BX378">
        <v>3</v>
      </c>
      <c r="BY378">
        <v>2</v>
      </c>
      <c r="BZ378">
        <v>2</v>
      </c>
      <c r="CA378">
        <v>5</v>
      </c>
      <c r="CB378">
        <v>0</v>
      </c>
      <c r="CC378">
        <v>10</v>
      </c>
      <c r="CD378">
        <v>8</v>
      </c>
      <c r="CE378">
        <v>1</v>
      </c>
      <c r="CF378">
        <v>6</v>
      </c>
      <c r="CG378">
        <v>9</v>
      </c>
      <c r="CH378">
        <v>8</v>
      </c>
      <c r="CI378">
        <v>3</v>
      </c>
      <c r="CJ378">
        <v>7</v>
      </c>
      <c r="CK378">
        <v>9</v>
      </c>
      <c r="CL378">
        <v>5</v>
      </c>
      <c r="CM378">
        <v>7</v>
      </c>
      <c r="CN378">
        <v>1</v>
      </c>
      <c r="CO378">
        <v>1</v>
      </c>
      <c r="CP378">
        <v>5</v>
      </c>
      <c r="CQ378">
        <v>9</v>
      </c>
      <c r="CR378">
        <v>2</v>
      </c>
      <c r="CS378">
        <v>5</v>
      </c>
      <c r="CT378">
        <v>2</v>
      </c>
      <c r="CU378">
        <v>4</v>
      </c>
      <c r="CV378">
        <v>9</v>
      </c>
      <c r="CW378">
        <v>8</v>
      </c>
      <c r="CX378">
        <v>6</v>
      </c>
      <c r="CY378">
        <v>1</v>
      </c>
      <c r="CZ378">
        <v>10</v>
      </c>
      <c r="DA378">
        <v>7</v>
      </c>
      <c r="DB378">
        <v>4</v>
      </c>
      <c r="DC378">
        <v>1</v>
      </c>
      <c r="DD378">
        <v>4</v>
      </c>
      <c r="DE378">
        <v>5</v>
      </c>
      <c r="DF378">
        <v>10</v>
      </c>
      <c r="DG378">
        <v>7</v>
      </c>
      <c r="DH378">
        <v>7</v>
      </c>
      <c r="DI378">
        <v>2</v>
      </c>
      <c r="DJ378">
        <v>4</v>
      </c>
      <c r="DK378">
        <v>5</v>
      </c>
    </row>
    <row r="379" spans="1:115">
      <c r="A379" s="173">
        <f>Calculations[[#This Row],[Sum t eCO2]]*IF(Calculations[[#This Row],[GHG Scope]]="BIOGENIC",0,1)</f>
        <v>3.2020896849200007</v>
      </c>
      <c r="O379">
        <f t="shared" si="5"/>
        <v>378</v>
      </c>
      <c r="P379">
        <v>9</v>
      </c>
      <c r="Q379">
        <v>1</v>
      </c>
      <c r="R379">
        <v>9</v>
      </c>
      <c r="S379">
        <v>8</v>
      </c>
      <c r="T379">
        <v>7</v>
      </c>
      <c r="U379">
        <v>4</v>
      </c>
      <c r="V379">
        <v>6</v>
      </c>
      <c r="W379">
        <v>10</v>
      </c>
      <c r="X379">
        <v>10</v>
      </c>
      <c r="Y379">
        <v>5</v>
      </c>
      <c r="Z379">
        <v>5</v>
      </c>
      <c r="AA379">
        <v>10</v>
      </c>
      <c r="AB379">
        <v>2</v>
      </c>
      <c r="AC379">
        <v>0</v>
      </c>
      <c r="AD379">
        <v>4</v>
      </c>
      <c r="AE379">
        <v>8</v>
      </c>
      <c r="AF379">
        <v>10</v>
      </c>
      <c r="AG379">
        <v>3</v>
      </c>
      <c r="AH379">
        <v>2</v>
      </c>
      <c r="AI379">
        <v>6</v>
      </c>
      <c r="AJ379">
        <v>10</v>
      </c>
      <c r="AK379">
        <v>10</v>
      </c>
      <c r="AL379">
        <v>10</v>
      </c>
      <c r="AM379">
        <v>10</v>
      </c>
      <c r="AN379">
        <v>10</v>
      </c>
      <c r="AO379">
        <v>0</v>
      </c>
      <c r="AP379">
        <v>10</v>
      </c>
      <c r="AQ379">
        <v>5</v>
      </c>
      <c r="AR379">
        <v>1</v>
      </c>
      <c r="AS379">
        <v>6</v>
      </c>
      <c r="AT379">
        <v>3</v>
      </c>
      <c r="AU379">
        <v>5</v>
      </c>
      <c r="AV379">
        <v>1</v>
      </c>
      <c r="AW379">
        <v>4</v>
      </c>
      <c r="AX379">
        <v>5</v>
      </c>
      <c r="AY379">
        <v>0</v>
      </c>
      <c r="AZ379">
        <v>9</v>
      </c>
      <c r="BA379">
        <v>1</v>
      </c>
      <c r="BB379">
        <v>9</v>
      </c>
      <c r="BC379">
        <v>10</v>
      </c>
      <c r="BD379">
        <v>4</v>
      </c>
      <c r="BE379">
        <v>7</v>
      </c>
      <c r="BF379">
        <v>8</v>
      </c>
      <c r="BG379">
        <v>1</v>
      </c>
      <c r="BH379">
        <v>9</v>
      </c>
      <c r="BI379">
        <v>7</v>
      </c>
      <c r="BJ379">
        <v>8</v>
      </c>
      <c r="BK379">
        <v>5</v>
      </c>
      <c r="BL379">
        <v>7</v>
      </c>
      <c r="BM379">
        <v>2</v>
      </c>
      <c r="BN379">
        <v>7</v>
      </c>
      <c r="BO379">
        <v>4</v>
      </c>
      <c r="BP379">
        <v>1</v>
      </c>
      <c r="BQ379">
        <v>9</v>
      </c>
      <c r="BR379">
        <v>8</v>
      </c>
      <c r="BS379">
        <v>1</v>
      </c>
      <c r="BT379">
        <v>7</v>
      </c>
      <c r="BU379">
        <v>8</v>
      </c>
      <c r="BV379">
        <v>1</v>
      </c>
      <c r="BW379">
        <v>1</v>
      </c>
      <c r="BX379">
        <v>0</v>
      </c>
      <c r="BY379">
        <v>10</v>
      </c>
      <c r="BZ379">
        <v>4</v>
      </c>
      <c r="CA379">
        <v>8</v>
      </c>
      <c r="CB379">
        <v>5</v>
      </c>
      <c r="CC379">
        <v>9</v>
      </c>
      <c r="CD379">
        <v>9</v>
      </c>
      <c r="CE379">
        <v>7</v>
      </c>
      <c r="CF379">
        <v>0</v>
      </c>
      <c r="CG379">
        <v>3</v>
      </c>
      <c r="CH379">
        <v>5</v>
      </c>
      <c r="CI379">
        <v>3</v>
      </c>
      <c r="CJ379">
        <v>8</v>
      </c>
      <c r="CK379">
        <v>1</v>
      </c>
      <c r="CL379">
        <v>10</v>
      </c>
      <c r="CM379">
        <v>9</v>
      </c>
      <c r="CN379">
        <v>9</v>
      </c>
      <c r="CO379">
        <v>8</v>
      </c>
      <c r="CP379">
        <v>5</v>
      </c>
      <c r="CQ379">
        <v>5</v>
      </c>
      <c r="CR379">
        <v>0</v>
      </c>
      <c r="CS379">
        <v>1</v>
      </c>
      <c r="CT379">
        <v>10</v>
      </c>
      <c r="CU379">
        <v>1</v>
      </c>
      <c r="CV379">
        <v>6</v>
      </c>
      <c r="CW379">
        <v>10</v>
      </c>
      <c r="CX379">
        <v>9</v>
      </c>
      <c r="CY379">
        <v>9</v>
      </c>
      <c r="CZ379">
        <v>8</v>
      </c>
      <c r="DA379">
        <v>6</v>
      </c>
      <c r="DB379">
        <v>4</v>
      </c>
      <c r="DC379">
        <v>8</v>
      </c>
      <c r="DD379">
        <v>5</v>
      </c>
      <c r="DE379">
        <v>0</v>
      </c>
      <c r="DF379">
        <v>6</v>
      </c>
      <c r="DG379">
        <v>2</v>
      </c>
      <c r="DH379">
        <v>1</v>
      </c>
      <c r="DI379">
        <v>6</v>
      </c>
      <c r="DJ379">
        <v>2</v>
      </c>
      <c r="DK379">
        <v>9</v>
      </c>
    </row>
    <row r="380" spans="1:115">
      <c r="A380" s="173">
        <f>Calculations[[#This Row],[Sum t eCO2]]*IF(Calculations[[#This Row],[GHG Scope]]="BIOGENIC",0,1)</f>
        <v>1.8863681460000001</v>
      </c>
      <c r="O380">
        <f t="shared" si="5"/>
        <v>379</v>
      </c>
      <c r="P380">
        <v>1</v>
      </c>
      <c r="Q380">
        <v>7</v>
      </c>
      <c r="R380">
        <v>5</v>
      </c>
      <c r="S380">
        <v>10</v>
      </c>
      <c r="T380">
        <v>8</v>
      </c>
      <c r="U380">
        <v>1</v>
      </c>
      <c r="V380">
        <v>4</v>
      </c>
      <c r="W380">
        <v>6</v>
      </c>
      <c r="X380">
        <v>8</v>
      </c>
      <c r="Y380">
        <v>2</v>
      </c>
      <c r="Z380">
        <v>4</v>
      </c>
      <c r="AA380">
        <v>2</v>
      </c>
      <c r="AB380">
        <v>1</v>
      </c>
      <c r="AC380">
        <v>7</v>
      </c>
      <c r="AD380">
        <v>6</v>
      </c>
      <c r="AE380">
        <v>8</v>
      </c>
      <c r="AF380">
        <v>2</v>
      </c>
      <c r="AG380">
        <v>1</v>
      </c>
      <c r="AH380">
        <v>7</v>
      </c>
      <c r="AI380">
        <v>3</v>
      </c>
      <c r="AJ380">
        <v>5</v>
      </c>
      <c r="AK380">
        <v>7</v>
      </c>
      <c r="AL380">
        <v>8</v>
      </c>
      <c r="AM380">
        <v>10</v>
      </c>
      <c r="AN380">
        <v>5</v>
      </c>
      <c r="AO380">
        <v>1</v>
      </c>
      <c r="AP380">
        <v>5</v>
      </c>
      <c r="AQ380">
        <v>10</v>
      </c>
      <c r="AR380">
        <v>0</v>
      </c>
      <c r="AS380">
        <v>7</v>
      </c>
      <c r="AT380">
        <v>8</v>
      </c>
      <c r="AU380">
        <v>3</v>
      </c>
      <c r="AV380">
        <v>4</v>
      </c>
      <c r="AW380">
        <v>0</v>
      </c>
      <c r="AX380">
        <v>7</v>
      </c>
      <c r="AY380">
        <v>7</v>
      </c>
      <c r="AZ380">
        <v>3</v>
      </c>
      <c r="BA380">
        <v>7</v>
      </c>
      <c r="BB380">
        <v>1</v>
      </c>
      <c r="BC380">
        <v>6</v>
      </c>
      <c r="BD380">
        <v>4</v>
      </c>
      <c r="BE380">
        <v>4</v>
      </c>
      <c r="BF380">
        <v>2</v>
      </c>
      <c r="BG380">
        <v>5</v>
      </c>
      <c r="BH380">
        <v>1</v>
      </c>
      <c r="BI380">
        <v>2</v>
      </c>
      <c r="BJ380">
        <v>1</v>
      </c>
      <c r="BK380">
        <v>1</v>
      </c>
      <c r="BL380">
        <v>6</v>
      </c>
      <c r="BM380">
        <v>2</v>
      </c>
      <c r="BN380">
        <v>2</v>
      </c>
      <c r="BO380">
        <v>4</v>
      </c>
      <c r="BP380">
        <v>2</v>
      </c>
      <c r="BQ380">
        <v>6</v>
      </c>
      <c r="BR380">
        <v>1</v>
      </c>
      <c r="BS380">
        <v>8</v>
      </c>
      <c r="BT380">
        <v>2</v>
      </c>
      <c r="BU380">
        <v>8</v>
      </c>
      <c r="BV380">
        <v>2</v>
      </c>
      <c r="BW380">
        <v>0</v>
      </c>
      <c r="BX380">
        <v>7</v>
      </c>
      <c r="BY380">
        <v>7</v>
      </c>
      <c r="BZ380">
        <v>2</v>
      </c>
      <c r="CA380">
        <v>4</v>
      </c>
      <c r="CB380">
        <v>3</v>
      </c>
      <c r="CC380">
        <v>5</v>
      </c>
      <c r="CD380">
        <v>1</v>
      </c>
      <c r="CE380">
        <v>6</v>
      </c>
      <c r="CF380">
        <v>1</v>
      </c>
      <c r="CG380">
        <v>6</v>
      </c>
      <c r="CH380">
        <v>1</v>
      </c>
      <c r="CI380">
        <v>2</v>
      </c>
      <c r="CJ380">
        <v>4</v>
      </c>
      <c r="CK380">
        <v>7</v>
      </c>
      <c r="CL380">
        <v>7</v>
      </c>
      <c r="CM380">
        <v>8</v>
      </c>
      <c r="CN380">
        <v>9</v>
      </c>
      <c r="CO380">
        <v>6</v>
      </c>
      <c r="CP380">
        <v>5</v>
      </c>
      <c r="CQ380">
        <v>4</v>
      </c>
      <c r="CR380">
        <v>4</v>
      </c>
      <c r="CS380">
        <v>1</v>
      </c>
      <c r="CT380">
        <v>1</v>
      </c>
      <c r="CU380">
        <v>9</v>
      </c>
      <c r="CV380">
        <v>0</v>
      </c>
      <c r="CW380">
        <v>0</v>
      </c>
      <c r="CX380">
        <v>4</v>
      </c>
      <c r="CY380">
        <v>7</v>
      </c>
      <c r="CZ380">
        <v>6</v>
      </c>
      <c r="DA380">
        <v>7</v>
      </c>
      <c r="DB380">
        <v>6</v>
      </c>
      <c r="DC380">
        <v>0</v>
      </c>
      <c r="DD380">
        <v>5</v>
      </c>
      <c r="DE380">
        <v>7</v>
      </c>
      <c r="DF380">
        <v>10</v>
      </c>
      <c r="DG380">
        <v>1</v>
      </c>
      <c r="DH380">
        <v>6</v>
      </c>
      <c r="DI380">
        <v>8</v>
      </c>
      <c r="DJ380">
        <v>6</v>
      </c>
      <c r="DK380">
        <v>0</v>
      </c>
    </row>
    <row r="381" spans="1:115">
      <c r="A381" s="173">
        <f>Calculations[[#This Row],[Sum t eCO2]]*IF(Calculations[[#This Row],[GHG Scope]]="BIOGENIC",0,1)</f>
        <v>8.8086339999999996</v>
      </c>
      <c r="O381">
        <f t="shared" si="5"/>
        <v>380</v>
      </c>
      <c r="P381">
        <v>0</v>
      </c>
      <c r="Q381">
        <v>0</v>
      </c>
      <c r="R381">
        <v>8</v>
      </c>
      <c r="S381">
        <v>2</v>
      </c>
      <c r="T381">
        <v>0</v>
      </c>
      <c r="U381">
        <v>6</v>
      </c>
      <c r="V381">
        <v>6</v>
      </c>
      <c r="W381">
        <v>6</v>
      </c>
      <c r="X381">
        <v>3</v>
      </c>
      <c r="Y381">
        <v>10</v>
      </c>
      <c r="Z381">
        <v>3</v>
      </c>
      <c r="AA381">
        <v>6</v>
      </c>
      <c r="AB381">
        <v>2</v>
      </c>
      <c r="AC381">
        <v>6</v>
      </c>
      <c r="AD381">
        <v>10</v>
      </c>
      <c r="AE381">
        <v>4</v>
      </c>
      <c r="AF381">
        <v>9</v>
      </c>
      <c r="AG381">
        <v>0</v>
      </c>
      <c r="AH381">
        <v>10</v>
      </c>
      <c r="AI381">
        <v>7</v>
      </c>
      <c r="AJ381">
        <v>6</v>
      </c>
      <c r="AK381">
        <v>2</v>
      </c>
      <c r="AL381">
        <v>0</v>
      </c>
      <c r="AM381">
        <v>9</v>
      </c>
      <c r="AN381">
        <v>9</v>
      </c>
      <c r="AO381">
        <v>7</v>
      </c>
      <c r="AP381">
        <v>1</v>
      </c>
      <c r="AQ381">
        <v>3</v>
      </c>
      <c r="AR381">
        <v>7</v>
      </c>
      <c r="AS381">
        <v>1</v>
      </c>
      <c r="AT381">
        <v>6</v>
      </c>
      <c r="AU381">
        <v>8</v>
      </c>
      <c r="AV381">
        <v>8</v>
      </c>
      <c r="AW381">
        <v>10</v>
      </c>
      <c r="AX381">
        <v>7</v>
      </c>
      <c r="AY381">
        <v>3</v>
      </c>
      <c r="AZ381">
        <v>4</v>
      </c>
      <c r="BA381">
        <v>6</v>
      </c>
      <c r="BB381">
        <v>0</v>
      </c>
      <c r="BC381">
        <v>5</v>
      </c>
      <c r="BD381">
        <v>5</v>
      </c>
      <c r="BE381">
        <v>8</v>
      </c>
      <c r="BF381">
        <v>1</v>
      </c>
      <c r="BG381">
        <v>3</v>
      </c>
      <c r="BH381">
        <v>4</v>
      </c>
      <c r="BI381">
        <v>9</v>
      </c>
      <c r="BJ381">
        <v>0</v>
      </c>
      <c r="BK381">
        <v>2</v>
      </c>
      <c r="BL381">
        <v>5</v>
      </c>
      <c r="BM381">
        <v>10</v>
      </c>
      <c r="BN381">
        <v>7</v>
      </c>
      <c r="BO381">
        <v>2</v>
      </c>
      <c r="BP381">
        <v>10</v>
      </c>
      <c r="BQ381">
        <v>9</v>
      </c>
      <c r="BR381">
        <v>10</v>
      </c>
      <c r="BS381">
        <v>4</v>
      </c>
      <c r="BT381">
        <v>8</v>
      </c>
      <c r="BU381">
        <v>1</v>
      </c>
      <c r="BV381">
        <v>3</v>
      </c>
      <c r="BW381">
        <v>2</v>
      </c>
      <c r="BX381">
        <v>8</v>
      </c>
      <c r="BY381">
        <v>10</v>
      </c>
      <c r="BZ381">
        <v>0</v>
      </c>
      <c r="CA381">
        <v>7</v>
      </c>
      <c r="CB381">
        <v>1</v>
      </c>
      <c r="CC381">
        <v>6</v>
      </c>
      <c r="CD381">
        <v>10</v>
      </c>
      <c r="CE381">
        <v>9</v>
      </c>
      <c r="CF381">
        <v>5</v>
      </c>
      <c r="CG381">
        <v>7</v>
      </c>
      <c r="CH381">
        <v>7</v>
      </c>
      <c r="CI381">
        <v>2</v>
      </c>
      <c r="CJ381">
        <v>1</v>
      </c>
      <c r="CK381">
        <v>0</v>
      </c>
      <c r="CL381">
        <v>8</v>
      </c>
      <c r="CM381">
        <v>9</v>
      </c>
      <c r="CN381">
        <v>10</v>
      </c>
      <c r="CO381">
        <v>1</v>
      </c>
      <c r="CP381">
        <v>4</v>
      </c>
      <c r="CQ381">
        <v>0</v>
      </c>
      <c r="CR381">
        <v>4</v>
      </c>
      <c r="CS381">
        <v>10</v>
      </c>
      <c r="CT381">
        <v>6</v>
      </c>
      <c r="CU381">
        <v>7</v>
      </c>
      <c r="CV381">
        <v>7</v>
      </c>
      <c r="CW381">
        <v>4</v>
      </c>
      <c r="CX381">
        <v>0</v>
      </c>
      <c r="CY381">
        <v>6</v>
      </c>
      <c r="CZ381">
        <v>1</v>
      </c>
      <c r="DA381">
        <v>1</v>
      </c>
      <c r="DB381">
        <v>5</v>
      </c>
      <c r="DC381">
        <v>10</v>
      </c>
      <c r="DD381">
        <v>9</v>
      </c>
      <c r="DE381">
        <v>0</v>
      </c>
      <c r="DF381">
        <v>6</v>
      </c>
      <c r="DG381">
        <v>2</v>
      </c>
      <c r="DH381">
        <v>5</v>
      </c>
      <c r="DI381">
        <v>3</v>
      </c>
      <c r="DJ381">
        <v>5</v>
      </c>
      <c r="DK381">
        <v>10</v>
      </c>
    </row>
    <row r="382" spans="1:115">
      <c r="A382" s="173">
        <f>Calculations[[#This Row],[Sum t eCO2]]*IF(Calculations[[#This Row],[GHG Scope]]="BIOGENIC",0,1)</f>
        <v>39.220726620880008</v>
      </c>
      <c r="O382">
        <f t="shared" si="5"/>
        <v>381</v>
      </c>
      <c r="P382">
        <v>7</v>
      </c>
      <c r="Q382">
        <v>5</v>
      </c>
      <c r="R382">
        <v>3</v>
      </c>
      <c r="S382">
        <v>4</v>
      </c>
      <c r="T382">
        <v>4</v>
      </c>
      <c r="U382">
        <v>7</v>
      </c>
      <c r="V382">
        <v>6</v>
      </c>
      <c r="W382">
        <v>0</v>
      </c>
      <c r="X382">
        <v>8</v>
      </c>
      <c r="Y382">
        <v>7</v>
      </c>
      <c r="Z382">
        <v>4</v>
      </c>
      <c r="AA382">
        <v>4</v>
      </c>
      <c r="AB382">
        <v>1</v>
      </c>
      <c r="AC382">
        <v>9</v>
      </c>
      <c r="AD382">
        <v>4</v>
      </c>
      <c r="AE382">
        <v>10</v>
      </c>
      <c r="AF382">
        <v>6</v>
      </c>
      <c r="AG382">
        <v>0</v>
      </c>
      <c r="AH382">
        <v>2</v>
      </c>
      <c r="AI382">
        <v>5</v>
      </c>
      <c r="AJ382">
        <v>10</v>
      </c>
      <c r="AK382">
        <v>9</v>
      </c>
      <c r="AL382">
        <v>0</v>
      </c>
      <c r="AM382">
        <v>6</v>
      </c>
      <c r="AN382">
        <v>6</v>
      </c>
      <c r="AO382">
        <v>8</v>
      </c>
      <c r="AP382">
        <v>8</v>
      </c>
      <c r="AQ382">
        <v>2</v>
      </c>
      <c r="AR382">
        <v>10</v>
      </c>
      <c r="AS382">
        <v>4</v>
      </c>
      <c r="AT382">
        <v>2</v>
      </c>
      <c r="AU382">
        <v>9</v>
      </c>
      <c r="AV382">
        <v>9</v>
      </c>
      <c r="AW382">
        <v>3</v>
      </c>
      <c r="AX382">
        <v>0</v>
      </c>
      <c r="AY382">
        <v>1</v>
      </c>
      <c r="AZ382">
        <v>2</v>
      </c>
      <c r="BA382">
        <v>1</v>
      </c>
      <c r="BB382">
        <v>9</v>
      </c>
      <c r="BC382">
        <v>2</v>
      </c>
      <c r="BD382">
        <v>1</v>
      </c>
      <c r="BE382">
        <v>6</v>
      </c>
      <c r="BF382">
        <v>1</v>
      </c>
      <c r="BG382">
        <v>0</v>
      </c>
      <c r="BH382">
        <v>1</v>
      </c>
      <c r="BI382">
        <v>0</v>
      </c>
      <c r="BJ382">
        <v>4</v>
      </c>
      <c r="BK382">
        <v>1</v>
      </c>
      <c r="BL382">
        <v>4</v>
      </c>
      <c r="BM382">
        <v>4</v>
      </c>
      <c r="BN382">
        <v>7</v>
      </c>
      <c r="BO382">
        <v>1</v>
      </c>
      <c r="BP382">
        <v>8</v>
      </c>
      <c r="BQ382">
        <v>3</v>
      </c>
      <c r="BR382">
        <v>6</v>
      </c>
      <c r="BS382">
        <v>1</v>
      </c>
      <c r="BT382">
        <v>9</v>
      </c>
      <c r="BU382">
        <v>7</v>
      </c>
      <c r="BV382">
        <v>9</v>
      </c>
      <c r="BW382">
        <v>1</v>
      </c>
      <c r="BX382">
        <v>9</v>
      </c>
      <c r="BY382">
        <v>7</v>
      </c>
      <c r="BZ382">
        <v>0</v>
      </c>
      <c r="CA382">
        <v>7</v>
      </c>
      <c r="CB382">
        <v>4</v>
      </c>
      <c r="CC382">
        <v>3</v>
      </c>
      <c r="CD382">
        <v>0</v>
      </c>
      <c r="CE382">
        <v>9</v>
      </c>
      <c r="CF382">
        <v>1</v>
      </c>
      <c r="CG382">
        <v>9</v>
      </c>
      <c r="CH382">
        <v>8</v>
      </c>
      <c r="CI382">
        <v>8</v>
      </c>
      <c r="CJ382">
        <v>8</v>
      </c>
      <c r="CK382">
        <v>6</v>
      </c>
      <c r="CL382">
        <v>1</v>
      </c>
      <c r="CM382">
        <v>4</v>
      </c>
      <c r="CN382">
        <v>2</v>
      </c>
      <c r="CO382">
        <v>0</v>
      </c>
      <c r="CP382">
        <v>4</v>
      </c>
      <c r="CQ382">
        <v>7</v>
      </c>
      <c r="CR382">
        <v>8</v>
      </c>
      <c r="CS382">
        <v>2</v>
      </c>
      <c r="CT382">
        <v>6</v>
      </c>
      <c r="CU382">
        <v>2</v>
      </c>
      <c r="CV382">
        <v>10</v>
      </c>
      <c r="CW382">
        <v>4</v>
      </c>
      <c r="CX382">
        <v>0</v>
      </c>
      <c r="CY382">
        <v>1</v>
      </c>
      <c r="CZ382">
        <v>5</v>
      </c>
      <c r="DA382">
        <v>5</v>
      </c>
      <c r="DB382">
        <v>3</v>
      </c>
      <c r="DC382">
        <v>7</v>
      </c>
      <c r="DD382">
        <v>2</v>
      </c>
      <c r="DE382">
        <v>0</v>
      </c>
      <c r="DF382">
        <v>7</v>
      </c>
      <c r="DG382">
        <v>3</v>
      </c>
      <c r="DH382">
        <v>5</v>
      </c>
      <c r="DI382">
        <v>2</v>
      </c>
      <c r="DJ382">
        <v>2</v>
      </c>
      <c r="DK382">
        <v>0</v>
      </c>
    </row>
    <row r="383" spans="1:115">
      <c r="A383" s="173">
        <f>Calculations[[#This Row],[Sum t eCO2]]*IF(Calculations[[#This Row],[GHG Scope]]="BIOGENIC",0,1)</f>
        <v>1.8979999999999999E-3</v>
      </c>
      <c r="O383">
        <f t="shared" si="5"/>
        <v>382</v>
      </c>
      <c r="P383">
        <v>9</v>
      </c>
      <c r="Q383">
        <v>3</v>
      </c>
      <c r="R383">
        <v>1</v>
      </c>
      <c r="S383">
        <v>7</v>
      </c>
      <c r="T383">
        <v>6</v>
      </c>
      <c r="U383">
        <v>10</v>
      </c>
      <c r="V383">
        <v>4</v>
      </c>
      <c r="W383">
        <v>5</v>
      </c>
      <c r="X383">
        <v>7</v>
      </c>
      <c r="Y383">
        <v>8</v>
      </c>
      <c r="Z383">
        <v>1</v>
      </c>
      <c r="AA383">
        <v>5</v>
      </c>
      <c r="AB383">
        <v>5</v>
      </c>
      <c r="AC383">
        <v>6</v>
      </c>
      <c r="AD383">
        <v>6</v>
      </c>
      <c r="AE383">
        <v>1</v>
      </c>
      <c r="AF383">
        <v>0</v>
      </c>
      <c r="AG383">
        <v>10</v>
      </c>
      <c r="AH383">
        <v>4</v>
      </c>
      <c r="AI383">
        <v>6</v>
      </c>
      <c r="AJ383">
        <v>1</v>
      </c>
      <c r="AK383">
        <v>2</v>
      </c>
      <c r="AL383">
        <v>2</v>
      </c>
      <c r="AM383">
        <v>6</v>
      </c>
      <c r="AN383">
        <v>10</v>
      </c>
      <c r="AO383">
        <v>7</v>
      </c>
      <c r="AP383">
        <v>9</v>
      </c>
      <c r="AQ383">
        <v>1</v>
      </c>
      <c r="AR383">
        <v>9</v>
      </c>
      <c r="AS383">
        <v>9</v>
      </c>
      <c r="AT383">
        <v>5</v>
      </c>
      <c r="AU383">
        <v>6</v>
      </c>
      <c r="AV383">
        <v>6</v>
      </c>
      <c r="AW383">
        <v>6</v>
      </c>
      <c r="AX383">
        <v>7</v>
      </c>
      <c r="AY383">
        <v>1</v>
      </c>
      <c r="AZ383">
        <v>6</v>
      </c>
      <c r="BA383">
        <v>1</v>
      </c>
      <c r="BB383">
        <v>1</v>
      </c>
      <c r="BC383">
        <v>9</v>
      </c>
      <c r="BD383">
        <v>0</v>
      </c>
      <c r="BE383">
        <v>3</v>
      </c>
      <c r="BF383">
        <v>2</v>
      </c>
      <c r="BG383">
        <v>8</v>
      </c>
      <c r="BH383">
        <v>10</v>
      </c>
      <c r="BI383">
        <v>0</v>
      </c>
      <c r="BJ383">
        <v>8</v>
      </c>
      <c r="BK383">
        <v>10</v>
      </c>
      <c r="BL383">
        <v>10</v>
      </c>
      <c r="BM383">
        <v>6</v>
      </c>
      <c r="BN383">
        <v>1</v>
      </c>
      <c r="BO383">
        <v>5</v>
      </c>
      <c r="BP383">
        <v>8</v>
      </c>
      <c r="BQ383">
        <v>2</v>
      </c>
      <c r="BR383">
        <v>5</v>
      </c>
      <c r="BS383">
        <v>5</v>
      </c>
      <c r="BT383">
        <v>3</v>
      </c>
      <c r="BU383">
        <v>9</v>
      </c>
      <c r="BV383">
        <v>1</v>
      </c>
      <c r="BW383">
        <v>10</v>
      </c>
      <c r="BX383">
        <v>2</v>
      </c>
      <c r="BY383">
        <v>0</v>
      </c>
      <c r="BZ383">
        <v>9</v>
      </c>
      <c r="CA383">
        <v>5</v>
      </c>
      <c r="CB383">
        <v>4</v>
      </c>
      <c r="CC383">
        <v>8</v>
      </c>
      <c r="CD383">
        <v>3</v>
      </c>
      <c r="CE383">
        <v>6</v>
      </c>
      <c r="CF383">
        <v>6</v>
      </c>
      <c r="CG383">
        <v>1</v>
      </c>
      <c r="CH383">
        <v>8</v>
      </c>
      <c r="CI383">
        <v>9</v>
      </c>
      <c r="CJ383">
        <v>9</v>
      </c>
      <c r="CK383">
        <v>7</v>
      </c>
      <c r="CL383">
        <v>3</v>
      </c>
      <c r="CM383">
        <v>7</v>
      </c>
      <c r="CN383">
        <v>4</v>
      </c>
      <c r="CO383">
        <v>2</v>
      </c>
      <c r="CP383">
        <v>10</v>
      </c>
      <c r="CQ383">
        <v>5</v>
      </c>
      <c r="CR383">
        <v>5</v>
      </c>
      <c r="CS383">
        <v>5</v>
      </c>
      <c r="CT383">
        <v>7</v>
      </c>
      <c r="CU383">
        <v>4</v>
      </c>
      <c r="CV383">
        <v>10</v>
      </c>
      <c r="CW383">
        <v>5</v>
      </c>
      <c r="CX383">
        <v>6</v>
      </c>
      <c r="CY383">
        <v>10</v>
      </c>
      <c r="CZ383">
        <v>4</v>
      </c>
      <c r="DA383">
        <v>1</v>
      </c>
      <c r="DB383">
        <v>10</v>
      </c>
      <c r="DC383">
        <v>4</v>
      </c>
      <c r="DD383">
        <v>8</v>
      </c>
      <c r="DE383">
        <v>9</v>
      </c>
      <c r="DF383">
        <v>0</v>
      </c>
      <c r="DG383">
        <v>10</v>
      </c>
      <c r="DH383">
        <v>10</v>
      </c>
      <c r="DI383">
        <v>8</v>
      </c>
      <c r="DJ383">
        <v>5</v>
      </c>
      <c r="DK383">
        <v>9</v>
      </c>
    </row>
    <row r="384" spans="1:115">
      <c r="A384" s="173">
        <f>Calculations[[#This Row],[Sum t eCO2]]*IF(Calculations[[#This Row],[GHG Scope]]="BIOGENIC",0,1)</f>
        <v>2.6035214399999999E-2</v>
      </c>
      <c r="O384">
        <f t="shared" si="5"/>
        <v>383</v>
      </c>
      <c r="P384">
        <v>10</v>
      </c>
      <c r="Q384">
        <v>7</v>
      </c>
      <c r="R384">
        <v>0</v>
      </c>
      <c r="S384">
        <v>0</v>
      </c>
      <c r="T384">
        <v>1</v>
      </c>
      <c r="U384">
        <v>1</v>
      </c>
      <c r="V384">
        <v>7</v>
      </c>
      <c r="W384">
        <v>1</v>
      </c>
      <c r="X384">
        <v>2</v>
      </c>
      <c r="Y384">
        <v>8</v>
      </c>
      <c r="Z384">
        <v>0</v>
      </c>
      <c r="AA384">
        <v>1</v>
      </c>
      <c r="AB384">
        <v>2</v>
      </c>
      <c r="AC384">
        <v>3</v>
      </c>
      <c r="AD384">
        <v>6</v>
      </c>
      <c r="AE384">
        <v>6</v>
      </c>
      <c r="AF384">
        <v>6</v>
      </c>
      <c r="AG384">
        <v>9</v>
      </c>
      <c r="AH384">
        <v>2</v>
      </c>
      <c r="AI384">
        <v>0</v>
      </c>
      <c r="AJ384">
        <v>4</v>
      </c>
      <c r="AK384">
        <v>8</v>
      </c>
      <c r="AL384">
        <v>10</v>
      </c>
      <c r="AM384">
        <v>5</v>
      </c>
      <c r="AN384">
        <v>7</v>
      </c>
      <c r="AO384">
        <v>4</v>
      </c>
      <c r="AP384">
        <v>6</v>
      </c>
      <c r="AQ384">
        <v>8</v>
      </c>
      <c r="AR384">
        <v>5</v>
      </c>
      <c r="AS384">
        <v>6</v>
      </c>
      <c r="AT384">
        <v>10</v>
      </c>
      <c r="AU384">
        <v>3</v>
      </c>
      <c r="AV384">
        <v>0</v>
      </c>
      <c r="AW384">
        <v>2</v>
      </c>
      <c r="AX384">
        <v>4</v>
      </c>
      <c r="AY384">
        <v>5</v>
      </c>
      <c r="AZ384">
        <v>0</v>
      </c>
      <c r="BA384">
        <v>1</v>
      </c>
      <c r="BB384">
        <v>4</v>
      </c>
      <c r="BC384">
        <v>8</v>
      </c>
      <c r="BD384">
        <v>10</v>
      </c>
      <c r="BE384">
        <v>5</v>
      </c>
      <c r="BF384">
        <v>9</v>
      </c>
      <c r="BG384">
        <v>8</v>
      </c>
      <c r="BH384">
        <v>3</v>
      </c>
      <c r="BI384">
        <v>7</v>
      </c>
      <c r="BJ384">
        <v>8</v>
      </c>
      <c r="BK384">
        <v>6</v>
      </c>
      <c r="BL384">
        <v>6</v>
      </c>
      <c r="BM384">
        <v>4</v>
      </c>
      <c r="BN384">
        <v>10</v>
      </c>
      <c r="BO384">
        <v>1</v>
      </c>
      <c r="BP384">
        <v>0</v>
      </c>
      <c r="BQ384">
        <v>4</v>
      </c>
      <c r="BR384">
        <v>8</v>
      </c>
      <c r="BS384">
        <v>2</v>
      </c>
      <c r="BT384">
        <v>8</v>
      </c>
      <c r="BU384">
        <v>4</v>
      </c>
      <c r="BV384">
        <v>10</v>
      </c>
      <c r="BW384">
        <v>5</v>
      </c>
      <c r="BX384">
        <v>5</v>
      </c>
      <c r="BY384">
        <v>3</v>
      </c>
      <c r="BZ384">
        <v>4</v>
      </c>
      <c r="CA384">
        <v>2</v>
      </c>
      <c r="CB384">
        <v>2</v>
      </c>
      <c r="CC384">
        <v>4</v>
      </c>
      <c r="CD384">
        <v>10</v>
      </c>
      <c r="CE384">
        <v>3</v>
      </c>
      <c r="CF384">
        <v>9</v>
      </c>
      <c r="CG384">
        <v>9</v>
      </c>
      <c r="CH384">
        <v>0</v>
      </c>
      <c r="CI384">
        <v>9</v>
      </c>
      <c r="CJ384">
        <v>2</v>
      </c>
      <c r="CK384">
        <v>0</v>
      </c>
      <c r="CL384">
        <v>9</v>
      </c>
      <c r="CM384">
        <v>10</v>
      </c>
      <c r="CN384">
        <v>6</v>
      </c>
      <c r="CO384">
        <v>3</v>
      </c>
      <c r="CP384">
        <v>8</v>
      </c>
      <c r="CQ384">
        <v>6</v>
      </c>
      <c r="CR384">
        <v>0</v>
      </c>
      <c r="CS384">
        <v>6</v>
      </c>
      <c r="CT384">
        <v>6</v>
      </c>
      <c r="CU384">
        <v>10</v>
      </c>
      <c r="CV384">
        <v>9</v>
      </c>
      <c r="CW384">
        <v>1</v>
      </c>
      <c r="CX384">
        <v>8</v>
      </c>
      <c r="CY384">
        <v>5</v>
      </c>
      <c r="CZ384">
        <v>6</v>
      </c>
      <c r="DA384">
        <v>0</v>
      </c>
      <c r="DB384">
        <v>3</v>
      </c>
      <c r="DC384">
        <v>6</v>
      </c>
      <c r="DD384">
        <v>3</v>
      </c>
      <c r="DE384">
        <v>10</v>
      </c>
      <c r="DF384">
        <v>7</v>
      </c>
      <c r="DG384">
        <v>1</v>
      </c>
      <c r="DH384">
        <v>8</v>
      </c>
      <c r="DI384">
        <v>8</v>
      </c>
      <c r="DJ384">
        <v>4</v>
      </c>
      <c r="DK384">
        <v>4</v>
      </c>
    </row>
    <row r="385" spans="1:115">
      <c r="A385" s="173">
        <f>Calculations[[#This Row],[Sum t eCO2]]*IF(Calculations[[#This Row],[GHG Scope]]="BIOGENIC",0,1)</f>
        <v>0.57776224312800017</v>
      </c>
      <c r="O385">
        <f t="shared" si="5"/>
        <v>384</v>
      </c>
      <c r="P385">
        <v>8</v>
      </c>
      <c r="Q385">
        <v>10</v>
      </c>
      <c r="R385">
        <v>2</v>
      </c>
      <c r="S385">
        <v>2</v>
      </c>
      <c r="T385">
        <v>2</v>
      </c>
      <c r="U385">
        <v>1</v>
      </c>
      <c r="V385">
        <v>5</v>
      </c>
      <c r="W385">
        <v>1</v>
      </c>
      <c r="X385">
        <v>1</v>
      </c>
      <c r="Y385">
        <v>4</v>
      </c>
      <c r="Z385">
        <v>4</v>
      </c>
      <c r="AA385">
        <v>1</v>
      </c>
      <c r="AB385">
        <v>2</v>
      </c>
      <c r="AC385">
        <v>9</v>
      </c>
      <c r="AD385">
        <v>5</v>
      </c>
      <c r="AE385">
        <v>4</v>
      </c>
      <c r="AF385">
        <v>1</v>
      </c>
      <c r="AG385">
        <v>9</v>
      </c>
      <c r="AH385">
        <v>8</v>
      </c>
      <c r="AI385">
        <v>2</v>
      </c>
      <c r="AJ385">
        <v>3</v>
      </c>
      <c r="AK385">
        <v>5</v>
      </c>
      <c r="AL385">
        <v>5</v>
      </c>
      <c r="AM385">
        <v>6</v>
      </c>
      <c r="AN385">
        <v>3</v>
      </c>
      <c r="AO385">
        <v>1</v>
      </c>
      <c r="AP385">
        <v>5</v>
      </c>
      <c r="AQ385">
        <v>3</v>
      </c>
      <c r="AR385">
        <v>2</v>
      </c>
      <c r="AS385">
        <v>5</v>
      </c>
      <c r="AT385">
        <v>7</v>
      </c>
      <c r="AU385">
        <v>2</v>
      </c>
      <c r="AV385">
        <v>10</v>
      </c>
      <c r="AW385">
        <v>3</v>
      </c>
      <c r="AX385">
        <v>4</v>
      </c>
      <c r="AY385">
        <v>9</v>
      </c>
      <c r="AZ385">
        <v>4</v>
      </c>
      <c r="BA385">
        <v>2</v>
      </c>
      <c r="BB385">
        <v>9</v>
      </c>
      <c r="BC385">
        <v>7</v>
      </c>
      <c r="BD385">
        <v>1</v>
      </c>
      <c r="BE385">
        <v>7</v>
      </c>
      <c r="BF385">
        <v>7</v>
      </c>
      <c r="BG385">
        <v>5</v>
      </c>
      <c r="BH385">
        <v>10</v>
      </c>
      <c r="BI385">
        <v>10</v>
      </c>
      <c r="BJ385">
        <v>2</v>
      </c>
      <c r="BK385">
        <v>7</v>
      </c>
      <c r="BL385">
        <v>0</v>
      </c>
      <c r="BM385">
        <v>5</v>
      </c>
      <c r="BN385">
        <v>4</v>
      </c>
      <c r="BO385">
        <v>1</v>
      </c>
      <c r="BP385">
        <v>0</v>
      </c>
      <c r="BQ385">
        <v>7</v>
      </c>
      <c r="BR385">
        <v>1</v>
      </c>
      <c r="BS385">
        <v>7</v>
      </c>
      <c r="BT385">
        <v>0</v>
      </c>
      <c r="BU385">
        <v>10</v>
      </c>
      <c r="BV385">
        <v>1</v>
      </c>
      <c r="BW385">
        <v>4</v>
      </c>
      <c r="BX385">
        <v>5</v>
      </c>
      <c r="BY385">
        <v>3</v>
      </c>
      <c r="BZ385">
        <v>7</v>
      </c>
      <c r="CA385">
        <v>10</v>
      </c>
      <c r="CB385">
        <v>4</v>
      </c>
      <c r="CC385">
        <v>3</v>
      </c>
      <c r="CD385">
        <v>5</v>
      </c>
      <c r="CE385">
        <v>10</v>
      </c>
      <c r="CF385">
        <v>9</v>
      </c>
      <c r="CG385">
        <v>2</v>
      </c>
      <c r="CH385">
        <v>9</v>
      </c>
      <c r="CI385">
        <v>7</v>
      </c>
      <c r="CJ385">
        <v>8</v>
      </c>
      <c r="CK385">
        <v>3</v>
      </c>
      <c r="CL385">
        <v>1</v>
      </c>
      <c r="CM385">
        <v>4</v>
      </c>
      <c r="CN385">
        <v>0</v>
      </c>
      <c r="CO385">
        <v>7</v>
      </c>
      <c r="CP385">
        <v>5</v>
      </c>
      <c r="CQ385">
        <v>7</v>
      </c>
      <c r="CR385">
        <v>6</v>
      </c>
      <c r="CS385">
        <v>10</v>
      </c>
      <c r="CT385">
        <v>5</v>
      </c>
      <c r="CU385">
        <v>9</v>
      </c>
      <c r="CV385">
        <v>6</v>
      </c>
      <c r="CW385">
        <v>6</v>
      </c>
      <c r="CX385">
        <v>7</v>
      </c>
      <c r="CY385">
        <v>10</v>
      </c>
      <c r="CZ385">
        <v>5</v>
      </c>
      <c r="DA385">
        <v>7</v>
      </c>
      <c r="DB385">
        <v>9</v>
      </c>
      <c r="DC385">
        <v>6</v>
      </c>
      <c r="DD385">
        <v>2</v>
      </c>
      <c r="DE385">
        <v>0</v>
      </c>
      <c r="DF385">
        <v>3</v>
      </c>
      <c r="DG385">
        <v>10</v>
      </c>
      <c r="DH385">
        <v>0</v>
      </c>
      <c r="DI385">
        <v>4</v>
      </c>
      <c r="DJ385">
        <v>2</v>
      </c>
      <c r="DK385">
        <v>2</v>
      </c>
    </row>
    <row r="386" spans="1:115">
      <c r="A386" s="173">
        <f>Calculations[[#This Row],[Sum t eCO2]]*IF(Calculations[[#This Row],[GHG Scope]]="BIOGENIC",0,1)</f>
        <v>0.41688269999999999</v>
      </c>
      <c r="O386">
        <f t="shared" si="5"/>
        <v>385</v>
      </c>
      <c r="P386">
        <v>6</v>
      </c>
      <c r="Q386">
        <v>9</v>
      </c>
      <c r="R386">
        <v>6</v>
      </c>
      <c r="S386">
        <v>9</v>
      </c>
      <c r="T386">
        <v>0</v>
      </c>
      <c r="U386">
        <v>9</v>
      </c>
      <c r="V386">
        <v>4</v>
      </c>
      <c r="W386">
        <v>1</v>
      </c>
      <c r="X386">
        <v>2</v>
      </c>
      <c r="Y386">
        <v>8</v>
      </c>
      <c r="Z386">
        <v>10</v>
      </c>
      <c r="AA386">
        <v>3</v>
      </c>
      <c r="AB386">
        <v>1</v>
      </c>
      <c r="AC386">
        <v>10</v>
      </c>
      <c r="AD386">
        <v>10</v>
      </c>
      <c r="AE386">
        <v>10</v>
      </c>
      <c r="AF386">
        <v>5</v>
      </c>
      <c r="AG386">
        <v>6</v>
      </c>
      <c r="AH386">
        <v>10</v>
      </c>
      <c r="AI386">
        <v>9</v>
      </c>
      <c r="AJ386">
        <v>4</v>
      </c>
      <c r="AK386">
        <v>7</v>
      </c>
      <c r="AL386">
        <v>2</v>
      </c>
      <c r="AM386">
        <v>6</v>
      </c>
      <c r="AN386">
        <v>2</v>
      </c>
      <c r="AO386">
        <v>6</v>
      </c>
      <c r="AP386">
        <v>1</v>
      </c>
      <c r="AQ386">
        <v>4</v>
      </c>
      <c r="AR386">
        <v>8</v>
      </c>
      <c r="AS386">
        <v>9</v>
      </c>
      <c r="AT386">
        <v>10</v>
      </c>
      <c r="AU386">
        <v>8</v>
      </c>
      <c r="AV386">
        <v>8</v>
      </c>
      <c r="AW386">
        <v>0</v>
      </c>
      <c r="AX386">
        <v>5</v>
      </c>
      <c r="AY386">
        <v>7</v>
      </c>
      <c r="AZ386">
        <v>9</v>
      </c>
      <c r="BA386">
        <v>9</v>
      </c>
      <c r="BB386">
        <v>8</v>
      </c>
      <c r="BC386">
        <v>8</v>
      </c>
      <c r="BD386">
        <v>0</v>
      </c>
      <c r="BE386">
        <v>3</v>
      </c>
      <c r="BF386">
        <v>8</v>
      </c>
      <c r="BG386">
        <v>6</v>
      </c>
      <c r="BH386">
        <v>7</v>
      </c>
      <c r="BI386">
        <v>5</v>
      </c>
      <c r="BJ386">
        <v>8</v>
      </c>
      <c r="BK386">
        <v>6</v>
      </c>
      <c r="BL386">
        <v>10</v>
      </c>
      <c r="BM386">
        <v>2</v>
      </c>
      <c r="BN386">
        <v>7</v>
      </c>
      <c r="BO386">
        <v>6</v>
      </c>
      <c r="BP386">
        <v>10</v>
      </c>
      <c r="BQ386">
        <v>9</v>
      </c>
      <c r="BR386">
        <v>9</v>
      </c>
      <c r="BS386">
        <v>7</v>
      </c>
      <c r="BT386">
        <v>2</v>
      </c>
      <c r="BU386">
        <v>1</v>
      </c>
      <c r="BV386">
        <v>8</v>
      </c>
      <c r="BW386">
        <v>4</v>
      </c>
      <c r="BX386">
        <v>7</v>
      </c>
      <c r="BY386">
        <v>10</v>
      </c>
      <c r="BZ386">
        <v>9</v>
      </c>
      <c r="CA386">
        <v>2</v>
      </c>
      <c r="CB386">
        <v>2</v>
      </c>
      <c r="CC386">
        <v>8</v>
      </c>
      <c r="CD386">
        <v>1</v>
      </c>
      <c r="CE386">
        <v>6</v>
      </c>
      <c r="CF386">
        <v>8</v>
      </c>
      <c r="CG386">
        <v>7</v>
      </c>
      <c r="CH386">
        <v>9</v>
      </c>
      <c r="CI386">
        <v>3</v>
      </c>
      <c r="CJ386">
        <v>7</v>
      </c>
      <c r="CK386">
        <v>4</v>
      </c>
      <c r="CL386">
        <v>7</v>
      </c>
      <c r="CM386">
        <v>6</v>
      </c>
      <c r="CN386">
        <v>7</v>
      </c>
      <c r="CO386">
        <v>2</v>
      </c>
      <c r="CP386">
        <v>5</v>
      </c>
      <c r="CQ386">
        <v>5</v>
      </c>
      <c r="CR386">
        <v>1</v>
      </c>
      <c r="CS386">
        <v>5</v>
      </c>
      <c r="CT386">
        <v>6</v>
      </c>
      <c r="CU386">
        <v>4</v>
      </c>
      <c r="CV386">
        <v>0</v>
      </c>
      <c r="CW386">
        <v>6</v>
      </c>
      <c r="CX386">
        <v>2</v>
      </c>
      <c r="CY386">
        <v>6</v>
      </c>
      <c r="CZ386">
        <v>4</v>
      </c>
      <c r="DA386">
        <v>0</v>
      </c>
      <c r="DB386">
        <v>6</v>
      </c>
      <c r="DC386">
        <v>1</v>
      </c>
      <c r="DD386">
        <v>2</v>
      </c>
      <c r="DE386">
        <v>0</v>
      </c>
      <c r="DF386">
        <v>10</v>
      </c>
      <c r="DG386">
        <v>3</v>
      </c>
      <c r="DH386">
        <v>9</v>
      </c>
      <c r="DI386">
        <v>9</v>
      </c>
      <c r="DJ386">
        <v>5</v>
      </c>
      <c r="DK386">
        <v>3</v>
      </c>
    </row>
    <row r="387" spans="1:115">
      <c r="A387" s="173">
        <f>Calculations[[#This Row],[Sum t eCO2]]*IF(Calculations[[#This Row],[GHG Scope]]="BIOGENIC",0,1)</f>
        <v>2.9459276700000001</v>
      </c>
      <c r="O387">
        <f t="shared" si="5"/>
        <v>386</v>
      </c>
      <c r="P387">
        <v>2</v>
      </c>
      <c r="Q387">
        <v>2</v>
      </c>
      <c r="R387">
        <v>9</v>
      </c>
      <c r="S387">
        <v>9</v>
      </c>
      <c r="T387">
        <v>3</v>
      </c>
      <c r="U387">
        <v>0</v>
      </c>
      <c r="V387">
        <v>6</v>
      </c>
      <c r="W387">
        <v>3</v>
      </c>
      <c r="X387">
        <v>2</v>
      </c>
      <c r="Y387">
        <v>9</v>
      </c>
      <c r="Z387">
        <v>4</v>
      </c>
      <c r="AA387">
        <v>7</v>
      </c>
      <c r="AB387">
        <v>2</v>
      </c>
      <c r="AC387">
        <v>1</v>
      </c>
      <c r="AD387">
        <v>4</v>
      </c>
      <c r="AE387">
        <v>4</v>
      </c>
      <c r="AF387">
        <v>7</v>
      </c>
      <c r="AG387">
        <v>0</v>
      </c>
      <c r="AH387">
        <v>0</v>
      </c>
      <c r="AI387">
        <v>5</v>
      </c>
      <c r="AJ387">
        <v>5</v>
      </c>
      <c r="AK387">
        <v>7</v>
      </c>
      <c r="AL387">
        <v>5</v>
      </c>
      <c r="AM387">
        <v>9</v>
      </c>
      <c r="AN387">
        <v>8</v>
      </c>
      <c r="AO387">
        <v>1</v>
      </c>
      <c r="AP387">
        <v>7</v>
      </c>
      <c r="AQ387">
        <v>8</v>
      </c>
      <c r="AR387">
        <v>2</v>
      </c>
      <c r="AS387">
        <v>7</v>
      </c>
      <c r="AT387">
        <v>6</v>
      </c>
      <c r="AU387">
        <v>10</v>
      </c>
      <c r="AV387">
        <v>2</v>
      </c>
      <c r="AW387">
        <v>6</v>
      </c>
      <c r="AX387">
        <v>0</v>
      </c>
      <c r="AY387">
        <v>4</v>
      </c>
      <c r="AZ387">
        <v>10</v>
      </c>
      <c r="BA387">
        <v>9</v>
      </c>
      <c r="BB387">
        <v>2</v>
      </c>
      <c r="BC387">
        <v>3</v>
      </c>
      <c r="BD387">
        <v>9</v>
      </c>
      <c r="BE387">
        <v>3</v>
      </c>
      <c r="BF387">
        <v>2</v>
      </c>
      <c r="BG387">
        <v>4</v>
      </c>
      <c r="BH387">
        <v>2</v>
      </c>
      <c r="BI387">
        <v>5</v>
      </c>
      <c r="BJ387">
        <v>6</v>
      </c>
      <c r="BK387">
        <v>1</v>
      </c>
      <c r="BL387">
        <v>2</v>
      </c>
      <c r="BM387">
        <v>0</v>
      </c>
      <c r="BN387">
        <v>3</v>
      </c>
      <c r="BO387">
        <v>9</v>
      </c>
      <c r="BP387">
        <v>0</v>
      </c>
      <c r="BQ387">
        <v>3</v>
      </c>
      <c r="BR387">
        <v>7</v>
      </c>
      <c r="BS387">
        <v>5</v>
      </c>
      <c r="BT387">
        <v>4</v>
      </c>
      <c r="BU387">
        <v>6</v>
      </c>
      <c r="BV387">
        <v>2</v>
      </c>
      <c r="BW387">
        <v>10</v>
      </c>
      <c r="BX387">
        <v>0</v>
      </c>
      <c r="BY387">
        <v>7</v>
      </c>
      <c r="BZ387">
        <v>1</v>
      </c>
      <c r="CA387">
        <v>2</v>
      </c>
      <c r="CB387">
        <v>0</v>
      </c>
      <c r="CC387">
        <v>10</v>
      </c>
      <c r="CD387">
        <v>0</v>
      </c>
      <c r="CE387">
        <v>0</v>
      </c>
      <c r="CF387">
        <v>6</v>
      </c>
      <c r="CG387">
        <v>0</v>
      </c>
      <c r="CH387">
        <v>6</v>
      </c>
      <c r="CI387">
        <v>5</v>
      </c>
      <c r="CJ387">
        <v>0</v>
      </c>
      <c r="CK387">
        <v>9</v>
      </c>
      <c r="CL387">
        <v>8</v>
      </c>
      <c r="CM387">
        <v>4</v>
      </c>
      <c r="CN387">
        <v>2</v>
      </c>
      <c r="CO387">
        <v>9</v>
      </c>
      <c r="CP387">
        <v>5</v>
      </c>
      <c r="CQ387">
        <v>4</v>
      </c>
      <c r="CR387">
        <v>6</v>
      </c>
      <c r="CS387">
        <v>3</v>
      </c>
      <c r="CT387">
        <v>3</v>
      </c>
      <c r="CU387">
        <v>5</v>
      </c>
      <c r="CV387">
        <v>8</v>
      </c>
      <c r="CW387">
        <v>4</v>
      </c>
      <c r="CX387">
        <v>10</v>
      </c>
      <c r="CY387">
        <v>3</v>
      </c>
      <c r="CZ387">
        <v>4</v>
      </c>
      <c r="DA387">
        <v>2</v>
      </c>
      <c r="DB387">
        <v>0</v>
      </c>
      <c r="DC387">
        <v>0</v>
      </c>
      <c r="DD387">
        <v>10</v>
      </c>
      <c r="DE387">
        <v>4</v>
      </c>
      <c r="DF387">
        <v>2</v>
      </c>
      <c r="DG387">
        <v>2</v>
      </c>
      <c r="DH387">
        <v>7</v>
      </c>
      <c r="DI387">
        <v>10</v>
      </c>
      <c r="DJ387">
        <v>10</v>
      </c>
      <c r="DK387">
        <v>4</v>
      </c>
    </row>
    <row r="388" spans="1:115">
      <c r="A388" s="173">
        <f>Calculations[[#This Row],[Sum t eCO2]]*IF(Calculations[[#This Row],[GHG Scope]]="BIOGENIC",0,1)</f>
        <v>0.41335403200000004</v>
      </c>
      <c r="O388">
        <f t="shared" ref="O388:O451" si="6">O387+1</f>
        <v>387</v>
      </c>
      <c r="P388">
        <v>3</v>
      </c>
      <c r="Q388">
        <v>4</v>
      </c>
      <c r="R388">
        <v>9</v>
      </c>
      <c r="S388">
        <v>0</v>
      </c>
      <c r="T388">
        <v>4</v>
      </c>
      <c r="U388">
        <v>9</v>
      </c>
      <c r="V388">
        <v>9</v>
      </c>
      <c r="W388">
        <v>0</v>
      </c>
      <c r="X388">
        <v>2</v>
      </c>
      <c r="Y388">
        <v>8</v>
      </c>
      <c r="Z388">
        <v>0</v>
      </c>
      <c r="AA388">
        <v>10</v>
      </c>
      <c r="AB388">
        <v>9</v>
      </c>
      <c r="AC388">
        <v>6</v>
      </c>
      <c r="AD388">
        <v>2</v>
      </c>
      <c r="AE388">
        <v>4</v>
      </c>
      <c r="AF388">
        <v>7</v>
      </c>
      <c r="AG388">
        <v>0</v>
      </c>
      <c r="AH388">
        <v>6</v>
      </c>
      <c r="AI388">
        <v>2</v>
      </c>
      <c r="AJ388">
        <v>10</v>
      </c>
      <c r="AK388">
        <v>4</v>
      </c>
      <c r="AL388">
        <v>3</v>
      </c>
      <c r="AM388">
        <v>10</v>
      </c>
      <c r="AN388">
        <v>3</v>
      </c>
      <c r="AO388">
        <v>7</v>
      </c>
      <c r="AP388">
        <v>9</v>
      </c>
      <c r="AQ388">
        <v>5</v>
      </c>
      <c r="AR388">
        <v>1</v>
      </c>
      <c r="AS388">
        <v>4</v>
      </c>
      <c r="AT388">
        <v>10</v>
      </c>
      <c r="AU388">
        <v>9</v>
      </c>
      <c r="AV388">
        <v>6</v>
      </c>
      <c r="AW388">
        <v>9</v>
      </c>
      <c r="AX388">
        <v>9</v>
      </c>
      <c r="AY388">
        <v>8</v>
      </c>
      <c r="AZ388">
        <v>8</v>
      </c>
      <c r="BA388">
        <v>0</v>
      </c>
      <c r="BB388">
        <v>7</v>
      </c>
      <c r="BC388">
        <v>5</v>
      </c>
      <c r="BD388">
        <v>10</v>
      </c>
      <c r="BE388">
        <v>6</v>
      </c>
      <c r="BF388">
        <v>8</v>
      </c>
      <c r="BG388">
        <v>6</v>
      </c>
      <c r="BH388">
        <v>1</v>
      </c>
      <c r="BI388">
        <v>10</v>
      </c>
      <c r="BJ388">
        <v>8</v>
      </c>
      <c r="BK388">
        <v>8</v>
      </c>
      <c r="BL388">
        <v>5</v>
      </c>
      <c r="BM388">
        <v>5</v>
      </c>
      <c r="BN388">
        <v>6</v>
      </c>
      <c r="BO388">
        <v>5</v>
      </c>
      <c r="BP388">
        <v>2</v>
      </c>
      <c r="BQ388">
        <v>1</v>
      </c>
      <c r="BR388">
        <v>0</v>
      </c>
      <c r="BS388">
        <v>0</v>
      </c>
      <c r="BT388">
        <v>9</v>
      </c>
      <c r="BU388">
        <v>3</v>
      </c>
      <c r="BV388">
        <v>7</v>
      </c>
      <c r="BW388">
        <v>5</v>
      </c>
      <c r="BX388">
        <v>0</v>
      </c>
      <c r="BY388">
        <v>4</v>
      </c>
      <c r="BZ388">
        <v>2</v>
      </c>
      <c r="CA388">
        <v>6</v>
      </c>
      <c r="CB388">
        <v>6</v>
      </c>
      <c r="CC388">
        <v>0</v>
      </c>
      <c r="CD388">
        <v>1</v>
      </c>
      <c r="CE388">
        <v>1</v>
      </c>
      <c r="CF388">
        <v>2</v>
      </c>
      <c r="CG388">
        <v>8</v>
      </c>
      <c r="CH388">
        <v>8</v>
      </c>
      <c r="CI388">
        <v>2</v>
      </c>
      <c r="CJ388">
        <v>3</v>
      </c>
      <c r="CK388">
        <v>2</v>
      </c>
      <c r="CL388">
        <v>0</v>
      </c>
      <c r="CM388">
        <v>8</v>
      </c>
      <c r="CN388">
        <v>6</v>
      </c>
      <c r="CO388">
        <v>5</v>
      </c>
      <c r="CP388">
        <v>5</v>
      </c>
      <c r="CQ388">
        <v>7</v>
      </c>
      <c r="CR388">
        <v>5</v>
      </c>
      <c r="CS388">
        <v>3</v>
      </c>
      <c r="CT388">
        <v>3</v>
      </c>
      <c r="CU388">
        <v>1</v>
      </c>
      <c r="CV388">
        <v>1</v>
      </c>
      <c r="CW388">
        <v>10</v>
      </c>
      <c r="CX388">
        <v>5</v>
      </c>
      <c r="CY388">
        <v>4</v>
      </c>
      <c r="CZ388">
        <v>10</v>
      </c>
      <c r="DA388">
        <v>4</v>
      </c>
      <c r="DB388">
        <v>4</v>
      </c>
      <c r="DC388">
        <v>6</v>
      </c>
      <c r="DD388">
        <v>7</v>
      </c>
      <c r="DE388">
        <v>4</v>
      </c>
      <c r="DF388">
        <v>8</v>
      </c>
      <c r="DG388">
        <v>0</v>
      </c>
      <c r="DH388">
        <v>10</v>
      </c>
      <c r="DI388">
        <v>2</v>
      </c>
      <c r="DJ388">
        <v>7</v>
      </c>
      <c r="DK388">
        <v>4</v>
      </c>
    </row>
    <row r="389" spans="1:115">
      <c r="A389" s="173">
        <f>Calculations[[#This Row],[Sum t eCO2]]*IF(Calculations[[#This Row],[GHG Scope]]="BIOGENIC",0,1)</f>
        <v>363.7554753269975</v>
      </c>
      <c r="O389">
        <f t="shared" si="6"/>
        <v>388</v>
      </c>
      <c r="P389">
        <v>8</v>
      </c>
      <c r="Q389">
        <v>5</v>
      </c>
      <c r="R389">
        <v>1</v>
      </c>
      <c r="S389">
        <v>3</v>
      </c>
      <c r="T389">
        <v>9</v>
      </c>
      <c r="U389">
        <v>8</v>
      </c>
      <c r="V389">
        <v>9</v>
      </c>
      <c r="W389">
        <v>1</v>
      </c>
      <c r="X389">
        <v>2</v>
      </c>
      <c r="Y389">
        <v>0</v>
      </c>
      <c r="Z389">
        <v>1</v>
      </c>
      <c r="AA389">
        <v>4</v>
      </c>
      <c r="AB389">
        <v>4</v>
      </c>
      <c r="AC389">
        <v>1</v>
      </c>
      <c r="AD389">
        <v>5</v>
      </c>
      <c r="AE389">
        <v>9</v>
      </c>
      <c r="AF389">
        <v>4</v>
      </c>
      <c r="AG389">
        <v>4</v>
      </c>
      <c r="AH389">
        <v>8</v>
      </c>
      <c r="AI389">
        <v>8</v>
      </c>
      <c r="AJ389">
        <v>8</v>
      </c>
      <c r="AK389">
        <v>1</v>
      </c>
      <c r="AL389">
        <v>0</v>
      </c>
      <c r="AM389">
        <v>0</v>
      </c>
      <c r="AN389">
        <v>10</v>
      </c>
      <c r="AO389">
        <v>2</v>
      </c>
      <c r="AP389">
        <v>7</v>
      </c>
      <c r="AQ389">
        <v>3</v>
      </c>
      <c r="AR389">
        <v>9</v>
      </c>
      <c r="AS389">
        <v>6</v>
      </c>
      <c r="AT389">
        <v>9</v>
      </c>
      <c r="AU389">
        <v>8</v>
      </c>
      <c r="AV389">
        <v>6</v>
      </c>
      <c r="AW389">
        <v>6</v>
      </c>
      <c r="AX389">
        <v>7</v>
      </c>
      <c r="AY389">
        <v>4</v>
      </c>
      <c r="AZ389">
        <v>3</v>
      </c>
      <c r="BA389">
        <v>7</v>
      </c>
      <c r="BB389">
        <v>6</v>
      </c>
      <c r="BC389">
        <v>0</v>
      </c>
      <c r="BD389">
        <v>7</v>
      </c>
      <c r="BE389">
        <v>7</v>
      </c>
      <c r="BF389">
        <v>10</v>
      </c>
      <c r="BG389">
        <v>1</v>
      </c>
      <c r="BH389">
        <v>2</v>
      </c>
      <c r="BI389">
        <v>7</v>
      </c>
      <c r="BJ389">
        <v>10</v>
      </c>
      <c r="BK389">
        <v>0</v>
      </c>
      <c r="BL389">
        <v>8</v>
      </c>
      <c r="BM389">
        <v>10</v>
      </c>
      <c r="BN389">
        <v>8</v>
      </c>
      <c r="BO389">
        <v>7</v>
      </c>
      <c r="BP389">
        <v>2</v>
      </c>
      <c r="BQ389">
        <v>2</v>
      </c>
      <c r="BR389">
        <v>5</v>
      </c>
      <c r="BS389">
        <v>10</v>
      </c>
      <c r="BT389">
        <v>4</v>
      </c>
      <c r="BU389">
        <v>2</v>
      </c>
      <c r="BV389">
        <v>1</v>
      </c>
      <c r="BW389">
        <v>7</v>
      </c>
      <c r="BX389">
        <v>5</v>
      </c>
      <c r="BY389">
        <v>4</v>
      </c>
      <c r="BZ389">
        <v>7</v>
      </c>
      <c r="CA389">
        <v>5</v>
      </c>
      <c r="CB389">
        <v>1</v>
      </c>
      <c r="CC389">
        <v>1</v>
      </c>
      <c r="CD389">
        <v>8</v>
      </c>
      <c r="CE389">
        <v>6</v>
      </c>
      <c r="CF389">
        <v>10</v>
      </c>
      <c r="CG389">
        <v>7</v>
      </c>
      <c r="CH389">
        <v>8</v>
      </c>
      <c r="CI389">
        <v>0</v>
      </c>
      <c r="CJ389">
        <v>5</v>
      </c>
      <c r="CK389">
        <v>8</v>
      </c>
      <c r="CL389">
        <v>3</v>
      </c>
      <c r="CM389">
        <v>9</v>
      </c>
      <c r="CN389">
        <v>1</v>
      </c>
      <c r="CO389">
        <v>1</v>
      </c>
      <c r="CP389">
        <v>9</v>
      </c>
      <c r="CQ389">
        <v>7</v>
      </c>
      <c r="CR389">
        <v>2</v>
      </c>
      <c r="CS389">
        <v>5</v>
      </c>
      <c r="CT389">
        <v>1</v>
      </c>
      <c r="CU389">
        <v>7</v>
      </c>
      <c r="CV389">
        <v>9</v>
      </c>
      <c r="CW389">
        <v>3</v>
      </c>
      <c r="CX389">
        <v>2</v>
      </c>
      <c r="CY389">
        <v>2</v>
      </c>
      <c r="CZ389">
        <v>1</v>
      </c>
      <c r="DA389">
        <v>10</v>
      </c>
      <c r="DB389">
        <v>3</v>
      </c>
      <c r="DC389">
        <v>0</v>
      </c>
      <c r="DD389">
        <v>7</v>
      </c>
      <c r="DE389">
        <v>7</v>
      </c>
      <c r="DF389">
        <v>7</v>
      </c>
      <c r="DG389">
        <v>10</v>
      </c>
      <c r="DH389">
        <v>8</v>
      </c>
      <c r="DI389">
        <v>5</v>
      </c>
      <c r="DJ389">
        <v>2</v>
      </c>
      <c r="DK389">
        <v>8</v>
      </c>
    </row>
    <row r="390" spans="1:115">
      <c r="A390" s="173">
        <f>Calculations[[#This Row],[Sum t eCO2]]*IF(Calculations[[#This Row],[GHG Scope]]="BIOGENIC",0,1)</f>
        <v>414.96519818499985</v>
      </c>
      <c r="O390">
        <f t="shared" si="6"/>
        <v>389</v>
      </c>
      <c r="P390">
        <v>6</v>
      </c>
      <c r="Q390">
        <v>0</v>
      </c>
      <c r="R390">
        <v>7</v>
      </c>
      <c r="S390">
        <v>7</v>
      </c>
      <c r="T390">
        <v>1</v>
      </c>
      <c r="U390">
        <v>8</v>
      </c>
      <c r="V390">
        <v>4</v>
      </c>
      <c r="W390">
        <v>3</v>
      </c>
      <c r="X390">
        <v>10</v>
      </c>
      <c r="Y390">
        <v>1</v>
      </c>
      <c r="Z390">
        <v>3</v>
      </c>
      <c r="AA390">
        <v>7</v>
      </c>
      <c r="AB390">
        <v>7</v>
      </c>
      <c r="AC390">
        <v>5</v>
      </c>
      <c r="AD390">
        <v>8</v>
      </c>
      <c r="AE390">
        <v>7</v>
      </c>
      <c r="AF390">
        <v>3</v>
      </c>
      <c r="AG390">
        <v>7</v>
      </c>
      <c r="AH390">
        <v>5</v>
      </c>
      <c r="AI390">
        <v>5</v>
      </c>
      <c r="AJ390">
        <v>7</v>
      </c>
      <c r="AK390">
        <v>2</v>
      </c>
      <c r="AL390">
        <v>9</v>
      </c>
      <c r="AM390">
        <v>6</v>
      </c>
      <c r="AN390">
        <v>4</v>
      </c>
      <c r="AO390">
        <v>8</v>
      </c>
      <c r="AP390">
        <v>6</v>
      </c>
      <c r="AQ390">
        <v>7</v>
      </c>
      <c r="AR390">
        <v>6</v>
      </c>
      <c r="AS390">
        <v>10</v>
      </c>
      <c r="AT390">
        <v>2</v>
      </c>
      <c r="AU390">
        <v>9</v>
      </c>
      <c r="AV390">
        <v>4</v>
      </c>
      <c r="AW390">
        <v>1</v>
      </c>
      <c r="AX390">
        <v>6</v>
      </c>
      <c r="AY390">
        <v>8</v>
      </c>
      <c r="AZ390">
        <v>2</v>
      </c>
      <c r="BA390">
        <v>2</v>
      </c>
      <c r="BB390">
        <v>10</v>
      </c>
      <c r="BC390">
        <v>2</v>
      </c>
      <c r="BD390">
        <v>0</v>
      </c>
      <c r="BE390">
        <v>5</v>
      </c>
      <c r="BF390">
        <v>10</v>
      </c>
      <c r="BG390">
        <v>6</v>
      </c>
      <c r="BH390">
        <v>10</v>
      </c>
      <c r="BI390">
        <v>2</v>
      </c>
      <c r="BJ390">
        <v>10</v>
      </c>
      <c r="BK390">
        <v>4</v>
      </c>
      <c r="BL390">
        <v>1</v>
      </c>
      <c r="BM390">
        <v>8</v>
      </c>
      <c r="BN390">
        <v>0</v>
      </c>
      <c r="BO390">
        <v>1</v>
      </c>
      <c r="BP390">
        <v>5</v>
      </c>
      <c r="BQ390">
        <v>2</v>
      </c>
      <c r="BR390">
        <v>1</v>
      </c>
      <c r="BS390">
        <v>9</v>
      </c>
      <c r="BT390">
        <v>10</v>
      </c>
      <c r="BU390">
        <v>10</v>
      </c>
      <c r="BV390">
        <v>0</v>
      </c>
      <c r="BW390">
        <v>10</v>
      </c>
      <c r="BX390">
        <v>5</v>
      </c>
      <c r="BY390">
        <v>7</v>
      </c>
      <c r="BZ390">
        <v>0</v>
      </c>
      <c r="CA390">
        <v>0</v>
      </c>
      <c r="CB390">
        <v>2</v>
      </c>
      <c r="CC390">
        <v>8</v>
      </c>
      <c r="CD390">
        <v>7</v>
      </c>
      <c r="CE390">
        <v>0</v>
      </c>
      <c r="CF390">
        <v>7</v>
      </c>
      <c r="CG390">
        <v>10</v>
      </c>
      <c r="CH390">
        <v>9</v>
      </c>
      <c r="CI390">
        <v>4</v>
      </c>
      <c r="CJ390">
        <v>5</v>
      </c>
      <c r="CK390">
        <v>6</v>
      </c>
      <c r="CL390">
        <v>1</v>
      </c>
      <c r="CM390">
        <v>9</v>
      </c>
      <c r="CN390">
        <v>4</v>
      </c>
      <c r="CO390">
        <v>10</v>
      </c>
      <c r="CP390">
        <v>4</v>
      </c>
      <c r="CQ390">
        <v>0</v>
      </c>
      <c r="CR390">
        <v>5</v>
      </c>
      <c r="CS390">
        <v>0</v>
      </c>
      <c r="CT390">
        <v>1</v>
      </c>
      <c r="CU390">
        <v>7</v>
      </c>
      <c r="CV390">
        <v>5</v>
      </c>
      <c r="CW390">
        <v>5</v>
      </c>
      <c r="CX390">
        <v>0</v>
      </c>
      <c r="CY390">
        <v>4</v>
      </c>
      <c r="CZ390">
        <v>10</v>
      </c>
      <c r="DA390">
        <v>0</v>
      </c>
      <c r="DB390">
        <v>8</v>
      </c>
      <c r="DC390">
        <v>6</v>
      </c>
      <c r="DD390">
        <v>2</v>
      </c>
      <c r="DE390">
        <v>9</v>
      </c>
      <c r="DF390">
        <v>2</v>
      </c>
      <c r="DG390">
        <v>0</v>
      </c>
      <c r="DH390">
        <v>9</v>
      </c>
      <c r="DI390">
        <v>4</v>
      </c>
      <c r="DJ390">
        <v>1</v>
      </c>
      <c r="DK390">
        <v>5</v>
      </c>
    </row>
    <row r="391" spans="1:115">
      <c r="A391" s="173">
        <f>Calculations[[#This Row],[Sum t eCO2]]*IF(Calculations[[#This Row],[GHG Scope]]="BIOGENIC",0,1)</f>
        <v>55.945100250000003</v>
      </c>
      <c r="O391">
        <f t="shared" si="6"/>
        <v>390</v>
      </c>
      <c r="P391">
        <v>5</v>
      </c>
      <c r="Q391">
        <v>1</v>
      </c>
      <c r="R391">
        <v>9</v>
      </c>
      <c r="S391">
        <v>6</v>
      </c>
      <c r="T391">
        <v>2</v>
      </c>
      <c r="U391">
        <v>6</v>
      </c>
      <c r="V391">
        <v>9</v>
      </c>
      <c r="W391">
        <v>4</v>
      </c>
      <c r="X391">
        <v>0</v>
      </c>
      <c r="Y391">
        <v>1</v>
      </c>
      <c r="Z391">
        <v>10</v>
      </c>
      <c r="AA391">
        <v>7</v>
      </c>
      <c r="AB391">
        <v>1</v>
      </c>
      <c r="AC391">
        <v>10</v>
      </c>
      <c r="AD391">
        <v>6</v>
      </c>
      <c r="AE391">
        <v>7</v>
      </c>
      <c r="AF391">
        <v>7</v>
      </c>
      <c r="AG391">
        <v>3</v>
      </c>
      <c r="AH391">
        <v>0</v>
      </c>
      <c r="AI391">
        <v>6</v>
      </c>
      <c r="AJ391">
        <v>4</v>
      </c>
      <c r="AK391">
        <v>8</v>
      </c>
      <c r="AL391">
        <v>1</v>
      </c>
      <c r="AM391">
        <v>5</v>
      </c>
      <c r="AN391">
        <v>10</v>
      </c>
      <c r="AO391">
        <v>2</v>
      </c>
      <c r="AP391">
        <v>1</v>
      </c>
      <c r="AQ391">
        <v>4</v>
      </c>
      <c r="AR391">
        <v>10</v>
      </c>
      <c r="AS391">
        <v>2</v>
      </c>
      <c r="AT391">
        <v>9</v>
      </c>
      <c r="AU391">
        <v>0</v>
      </c>
      <c r="AV391">
        <v>4</v>
      </c>
      <c r="AW391">
        <v>4</v>
      </c>
      <c r="AX391">
        <v>3</v>
      </c>
      <c r="AY391">
        <v>10</v>
      </c>
      <c r="AZ391">
        <v>1</v>
      </c>
      <c r="BA391">
        <v>3</v>
      </c>
      <c r="BB391">
        <v>9</v>
      </c>
      <c r="BC391">
        <v>8</v>
      </c>
      <c r="BD391">
        <v>9</v>
      </c>
      <c r="BE391">
        <v>10</v>
      </c>
      <c r="BF391">
        <v>6</v>
      </c>
      <c r="BG391">
        <v>10</v>
      </c>
      <c r="BH391">
        <v>9</v>
      </c>
      <c r="BI391">
        <v>0</v>
      </c>
      <c r="BJ391">
        <v>9</v>
      </c>
      <c r="BK391">
        <v>5</v>
      </c>
      <c r="BL391">
        <v>8</v>
      </c>
      <c r="BM391">
        <v>2</v>
      </c>
      <c r="BN391">
        <v>9</v>
      </c>
      <c r="BO391">
        <v>9</v>
      </c>
      <c r="BP391">
        <v>7</v>
      </c>
      <c r="BQ391">
        <v>4</v>
      </c>
      <c r="BR391">
        <v>9</v>
      </c>
      <c r="BS391">
        <v>3</v>
      </c>
      <c r="BT391">
        <v>9</v>
      </c>
      <c r="BU391">
        <v>7</v>
      </c>
      <c r="BV391">
        <v>6</v>
      </c>
      <c r="BW391">
        <v>1</v>
      </c>
      <c r="BX391">
        <v>0</v>
      </c>
      <c r="BY391">
        <v>2</v>
      </c>
      <c r="BZ391">
        <v>7</v>
      </c>
      <c r="CA391">
        <v>8</v>
      </c>
      <c r="CB391">
        <v>4</v>
      </c>
      <c r="CC391">
        <v>8</v>
      </c>
      <c r="CD391">
        <v>0</v>
      </c>
      <c r="CE391">
        <v>3</v>
      </c>
      <c r="CF391">
        <v>0</v>
      </c>
      <c r="CG391">
        <v>5</v>
      </c>
      <c r="CH391">
        <v>8</v>
      </c>
      <c r="CI391">
        <v>7</v>
      </c>
      <c r="CJ391">
        <v>10</v>
      </c>
      <c r="CK391">
        <v>4</v>
      </c>
      <c r="CL391">
        <v>2</v>
      </c>
      <c r="CM391">
        <v>10</v>
      </c>
      <c r="CN391">
        <v>3</v>
      </c>
      <c r="CO391">
        <v>5</v>
      </c>
      <c r="CP391">
        <v>9</v>
      </c>
      <c r="CQ391">
        <v>8</v>
      </c>
      <c r="CR391">
        <v>8</v>
      </c>
      <c r="CS391">
        <v>0</v>
      </c>
      <c r="CT391">
        <v>1</v>
      </c>
      <c r="CU391">
        <v>9</v>
      </c>
      <c r="CV391">
        <v>6</v>
      </c>
      <c r="CW391">
        <v>9</v>
      </c>
      <c r="CX391">
        <v>1</v>
      </c>
      <c r="CY391">
        <v>9</v>
      </c>
      <c r="CZ391">
        <v>6</v>
      </c>
      <c r="DA391">
        <v>2</v>
      </c>
      <c r="DB391">
        <v>3</v>
      </c>
      <c r="DC391">
        <v>2</v>
      </c>
      <c r="DD391">
        <v>1</v>
      </c>
      <c r="DE391">
        <v>8</v>
      </c>
      <c r="DF391">
        <v>10</v>
      </c>
      <c r="DG391">
        <v>3</v>
      </c>
      <c r="DH391">
        <v>9</v>
      </c>
      <c r="DI391">
        <v>10</v>
      </c>
      <c r="DJ391">
        <v>2</v>
      </c>
      <c r="DK391">
        <v>10</v>
      </c>
    </row>
    <row r="392" spans="1:115">
      <c r="A392" s="173">
        <f>Calculations[[#This Row],[Sum t eCO2]]*IF(Calculations[[#This Row],[GHG Scope]]="BIOGENIC",0,1)</f>
        <v>9.1431203372292007</v>
      </c>
      <c r="O392">
        <f t="shared" si="6"/>
        <v>391</v>
      </c>
      <c r="P392">
        <v>4</v>
      </c>
      <c r="Q392">
        <v>2</v>
      </c>
      <c r="R392">
        <v>7</v>
      </c>
      <c r="S392">
        <v>1</v>
      </c>
      <c r="T392">
        <v>7</v>
      </c>
      <c r="U392">
        <v>4</v>
      </c>
      <c r="V392">
        <v>0</v>
      </c>
      <c r="W392">
        <v>3</v>
      </c>
      <c r="X392">
        <v>5</v>
      </c>
      <c r="Y392">
        <v>6</v>
      </c>
      <c r="Z392">
        <v>2</v>
      </c>
      <c r="AA392">
        <v>1</v>
      </c>
      <c r="AB392">
        <v>2</v>
      </c>
      <c r="AC392">
        <v>5</v>
      </c>
      <c r="AD392">
        <v>8</v>
      </c>
      <c r="AE392">
        <v>7</v>
      </c>
      <c r="AF392">
        <v>6</v>
      </c>
      <c r="AG392">
        <v>1</v>
      </c>
      <c r="AH392">
        <v>6</v>
      </c>
      <c r="AI392">
        <v>8</v>
      </c>
      <c r="AJ392">
        <v>8</v>
      </c>
      <c r="AK392">
        <v>0</v>
      </c>
      <c r="AL392">
        <v>9</v>
      </c>
      <c r="AM392">
        <v>3</v>
      </c>
      <c r="AN392">
        <v>0</v>
      </c>
      <c r="AO392">
        <v>9</v>
      </c>
      <c r="AP392">
        <v>0</v>
      </c>
      <c r="AQ392">
        <v>10</v>
      </c>
      <c r="AR392">
        <v>8</v>
      </c>
      <c r="AS392">
        <v>1</v>
      </c>
      <c r="AT392">
        <v>5</v>
      </c>
      <c r="AU392">
        <v>1</v>
      </c>
      <c r="AV392">
        <v>5</v>
      </c>
      <c r="AW392">
        <v>0</v>
      </c>
      <c r="AX392">
        <v>7</v>
      </c>
      <c r="AY392">
        <v>0</v>
      </c>
      <c r="AZ392">
        <v>3</v>
      </c>
      <c r="BA392">
        <v>10</v>
      </c>
      <c r="BB392">
        <v>0</v>
      </c>
      <c r="BC392">
        <v>10</v>
      </c>
      <c r="BD392">
        <v>4</v>
      </c>
      <c r="BE392">
        <v>0</v>
      </c>
      <c r="BF392">
        <v>2</v>
      </c>
      <c r="BG392">
        <v>10</v>
      </c>
      <c r="BH392">
        <v>10</v>
      </c>
      <c r="BI392">
        <v>9</v>
      </c>
      <c r="BJ392">
        <v>8</v>
      </c>
      <c r="BK392">
        <v>5</v>
      </c>
      <c r="BL392">
        <v>1</v>
      </c>
      <c r="BM392">
        <v>1</v>
      </c>
      <c r="BN392">
        <v>4</v>
      </c>
      <c r="BO392">
        <v>7</v>
      </c>
      <c r="BP392">
        <v>5</v>
      </c>
      <c r="BQ392">
        <v>7</v>
      </c>
      <c r="BR392">
        <v>6</v>
      </c>
      <c r="BS392">
        <v>3</v>
      </c>
      <c r="BT392">
        <v>4</v>
      </c>
      <c r="BU392">
        <v>10</v>
      </c>
      <c r="BV392">
        <v>9</v>
      </c>
      <c r="BW392">
        <v>7</v>
      </c>
      <c r="BX392">
        <v>6</v>
      </c>
      <c r="BY392">
        <v>7</v>
      </c>
      <c r="BZ392">
        <v>8</v>
      </c>
      <c r="CA392">
        <v>4</v>
      </c>
      <c r="CB392">
        <v>3</v>
      </c>
      <c r="CC392">
        <v>5</v>
      </c>
      <c r="CD392">
        <v>3</v>
      </c>
      <c r="CE392">
        <v>0</v>
      </c>
      <c r="CF392">
        <v>9</v>
      </c>
      <c r="CG392">
        <v>0</v>
      </c>
      <c r="CH392">
        <v>1</v>
      </c>
      <c r="CI392">
        <v>3</v>
      </c>
      <c r="CJ392">
        <v>0</v>
      </c>
      <c r="CK392">
        <v>3</v>
      </c>
      <c r="CL392">
        <v>7</v>
      </c>
      <c r="CM392">
        <v>2</v>
      </c>
      <c r="CN392">
        <v>2</v>
      </c>
      <c r="CO392">
        <v>3</v>
      </c>
      <c r="CP392">
        <v>10</v>
      </c>
      <c r="CQ392">
        <v>9</v>
      </c>
      <c r="CR392">
        <v>7</v>
      </c>
      <c r="CS392">
        <v>4</v>
      </c>
      <c r="CT392">
        <v>10</v>
      </c>
      <c r="CU392">
        <v>0</v>
      </c>
      <c r="CV392">
        <v>10</v>
      </c>
      <c r="CW392">
        <v>0</v>
      </c>
      <c r="CX392">
        <v>6</v>
      </c>
      <c r="CY392">
        <v>2</v>
      </c>
      <c r="CZ392">
        <v>9</v>
      </c>
      <c r="DA392">
        <v>8</v>
      </c>
      <c r="DB392">
        <v>10</v>
      </c>
      <c r="DC392">
        <v>0</v>
      </c>
      <c r="DD392">
        <v>2</v>
      </c>
      <c r="DE392">
        <v>9</v>
      </c>
      <c r="DF392">
        <v>5</v>
      </c>
      <c r="DG392">
        <v>2</v>
      </c>
      <c r="DH392">
        <v>4</v>
      </c>
      <c r="DI392">
        <v>10</v>
      </c>
      <c r="DJ392">
        <v>4</v>
      </c>
      <c r="DK392">
        <v>8</v>
      </c>
    </row>
    <row r="393" spans="1:115">
      <c r="A393" s="173">
        <f>Calculations[[#This Row],[Sum t eCO2]]*IF(Calculations[[#This Row],[GHG Scope]]="BIOGENIC",0,1)</f>
        <v>4.3271084895275997</v>
      </c>
      <c r="O393">
        <f t="shared" si="6"/>
        <v>392</v>
      </c>
      <c r="P393">
        <v>8</v>
      </c>
      <c r="Q393">
        <v>5</v>
      </c>
      <c r="R393">
        <v>9</v>
      </c>
      <c r="S393">
        <v>4</v>
      </c>
      <c r="T393">
        <v>8</v>
      </c>
      <c r="U393">
        <v>7</v>
      </c>
      <c r="V393">
        <v>9</v>
      </c>
      <c r="W393">
        <v>6</v>
      </c>
      <c r="X393">
        <v>10</v>
      </c>
      <c r="Y393">
        <v>6</v>
      </c>
      <c r="Z393">
        <v>5</v>
      </c>
      <c r="AA393">
        <v>5</v>
      </c>
      <c r="AB393">
        <v>2</v>
      </c>
      <c r="AC393">
        <v>1</v>
      </c>
      <c r="AD393">
        <v>5</v>
      </c>
      <c r="AE393">
        <v>4</v>
      </c>
      <c r="AF393">
        <v>9</v>
      </c>
      <c r="AG393">
        <v>1</v>
      </c>
      <c r="AH393">
        <v>10</v>
      </c>
      <c r="AI393">
        <v>9</v>
      </c>
      <c r="AJ393">
        <v>8</v>
      </c>
      <c r="AK393">
        <v>0</v>
      </c>
      <c r="AL393">
        <v>10</v>
      </c>
      <c r="AM393">
        <v>10</v>
      </c>
      <c r="AN393">
        <v>0</v>
      </c>
      <c r="AO393">
        <v>0</v>
      </c>
      <c r="AP393">
        <v>0</v>
      </c>
      <c r="AQ393">
        <v>5</v>
      </c>
      <c r="AR393">
        <v>5</v>
      </c>
      <c r="AS393">
        <v>10</v>
      </c>
      <c r="AT393">
        <v>1</v>
      </c>
      <c r="AU393">
        <v>6</v>
      </c>
      <c r="AV393">
        <v>4</v>
      </c>
      <c r="AW393">
        <v>10</v>
      </c>
      <c r="AX393">
        <v>5</v>
      </c>
      <c r="AY393">
        <v>4</v>
      </c>
      <c r="AZ393">
        <v>1</v>
      </c>
      <c r="BA393">
        <v>8</v>
      </c>
      <c r="BB393">
        <v>7</v>
      </c>
      <c r="BC393">
        <v>8</v>
      </c>
      <c r="BD393">
        <v>1</v>
      </c>
      <c r="BE393">
        <v>1</v>
      </c>
      <c r="BF393">
        <v>5</v>
      </c>
      <c r="BG393">
        <v>2</v>
      </c>
      <c r="BH393">
        <v>5</v>
      </c>
      <c r="BI393">
        <v>7</v>
      </c>
      <c r="BJ393">
        <v>5</v>
      </c>
      <c r="BK393">
        <v>9</v>
      </c>
      <c r="BL393">
        <v>7</v>
      </c>
      <c r="BM393">
        <v>4</v>
      </c>
      <c r="BN393">
        <v>0</v>
      </c>
      <c r="BO393">
        <v>3</v>
      </c>
      <c r="BP393">
        <v>9</v>
      </c>
      <c r="BQ393">
        <v>6</v>
      </c>
      <c r="BR393">
        <v>10</v>
      </c>
      <c r="BS393">
        <v>10</v>
      </c>
      <c r="BT393">
        <v>10</v>
      </c>
      <c r="BU393">
        <v>2</v>
      </c>
      <c r="BV393">
        <v>0</v>
      </c>
      <c r="BW393">
        <v>4</v>
      </c>
      <c r="BX393">
        <v>2</v>
      </c>
      <c r="BY393">
        <v>5</v>
      </c>
      <c r="BZ393">
        <v>9</v>
      </c>
      <c r="CA393">
        <v>1</v>
      </c>
      <c r="CB393">
        <v>3</v>
      </c>
      <c r="CC393">
        <v>1</v>
      </c>
      <c r="CD393">
        <v>3</v>
      </c>
      <c r="CE393">
        <v>10</v>
      </c>
      <c r="CF393">
        <v>2</v>
      </c>
      <c r="CG393">
        <v>10</v>
      </c>
      <c r="CH393">
        <v>10</v>
      </c>
      <c r="CI393">
        <v>0</v>
      </c>
      <c r="CJ393">
        <v>7</v>
      </c>
      <c r="CK393">
        <v>7</v>
      </c>
      <c r="CL393">
        <v>9</v>
      </c>
      <c r="CM393">
        <v>5</v>
      </c>
      <c r="CN393">
        <v>8</v>
      </c>
      <c r="CO393">
        <v>4</v>
      </c>
      <c r="CP393">
        <v>8</v>
      </c>
      <c r="CQ393">
        <v>6</v>
      </c>
      <c r="CR393">
        <v>3</v>
      </c>
      <c r="CS393">
        <v>4</v>
      </c>
      <c r="CT393">
        <v>7</v>
      </c>
      <c r="CU393">
        <v>0</v>
      </c>
      <c r="CV393">
        <v>5</v>
      </c>
      <c r="CW393">
        <v>7</v>
      </c>
      <c r="CX393">
        <v>5</v>
      </c>
      <c r="CY393">
        <v>9</v>
      </c>
      <c r="CZ393">
        <v>5</v>
      </c>
      <c r="DA393">
        <v>7</v>
      </c>
      <c r="DB393">
        <v>8</v>
      </c>
      <c r="DC393">
        <v>2</v>
      </c>
      <c r="DD393">
        <v>10</v>
      </c>
      <c r="DE393">
        <v>6</v>
      </c>
      <c r="DF393">
        <v>0</v>
      </c>
      <c r="DG393">
        <v>7</v>
      </c>
      <c r="DH393">
        <v>2</v>
      </c>
      <c r="DI393">
        <v>6</v>
      </c>
      <c r="DJ393">
        <v>0</v>
      </c>
      <c r="DK393">
        <v>8</v>
      </c>
    </row>
    <row r="394" spans="1:115">
      <c r="A394" s="173">
        <f>Calculations[[#This Row],[Sum t eCO2]]*IF(Calculations[[#This Row],[GHG Scope]]="BIOGENIC",0,1)</f>
        <v>3.4447751000000002</v>
      </c>
      <c r="O394">
        <f t="shared" si="6"/>
        <v>393</v>
      </c>
      <c r="P394">
        <v>6</v>
      </c>
      <c r="Q394">
        <v>0</v>
      </c>
      <c r="R394">
        <v>3</v>
      </c>
      <c r="S394">
        <v>9</v>
      </c>
      <c r="T394">
        <v>1</v>
      </c>
      <c r="U394">
        <v>9</v>
      </c>
      <c r="V394">
        <v>7</v>
      </c>
      <c r="W394">
        <v>1</v>
      </c>
      <c r="X394">
        <v>5</v>
      </c>
      <c r="Y394">
        <v>0</v>
      </c>
      <c r="Z394">
        <v>2</v>
      </c>
      <c r="AA394">
        <v>3</v>
      </c>
      <c r="AB394">
        <v>0</v>
      </c>
      <c r="AC394">
        <v>10</v>
      </c>
      <c r="AD394">
        <v>6</v>
      </c>
      <c r="AE394">
        <v>0</v>
      </c>
      <c r="AF394">
        <v>9</v>
      </c>
      <c r="AG394">
        <v>4</v>
      </c>
      <c r="AH394">
        <v>8</v>
      </c>
      <c r="AI394">
        <v>3</v>
      </c>
      <c r="AJ394">
        <v>10</v>
      </c>
      <c r="AK394">
        <v>10</v>
      </c>
      <c r="AL394">
        <v>4</v>
      </c>
      <c r="AM394">
        <v>5</v>
      </c>
      <c r="AN394">
        <v>6</v>
      </c>
      <c r="AO394">
        <v>1</v>
      </c>
      <c r="AP394">
        <v>6</v>
      </c>
      <c r="AQ394">
        <v>9</v>
      </c>
      <c r="AR394">
        <v>10</v>
      </c>
      <c r="AS394">
        <v>4</v>
      </c>
      <c r="AT394">
        <v>7</v>
      </c>
      <c r="AU394">
        <v>3</v>
      </c>
      <c r="AV394">
        <v>2</v>
      </c>
      <c r="AW394">
        <v>3</v>
      </c>
      <c r="AX394">
        <v>7</v>
      </c>
      <c r="AY394">
        <v>6</v>
      </c>
      <c r="AZ394">
        <v>6</v>
      </c>
      <c r="BA394">
        <v>3</v>
      </c>
      <c r="BB394">
        <v>4</v>
      </c>
      <c r="BC394">
        <v>1</v>
      </c>
      <c r="BD394">
        <v>3</v>
      </c>
      <c r="BE394">
        <v>9</v>
      </c>
      <c r="BF394">
        <v>5</v>
      </c>
      <c r="BG394">
        <v>4</v>
      </c>
      <c r="BH394">
        <v>8</v>
      </c>
      <c r="BI394">
        <v>1</v>
      </c>
      <c r="BJ394">
        <v>4</v>
      </c>
      <c r="BK394">
        <v>7</v>
      </c>
      <c r="BL394">
        <v>0</v>
      </c>
      <c r="BM394">
        <v>4</v>
      </c>
      <c r="BN394">
        <v>0</v>
      </c>
      <c r="BO394">
        <v>5</v>
      </c>
      <c r="BP394">
        <v>8</v>
      </c>
      <c r="BQ394">
        <v>4</v>
      </c>
      <c r="BR394">
        <v>3</v>
      </c>
      <c r="BS394">
        <v>6</v>
      </c>
      <c r="BT394">
        <v>1</v>
      </c>
      <c r="BU394">
        <v>9</v>
      </c>
      <c r="BV394">
        <v>10</v>
      </c>
      <c r="BW394">
        <v>1</v>
      </c>
      <c r="BX394">
        <v>1</v>
      </c>
      <c r="BY394">
        <v>2</v>
      </c>
      <c r="BZ394">
        <v>7</v>
      </c>
      <c r="CA394">
        <v>2</v>
      </c>
      <c r="CB394">
        <v>0</v>
      </c>
      <c r="CC394">
        <v>4</v>
      </c>
      <c r="CD394">
        <v>7</v>
      </c>
      <c r="CE394">
        <v>10</v>
      </c>
      <c r="CF394">
        <v>7</v>
      </c>
      <c r="CG394">
        <v>10</v>
      </c>
      <c r="CH394">
        <v>2</v>
      </c>
      <c r="CI394">
        <v>6</v>
      </c>
      <c r="CJ394">
        <v>4</v>
      </c>
      <c r="CK394">
        <v>10</v>
      </c>
      <c r="CL394">
        <v>9</v>
      </c>
      <c r="CM394">
        <v>9</v>
      </c>
      <c r="CN394">
        <v>10</v>
      </c>
      <c r="CO394">
        <v>5</v>
      </c>
      <c r="CP394">
        <v>1</v>
      </c>
      <c r="CQ394">
        <v>0</v>
      </c>
      <c r="CR394">
        <v>10</v>
      </c>
      <c r="CS394">
        <v>5</v>
      </c>
      <c r="CT394">
        <v>6</v>
      </c>
      <c r="CU394">
        <v>0</v>
      </c>
      <c r="CV394">
        <v>2</v>
      </c>
      <c r="CW394">
        <v>9</v>
      </c>
      <c r="CX394">
        <v>10</v>
      </c>
      <c r="CY394">
        <v>6</v>
      </c>
      <c r="CZ394">
        <v>4</v>
      </c>
      <c r="DA394">
        <v>6</v>
      </c>
      <c r="DB394">
        <v>7</v>
      </c>
      <c r="DC394">
        <v>5</v>
      </c>
      <c r="DD394">
        <v>2</v>
      </c>
      <c r="DE394">
        <v>10</v>
      </c>
      <c r="DF394">
        <v>1</v>
      </c>
      <c r="DG394">
        <v>8</v>
      </c>
      <c r="DH394">
        <v>2</v>
      </c>
      <c r="DI394">
        <v>1</v>
      </c>
      <c r="DJ394">
        <v>0</v>
      </c>
      <c r="DK394">
        <v>2</v>
      </c>
    </row>
    <row r="395" spans="1:115">
      <c r="A395" s="173">
        <f>Calculations[[#This Row],[Sum t eCO2]]*IF(Calculations[[#This Row],[GHG Scope]]="BIOGENIC",0,1)</f>
        <v>2.7229788354600002</v>
      </c>
      <c r="O395">
        <f t="shared" si="6"/>
        <v>394</v>
      </c>
      <c r="P395">
        <v>9</v>
      </c>
      <c r="Q395">
        <v>9</v>
      </c>
      <c r="R395">
        <v>10</v>
      </c>
      <c r="S395">
        <v>7</v>
      </c>
      <c r="T395">
        <v>3</v>
      </c>
      <c r="U395">
        <v>9</v>
      </c>
      <c r="V395">
        <v>3</v>
      </c>
      <c r="W395">
        <v>8</v>
      </c>
      <c r="X395">
        <v>9</v>
      </c>
      <c r="Y395">
        <v>3</v>
      </c>
      <c r="Z395">
        <v>1</v>
      </c>
      <c r="AA395">
        <v>10</v>
      </c>
      <c r="AB395">
        <v>3</v>
      </c>
      <c r="AC395">
        <v>6</v>
      </c>
      <c r="AD395">
        <v>5</v>
      </c>
      <c r="AE395">
        <v>0</v>
      </c>
      <c r="AF395">
        <v>4</v>
      </c>
      <c r="AG395">
        <v>9</v>
      </c>
      <c r="AH395">
        <v>3</v>
      </c>
      <c r="AI395">
        <v>3</v>
      </c>
      <c r="AJ395">
        <v>0</v>
      </c>
      <c r="AK395">
        <v>3</v>
      </c>
      <c r="AL395">
        <v>9</v>
      </c>
      <c r="AM395">
        <v>10</v>
      </c>
      <c r="AN395">
        <v>9</v>
      </c>
      <c r="AO395">
        <v>1</v>
      </c>
      <c r="AP395">
        <v>1</v>
      </c>
      <c r="AQ395">
        <v>6</v>
      </c>
      <c r="AR395">
        <v>6</v>
      </c>
      <c r="AS395">
        <v>2</v>
      </c>
      <c r="AT395">
        <v>3</v>
      </c>
      <c r="AU395">
        <v>0</v>
      </c>
      <c r="AV395">
        <v>1</v>
      </c>
      <c r="AW395">
        <v>1</v>
      </c>
      <c r="AX395">
        <v>5</v>
      </c>
      <c r="AY395">
        <v>7</v>
      </c>
      <c r="AZ395">
        <v>4</v>
      </c>
      <c r="BA395">
        <v>10</v>
      </c>
      <c r="BB395">
        <v>7</v>
      </c>
      <c r="BC395">
        <v>2</v>
      </c>
      <c r="BD395">
        <v>3</v>
      </c>
      <c r="BE395">
        <v>8</v>
      </c>
      <c r="BF395">
        <v>4</v>
      </c>
      <c r="BG395">
        <v>1</v>
      </c>
      <c r="BH395">
        <v>3</v>
      </c>
      <c r="BI395">
        <v>2</v>
      </c>
      <c r="BJ395">
        <v>4</v>
      </c>
      <c r="BK395">
        <v>1</v>
      </c>
      <c r="BL395">
        <v>6</v>
      </c>
      <c r="BM395">
        <v>10</v>
      </c>
      <c r="BN395">
        <v>4</v>
      </c>
      <c r="BO395">
        <v>8</v>
      </c>
      <c r="BP395">
        <v>3</v>
      </c>
      <c r="BQ395">
        <v>0</v>
      </c>
      <c r="BR395">
        <v>4</v>
      </c>
      <c r="BS395">
        <v>8</v>
      </c>
      <c r="BT395">
        <v>3</v>
      </c>
      <c r="BU395">
        <v>3</v>
      </c>
      <c r="BV395">
        <v>10</v>
      </c>
      <c r="BW395">
        <v>6</v>
      </c>
      <c r="BX395">
        <v>8</v>
      </c>
      <c r="BY395">
        <v>8</v>
      </c>
      <c r="BZ395">
        <v>2</v>
      </c>
      <c r="CA395">
        <v>10</v>
      </c>
      <c r="CB395">
        <v>1</v>
      </c>
      <c r="CC395">
        <v>4</v>
      </c>
      <c r="CD395">
        <v>10</v>
      </c>
      <c r="CE395">
        <v>3</v>
      </c>
      <c r="CF395">
        <v>2</v>
      </c>
      <c r="CG395">
        <v>10</v>
      </c>
      <c r="CH395">
        <v>9</v>
      </c>
      <c r="CI395">
        <v>10</v>
      </c>
      <c r="CJ395">
        <v>1</v>
      </c>
      <c r="CK395">
        <v>5</v>
      </c>
      <c r="CL395">
        <v>10</v>
      </c>
      <c r="CM395">
        <v>7</v>
      </c>
      <c r="CN395">
        <v>7</v>
      </c>
      <c r="CO395">
        <v>3</v>
      </c>
      <c r="CP395">
        <v>8</v>
      </c>
      <c r="CQ395">
        <v>9</v>
      </c>
      <c r="CR395">
        <v>7</v>
      </c>
      <c r="CS395">
        <v>10</v>
      </c>
      <c r="CT395">
        <v>5</v>
      </c>
      <c r="CU395">
        <v>6</v>
      </c>
      <c r="CV395">
        <v>2</v>
      </c>
      <c r="CW395">
        <v>9</v>
      </c>
      <c r="CX395">
        <v>3</v>
      </c>
      <c r="CY395">
        <v>1</v>
      </c>
      <c r="CZ395">
        <v>2</v>
      </c>
      <c r="DA395">
        <v>2</v>
      </c>
      <c r="DB395">
        <v>7</v>
      </c>
      <c r="DC395">
        <v>4</v>
      </c>
      <c r="DD395">
        <v>3</v>
      </c>
      <c r="DE395">
        <v>7</v>
      </c>
      <c r="DF395">
        <v>7</v>
      </c>
      <c r="DG395">
        <v>6</v>
      </c>
      <c r="DH395">
        <v>4</v>
      </c>
      <c r="DI395">
        <v>7</v>
      </c>
      <c r="DJ395">
        <v>10</v>
      </c>
      <c r="DK395">
        <v>8</v>
      </c>
    </row>
    <row r="396" spans="1:115">
      <c r="A396" s="173">
        <f>Calculations[[#This Row],[Sum t eCO2]]*IF(Calculations[[#This Row],[GHG Scope]]="BIOGENIC",0,1)</f>
        <v>3.5330587680000001</v>
      </c>
      <c r="O396">
        <f t="shared" si="6"/>
        <v>395</v>
      </c>
      <c r="P396">
        <v>1</v>
      </c>
      <c r="Q396">
        <v>9</v>
      </c>
      <c r="R396">
        <v>9</v>
      </c>
      <c r="S396">
        <v>0</v>
      </c>
      <c r="T396">
        <v>7</v>
      </c>
      <c r="U396">
        <v>7</v>
      </c>
      <c r="V396">
        <v>3</v>
      </c>
      <c r="W396">
        <v>8</v>
      </c>
      <c r="X396">
        <v>6</v>
      </c>
      <c r="Y396">
        <v>1</v>
      </c>
      <c r="Z396">
        <v>9</v>
      </c>
      <c r="AA396">
        <v>8</v>
      </c>
      <c r="AB396">
        <v>10</v>
      </c>
      <c r="AC396">
        <v>10</v>
      </c>
      <c r="AD396">
        <v>5</v>
      </c>
      <c r="AE396">
        <v>4</v>
      </c>
      <c r="AF396">
        <v>5</v>
      </c>
      <c r="AG396">
        <v>5</v>
      </c>
      <c r="AH396">
        <v>0</v>
      </c>
      <c r="AI396">
        <v>8</v>
      </c>
      <c r="AJ396">
        <v>4</v>
      </c>
      <c r="AK396">
        <v>3</v>
      </c>
      <c r="AL396">
        <v>0</v>
      </c>
      <c r="AM396">
        <v>7</v>
      </c>
      <c r="AN396">
        <v>6</v>
      </c>
      <c r="AO396">
        <v>4</v>
      </c>
      <c r="AP396">
        <v>2</v>
      </c>
      <c r="AQ396">
        <v>5</v>
      </c>
      <c r="AR396">
        <v>9</v>
      </c>
      <c r="AS396">
        <v>1</v>
      </c>
      <c r="AT396">
        <v>2</v>
      </c>
      <c r="AU396">
        <v>7</v>
      </c>
      <c r="AV396">
        <v>2</v>
      </c>
      <c r="AW396">
        <v>0</v>
      </c>
      <c r="AX396">
        <v>4</v>
      </c>
      <c r="AY396">
        <v>5</v>
      </c>
      <c r="AZ396">
        <v>1</v>
      </c>
      <c r="BA396">
        <v>3</v>
      </c>
      <c r="BB396">
        <v>6</v>
      </c>
      <c r="BC396">
        <v>4</v>
      </c>
      <c r="BD396">
        <v>8</v>
      </c>
      <c r="BE396">
        <v>8</v>
      </c>
      <c r="BF396">
        <v>10</v>
      </c>
      <c r="BG396">
        <v>10</v>
      </c>
      <c r="BH396">
        <v>8</v>
      </c>
      <c r="BI396">
        <v>0</v>
      </c>
      <c r="BJ396">
        <v>2</v>
      </c>
      <c r="BK396">
        <v>6</v>
      </c>
      <c r="BL396">
        <v>7</v>
      </c>
      <c r="BM396">
        <v>3</v>
      </c>
      <c r="BN396">
        <v>3</v>
      </c>
      <c r="BO396">
        <v>1</v>
      </c>
      <c r="BP396">
        <v>3</v>
      </c>
      <c r="BQ396">
        <v>3</v>
      </c>
      <c r="BR396">
        <v>7</v>
      </c>
      <c r="BS396">
        <v>10</v>
      </c>
      <c r="BT396">
        <v>0</v>
      </c>
      <c r="BU396">
        <v>9</v>
      </c>
      <c r="BV396">
        <v>10</v>
      </c>
      <c r="BW396">
        <v>7</v>
      </c>
      <c r="BX396">
        <v>7</v>
      </c>
      <c r="BY396">
        <v>10</v>
      </c>
      <c r="BZ396">
        <v>0</v>
      </c>
      <c r="CA396">
        <v>10</v>
      </c>
      <c r="CB396">
        <v>6</v>
      </c>
      <c r="CC396">
        <v>2</v>
      </c>
      <c r="CD396">
        <v>6</v>
      </c>
      <c r="CE396">
        <v>8</v>
      </c>
      <c r="CF396">
        <v>7</v>
      </c>
      <c r="CG396">
        <v>10</v>
      </c>
      <c r="CH396">
        <v>5</v>
      </c>
      <c r="CI396">
        <v>8</v>
      </c>
      <c r="CJ396">
        <v>9</v>
      </c>
      <c r="CK396">
        <v>7</v>
      </c>
      <c r="CL396">
        <v>9</v>
      </c>
      <c r="CM396">
        <v>5</v>
      </c>
      <c r="CN396">
        <v>6</v>
      </c>
      <c r="CO396">
        <v>8</v>
      </c>
      <c r="CP396">
        <v>1</v>
      </c>
      <c r="CQ396">
        <v>7</v>
      </c>
      <c r="CR396">
        <v>7</v>
      </c>
      <c r="CS396">
        <v>5</v>
      </c>
      <c r="CT396">
        <v>4</v>
      </c>
      <c r="CU396">
        <v>3</v>
      </c>
      <c r="CV396">
        <v>9</v>
      </c>
      <c r="CW396">
        <v>3</v>
      </c>
      <c r="CX396">
        <v>1</v>
      </c>
      <c r="CY396">
        <v>1</v>
      </c>
      <c r="CZ396">
        <v>3</v>
      </c>
      <c r="DA396">
        <v>0</v>
      </c>
      <c r="DB396">
        <v>3</v>
      </c>
      <c r="DC396">
        <v>7</v>
      </c>
      <c r="DD396">
        <v>8</v>
      </c>
      <c r="DE396">
        <v>0</v>
      </c>
      <c r="DF396">
        <v>4</v>
      </c>
      <c r="DG396">
        <v>1</v>
      </c>
      <c r="DH396">
        <v>0</v>
      </c>
      <c r="DI396">
        <v>2</v>
      </c>
      <c r="DJ396">
        <v>6</v>
      </c>
      <c r="DK396">
        <v>2</v>
      </c>
    </row>
    <row r="397" spans="1:115">
      <c r="A397" s="173">
        <f>Calculations[[#This Row],[Sum t eCO2]]*IF(Calculations[[#This Row],[GHG Scope]]="BIOGENIC",0,1)</f>
        <v>6.1275086806024008</v>
      </c>
      <c r="O397">
        <f t="shared" si="6"/>
        <v>396</v>
      </c>
      <c r="P397">
        <v>3</v>
      </c>
      <c r="Q397">
        <v>2</v>
      </c>
      <c r="R397">
        <v>7</v>
      </c>
      <c r="S397">
        <v>2</v>
      </c>
      <c r="T397">
        <v>9</v>
      </c>
      <c r="U397">
        <v>2</v>
      </c>
      <c r="V397">
        <v>3</v>
      </c>
      <c r="W397">
        <v>6</v>
      </c>
      <c r="X397">
        <v>1</v>
      </c>
      <c r="Y397">
        <v>6</v>
      </c>
      <c r="Z397">
        <v>5</v>
      </c>
      <c r="AA397">
        <v>10</v>
      </c>
      <c r="AB397">
        <v>10</v>
      </c>
      <c r="AC397">
        <v>7</v>
      </c>
      <c r="AD397">
        <v>2</v>
      </c>
      <c r="AE397">
        <v>7</v>
      </c>
      <c r="AF397">
        <v>5</v>
      </c>
      <c r="AG397">
        <v>9</v>
      </c>
      <c r="AH397">
        <v>2</v>
      </c>
      <c r="AI397">
        <v>3</v>
      </c>
      <c r="AJ397">
        <v>10</v>
      </c>
      <c r="AK397">
        <v>9</v>
      </c>
      <c r="AL397">
        <v>10</v>
      </c>
      <c r="AM397">
        <v>4</v>
      </c>
      <c r="AN397">
        <v>1</v>
      </c>
      <c r="AO397">
        <v>6</v>
      </c>
      <c r="AP397">
        <v>9</v>
      </c>
      <c r="AQ397">
        <v>4</v>
      </c>
      <c r="AR397">
        <v>9</v>
      </c>
      <c r="AS397">
        <v>0</v>
      </c>
      <c r="AT397">
        <v>0</v>
      </c>
      <c r="AU397">
        <v>1</v>
      </c>
      <c r="AV397">
        <v>2</v>
      </c>
      <c r="AW397">
        <v>8</v>
      </c>
      <c r="AX397">
        <v>2</v>
      </c>
      <c r="AY397">
        <v>10</v>
      </c>
      <c r="AZ397">
        <v>2</v>
      </c>
      <c r="BA397">
        <v>10</v>
      </c>
      <c r="BB397">
        <v>5</v>
      </c>
      <c r="BC397">
        <v>6</v>
      </c>
      <c r="BD397">
        <v>6</v>
      </c>
      <c r="BE397">
        <v>8</v>
      </c>
      <c r="BF397">
        <v>3</v>
      </c>
      <c r="BG397">
        <v>3</v>
      </c>
      <c r="BH397">
        <v>3</v>
      </c>
      <c r="BI397">
        <v>10</v>
      </c>
      <c r="BJ397">
        <v>9</v>
      </c>
      <c r="BK397">
        <v>7</v>
      </c>
      <c r="BL397">
        <v>10</v>
      </c>
      <c r="BM397">
        <v>2</v>
      </c>
      <c r="BN397">
        <v>6</v>
      </c>
      <c r="BO397">
        <v>0</v>
      </c>
      <c r="BP397">
        <v>8</v>
      </c>
      <c r="BQ397">
        <v>8</v>
      </c>
      <c r="BR397">
        <v>5</v>
      </c>
      <c r="BS397">
        <v>0</v>
      </c>
      <c r="BT397">
        <v>1</v>
      </c>
      <c r="BU397">
        <v>7</v>
      </c>
      <c r="BV397">
        <v>2</v>
      </c>
      <c r="BW397">
        <v>9</v>
      </c>
      <c r="BX397">
        <v>8</v>
      </c>
      <c r="BY397">
        <v>6</v>
      </c>
      <c r="BZ397">
        <v>4</v>
      </c>
      <c r="CA397">
        <v>10</v>
      </c>
      <c r="CB397">
        <v>10</v>
      </c>
      <c r="CC397">
        <v>2</v>
      </c>
      <c r="CD397">
        <v>5</v>
      </c>
      <c r="CE397">
        <v>9</v>
      </c>
      <c r="CF397">
        <v>10</v>
      </c>
      <c r="CG397">
        <v>9</v>
      </c>
      <c r="CH397">
        <v>5</v>
      </c>
      <c r="CI397">
        <v>3</v>
      </c>
      <c r="CJ397">
        <v>7</v>
      </c>
      <c r="CK397">
        <v>3</v>
      </c>
      <c r="CL397">
        <v>10</v>
      </c>
      <c r="CM397">
        <v>10</v>
      </c>
      <c r="CN397">
        <v>0</v>
      </c>
      <c r="CO397">
        <v>7</v>
      </c>
      <c r="CP397">
        <v>2</v>
      </c>
      <c r="CQ397">
        <v>4</v>
      </c>
      <c r="CR397">
        <v>0</v>
      </c>
      <c r="CS397">
        <v>3</v>
      </c>
      <c r="CT397">
        <v>10</v>
      </c>
      <c r="CU397">
        <v>7</v>
      </c>
      <c r="CV397">
        <v>5</v>
      </c>
      <c r="CW397">
        <v>0</v>
      </c>
      <c r="CX397">
        <v>8</v>
      </c>
      <c r="CY397">
        <v>0</v>
      </c>
      <c r="CZ397">
        <v>6</v>
      </c>
      <c r="DA397">
        <v>5</v>
      </c>
      <c r="DB397">
        <v>6</v>
      </c>
      <c r="DC397">
        <v>8</v>
      </c>
      <c r="DD397">
        <v>3</v>
      </c>
      <c r="DE397">
        <v>7</v>
      </c>
      <c r="DF397">
        <v>0</v>
      </c>
      <c r="DG397">
        <v>7</v>
      </c>
      <c r="DH397">
        <v>5</v>
      </c>
      <c r="DI397">
        <v>7</v>
      </c>
      <c r="DJ397">
        <v>7</v>
      </c>
      <c r="DK397">
        <v>9</v>
      </c>
    </row>
    <row r="398" spans="1:115">
      <c r="A398" s="173">
        <f>Calculations[[#This Row],[Sum t eCO2]]*IF(Calculations[[#This Row],[GHG Scope]]="BIOGENIC",0,1)</f>
        <v>0.1036750104</v>
      </c>
      <c r="O398">
        <f t="shared" si="6"/>
        <v>397</v>
      </c>
      <c r="P398">
        <v>8</v>
      </c>
      <c r="Q398">
        <v>10</v>
      </c>
      <c r="R398">
        <v>3</v>
      </c>
      <c r="S398">
        <v>6</v>
      </c>
      <c r="T398">
        <v>3</v>
      </c>
      <c r="U398">
        <v>3</v>
      </c>
      <c r="V398">
        <v>1</v>
      </c>
      <c r="W398">
        <v>9</v>
      </c>
      <c r="X398">
        <v>8</v>
      </c>
      <c r="Y398">
        <v>1</v>
      </c>
      <c r="Z398">
        <v>1</v>
      </c>
      <c r="AA398">
        <v>3</v>
      </c>
      <c r="AB398">
        <v>4</v>
      </c>
      <c r="AC398">
        <v>0</v>
      </c>
      <c r="AD398">
        <v>9</v>
      </c>
      <c r="AE398">
        <v>5</v>
      </c>
      <c r="AF398">
        <v>1</v>
      </c>
      <c r="AG398">
        <v>9</v>
      </c>
      <c r="AH398">
        <v>4</v>
      </c>
      <c r="AI398">
        <v>0</v>
      </c>
      <c r="AJ398">
        <v>2</v>
      </c>
      <c r="AK398">
        <v>4</v>
      </c>
      <c r="AL398">
        <v>6</v>
      </c>
      <c r="AM398">
        <v>2</v>
      </c>
      <c r="AN398">
        <v>1</v>
      </c>
      <c r="AO398">
        <v>9</v>
      </c>
      <c r="AP398">
        <v>9</v>
      </c>
      <c r="AQ398">
        <v>5</v>
      </c>
      <c r="AR398">
        <v>7</v>
      </c>
      <c r="AS398">
        <v>5</v>
      </c>
      <c r="AT398">
        <v>4</v>
      </c>
      <c r="AU398">
        <v>9</v>
      </c>
      <c r="AV398">
        <v>4</v>
      </c>
      <c r="AW398">
        <v>8</v>
      </c>
      <c r="AX398">
        <v>0</v>
      </c>
      <c r="AY398">
        <v>8</v>
      </c>
      <c r="AZ398">
        <v>6</v>
      </c>
      <c r="BA398">
        <v>10</v>
      </c>
      <c r="BB398">
        <v>4</v>
      </c>
      <c r="BC398">
        <v>5</v>
      </c>
      <c r="BD398">
        <v>6</v>
      </c>
      <c r="BE398">
        <v>10</v>
      </c>
      <c r="BF398">
        <v>2</v>
      </c>
      <c r="BG398">
        <v>0</v>
      </c>
      <c r="BH398">
        <v>3</v>
      </c>
      <c r="BI398">
        <v>2</v>
      </c>
      <c r="BJ398">
        <v>6</v>
      </c>
      <c r="BK398">
        <v>5</v>
      </c>
      <c r="BL398">
        <v>4</v>
      </c>
      <c r="BM398">
        <v>2</v>
      </c>
      <c r="BN398">
        <v>4</v>
      </c>
      <c r="BO398">
        <v>2</v>
      </c>
      <c r="BP398">
        <v>4</v>
      </c>
      <c r="BQ398">
        <v>3</v>
      </c>
      <c r="BR398">
        <v>1</v>
      </c>
      <c r="BS398">
        <v>3</v>
      </c>
      <c r="BT398">
        <v>5</v>
      </c>
      <c r="BU398">
        <v>7</v>
      </c>
      <c r="BV398">
        <v>4</v>
      </c>
      <c r="BW398">
        <v>5</v>
      </c>
      <c r="BX398">
        <v>9</v>
      </c>
      <c r="BY398">
        <v>2</v>
      </c>
      <c r="BZ398">
        <v>9</v>
      </c>
      <c r="CA398">
        <v>3</v>
      </c>
      <c r="CB398">
        <v>5</v>
      </c>
      <c r="CC398">
        <v>10</v>
      </c>
      <c r="CD398">
        <v>0</v>
      </c>
      <c r="CE398">
        <v>10</v>
      </c>
      <c r="CF398">
        <v>3</v>
      </c>
      <c r="CG398">
        <v>9</v>
      </c>
      <c r="CH398">
        <v>3</v>
      </c>
      <c r="CI398">
        <v>8</v>
      </c>
      <c r="CJ398">
        <v>6</v>
      </c>
      <c r="CK398">
        <v>9</v>
      </c>
      <c r="CL398">
        <v>0</v>
      </c>
      <c r="CM398">
        <v>3</v>
      </c>
      <c r="CN398">
        <v>3</v>
      </c>
      <c r="CO398">
        <v>7</v>
      </c>
      <c r="CP398">
        <v>9</v>
      </c>
      <c r="CQ398">
        <v>9</v>
      </c>
      <c r="CR398">
        <v>10</v>
      </c>
      <c r="CS398">
        <v>2</v>
      </c>
      <c r="CT398">
        <v>4</v>
      </c>
      <c r="CU398">
        <v>5</v>
      </c>
      <c r="CV398">
        <v>4</v>
      </c>
      <c r="CW398">
        <v>10</v>
      </c>
      <c r="CX398">
        <v>10</v>
      </c>
      <c r="CY398">
        <v>10</v>
      </c>
      <c r="CZ398">
        <v>2</v>
      </c>
      <c r="DA398">
        <v>7</v>
      </c>
      <c r="DB398">
        <v>5</v>
      </c>
      <c r="DC398">
        <v>8</v>
      </c>
      <c r="DD398">
        <v>10</v>
      </c>
      <c r="DE398">
        <v>5</v>
      </c>
      <c r="DF398">
        <v>1</v>
      </c>
      <c r="DG398">
        <v>4</v>
      </c>
      <c r="DH398">
        <v>8</v>
      </c>
      <c r="DI398">
        <v>1</v>
      </c>
      <c r="DJ398">
        <v>7</v>
      </c>
      <c r="DK398">
        <v>7</v>
      </c>
    </row>
    <row r="399" spans="1:115">
      <c r="A399" s="173">
        <f>Calculations[[#This Row],[Sum t eCO2]]*IF(Calculations[[#This Row],[GHG Scope]]="BIOGENIC",0,1)</f>
        <v>0.22976877600000004</v>
      </c>
      <c r="O399">
        <f t="shared" si="6"/>
        <v>398</v>
      </c>
      <c r="P399">
        <v>4</v>
      </c>
      <c r="Q399">
        <v>10</v>
      </c>
      <c r="R399">
        <v>9</v>
      </c>
      <c r="S399">
        <v>6</v>
      </c>
      <c r="T399">
        <v>2</v>
      </c>
      <c r="U399">
        <v>7</v>
      </c>
      <c r="V399">
        <v>7</v>
      </c>
      <c r="W399">
        <v>4</v>
      </c>
      <c r="X399">
        <v>2</v>
      </c>
      <c r="Y399">
        <v>3</v>
      </c>
      <c r="Z399">
        <v>2</v>
      </c>
      <c r="AA399">
        <v>1</v>
      </c>
      <c r="AB399">
        <v>3</v>
      </c>
      <c r="AC399">
        <v>9</v>
      </c>
      <c r="AD399">
        <v>10</v>
      </c>
      <c r="AE399">
        <v>9</v>
      </c>
      <c r="AF399">
        <v>5</v>
      </c>
      <c r="AG399">
        <v>1</v>
      </c>
      <c r="AH399">
        <v>7</v>
      </c>
      <c r="AI399">
        <v>10</v>
      </c>
      <c r="AJ399">
        <v>7</v>
      </c>
      <c r="AK399">
        <v>8</v>
      </c>
      <c r="AL399">
        <v>7</v>
      </c>
      <c r="AM399">
        <v>9</v>
      </c>
      <c r="AN399">
        <v>10</v>
      </c>
      <c r="AO399">
        <v>3</v>
      </c>
      <c r="AP399">
        <v>0</v>
      </c>
      <c r="AQ399">
        <v>7</v>
      </c>
      <c r="AR399">
        <v>1</v>
      </c>
      <c r="AS399">
        <v>10</v>
      </c>
      <c r="AT399">
        <v>5</v>
      </c>
      <c r="AU399">
        <v>0</v>
      </c>
      <c r="AV399">
        <v>5</v>
      </c>
      <c r="AW399">
        <v>7</v>
      </c>
      <c r="AX399">
        <v>1</v>
      </c>
      <c r="AY399">
        <v>7</v>
      </c>
      <c r="AZ399">
        <v>4</v>
      </c>
      <c r="BA399">
        <v>8</v>
      </c>
      <c r="BB399">
        <v>3</v>
      </c>
      <c r="BC399">
        <v>8</v>
      </c>
      <c r="BD399">
        <v>0</v>
      </c>
      <c r="BE399">
        <v>5</v>
      </c>
      <c r="BF399">
        <v>10</v>
      </c>
      <c r="BG399">
        <v>3</v>
      </c>
      <c r="BH399">
        <v>1</v>
      </c>
      <c r="BI399">
        <v>3</v>
      </c>
      <c r="BJ399">
        <v>6</v>
      </c>
      <c r="BK399">
        <v>9</v>
      </c>
      <c r="BL399">
        <v>2</v>
      </c>
      <c r="BM399">
        <v>6</v>
      </c>
      <c r="BN399">
        <v>4</v>
      </c>
      <c r="BO399">
        <v>6</v>
      </c>
      <c r="BP399">
        <v>4</v>
      </c>
      <c r="BQ399">
        <v>9</v>
      </c>
      <c r="BR399">
        <v>2</v>
      </c>
      <c r="BS399">
        <v>6</v>
      </c>
      <c r="BT399">
        <v>9</v>
      </c>
      <c r="BU399">
        <v>3</v>
      </c>
      <c r="BV399">
        <v>4</v>
      </c>
      <c r="BW399">
        <v>8</v>
      </c>
      <c r="BX399">
        <v>9</v>
      </c>
      <c r="BY399">
        <v>7</v>
      </c>
      <c r="BZ399">
        <v>8</v>
      </c>
      <c r="CA399">
        <v>1</v>
      </c>
      <c r="CB399">
        <v>3</v>
      </c>
      <c r="CC399">
        <v>9</v>
      </c>
      <c r="CD399">
        <v>9</v>
      </c>
      <c r="CE399">
        <v>0</v>
      </c>
      <c r="CF399">
        <v>1</v>
      </c>
      <c r="CG399">
        <v>2</v>
      </c>
      <c r="CH399">
        <v>10</v>
      </c>
      <c r="CI399">
        <v>8</v>
      </c>
      <c r="CJ399">
        <v>2</v>
      </c>
      <c r="CK399">
        <v>5</v>
      </c>
      <c r="CL399">
        <v>10</v>
      </c>
      <c r="CM399">
        <v>5</v>
      </c>
      <c r="CN399">
        <v>9</v>
      </c>
      <c r="CO399">
        <v>4</v>
      </c>
      <c r="CP399">
        <v>7</v>
      </c>
      <c r="CQ399">
        <v>2</v>
      </c>
      <c r="CR399">
        <v>4</v>
      </c>
      <c r="CS399">
        <v>5</v>
      </c>
      <c r="CT399">
        <v>8</v>
      </c>
      <c r="CU399">
        <v>5</v>
      </c>
      <c r="CV399">
        <v>8</v>
      </c>
      <c r="CW399">
        <v>4</v>
      </c>
      <c r="CX399">
        <v>9</v>
      </c>
      <c r="CY399">
        <v>2</v>
      </c>
      <c r="CZ399">
        <v>3</v>
      </c>
      <c r="DA399">
        <v>3</v>
      </c>
      <c r="DB399">
        <v>4</v>
      </c>
      <c r="DC399">
        <v>6</v>
      </c>
      <c r="DD399">
        <v>5</v>
      </c>
      <c r="DE399">
        <v>8</v>
      </c>
      <c r="DF399">
        <v>0</v>
      </c>
      <c r="DG399">
        <v>6</v>
      </c>
      <c r="DH399">
        <v>6</v>
      </c>
      <c r="DI399">
        <v>0</v>
      </c>
      <c r="DJ399">
        <v>6</v>
      </c>
      <c r="DK399">
        <v>8</v>
      </c>
    </row>
    <row r="400" spans="1:115">
      <c r="A400" s="173">
        <f>Calculations[[#This Row],[Sum t eCO2]]*IF(Calculations[[#This Row],[GHG Scope]]="BIOGENIC",0,1)</f>
        <v>83.444861000000003</v>
      </c>
      <c r="O400">
        <f t="shared" si="6"/>
        <v>399</v>
      </c>
      <c r="P400">
        <v>4</v>
      </c>
      <c r="Q400">
        <v>2</v>
      </c>
      <c r="R400">
        <v>7</v>
      </c>
      <c r="S400">
        <v>7</v>
      </c>
      <c r="T400">
        <v>7</v>
      </c>
      <c r="U400">
        <v>2</v>
      </c>
      <c r="V400">
        <v>0</v>
      </c>
      <c r="W400">
        <v>1</v>
      </c>
      <c r="X400">
        <v>5</v>
      </c>
      <c r="Y400">
        <v>7</v>
      </c>
      <c r="Z400">
        <v>7</v>
      </c>
      <c r="AA400">
        <v>8</v>
      </c>
      <c r="AB400">
        <v>3</v>
      </c>
      <c r="AC400">
        <v>2</v>
      </c>
      <c r="AD400">
        <v>7</v>
      </c>
      <c r="AE400">
        <v>2</v>
      </c>
      <c r="AF400">
        <v>2</v>
      </c>
      <c r="AG400">
        <v>3</v>
      </c>
      <c r="AH400">
        <v>4</v>
      </c>
      <c r="AI400">
        <v>6</v>
      </c>
      <c r="AJ400">
        <v>9</v>
      </c>
      <c r="AK400">
        <v>3</v>
      </c>
      <c r="AL400">
        <v>6</v>
      </c>
      <c r="AM400">
        <v>2</v>
      </c>
      <c r="AN400">
        <v>7</v>
      </c>
      <c r="AO400">
        <v>7</v>
      </c>
      <c r="AP400">
        <v>3</v>
      </c>
      <c r="AQ400">
        <v>5</v>
      </c>
      <c r="AR400">
        <v>2</v>
      </c>
      <c r="AS400">
        <v>10</v>
      </c>
      <c r="AT400">
        <v>6</v>
      </c>
      <c r="AU400">
        <v>9</v>
      </c>
      <c r="AV400">
        <v>3</v>
      </c>
      <c r="AW400">
        <v>4</v>
      </c>
      <c r="AX400">
        <v>8</v>
      </c>
      <c r="AY400">
        <v>2</v>
      </c>
      <c r="AZ400">
        <v>4</v>
      </c>
      <c r="BA400">
        <v>3</v>
      </c>
      <c r="BB400">
        <v>3</v>
      </c>
      <c r="BC400">
        <v>1</v>
      </c>
      <c r="BD400">
        <v>10</v>
      </c>
      <c r="BE400">
        <v>2</v>
      </c>
      <c r="BF400">
        <v>0</v>
      </c>
      <c r="BG400">
        <v>1</v>
      </c>
      <c r="BH400">
        <v>1</v>
      </c>
      <c r="BI400">
        <v>2</v>
      </c>
      <c r="BJ400">
        <v>4</v>
      </c>
      <c r="BK400">
        <v>2</v>
      </c>
      <c r="BL400">
        <v>2</v>
      </c>
      <c r="BM400">
        <v>8</v>
      </c>
      <c r="BN400">
        <v>6</v>
      </c>
      <c r="BO400">
        <v>7</v>
      </c>
      <c r="BP400">
        <v>7</v>
      </c>
      <c r="BQ400">
        <v>6</v>
      </c>
      <c r="BR400">
        <v>7</v>
      </c>
      <c r="BS400">
        <v>7</v>
      </c>
      <c r="BT400">
        <v>4</v>
      </c>
      <c r="BU400">
        <v>2</v>
      </c>
      <c r="BV400">
        <v>10</v>
      </c>
      <c r="BW400">
        <v>10</v>
      </c>
      <c r="BX400">
        <v>3</v>
      </c>
      <c r="BY400">
        <v>10</v>
      </c>
      <c r="BZ400">
        <v>10</v>
      </c>
      <c r="CA400">
        <v>2</v>
      </c>
      <c r="CB400">
        <v>5</v>
      </c>
      <c r="CC400">
        <v>0</v>
      </c>
      <c r="CD400">
        <v>3</v>
      </c>
      <c r="CE400">
        <v>3</v>
      </c>
      <c r="CF400">
        <v>7</v>
      </c>
      <c r="CG400">
        <v>10</v>
      </c>
      <c r="CH400">
        <v>9</v>
      </c>
      <c r="CI400">
        <v>6</v>
      </c>
      <c r="CJ400">
        <v>0</v>
      </c>
      <c r="CK400">
        <v>1</v>
      </c>
      <c r="CL400">
        <v>0</v>
      </c>
      <c r="CM400">
        <v>7</v>
      </c>
      <c r="CN400">
        <v>0</v>
      </c>
      <c r="CO400">
        <v>10</v>
      </c>
      <c r="CP400">
        <v>9</v>
      </c>
      <c r="CQ400">
        <v>3</v>
      </c>
      <c r="CR400">
        <v>0</v>
      </c>
      <c r="CS400">
        <v>9</v>
      </c>
      <c r="CT400">
        <v>6</v>
      </c>
      <c r="CU400">
        <v>3</v>
      </c>
      <c r="CV400">
        <v>6</v>
      </c>
      <c r="CW400">
        <v>1</v>
      </c>
      <c r="CX400">
        <v>0</v>
      </c>
      <c r="CY400">
        <v>7</v>
      </c>
      <c r="CZ400">
        <v>7</v>
      </c>
      <c r="DA400">
        <v>6</v>
      </c>
      <c r="DB400">
        <v>9</v>
      </c>
      <c r="DC400">
        <v>0</v>
      </c>
      <c r="DD400">
        <v>8</v>
      </c>
      <c r="DE400">
        <v>8</v>
      </c>
      <c r="DF400">
        <v>1</v>
      </c>
      <c r="DG400">
        <v>0</v>
      </c>
      <c r="DH400">
        <v>5</v>
      </c>
      <c r="DI400">
        <v>1</v>
      </c>
      <c r="DJ400">
        <v>8</v>
      </c>
      <c r="DK400">
        <v>5</v>
      </c>
    </row>
    <row r="401" spans="1:115">
      <c r="A401" s="173">
        <f>Calculations[[#This Row],[Sum t eCO2]]*IF(Calculations[[#This Row],[GHG Scope]]="BIOGENIC",0,1)</f>
        <v>23.646716881922401</v>
      </c>
      <c r="O401">
        <f t="shared" si="6"/>
        <v>400</v>
      </c>
      <c r="P401">
        <v>1</v>
      </c>
      <c r="Q401">
        <v>4</v>
      </c>
      <c r="R401">
        <v>0</v>
      </c>
      <c r="S401">
        <v>1</v>
      </c>
      <c r="T401">
        <v>2</v>
      </c>
      <c r="U401">
        <v>0</v>
      </c>
      <c r="V401">
        <v>10</v>
      </c>
      <c r="W401">
        <v>4</v>
      </c>
      <c r="X401">
        <v>6</v>
      </c>
      <c r="Y401">
        <v>10</v>
      </c>
      <c r="Z401">
        <v>0</v>
      </c>
      <c r="AA401">
        <v>9</v>
      </c>
      <c r="AB401">
        <v>6</v>
      </c>
      <c r="AC401">
        <v>8</v>
      </c>
      <c r="AD401">
        <v>9</v>
      </c>
      <c r="AE401">
        <v>5</v>
      </c>
      <c r="AF401">
        <v>1</v>
      </c>
      <c r="AG401">
        <v>9</v>
      </c>
      <c r="AH401">
        <v>10</v>
      </c>
      <c r="AI401">
        <v>7</v>
      </c>
      <c r="AJ401">
        <v>7</v>
      </c>
      <c r="AK401">
        <v>5</v>
      </c>
      <c r="AL401">
        <v>3</v>
      </c>
      <c r="AM401">
        <v>3</v>
      </c>
      <c r="AN401">
        <v>1</v>
      </c>
      <c r="AO401">
        <v>0</v>
      </c>
      <c r="AP401">
        <v>4</v>
      </c>
      <c r="AQ401">
        <v>7</v>
      </c>
      <c r="AR401">
        <v>1</v>
      </c>
      <c r="AS401">
        <v>10</v>
      </c>
      <c r="AT401">
        <v>0</v>
      </c>
      <c r="AU401">
        <v>7</v>
      </c>
      <c r="AV401">
        <v>7</v>
      </c>
      <c r="AW401">
        <v>5</v>
      </c>
      <c r="AX401">
        <v>8</v>
      </c>
      <c r="AY401">
        <v>5</v>
      </c>
      <c r="AZ401">
        <v>5</v>
      </c>
      <c r="BA401">
        <v>7</v>
      </c>
      <c r="BB401">
        <v>5</v>
      </c>
      <c r="BC401">
        <v>6</v>
      </c>
      <c r="BD401">
        <v>6</v>
      </c>
      <c r="BE401">
        <v>9</v>
      </c>
      <c r="BF401">
        <v>8</v>
      </c>
      <c r="BG401">
        <v>4</v>
      </c>
      <c r="BH401">
        <v>8</v>
      </c>
      <c r="BI401">
        <v>0</v>
      </c>
      <c r="BJ401">
        <v>4</v>
      </c>
      <c r="BK401">
        <v>3</v>
      </c>
      <c r="BL401">
        <v>8</v>
      </c>
      <c r="BM401">
        <v>9</v>
      </c>
      <c r="BN401">
        <v>6</v>
      </c>
      <c r="BO401">
        <v>8</v>
      </c>
      <c r="BP401">
        <v>5</v>
      </c>
      <c r="BQ401">
        <v>0</v>
      </c>
      <c r="BR401">
        <v>7</v>
      </c>
      <c r="BS401">
        <v>3</v>
      </c>
      <c r="BT401">
        <v>2</v>
      </c>
      <c r="BU401">
        <v>6</v>
      </c>
      <c r="BV401">
        <v>4</v>
      </c>
      <c r="BW401">
        <v>0</v>
      </c>
      <c r="BX401">
        <v>6</v>
      </c>
      <c r="BY401">
        <v>0</v>
      </c>
      <c r="BZ401">
        <v>7</v>
      </c>
      <c r="CA401">
        <v>0</v>
      </c>
      <c r="CB401">
        <v>4</v>
      </c>
      <c r="CC401">
        <v>10</v>
      </c>
      <c r="CD401">
        <v>0</v>
      </c>
      <c r="CE401">
        <v>7</v>
      </c>
      <c r="CF401">
        <v>3</v>
      </c>
      <c r="CG401">
        <v>8</v>
      </c>
      <c r="CH401">
        <v>0</v>
      </c>
      <c r="CI401">
        <v>6</v>
      </c>
      <c r="CJ401">
        <v>10</v>
      </c>
      <c r="CK401">
        <v>5</v>
      </c>
      <c r="CL401">
        <v>7</v>
      </c>
      <c r="CM401">
        <v>6</v>
      </c>
      <c r="CN401">
        <v>7</v>
      </c>
      <c r="CO401">
        <v>0</v>
      </c>
      <c r="CP401">
        <v>4</v>
      </c>
      <c r="CQ401">
        <v>1</v>
      </c>
      <c r="CR401">
        <v>8</v>
      </c>
      <c r="CS401">
        <v>1</v>
      </c>
      <c r="CT401">
        <v>9</v>
      </c>
      <c r="CU401">
        <v>3</v>
      </c>
      <c r="CV401">
        <v>1</v>
      </c>
      <c r="CW401">
        <v>1</v>
      </c>
      <c r="CX401">
        <v>0</v>
      </c>
      <c r="CY401">
        <v>3</v>
      </c>
      <c r="CZ401">
        <v>6</v>
      </c>
      <c r="DA401">
        <v>0</v>
      </c>
      <c r="DB401">
        <v>8</v>
      </c>
      <c r="DC401">
        <v>10</v>
      </c>
      <c r="DD401">
        <v>7</v>
      </c>
      <c r="DE401">
        <v>8</v>
      </c>
      <c r="DF401">
        <v>4</v>
      </c>
      <c r="DG401">
        <v>2</v>
      </c>
      <c r="DH401">
        <v>8</v>
      </c>
      <c r="DI401">
        <v>3</v>
      </c>
      <c r="DJ401">
        <v>2</v>
      </c>
      <c r="DK401">
        <v>4</v>
      </c>
    </row>
    <row r="402" spans="1:115">
      <c r="A402" s="173">
        <f>Calculations[[#This Row],[Sum t eCO2]]*IF(Calculations[[#This Row],[GHG Scope]]="BIOGENIC",0,1)</f>
        <v>98.822359229490004</v>
      </c>
      <c r="O402">
        <f t="shared" si="6"/>
        <v>401</v>
      </c>
      <c r="P402">
        <v>0</v>
      </c>
      <c r="Q402">
        <v>4</v>
      </c>
      <c r="R402">
        <v>6</v>
      </c>
      <c r="S402">
        <v>4</v>
      </c>
      <c r="T402">
        <v>2</v>
      </c>
      <c r="U402">
        <v>4</v>
      </c>
      <c r="V402">
        <v>5</v>
      </c>
      <c r="W402">
        <v>5</v>
      </c>
      <c r="X402">
        <v>8</v>
      </c>
      <c r="Y402">
        <v>6</v>
      </c>
      <c r="Z402">
        <v>9</v>
      </c>
      <c r="AA402">
        <v>5</v>
      </c>
      <c r="AB402">
        <v>10</v>
      </c>
      <c r="AC402">
        <v>3</v>
      </c>
      <c r="AD402">
        <v>9</v>
      </c>
      <c r="AE402">
        <v>10</v>
      </c>
      <c r="AF402">
        <v>2</v>
      </c>
      <c r="AG402">
        <v>3</v>
      </c>
      <c r="AH402">
        <v>6</v>
      </c>
      <c r="AI402">
        <v>8</v>
      </c>
      <c r="AJ402">
        <v>7</v>
      </c>
      <c r="AK402">
        <v>2</v>
      </c>
      <c r="AL402">
        <v>2</v>
      </c>
      <c r="AM402">
        <v>6</v>
      </c>
      <c r="AN402">
        <v>0</v>
      </c>
      <c r="AO402">
        <v>10</v>
      </c>
      <c r="AP402">
        <v>7</v>
      </c>
      <c r="AQ402">
        <v>2</v>
      </c>
      <c r="AR402">
        <v>0</v>
      </c>
      <c r="AS402">
        <v>6</v>
      </c>
      <c r="AT402">
        <v>2</v>
      </c>
      <c r="AU402">
        <v>0</v>
      </c>
      <c r="AV402">
        <v>3</v>
      </c>
      <c r="AW402">
        <v>6</v>
      </c>
      <c r="AX402">
        <v>9</v>
      </c>
      <c r="AY402">
        <v>9</v>
      </c>
      <c r="AZ402">
        <v>1</v>
      </c>
      <c r="BA402">
        <v>2</v>
      </c>
      <c r="BB402">
        <v>6</v>
      </c>
      <c r="BC402">
        <v>10</v>
      </c>
      <c r="BD402">
        <v>0</v>
      </c>
      <c r="BE402">
        <v>3</v>
      </c>
      <c r="BF402">
        <v>1</v>
      </c>
      <c r="BG402">
        <v>6</v>
      </c>
      <c r="BH402">
        <v>5</v>
      </c>
      <c r="BI402">
        <v>10</v>
      </c>
      <c r="BJ402">
        <v>3</v>
      </c>
      <c r="BK402">
        <v>9</v>
      </c>
      <c r="BL402">
        <v>0</v>
      </c>
      <c r="BM402">
        <v>9</v>
      </c>
      <c r="BN402">
        <v>1</v>
      </c>
      <c r="BO402">
        <v>8</v>
      </c>
      <c r="BP402">
        <v>1</v>
      </c>
      <c r="BQ402">
        <v>6</v>
      </c>
      <c r="BR402">
        <v>6</v>
      </c>
      <c r="BS402">
        <v>9</v>
      </c>
      <c r="BT402">
        <v>0</v>
      </c>
      <c r="BU402">
        <v>3</v>
      </c>
      <c r="BV402">
        <v>7</v>
      </c>
      <c r="BW402">
        <v>10</v>
      </c>
      <c r="BX402">
        <v>7</v>
      </c>
      <c r="BY402">
        <v>9</v>
      </c>
      <c r="BZ402">
        <v>0</v>
      </c>
      <c r="CA402">
        <v>1</v>
      </c>
      <c r="CB402">
        <v>4</v>
      </c>
      <c r="CC402">
        <v>9</v>
      </c>
      <c r="CD402">
        <v>3</v>
      </c>
      <c r="CE402">
        <v>0</v>
      </c>
      <c r="CF402">
        <v>4</v>
      </c>
      <c r="CG402">
        <v>9</v>
      </c>
      <c r="CH402">
        <v>5</v>
      </c>
      <c r="CI402">
        <v>2</v>
      </c>
      <c r="CJ402">
        <v>1</v>
      </c>
      <c r="CK402">
        <v>2</v>
      </c>
      <c r="CL402">
        <v>10</v>
      </c>
      <c r="CM402">
        <v>3</v>
      </c>
      <c r="CN402">
        <v>7</v>
      </c>
      <c r="CO402">
        <v>3</v>
      </c>
      <c r="CP402">
        <v>6</v>
      </c>
      <c r="CQ402">
        <v>10</v>
      </c>
      <c r="CR402">
        <v>7</v>
      </c>
      <c r="CS402">
        <v>2</v>
      </c>
      <c r="CT402">
        <v>0</v>
      </c>
      <c r="CU402">
        <v>2</v>
      </c>
      <c r="CV402">
        <v>9</v>
      </c>
      <c r="CW402">
        <v>8</v>
      </c>
      <c r="CX402">
        <v>9</v>
      </c>
      <c r="CY402">
        <v>7</v>
      </c>
      <c r="CZ402">
        <v>9</v>
      </c>
      <c r="DA402">
        <v>3</v>
      </c>
      <c r="DB402">
        <v>2</v>
      </c>
      <c r="DC402">
        <v>10</v>
      </c>
      <c r="DD402">
        <v>0</v>
      </c>
      <c r="DE402">
        <v>4</v>
      </c>
      <c r="DF402">
        <v>4</v>
      </c>
      <c r="DG402">
        <v>5</v>
      </c>
      <c r="DH402">
        <v>1</v>
      </c>
      <c r="DI402">
        <v>8</v>
      </c>
      <c r="DJ402">
        <v>4</v>
      </c>
      <c r="DK402">
        <v>6</v>
      </c>
    </row>
    <row r="403" spans="1:115">
      <c r="A403" s="173">
        <f>Calculations[[#This Row],[Sum t eCO2]]*IF(Calculations[[#This Row],[GHG Scope]]="BIOGENIC",0,1)</f>
        <v>27.197328197520019</v>
      </c>
      <c r="O403">
        <f t="shared" si="6"/>
        <v>402</v>
      </c>
      <c r="P403">
        <v>4</v>
      </c>
      <c r="Q403">
        <v>9</v>
      </c>
      <c r="R403">
        <v>9</v>
      </c>
      <c r="S403">
        <v>10</v>
      </c>
      <c r="T403">
        <v>5</v>
      </c>
      <c r="U403">
        <v>0</v>
      </c>
      <c r="V403">
        <v>4</v>
      </c>
      <c r="W403">
        <v>2</v>
      </c>
      <c r="X403">
        <v>8</v>
      </c>
      <c r="Y403">
        <v>0</v>
      </c>
      <c r="Z403">
        <v>6</v>
      </c>
      <c r="AA403">
        <v>0</v>
      </c>
      <c r="AB403">
        <v>9</v>
      </c>
      <c r="AC403">
        <v>2</v>
      </c>
      <c r="AD403">
        <v>2</v>
      </c>
      <c r="AE403">
        <v>0</v>
      </c>
      <c r="AF403">
        <v>10</v>
      </c>
      <c r="AG403">
        <v>10</v>
      </c>
      <c r="AH403">
        <v>0</v>
      </c>
      <c r="AI403">
        <v>6</v>
      </c>
      <c r="AJ403">
        <v>9</v>
      </c>
      <c r="AK403">
        <v>8</v>
      </c>
      <c r="AL403">
        <v>5</v>
      </c>
      <c r="AM403">
        <v>10</v>
      </c>
      <c r="AN403">
        <v>0</v>
      </c>
      <c r="AO403">
        <v>9</v>
      </c>
      <c r="AP403">
        <v>4</v>
      </c>
      <c r="AQ403">
        <v>3</v>
      </c>
      <c r="AR403">
        <v>9</v>
      </c>
      <c r="AS403">
        <v>0</v>
      </c>
      <c r="AT403">
        <v>10</v>
      </c>
      <c r="AU403">
        <v>4</v>
      </c>
      <c r="AV403">
        <v>4</v>
      </c>
      <c r="AW403">
        <v>8</v>
      </c>
      <c r="AX403">
        <v>6</v>
      </c>
      <c r="AY403">
        <v>0</v>
      </c>
      <c r="AZ403">
        <v>5</v>
      </c>
      <c r="BA403">
        <v>7</v>
      </c>
      <c r="BB403">
        <v>6</v>
      </c>
      <c r="BC403">
        <v>5</v>
      </c>
      <c r="BD403">
        <v>5</v>
      </c>
      <c r="BE403">
        <v>4</v>
      </c>
      <c r="BF403">
        <v>1</v>
      </c>
      <c r="BG403">
        <v>8</v>
      </c>
      <c r="BH403">
        <v>9</v>
      </c>
      <c r="BI403">
        <v>7</v>
      </c>
      <c r="BJ403">
        <v>9</v>
      </c>
      <c r="BK403">
        <v>0</v>
      </c>
      <c r="BL403">
        <v>10</v>
      </c>
      <c r="BM403">
        <v>1</v>
      </c>
      <c r="BN403">
        <v>7</v>
      </c>
      <c r="BO403">
        <v>2</v>
      </c>
      <c r="BP403">
        <v>1</v>
      </c>
      <c r="BQ403">
        <v>5</v>
      </c>
      <c r="BR403">
        <v>0</v>
      </c>
      <c r="BS403">
        <v>4</v>
      </c>
      <c r="BT403">
        <v>10</v>
      </c>
      <c r="BU403">
        <v>1</v>
      </c>
      <c r="BV403">
        <v>4</v>
      </c>
      <c r="BW403">
        <v>1</v>
      </c>
      <c r="BX403">
        <v>8</v>
      </c>
      <c r="BY403">
        <v>7</v>
      </c>
      <c r="BZ403">
        <v>3</v>
      </c>
      <c r="CA403">
        <v>8</v>
      </c>
      <c r="CB403">
        <v>1</v>
      </c>
      <c r="CC403">
        <v>0</v>
      </c>
      <c r="CD403">
        <v>9</v>
      </c>
      <c r="CE403">
        <v>2</v>
      </c>
      <c r="CF403">
        <v>1</v>
      </c>
      <c r="CG403">
        <v>7</v>
      </c>
      <c r="CH403">
        <v>4</v>
      </c>
      <c r="CI403">
        <v>6</v>
      </c>
      <c r="CJ403">
        <v>7</v>
      </c>
      <c r="CK403">
        <v>8</v>
      </c>
      <c r="CL403">
        <v>1</v>
      </c>
      <c r="CM403">
        <v>0</v>
      </c>
      <c r="CN403">
        <v>9</v>
      </c>
      <c r="CO403">
        <v>3</v>
      </c>
      <c r="CP403">
        <v>5</v>
      </c>
      <c r="CQ403">
        <v>5</v>
      </c>
      <c r="CR403">
        <v>8</v>
      </c>
      <c r="CS403">
        <v>4</v>
      </c>
      <c r="CT403">
        <v>10</v>
      </c>
      <c r="CU403">
        <v>6</v>
      </c>
      <c r="CV403">
        <v>3</v>
      </c>
      <c r="CW403">
        <v>10</v>
      </c>
      <c r="CX403">
        <v>6</v>
      </c>
      <c r="CY403">
        <v>8</v>
      </c>
      <c r="CZ403">
        <v>4</v>
      </c>
      <c r="DA403">
        <v>3</v>
      </c>
      <c r="DB403">
        <v>10</v>
      </c>
      <c r="DC403">
        <v>6</v>
      </c>
      <c r="DD403">
        <v>10</v>
      </c>
      <c r="DE403">
        <v>4</v>
      </c>
      <c r="DF403">
        <v>3</v>
      </c>
      <c r="DG403">
        <v>7</v>
      </c>
      <c r="DH403">
        <v>6</v>
      </c>
      <c r="DI403">
        <v>2</v>
      </c>
      <c r="DJ403">
        <v>1</v>
      </c>
      <c r="DK403">
        <v>5</v>
      </c>
    </row>
    <row r="404" spans="1:115">
      <c r="A404" s="173">
        <f>Calculations[[#This Row],[Sum t eCO2]]*IF(Calculations[[#This Row],[GHG Scope]]="BIOGENIC",0,1)</f>
        <v>287.46054661099998</v>
      </c>
      <c r="O404">
        <f t="shared" si="6"/>
        <v>403</v>
      </c>
      <c r="P404">
        <v>6</v>
      </c>
      <c r="Q404">
        <v>6</v>
      </c>
      <c r="R404">
        <v>2</v>
      </c>
      <c r="S404">
        <v>3</v>
      </c>
      <c r="T404">
        <v>3</v>
      </c>
      <c r="U404">
        <v>3</v>
      </c>
      <c r="V404">
        <v>6</v>
      </c>
      <c r="W404">
        <v>8</v>
      </c>
      <c r="X404">
        <v>4</v>
      </c>
      <c r="Y404">
        <v>6</v>
      </c>
      <c r="Z404">
        <v>7</v>
      </c>
      <c r="AA404">
        <v>8</v>
      </c>
      <c r="AB404">
        <v>5</v>
      </c>
      <c r="AC404">
        <v>9</v>
      </c>
      <c r="AD404">
        <v>6</v>
      </c>
      <c r="AE404">
        <v>4</v>
      </c>
      <c r="AF404">
        <v>9</v>
      </c>
      <c r="AG404">
        <v>0</v>
      </c>
      <c r="AH404">
        <v>4</v>
      </c>
      <c r="AI404">
        <v>8</v>
      </c>
      <c r="AJ404">
        <v>3</v>
      </c>
      <c r="AK404">
        <v>0</v>
      </c>
      <c r="AL404">
        <v>10</v>
      </c>
      <c r="AM404">
        <v>0</v>
      </c>
      <c r="AN404">
        <v>9</v>
      </c>
      <c r="AO404">
        <v>0</v>
      </c>
      <c r="AP404">
        <v>8</v>
      </c>
      <c r="AQ404">
        <v>3</v>
      </c>
      <c r="AR404">
        <v>4</v>
      </c>
      <c r="AS404">
        <v>3</v>
      </c>
      <c r="AT404">
        <v>7</v>
      </c>
      <c r="AU404">
        <v>1</v>
      </c>
      <c r="AV404">
        <v>6</v>
      </c>
      <c r="AW404">
        <v>2</v>
      </c>
      <c r="AX404">
        <v>2</v>
      </c>
      <c r="AY404">
        <v>8</v>
      </c>
      <c r="AZ404">
        <v>0</v>
      </c>
      <c r="BA404">
        <v>10</v>
      </c>
      <c r="BB404">
        <v>1</v>
      </c>
      <c r="BC404">
        <v>3</v>
      </c>
      <c r="BD404">
        <v>5</v>
      </c>
      <c r="BE404">
        <v>8</v>
      </c>
      <c r="BF404">
        <v>7</v>
      </c>
      <c r="BG404">
        <v>4</v>
      </c>
      <c r="BH404">
        <v>1</v>
      </c>
      <c r="BI404">
        <v>7</v>
      </c>
      <c r="BJ404">
        <v>4</v>
      </c>
      <c r="BK404">
        <v>5</v>
      </c>
      <c r="BL404">
        <v>1</v>
      </c>
      <c r="BM404">
        <v>2</v>
      </c>
      <c r="BN404">
        <v>2</v>
      </c>
      <c r="BO404">
        <v>10</v>
      </c>
      <c r="BP404">
        <v>8</v>
      </c>
      <c r="BQ404">
        <v>9</v>
      </c>
      <c r="BR404">
        <v>2</v>
      </c>
      <c r="BS404">
        <v>2</v>
      </c>
      <c r="BT404">
        <v>2</v>
      </c>
      <c r="BU404">
        <v>6</v>
      </c>
      <c r="BV404">
        <v>2</v>
      </c>
      <c r="BW404">
        <v>1</v>
      </c>
      <c r="BX404">
        <v>1</v>
      </c>
      <c r="BY404">
        <v>5</v>
      </c>
      <c r="BZ404">
        <v>8</v>
      </c>
      <c r="CA404">
        <v>4</v>
      </c>
      <c r="CB404">
        <v>4</v>
      </c>
      <c r="CC404">
        <v>5</v>
      </c>
      <c r="CD404">
        <v>4</v>
      </c>
      <c r="CE404">
        <v>2</v>
      </c>
      <c r="CF404">
        <v>0</v>
      </c>
      <c r="CG404">
        <v>4</v>
      </c>
      <c r="CH404">
        <v>2</v>
      </c>
      <c r="CI404">
        <v>1</v>
      </c>
      <c r="CJ404">
        <v>10</v>
      </c>
      <c r="CK404">
        <v>4</v>
      </c>
      <c r="CL404">
        <v>4</v>
      </c>
      <c r="CM404">
        <v>9</v>
      </c>
      <c r="CN404">
        <v>0</v>
      </c>
      <c r="CO404">
        <v>2</v>
      </c>
      <c r="CP404">
        <v>8</v>
      </c>
      <c r="CQ404">
        <v>8</v>
      </c>
      <c r="CR404">
        <v>10</v>
      </c>
      <c r="CS404">
        <v>2</v>
      </c>
      <c r="CT404">
        <v>9</v>
      </c>
      <c r="CU404">
        <v>10</v>
      </c>
      <c r="CV404">
        <v>2</v>
      </c>
      <c r="CW404">
        <v>4</v>
      </c>
      <c r="CX404">
        <v>0</v>
      </c>
      <c r="CY404">
        <v>7</v>
      </c>
      <c r="CZ404">
        <v>6</v>
      </c>
      <c r="DA404">
        <v>0</v>
      </c>
      <c r="DB404">
        <v>0</v>
      </c>
      <c r="DC404">
        <v>7</v>
      </c>
      <c r="DD404">
        <v>2</v>
      </c>
      <c r="DE404">
        <v>0</v>
      </c>
      <c r="DF404">
        <v>4</v>
      </c>
      <c r="DG404">
        <v>3</v>
      </c>
      <c r="DH404">
        <v>10</v>
      </c>
      <c r="DI404">
        <v>2</v>
      </c>
      <c r="DJ404">
        <v>4</v>
      </c>
      <c r="DK404">
        <v>8</v>
      </c>
    </row>
    <row r="405" spans="1:115">
      <c r="A405" s="173">
        <f>Calculations[[#This Row],[Sum t eCO2]]*IF(Calculations[[#This Row],[GHG Scope]]="BIOGENIC",0,1)</f>
        <v>40.884547690350004</v>
      </c>
      <c r="O405">
        <f t="shared" si="6"/>
        <v>404</v>
      </c>
      <c r="P405">
        <v>1</v>
      </c>
      <c r="Q405">
        <v>4</v>
      </c>
      <c r="R405">
        <v>5</v>
      </c>
      <c r="S405">
        <v>10</v>
      </c>
      <c r="T405">
        <v>3</v>
      </c>
      <c r="U405">
        <v>10</v>
      </c>
      <c r="V405">
        <v>10</v>
      </c>
      <c r="W405">
        <v>8</v>
      </c>
      <c r="X405">
        <v>1</v>
      </c>
      <c r="Y405">
        <v>0</v>
      </c>
      <c r="Z405">
        <v>2</v>
      </c>
      <c r="AA405">
        <v>5</v>
      </c>
      <c r="AB405">
        <v>6</v>
      </c>
      <c r="AC405">
        <v>8</v>
      </c>
      <c r="AD405">
        <v>7</v>
      </c>
      <c r="AE405">
        <v>5</v>
      </c>
      <c r="AF405">
        <v>10</v>
      </c>
      <c r="AG405">
        <v>5</v>
      </c>
      <c r="AH405">
        <v>6</v>
      </c>
      <c r="AI405">
        <v>7</v>
      </c>
      <c r="AJ405">
        <v>2</v>
      </c>
      <c r="AK405">
        <v>4</v>
      </c>
      <c r="AL405">
        <v>0</v>
      </c>
      <c r="AM405">
        <v>4</v>
      </c>
      <c r="AN405">
        <v>9</v>
      </c>
      <c r="AO405">
        <v>7</v>
      </c>
      <c r="AP405">
        <v>7</v>
      </c>
      <c r="AQ405">
        <v>6</v>
      </c>
      <c r="AR405">
        <v>0</v>
      </c>
      <c r="AS405">
        <v>4</v>
      </c>
      <c r="AT405">
        <v>2</v>
      </c>
      <c r="AU405">
        <v>6</v>
      </c>
      <c r="AV405">
        <v>7</v>
      </c>
      <c r="AW405">
        <v>3</v>
      </c>
      <c r="AX405">
        <v>0</v>
      </c>
      <c r="AY405">
        <v>10</v>
      </c>
      <c r="AZ405">
        <v>3</v>
      </c>
      <c r="BA405">
        <v>6</v>
      </c>
      <c r="BB405">
        <v>6</v>
      </c>
      <c r="BC405">
        <v>2</v>
      </c>
      <c r="BD405">
        <v>0</v>
      </c>
      <c r="BE405">
        <v>4</v>
      </c>
      <c r="BF405">
        <v>10</v>
      </c>
      <c r="BG405">
        <v>0</v>
      </c>
      <c r="BH405">
        <v>4</v>
      </c>
      <c r="BI405">
        <v>6</v>
      </c>
      <c r="BJ405">
        <v>2</v>
      </c>
      <c r="BK405">
        <v>9</v>
      </c>
      <c r="BL405">
        <v>0</v>
      </c>
      <c r="BM405">
        <v>2</v>
      </c>
      <c r="BN405">
        <v>0</v>
      </c>
      <c r="BO405">
        <v>9</v>
      </c>
      <c r="BP405">
        <v>9</v>
      </c>
      <c r="BQ405">
        <v>7</v>
      </c>
      <c r="BR405">
        <v>5</v>
      </c>
      <c r="BS405">
        <v>8</v>
      </c>
      <c r="BT405">
        <v>2</v>
      </c>
      <c r="BU405">
        <v>9</v>
      </c>
      <c r="BV405">
        <v>2</v>
      </c>
      <c r="BW405">
        <v>6</v>
      </c>
      <c r="BX405">
        <v>0</v>
      </c>
      <c r="BY405">
        <v>2</v>
      </c>
      <c r="BZ405">
        <v>9</v>
      </c>
      <c r="CA405">
        <v>8</v>
      </c>
      <c r="CB405">
        <v>1</v>
      </c>
      <c r="CC405">
        <v>7</v>
      </c>
      <c r="CD405">
        <v>10</v>
      </c>
      <c r="CE405">
        <v>3</v>
      </c>
      <c r="CF405">
        <v>3</v>
      </c>
      <c r="CG405">
        <v>3</v>
      </c>
      <c r="CH405">
        <v>0</v>
      </c>
      <c r="CI405">
        <v>9</v>
      </c>
      <c r="CJ405">
        <v>4</v>
      </c>
      <c r="CK405">
        <v>1</v>
      </c>
      <c r="CL405">
        <v>7</v>
      </c>
      <c r="CM405">
        <v>1</v>
      </c>
      <c r="CN405">
        <v>9</v>
      </c>
      <c r="CO405">
        <v>8</v>
      </c>
      <c r="CP405">
        <v>2</v>
      </c>
      <c r="CQ405">
        <v>0</v>
      </c>
      <c r="CR405">
        <v>10</v>
      </c>
      <c r="CS405">
        <v>0</v>
      </c>
      <c r="CT405">
        <v>6</v>
      </c>
      <c r="CU405">
        <v>0</v>
      </c>
      <c r="CV405">
        <v>2</v>
      </c>
      <c r="CW405">
        <v>10</v>
      </c>
      <c r="CX405">
        <v>1</v>
      </c>
      <c r="CY405">
        <v>8</v>
      </c>
      <c r="CZ405">
        <v>1</v>
      </c>
      <c r="DA405">
        <v>7</v>
      </c>
      <c r="DB405">
        <v>7</v>
      </c>
      <c r="DC405">
        <v>5</v>
      </c>
      <c r="DD405">
        <v>10</v>
      </c>
      <c r="DE405">
        <v>10</v>
      </c>
      <c r="DF405">
        <v>1</v>
      </c>
      <c r="DG405">
        <v>5</v>
      </c>
      <c r="DH405">
        <v>10</v>
      </c>
      <c r="DI405">
        <v>7</v>
      </c>
      <c r="DJ405">
        <v>2</v>
      </c>
      <c r="DK405">
        <v>1</v>
      </c>
    </row>
    <row r="406" spans="1:115">
      <c r="A406" s="173">
        <f>Calculations[[#This Row],[Sum t eCO2]]*IF(Calculations[[#This Row],[GHG Scope]]="BIOGENIC",0,1)</f>
        <v>0.59097500000000003</v>
      </c>
      <c r="O406">
        <f t="shared" si="6"/>
        <v>405</v>
      </c>
      <c r="P406">
        <v>5</v>
      </c>
      <c r="Q406">
        <v>6</v>
      </c>
      <c r="R406">
        <v>2</v>
      </c>
      <c r="S406">
        <v>4</v>
      </c>
      <c r="T406">
        <v>4</v>
      </c>
      <c r="U406">
        <v>0</v>
      </c>
      <c r="V406">
        <v>4</v>
      </c>
      <c r="W406">
        <v>0</v>
      </c>
      <c r="X406">
        <v>3</v>
      </c>
      <c r="Y406">
        <v>9</v>
      </c>
      <c r="Z406">
        <v>1</v>
      </c>
      <c r="AA406">
        <v>3</v>
      </c>
      <c r="AB406">
        <v>10</v>
      </c>
      <c r="AC406">
        <v>10</v>
      </c>
      <c r="AD406">
        <v>8</v>
      </c>
      <c r="AE406">
        <v>0</v>
      </c>
      <c r="AF406">
        <v>3</v>
      </c>
      <c r="AG406">
        <v>10</v>
      </c>
      <c r="AH406">
        <v>2</v>
      </c>
      <c r="AI406">
        <v>8</v>
      </c>
      <c r="AJ406">
        <v>10</v>
      </c>
      <c r="AK406">
        <v>2</v>
      </c>
      <c r="AL406">
        <v>8</v>
      </c>
      <c r="AM406">
        <v>6</v>
      </c>
      <c r="AN406">
        <v>4</v>
      </c>
      <c r="AO406">
        <v>4</v>
      </c>
      <c r="AP406">
        <v>2</v>
      </c>
      <c r="AQ406">
        <v>10</v>
      </c>
      <c r="AR406">
        <v>3</v>
      </c>
      <c r="AS406">
        <v>1</v>
      </c>
      <c r="AT406">
        <v>6</v>
      </c>
      <c r="AU406">
        <v>3</v>
      </c>
      <c r="AV406">
        <v>9</v>
      </c>
      <c r="AW406">
        <v>3</v>
      </c>
      <c r="AX406">
        <v>4</v>
      </c>
      <c r="AY406">
        <v>3</v>
      </c>
      <c r="AZ406">
        <v>8</v>
      </c>
      <c r="BA406">
        <v>5</v>
      </c>
      <c r="BB406">
        <v>0</v>
      </c>
      <c r="BC406">
        <v>7</v>
      </c>
      <c r="BD406">
        <v>1</v>
      </c>
      <c r="BE406">
        <v>1</v>
      </c>
      <c r="BF406">
        <v>8</v>
      </c>
      <c r="BG406">
        <v>2</v>
      </c>
      <c r="BH406">
        <v>1</v>
      </c>
      <c r="BI406">
        <v>5</v>
      </c>
      <c r="BJ406">
        <v>0</v>
      </c>
      <c r="BK406">
        <v>2</v>
      </c>
      <c r="BL406">
        <v>4</v>
      </c>
      <c r="BM406">
        <v>3</v>
      </c>
      <c r="BN406">
        <v>4</v>
      </c>
      <c r="BO406">
        <v>4</v>
      </c>
      <c r="BP406">
        <v>0</v>
      </c>
      <c r="BQ406">
        <v>9</v>
      </c>
      <c r="BR406">
        <v>10</v>
      </c>
      <c r="BS406">
        <v>7</v>
      </c>
      <c r="BT406">
        <v>9</v>
      </c>
      <c r="BU406">
        <v>5</v>
      </c>
      <c r="BV406">
        <v>6</v>
      </c>
      <c r="BW406">
        <v>7</v>
      </c>
      <c r="BX406">
        <v>8</v>
      </c>
      <c r="BY406">
        <v>5</v>
      </c>
      <c r="BZ406">
        <v>4</v>
      </c>
      <c r="CA406">
        <v>0</v>
      </c>
      <c r="CB406">
        <v>10</v>
      </c>
      <c r="CC406">
        <v>9</v>
      </c>
      <c r="CD406">
        <v>5</v>
      </c>
      <c r="CE406">
        <v>10</v>
      </c>
      <c r="CF406">
        <v>2</v>
      </c>
      <c r="CG406">
        <v>5</v>
      </c>
      <c r="CH406">
        <v>10</v>
      </c>
      <c r="CI406">
        <v>8</v>
      </c>
      <c r="CJ406">
        <v>5</v>
      </c>
      <c r="CK406">
        <v>9</v>
      </c>
      <c r="CL406">
        <v>9</v>
      </c>
      <c r="CM406">
        <v>0</v>
      </c>
      <c r="CN406">
        <v>4</v>
      </c>
      <c r="CO406">
        <v>9</v>
      </c>
      <c r="CP406">
        <v>1</v>
      </c>
      <c r="CQ406">
        <v>0</v>
      </c>
      <c r="CR406">
        <v>0</v>
      </c>
      <c r="CS406">
        <v>10</v>
      </c>
      <c r="CT406">
        <v>9</v>
      </c>
      <c r="CU406">
        <v>3</v>
      </c>
      <c r="CV406">
        <v>2</v>
      </c>
      <c r="CW406">
        <v>3</v>
      </c>
      <c r="CX406">
        <v>1</v>
      </c>
      <c r="CY406">
        <v>1</v>
      </c>
      <c r="CZ406">
        <v>4</v>
      </c>
      <c r="DA406">
        <v>8</v>
      </c>
      <c r="DB406">
        <v>1</v>
      </c>
      <c r="DC406">
        <v>1</v>
      </c>
      <c r="DD406">
        <v>8</v>
      </c>
      <c r="DE406">
        <v>3</v>
      </c>
      <c r="DF406">
        <v>0</v>
      </c>
      <c r="DG406">
        <v>3</v>
      </c>
      <c r="DH406">
        <v>7</v>
      </c>
      <c r="DI406">
        <v>2</v>
      </c>
      <c r="DJ406">
        <v>10</v>
      </c>
      <c r="DK406">
        <v>2</v>
      </c>
    </row>
    <row r="407" spans="1:115">
      <c r="A407" s="173">
        <f>Calculations[[#This Row],[Sum t eCO2]]*IF(Calculations[[#This Row],[GHG Scope]]="BIOGENIC",0,1)</f>
        <v>17.242469784540003</v>
      </c>
      <c r="O407">
        <f t="shared" si="6"/>
        <v>406</v>
      </c>
      <c r="P407">
        <v>3</v>
      </c>
      <c r="Q407">
        <v>7</v>
      </c>
      <c r="R407">
        <v>8</v>
      </c>
      <c r="S407">
        <v>3</v>
      </c>
      <c r="T407">
        <v>5</v>
      </c>
      <c r="U407">
        <v>10</v>
      </c>
      <c r="V407">
        <v>8</v>
      </c>
      <c r="W407">
        <v>1</v>
      </c>
      <c r="X407">
        <v>9</v>
      </c>
      <c r="Y407">
        <v>0</v>
      </c>
      <c r="Z407">
        <v>1</v>
      </c>
      <c r="AA407">
        <v>10</v>
      </c>
      <c r="AB407">
        <v>1</v>
      </c>
      <c r="AC407">
        <v>8</v>
      </c>
      <c r="AD407">
        <v>8</v>
      </c>
      <c r="AE407">
        <v>9</v>
      </c>
      <c r="AF407">
        <v>3</v>
      </c>
      <c r="AG407">
        <v>9</v>
      </c>
      <c r="AH407">
        <v>6</v>
      </c>
      <c r="AI407">
        <v>4</v>
      </c>
      <c r="AJ407">
        <v>3</v>
      </c>
      <c r="AK407">
        <v>2</v>
      </c>
      <c r="AL407">
        <v>6</v>
      </c>
      <c r="AM407">
        <v>3</v>
      </c>
      <c r="AN407">
        <v>3</v>
      </c>
      <c r="AO407">
        <v>6</v>
      </c>
      <c r="AP407">
        <v>6</v>
      </c>
      <c r="AQ407">
        <v>9</v>
      </c>
      <c r="AR407">
        <v>9</v>
      </c>
      <c r="AS407">
        <v>5</v>
      </c>
      <c r="AT407">
        <v>4</v>
      </c>
      <c r="AU407">
        <v>6</v>
      </c>
      <c r="AV407">
        <v>1</v>
      </c>
      <c r="AW407">
        <v>5</v>
      </c>
      <c r="AX407">
        <v>10</v>
      </c>
      <c r="AY407">
        <v>0</v>
      </c>
      <c r="AZ407">
        <v>7</v>
      </c>
      <c r="BA407">
        <v>4</v>
      </c>
      <c r="BB407">
        <v>5</v>
      </c>
      <c r="BC407">
        <v>4</v>
      </c>
      <c r="BD407">
        <v>9</v>
      </c>
      <c r="BE407">
        <v>1</v>
      </c>
      <c r="BF407">
        <v>10</v>
      </c>
      <c r="BG407">
        <v>8</v>
      </c>
      <c r="BH407">
        <v>7</v>
      </c>
      <c r="BI407">
        <v>4</v>
      </c>
      <c r="BJ407">
        <v>3</v>
      </c>
      <c r="BK407">
        <v>6</v>
      </c>
      <c r="BL407">
        <v>4</v>
      </c>
      <c r="BM407">
        <v>0</v>
      </c>
      <c r="BN407">
        <v>0</v>
      </c>
      <c r="BO407">
        <v>7</v>
      </c>
      <c r="BP407">
        <v>5</v>
      </c>
      <c r="BQ407">
        <v>9</v>
      </c>
      <c r="BR407">
        <v>6</v>
      </c>
      <c r="BS407">
        <v>9</v>
      </c>
      <c r="BT407">
        <v>7</v>
      </c>
      <c r="BU407">
        <v>1</v>
      </c>
      <c r="BV407">
        <v>10</v>
      </c>
      <c r="BW407">
        <v>4</v>
      </c>
      <c r="BX407">
        <v>9</v>
      </c>
      <c r="BY407">
        <v>8</v>
      </c>
      <c r="BZ407">
        <v>9</v>
      </c>
      <c r="CA407">
        <v>10</v>
      </c>
      <c r="CB407">
        <v>9</v>
      </c>
      <c r="CC407">
        <v>3</v>
      </c>
      <c r="CD407">
        <v>0</v>
      </c>
      <c r="CE407">
        <v>1</v>
      </c>
      <c r="CF407">
        <v>9</v>
      </c>
      <c r="CG407">
        <v>10</v>
      </c>
      <c r="CH407">
        <v>0</v>
      </c>
      <c r="CI407">
        <v>9</v>
      </c>
      <c r="CJ407">
        <v>8</v>
      </c>
      <c r="CK407">
        <v>0</v>
      </c>
      <c r="CL407">
        <v>10</v>
      </c>
      <c r="CM407">
        <v>0</v>
      </c>
      <c r="CN407">
        <v>8</v>
      </c>
      <c r="CO407">
        <v>8</v>
      </c>
      <c r="CP407">
        <v>9</v>
      </c>
      <c r="CQ407">
        <v>9</v>
      </c>
      <c r="CR407">
        <v>5</v>
      </c>
      <c r="CS407">
        <v>0</v>
      </c>
      <c r="CT407">
        <v>5</v>
      </c>
      <c r="CU407">
        <v>2</v>
      </c>
      <c r="CV407">
        <v>5</v>
      </c>
      <c r="CW407">
        <v>8</v>
      </c>
      <c r="CX407">
        <v>3</v>
      </c>
      <c r="CY407">
        <v>6</v>
      </c>
      <c r="CZ407">
        <v>4</v>
      </c>
      <c r="DA407">
        <v>3</v>
      </c>
      <c r="DB407">
        <v>8</v>
      </c>
      <c r="DC407">
        <v>9</v>
      </c>
      <c r="DD407">
        <v>0</v>
      </c>
      <c r="DE407">
        <v>0</v>
      </c>
      <c r="DF407">
        <v>6</v>
      </c>
      <c r="DG407">
        <v>6</v>
      </c>
      <c r="DH407">
        <v>7</v>
      </c>
      <c r="DI407">
        <v>2</v>
      </c>
      <c r="DJ407">
        <v>6</v>
      </c>
      <c r="DK407">
        <v>8</v>
      </c>
    </row>
    <row r="408" spans="1:115">
      <c r="A408" s="173">
        <f>Calculations[[#This Row],[Sum t eCO2]]*IF(Calculations[[#This Row],[GHG Scope]]="BIOGENIC",0,1)</f>
        <v>2.3021402040000017E-2</v>
      </c>
      <c r="O408">
        <f t="shared" si="6"/>
        <v>407</v>
      </c>
      <c r="P408">
        <v>6</v>
      </c>
      <c r="Q408">
        <v>7</v>
      </c>
      <c r="R408">
        <v>8</v>
      </c>
      <c r="S408">
        <v>3</v>
      </c>
      <c r="T408">
        <v>4</v>
      </c>
      <c r="U408">
        <v>0</v>
      </c>
      <c r="V408">
        <v>1</v>
      </c>
      <c r="W408">
        <v>2</v>
      </c>
      <c r="X408">
        <v>5</v>
      </c>
      <c r="Y408">
        <v>3</v>
      </c>
      <c r="Z408">
        <v>0</v>
      </c>
      <c r="AA408">
        <v>6</v>
      </c>
      <c r="AB408">
        <v>10</v>
      </c>
      <c r="AC408">
        <v>10</v>
      </c>
      <c r="AD408">
        <v>1</v>
      </c>
      <c r="AE408">
        <v>7</v>
      </c>
      <c r="AF408">
        <v>7</v>
      </c>
      <c r="AG408">
        <v>6</v>
      </c>
      <c r="AH408">
        <v>5</v>
      </c>
      <c r="AI408">
        <v>3</v>
      </c>
      <c r="AJ408">
        <v>6</v>
      </c>
      <c r="AK408">
        <v>8</v>
      </c>
      <c r="AL408">
        <v>4</v>
      </c>
      <c r="AM408">
        <v>3</v>
      </c>
      <c r="AN408">
        <v>7</v>
      </c>
      <c r="AO408">
        <v>10</v>
      </c>
      <c r="AP408">
        <v>1</v>
      </c>
      <c r="AQ408">
        <v>9</v>
      </c>
      <c r="AR408">
        <v>9</v>
      </c>
      <c r="AS408">
        <v>10</v>
      </c>
      <c r="AT408">
        <v>0</v>
      </c>
      <c r="AU408">
        <v>6</v>
      </c>
      <c r="AV408">
        <v>5</v>
      </c>
      <c r="AW408">
        <v>6</v>
      </c>
      <c r="AX408">
        <v>4</v>
      </c>
      <c r="AY408">
        <v>1</v>
      </c>
      <c r="AZ408">
        <v>2</v>
      </c>
      <c r="BA408">
        <v>10</v>
      </c>
      <c r="BB408">
        <v>1</v>
      </c>
      <c r="BC408">
        <v>3</v>
      </c>
      <c r="BD408">
        <v>6</v>
      </c>
      <c r="BE408">
        <v>1</v>
      </c>
      <c r="BF408">
        <v>6</v>
      </c>
      <c r="BG408">
        <v>10</v>
      </c>
      <c r="BH408">
        <v>0</v>
      </c>
      <c r="BI408">
        <v>8</v>
      </c>
      <c r="BJ408">
        <v>6</v>
      </c>
      <c r="BK408">
        <v>0</v>
      </c>
      <c r="BL408">
        <v>2</v>
      </c>
      <c r="BM408">
        <v>10</v>
      </c>
      <c r="BN408">
        <v>2</v>
      </c>
      <c r="BO408">
        <v>9</v>
      </c>
      <c r="BP408">
        <v>9</v>
      </c>
      <c r="BQ408">
        <v>3</v>
      </c>
      <c r="BR408">
        <v>3</v>
      </c>
      <c r="BS408">
        <v>5</v>
      </c>
      <c r="BT408">
        <v>4</v>
      </c>
      <c r="BU408">
        <v>7</v>
      </c>
      <c r="BV408">
        <v>2</v>
      </c>
      <c r="BW408">
        <v>1</v>
      </c>
      <c r="BX408">
        <v>5</v>
      </c>
      <c r="BY408">
        <v>8</v>
      </c>
      <c r="BZ408">
        <v>6</v>
      </c>
      <c r="CA408">
        <v>5</v>
      </c>
      <c r="CB408">
        <v>3</v>
      </c>
      <c r="CC408">
        <v>7</v>
      </c>
      <c r="CD408">
        <v>8</v>
      </c>
      <c r="CE408">
        <v>10</v>
      </c>
      <c r="CF408">
        <v>10</v>
      </c>
      <c r="CG408">
        <v>1</v>
      </c>
      <c r="CH408">
        <v>2</v>
      </c>
      <c r="CI408">
        <v>9</v>
      </c>
      <c r="CJ408">
        <v>8</v>
      </c>
      <c r="CK408">
        <v>9</v>
      </c>
      <c r="CL408">
        <v>2</v>
      </c>
      <c r="CM408">
        <v>2</v>
      </c>
      <c r="CN408">
        <v>6</v>
      </c>
      <c r="CO408">
        <v>7</v>
      </c>
      <c r="CP408">
        <v>4</v>
      </c>
      <c r="CQ408">
        <v>5</v>
      </c>
      <c r="CR408">
        <v>6</v>
      </c>
      <c r="CS408">
        <v>7</v>
      </c>
      <c r="CT408">
        <v>7</v>
      </c>
      <c r="CU408">
        <v>9</v>
      </c>
      <c r="CV408">
        <v>1</v>
      </c>
      <c r="CW408">
        <v>4</v>
      </c>
      <c r="CX408">
        <v>4</v>
      </c>
      <c r="CY408">
        <v>6</v>
      </c>
      <c r="CZ408">
        <v>8</v>
      </c>
      <c r="DA408">
        <v>5</v>
      </c>
      <c r="DB408">
        <v>8</v>
      </c>
      <c r="DC408">
        <v>4</v>
      </c>
      <c r="DD408">
        <v>6</v>
      </c>
      <c r="DE408">
        <v>8</v>
      </c>
      <c r="DF408">
        <v>2</v>
      </c>
      <c r="DG408">
        <v>4</v>
      </c>
      <c r="DH408">
        <v>2</v>
      </c>
      <c r="DI408">
        <v>7</v>
      </c>
      <c r="DJ408">
        <v>6</v>
      </c>
      <c r="DK408">
        <v>9</v>
      </c>
    </row>
    <row r="409" spans="1:115">
      <c r="A409" s="173">
        <f>Calculations[[#This Row],[Sum t eCO2]]*IF(Calculations[[#This Row],[GHG Scope]]="BIOGENIC",0,1)</f>
        <v>130.20853364667678</v>
      </c>
      <c r="O409">
        <f t="shared" si="6"/>
        <v>408</v>
      </c>
      <c r="P409">
        <v>2</v>
      </c>
      <c r="Q409">
        <v>9</v>
      </c>
      <c r="R409">
        <v>3</v>
      </c>
      <c r="S409">
        <v>2</v>
      </c>
      <c r="T409">
        <v>2</v>
      </c>
      <c r="U409">
        <v>9</v>
      </c>
      <c r="V409">
        <v>6</v>
      </c>
      <c r="W409">
        <v>9</v>
      </c>
      <c r="X409">
        <v>5</v>
      </c>
      <c r="Y409">
        <v>0</v>
      </c>
      <c r="Z409">
        <v>7</v>
      </c>
      <c r="AA409">
        <v>5</v>
      </c>
      <c r="AB409">
        <v>2</v>
      </c>
      <c r="AC409">
        <v>2</v>
      </c>
      <c r="AD409">
        <v>10</v>
      </c>
      <c r="AE409">
        <v>5</v>
      </c>
      <c r="AF409">
        <v>9</v>
      </c>
      <c r="AG409">
        <v>0</v>
      </c>
      <c r="AH409">
        <v>3</v>
      </c>
      <c r="AI409">
        <v>5</v>
      </c>
      <c r="AJ409">
        <v>2</v>
      </c>
      <c r="AK409">
        <v>10</v>
      </c>
      <c r="AL409">
        <v>0</v>
      </c>
      <c r="AM409">
        <v>7</v>
      </c>
      <c r="AN409">
        <v>6</v>
      </c>
      <c r="AO409">
        <v>1</v>
      </c>
      <c r="AP409">
        <v>2</v>
      </c>
      <c r="AQ409">
        <v>9</v>
      </c>
      <c r="AR409">
        <v>10</v>
      </c>
      <c r="AS409">
        <v>6</v>
      </c>
      <c r="AT409">
        <v>5</v>
      </c>
      <c r="AU409">
        <v>8</v>
      </c>
      <c r="AV409">
        <v>3</v>
      </c>
      <c r="AW409">
        <v>0</v>
      </c>
      <c r="AX409">
        <v>3</v>
      </c>
      <c r="AY409">
        <v>1</v>
      </c>
      <c r="AZ409">
        <v>3</v>
      </c>
      <c r="BA409">
        <v>1</v>
      </c>
      <c r="BB409">
        <v>5</v>
      </c>
      <c r="BC409">
        <v>4</v>
      </c>
      <c r="BD409">
        <v>10</v>
      </c>
      <c r="BE409">
        <v>6</v>
      </c>
      <c r="BF409">
        <v>2</v>
      </c>
      <c r="BG409">
        <v>6</v>
      </c>
      <c r="BH409">
        <v>7</v>
      </c>
      <c r="BI409">
        <v>10</v>
      </c>
      <c r="BJ409">
        <v>10</v>
      </c>
      <c r="BK409">
        <v>4</v>
      </c>
      <c r="BL409">
        <v>8</v>
      </c>
      <c r="BM409">
        <v>4</v>
      </c>
      <c r="BN409">
        <v>3</v>
      </c>
      <c r="BO409">
        <v>10</v>
      </c>
      <c r="BP409">
        <v>9</v>
      </c>
      <c r="BQ409">
        <v>4</v>
      </c>
      <c r="BR409">
        <v>4</v>
      </c>
      <c r="BS409">
        <v>8</v>
      </c>
      <c r="BT409">
        <v>1</v>
      </c>
      <c r="BU409">
        <v>3</v>
      </c>
      <c r="BV409">
        <v>5</v>
      </c>
      <c r="BW409">
        <v>10</v>
      </c>
      <c r="BX409">
        <v>10</v>
      </c>
      <c r="BY409">
        <v>2</v>
      </c>
      <c r="BZ409">
        <v>7</v>
      </c>
      <c r="CA409">
        <v>7</v>
      </c>
      <c r="CB409">
        <v>3</v>
      </c>
      <c r="CC409">
        <v>6</v>
      </c>
      <c r="CD409">
        <v>1</v>
      </c>
      <c r="CE409">
        <v>9</v>
      </c>
      <c r="CF409">
        <v>8</v>
      </c>
      <c r="CG409">
        <v>6</v>
      </c>
      <c r="CH409">
        <v>10</v>
      </c>
      <c r="CI409">
        <v>1</v>
      </c>
      <c r="CJ409">
        <v>7</v>
      </c>
      <c r="CK409">
        <v>7</v>
      </c>
      <c r="CL409">
        <v>2</v>
      </c>
      <c r="CM409">
        <v>0</v>
      </c>
      <c r="CN409">
        <v>2</v>
      </c>
      <c r="CO409">
        <v>10</v>
      </c>
      <c r="CP409">
        <v>9</v>
      </c>
      <c r="CQ409">
        <v>6</v>
      </c>
      <c r="CR409">
        <v>6</v>
      </c>
      <c r="CS409">
        <v>9</v>
      </c>
      <c r="CT409">
        <v>4</v>
      </c>
      <c r="CU409">
        <v>6</v>
      </c>
      <c r="CV409">
        <v>3</v>
      </c>
      <c r="CW409">
        <v>8</v>
      </c>
      <c r="CX409">
        <v>6</v>
      </c>
      <c r="CY409">
        <v>8</v>
      </c>
      <c r="CZ409">
        <v>4</v>
      </c>
      <c r="DA409">
        <v>4</v>
      </c>
      <c r="DB409">
        <v>9</v>
      </c>
      <c r="DC409">
        <v>1</v>
      </c>
      <c r="DD409">
        <v>4</v>
      </c>
      <c r="DE409">
        <v>6</v>
      </c>
      <c r="DF409">
        <v>9</v>
      </c>
      <c r="DG409">
        <v>0</v>
      </c>
      <c r="DH409">
        <v>7</v>
      </c>
      <c r="DI409">
        <v>10</v>
      </c>
      <c r="DJ409">
        <v>5</v>
      </c>
      <c r="DK409">
        <v>4</v>
      </c>
    </row>
    <row r="410" spans="1:115">
      <c r="A410" s="173">
        <f>Calculations[[#This Row],[Sum t eCO2]]*IF(Calculations[[#This Row],[GHG Scope]]="BIOGENIC",0,1)</f>
        <v>3.3330889319999994</v>
      </c>
      <c r="O410">
        <f t="shared" si="6"/>
        <v>409</v>
      </c>
      <c r="P410">
        <v>5</v>
      </c>
      <c r="Q410">
        <v>10</v>
      </c>
      <c r="R410">
        <v>2</v>
      </c>
      <c r="S410">
        <v>8</v>
      </c>
      <c r="T410">
        <v>8</v>
      </c>
      <c r="U410">
        <v>9</v>
      </c>
      <c r="V410">
        <v>10</v>
      </c>
      <c r="W410">
        <v>6</v>
      </c>
      <c r="X410">
        <v>7</v>
      </c>
      <c r="Y410">
        <v>3</v>
      </c>
      <c r="Z410">
        <v>9</v>
      </c>
      <c r="AA410">
        <v>7</v>
      </c>
      <c r="AB410">
        <v>1</v>
      </c>
      <c r="AC410">
        <v>1</v>
      </c>
      <c r="AD410">
        <v>0</v>
      </c>
      <c r="AE410">
        <v>0</v>
      </c>
      <c r="AF410">
        <v>9</v>
      </c>
      <c r="AG410">
        <v>5</v>
      </c>
      <c r="AH410">
        <v>7</v>
      </c>
      <c r="AI410">
        <v>7</v>
      </c>
      <c r="AJ410">
        <v>9</v>
      </c>
      <c r="AK410">
        <v>0</v>
      </c>
      <c r="AL410">
        <v>2</v>
      </c>
      <c r="AM410">
        <v>4</v>
      </c>
      <c r="AN410">
        <v>5</v>
      </c>
      <c r="AO410">
        <v>4</v>
      </c>
      <c r="AP410">
        <v>9</v>
      </c>
      <c r="AQ410">
        <v>3</v>
      </c>
      <c r="AR410">
        <v>10</v>
      </c>
      <c r="AS410">
        <v>10</v>
      </c>
      <c r="AT410">
        <v>6</v>
      </c>
      <c r="AU410">
        <v>0</v>
      </c>
      <c r="AV410">
        <v>4</v>
      </c>
      <c r="AW410">
        <v>5</v>
      </c>
      <c r="AX410">
        <v>0</v>
      </c>
      <c r="AY410">
        <v>5</v>
      </c>
      <c r="AZ410">
        <v>0</v>
      </c>
      <c r="BA410">
        <v>4</v>
      </c>
      <c r="BB410">
        <v>9</v>
      </c>
      <c r="BC410">
        <v>9</v>
      </c>
      <c r="BD410">
        <v>4</v>
      </c>
      <c r="BE410">
        <v>0</v>
      </c>
      <c r="BF410">
        <v>6</v>
      </c>
      <c r="BG410">
        <v>9</v>
      </c>
      <c r="BH410">
        <v>2</v>
      </c>
      <c r="BI410">
        <v>3</v>
      </c>
      <c r="BJ410">
        <v>10</v>
      </c>
      <c r="BK410">
        <v>0</v>
      </c>
      <c r="BL410">
        <v>0</v>
      </c>
      <c r="BM410">
        <v>5</v>
      </c>
      <c r="BN410">
        <v>6</v>
      </c>
      <c r="BO410">
        <v>8</v>
      </c>
      <c r="BP410">
        <v>8</v>
      </c>
      <c r="BQ410">
        <v>2</v>
      </c>
      <c r="BR410">
        <v>3</v>
      </c>
      <c r="BS410">
        <v>4</v>
      </c>
      <c r="BT410">
        <v>6</v>
      </c>
      <c r="BU410">
        <v>0</v>
      </c>
      <c r="BV410">
        <v>2</v>
      </c>
      <c r="BW410">
        <v>10</v>
      </c>
      <c r="BX410">
        <v>9</v>
      </c>
      <c r="BY410">
        <v>6</v>
      </c>
      <c r="BZ410">
        <v>6</v>
      </c>
      <c r="CA410">
        <v>5</v>
      </c>
      <c r="CB410">
        <v>7</v>
      </c>
      <c r="CC410">
        <v>2</v>
      </c>
      <c r="CD410">
        <v>8</v>
      </c>
      <c r="CE410">
        <v>0</v>
      </c>
      <c r="CF410">
        <v>2</v>
      </c>
      <c r="CG410">
        <v>7</v>
      </c>
      <c r="CH410">
        <v>4</v>
      </c>
      <c r="CI410">
        <v>6</v>
      </c>
      <c r="CJ410">
        <v>6</v>
      </c>
      <c r="CK410">
        <v>6</v>
      </c>
      <c r="CL410">
        <v>2</v>
      </c>
      <c r="CM410">
        <v>0</v>
      </c>
      <c r="CN410">
        <v>1</v>
      </c>
      <c r="CO410">
        <v>9</v>
      </c>
      <c r="CP410">
        <v>10</v>
      </c>
      <c r="CQ410">
        <v>4</v>
      </c>
      <c r="CR410">
        <v>10</v>
      </c>
      <c r="CS410">
        <v>7</v>
      </c>
      <c r="CT410">
        <v>6</v>
      </c>
      <c r="CU410">
        <v>10</v>
      </c>
      <c r="CV410">
        <v>0</v>
      </c>
      <c r="CW410">
        <v>6</v>
      </c>
      <c r="CX410">
        <v>9</v>
      </c>
      <c r="CY410">
        <v>2</v>
      </c>
      <c r="CZ410">
        <v>1</v>
      </c>
      <c r="DA410">
        <v>5</v>
      </c>
      <c r="DB410">
        <v>2</v>
      </c>
      <c r="DC410">
        <v>8</v>
      </c>
      <c r="DD410">
        <v>4</v>
      </c>
      <c r="DE410">
        <v>2</v>
      </c>
      <c r="DF410">
        <v>8</v>
      </c>
      <c r="DG410">
        <v>4</v>
      </c>
      <c r="DH410">
        <v>6</v>
      </c>
      <c r="DI410">
        <v>0</v>
      </c>
      <c r="DJ410">
        <v>2</v>
      </c>
      <c r="DK410">
        <v>0</v>
      </c>
    </row>
    <row r="411" spans="1:115">
      <c r="A411" s="173">
        <f>Calculations[[#This Row],[Sum t eCO2]]*IF(Calculations[[#This Row],[GHG Scope]]="BIOGENIC",0,1)</f>
        <v>45.904435823999997</v>
      </c>
      <c r="O411">
        <f t="shared" si="6"/>
        <v>410</v>
      </c>
      <c r="P411">
        <v>5</v>
      </c>
      <c r="Q411">
        <v>0</v>
      </c>
      <c r="R411">
        <v>8</v>
      </c>
      <c r="S411">
        <v>5</v>
      </c>
      <c r="T411">
        <v>9</v>
      </c>
      <c r="U411">
        <v>1</v>
      </c>
      <c r="V411">
        <v>10</v>
      </c>
      <c r="W411">
        <v>3</v>
      </c>
      <c r="X411">
        <v>1</v>
      </c>
      <c r="Y411">
        <v>4</v>
      </c>
      <c r="Z411">
        <v>6</v>
      </c>
      <c r="AA411">
        <v>6</v>
      </c>
      <c r="AB411">
        <v>2</v>
      </c>
      <c r="AC411">
        <v>1</v>
      </c>
      <c r="AD411">
        <v>3</v>
      </c>
      <c r="AE411">
        <v>6</v>
      </c>
      <c r="AF411">
        <v>0</v>
      </c>
      <c r="AG411">
        <v>4</v>
      </c>
      <c r="AH411">
        <v>9</v>
      </c>
      <c r="AI411">
        <v>2</v>
      </c>
      <c r="AJ411">
        <v>5</v>
      </c>
      <c r="AK411">
        <v>1</v>
      </c>
      <c r="AL411">
        <v>0</v>
      </c>
      <c r="AM411">
        <v>2</v>
      </c>
      <c r="AN411">
        <v>9</v>
      </c>
      <c r="AO411">
        <v>0</v>
      </c>
      <c r="AP411">
        <v>7</v>
      </c>
      <c r="AQ411">
        <v>4</v>
      </c>
      <c r="AR411">
        <v>8</v>
      </c>
      <c r="AS411">
        <v>1</v>
      </c>
      <c r="AT411">
        <v>1</v>
      </c>
      <c r="AU411">
        <v>3</v>
      </c>
      <c r="AV411">
        <v>3</v>
      </c>
      <c r="AW411">
        <v>2</v>
      </c>
      <c r="AX411">
        <v>0</v>
      </c>
      <c r="AY411">
        <v>0</v>
      </c>
      <c r="AZ411">
        <v>1</v>
      </c>
      <c r="BA411">
        <v>1</v>
      </c>
      <c r="BB411">
        <v>0</v>
      </c>
      <c r="BC411">
        <v>7</v>
      </c>
      <c r="BD411">
        <v>2</v>
      </c>
      <c r="BE411">
        <v>3</v>
      </c>
      <c r="BF411">
        <v>8</v>
      </c>
      <c r="BG411">
        <v>5</v>
      </c>
      <c r="BH411">
        <v>9</v>
      </c>
      <c r="BI411">
        <v>9</v>
      </c>
      <c r="BJ411">
        <v>2</v>
      </c>
      <c r="BK411">
        <v>1</v>
      </c>
      <c r="BL411">
        <v>2</v>
      </c>
      <c r="BM411">
        <v>10</v>
      </c>
      <c r="BN411">
        <v>5</v>
      </c>
      <c r="BO411">
        <v>0</v>
      </c>
      <c r="BP411">
        <v>3</v>
      </c>
      <c r="BQ411">
        <v>9</v>
      </c>
      <c r="BR411">
        <v>6</v>
      </c>
      <c r="BS411">
        <v>8</v>
      </c>
      <c r="BT411">
        <v>5</v>
      </c>
      <c r="BU411">
        <v>6</v>
      </c>
      <c r="BV411">
        <v>5</v>
      </c>
      <c r="BW411">
        <v>3</v>
      </c>
      <c r="BX411">
        <v>8</v>
      </c>
      <c r="BY411">
        <v>0</v>
      </c>
      <c r="BZ411">
        <v>6</v>
      </c>
      <c r="CA411">
        <v>7</v>
      </c>
      <c r="CB411">
        <v>2</v>
      </c>
      <c r="CC411">
        <v>1</v>
      </c>
      <c r="CD411">
        <v>5</v>
      </c>
      <c r="CE411">
        <v>1</v>
      </c>
      <c r="CF411">
        <v>1</v>
      </c>
      <c r="CG411">
        <v>5</v>
      </c>
      <c r="CH411">
        <v>2</v>
      </c>
      <c r="CI411">
        <v>2</v>
      </c>
      <c r="CJ411">
        <v>2</v>
      </c>
      <c r="CK411">
        <v>10</v>
      </c>
      <c r="CL411">
        <v>10</v>
      </c>
      <c r="CM411">
        <v>1</v>
      </c>
      <c r="CN411">
        <v>8</v>
      </c>
      <c r="CO411">
        <v>5</v>
      </c>
      <c r="CP411">
        <v>10</v>
      </c>
      <c r="CQ411">
        <v>4</v>
      </c>
      <c r="CR411">
        <v>10</v>
      </c>
      <c r="CS411">
        <v>2</v>
      </c>
      <c r="CT411">
        <v>6</v>
      </c>
      <c r="CU411">
        <v>6</v>
      </c>
      <c r="CV411">
        <v>4</v>
      </c>
      <c r="CW411">
        <v>5</v>
      </c>
      <c r="CX411">
        <v>6</v>
      </c>
      <c r="CY411">
        <v>5</v>
      </c>
      <c r="CZ411">
        <v>8</v>
      </c>
      <c r="DA411">
        <v>6</v>
      </c>
      <c r="DB411">
        <v>8</v>
      </c>
      <c r="DC411">
        <v>3</v>
      </c>
      <c r="DD411">
        <v>7</v>
      </c>
      <c r="DE411">
        <v>2</v>
      </c>
      <c r="DF411">
        <v>3</v>
      </c>
      <c r="DG411">
        <v>7</v>
      </c>
      <c r="DH411">
        <v>3</v>
      </c>
      <c r="DI411">
        <v>0</v>
      </c>
      <c r="DJ411">
        <v>10</v>
      </c>
      <c r="DK411">
        <v>6</v>
      </c>
    </row>
    <row r="412" spans="1:115">
      <c r="A412" s="173">
        <f>Calculations[[#This Row],[Sum t eCO2]]*IF(Calculations[[#This Row],[GHG Scope]]="BIOGENIC",0,1)</f>
        <v>0</v>
      </c>
      <c r="O412">
        <f t="shared" si="6"/>
        <v>411</v>
      </c>
      <c r="P412">
        <v>0</v>
      </c>
      <c r="Q412">
        <v>6</v>
      </c>
      <c r="R412">
        <v>1</v>
      </c>
      <c r="S412">
        <v>8</v>
      </c>
      <c r="T412">
        <v>9</v>
      </c>
      <c r="U412">
        <v>5</v>
      </c>
      <c r="V412">
        <v>8</v>
      </c>
      <c r="W412">
        <v>6</v>
      </c>
      <c r="X412">
        <v>7</v>
      </c>
      <c r="Y412">
        <v>2</v>
      </c>
      <c r="Z412">
        <v>0</v>
      </c>
      <c r="AA412">
        <v>10</v>
      </c>
      <c r="AB412">
        <v>0</v>
      </c>
      <c r="AC412">
        <v>5</v>
      </c>
      <c r="AD412">
        <v>1</v>
      </c>
      <c r="AE412">
        <v>9</v>
      </c>
      <c r="AF412">
        <v>9</v>
      </c>
      <c r="AG412">
        <v>7</v>
      </c>
      <c r="AH412">
        <v>9</v>
      </c>
      <c r="AI412">
        <v>0</v>
      </c>
      <c r="AJ412">
        <v>1</v>
      </c>
      <c r="AK412">
        <v>5</v>
      </c>
      <c r="AL412">
        <v>7</v>
      </c>
      <c r="AM412">
        <v>6</v>
      </c>
      <c r="AN412">
        <v>4</v>
      </c>
      <c r="AO412">
        <v>4</v>
      </c>
      <c r="AP412">
        <v>5</v>
      </c>
      <c r="AQ412">
        <v>5</v>
      </c>
      <c r="AR412">
        <v>9</v>
      </c>
      <c r="AS412">
        <v>4</v>
      </c>
      <c r="AT412">
        <v>2</v>
      </c>
      <c r="AU412">
        <v>4</v>
      </c>
      <c r="AV412">
        <v>3</v>
      </c>
      <c r="AW412">
        <v>7</v>
      </c>
      <c r="AX412">
        <v>5</v>
      </c>
      <c r="AY412">
        <v>6</v>
      </c>
      <c r="AZ412">
        <v>2</v>
      </c>
      <c r="BA412">
        <v>3</v>
      </c>
      <c r="BB412">
        <v>0</v>
      </c>
      <c r="BC412">
        <v>7</v>
      </c>
      <c r="BD412">
        <v>2</v>
      </c>
      <c r="BE412">
        <v>2</v>
      </c>
      <c r="BF412">
        <v>10</v>
      </c>
      <c r="BG412">
        <v>2</v>
      </c>
      <c r="BH412">
        <v>8</v>
      </c>
      <c r="BI412">
        <v>10</v>
      </c>
      <c r="BJ412">
        <v>2</v>
      </c>
      <c r="BK412">
        <v>4</v>
      </c>
      <c r="BL412">
        <v>4</v>
      </c>
      <c r="BM412">
        <v>4</v>
      </c>
      <c r="BN412">
        <v>3</v>
      </c>
      <c r="BO412">
        <v>1</v>
      </c>
      <c r="BP412">
        <v>9</v>
      </c>
      <c r="BQ412">
        <v>9</v>
      </c>
      <c r="BR412">
        <v>2</v>
      </c>
      <c r="BS412">
        <v>9</v>
      </c>
      <c r="BT412">
        <v>5</v>
      </c>
      <c r="BU412">
        <v>5</v>
      </c>
      <c r="BV412">
        <v>2</v>
      </c>
      <c r="BW412">
        <v>7</v>
      </c>
      <c r="BX412">
        <v>4</v>
      </c>
      <c r="BY412">
        <v>1</v>
      </c>
      <c r="BZ412">
        <v>0</v>
      </c>
      <c r="CA412">
        <v>7</v>
      </c>
      <c r="CB412">
        <v>0</v>
      </c>
      <c r="CC412">
        <v>4</v>
      </c>
      <c r="CD412">
        <v>8</v>
      </c>
      <c r="CE412">
        <v>2</v>
      </c>
      <c r="CF412">
        <v>5</v>
      </c>
      <c r="CG412">
        <v>3</v>
      </c>
      <c r="CH412">
        <v>10</v>
      </c>
      <c r="CI412">
        <v>8</v>
      </c>
      <c r="CJ412">
        <v>2</v>
      </c>
      <c r="CK412">
        <v>10</v>
      </c>
      <c r="CL412">
        <v>9</v>
      </c>
      <c r="CM412">
        <v>1</v>
      </c>
      <c r="CN412">
        <v>4</v>
      </c>
      <c r="CO412">
        <v>7</v>
      </c>
      <c r="CP412">
        <v>3</v>
      </c>
      <c r="CQ412">
        <v>5</v>
      </c>
      <c r="CR412">
        <v>9</v>
      </c>
      <c r="CS412">
        <v>5</v>
      </c>
      <c r="CT412">
        <v>0</v>
      </c>
      <c r="CU412">
        <v>4</v>
      </c>
      <c r="CV412">
        <v>1</v>
      </c>
      <c r="CW412">
        <v>8</v>
      </c>
      <c r="CX412">
        <v>0</v>
      </c>
      <c r="CY412">
        <v>10</v>
      </c>
      <c r="CZ412">
        <v>0</v>
      </c>
      <c r="DA412">
        <v>7</v>
      </c>
      <c r="DB412">
        <v>2</v>
      </c>
      <c r="DC412">
        <v>10</v>
      </c>
      <c r="DD412">
        <v>5</v>
      </c>
      <c r="DE412">
        <v>10</v>
      </c>
      <c r="DF412">
        <v>7</v>
      </c>
      <c r="DG412">
        <v>7</v>
      </c>
      <c r="DH412">
        <v>4</v>
      </c>
      <c r="DI412">
        <v>10</v>
      </c>
      <c r="DJ412">
        <v>1</v>
      </c>
      <c r="DK412">
        <v>2</v>
      </c>
    </row>
    <row r="413" spans="1:115">
      <c r="A413" s="173">
        <f>Calculations[[#This Row],[Sum t eCO2]]*IF(Calculations[[#This Row],[GHG Scope]]="BIOGENIC",0,1)</f>
        <v>18.65652888</v>
      </c>
      <c r="O413">
        <f t="shared" si="6"/>
        <v>412</v>
      </c>
      <c r="P413">
        <v>3</v>
      </c>
      <c r="Q413">
        <v>4</v>
      </c>
      <c r="R413">
        <v>8</v>
      </c>
      <c r="S413">
        <v>3</v>
      </c>
      <c r="T413">
        <v>10</v>
      </c>
      <c r="U413">
        <v>5</v>
      </c>
      <c r="V413">
        <v>8</v>
      </c>
      <c r="W413">
        <v>8</v>
      </c>
      <c r="X413">
        <v>1</v>
      </c>
      <c r="Y413">
        <v>4</v>
      </c>
      <c r="Z413">
        <v>8</v>
      </c>
      <c r="AA413">
        <v>9</v>
      </c>
      <c r="AB413">
        <v>3</v>
      </c>
      <c r="AC413">
        <v>5</v>
      </c>
      <c r="AD413">
        <v>6</v>
      </c>
      <c r="AE413">
        <v>2</v>
      </c>
      <c r="AF413">
        <v>0</v>
      </c>
      <c r="AG413">
        <v>1</v>
      </c>
      <c r="AH413">
        <v>6</v>
      </c>
      <c r="AI413">
        <v>7</v>
      </c>
      <c r="AJ413">
        <v>1</v>
      </c>
      <c r="AK413">
        <v>7</v>
      </c>
      <c r="AL413">
        <v>6</v>
      </c>
      <c r="AM413">
        <v>3</v>
      </c>
      <c r="AN413">
        <v>2</v>
      </c>
      <c r="AO413">
        <v>5</v>
      </c>
      <c r="AP413">
        <v>10</v>
      </c>
      <c r="AQ413">
        <v>2</v>
      </c>
      <c r="AR413">
        <v>0</v>
      </c>
      <c r="AS413">
        <v>3</v>
      </c>
      <c r="AT413">
        <v>2</v>
      </c>
      <c r="AU413">
        <v>5</v>
      </c>
      <c r="AV413">
        <v>4</v>
      </c>
      <c r="AW413">
        <v>0</v>
      </c>
      <c r="AX413">
        <v>0</v>
      </c>
      <c r="AY413">
        <v>3</v>
      </c>
      <c r="AZ413">
        <v>8</v>
      </c>
      <c r="BA413">
        <v>7</v>
      </c>
      <c r="BB413">
        <v>4</v>
      </c>
      <c r="BC413">
        <v>0</v>
      </c>
      <c r="BD413">
        <v>2</v>
      </c>
      <c r="BE413">
        <v>3</v>
      </c>
      <c r="BF413">
        <v>4</v>
      </c>
      <c r="BG413">
        <v>9</v>
      </c>
      <c r="BH413">
        <v>8</v>
      </c>
      <c r="BI413">
        <v>6</v>
      </c>
      <c r="BJ413">
        <v>4</v>
      </c>
      <c r="BK413">
        <v>1</v>
      </c>
      <c r="BL413">
        <v>1</v>
      </c>
      <c r="BM413">
        <v>7</v>
      </c>
      <c r="BN413">
        <v>5</v>
      </c>
      <c r="BO413">
        <v>3</v>
      </c>
      <c r="BP413">
        <v>0</v>
      </c>
      <c r="BQ413">
        <v>4</v>
      </c>
      <c r="BR413">
        <v>5</v>
      </c>
      <c r="BS413">
        <v>3</v>
      </c>
      <c r="BT413">
        <v>10</v>
      </c>
      <c r="BU413">
        <v>1</v>
      </c>
      <c r="BV413">
        <v>0</v>
      </c>
      <c r="BW413">
        <v>8</v>
      </c>
      <c r="BX413">
        <v>7</v>
      </c>
      <c r="BY413">
        <v>9</v>
      </c>
      <c r="BZ413">
        <v>1</v>
      </c>
      <c r="CA413">
        <v>9</v>
      </c>
      <c r="CB413">
        <v>4</v>
      </c>
      <c r="CC413">
        <v>3</v>
      </c>
      <c r="CD413">
        <v>4</v>
      </c>
      <c r="CE413">
        <v>10</v>
      </c>
      <c r="CF413">
        <v>10</v>
      </c>
      <c r="CG413">
        <v>1</v>
      </c>
      <c r="CH413">
        <v>10</v>
      </c>
      <c r="CI413">
        <v>9</v>
      </c>
      <c r="CJ413">
        <v>4</v>
      </c>
      <c r="CK413">
        <v>7</v>
      </c>
      <c r="CL413">
        <v>9</v>
      </c>
      <c r="CM413">
        <v>1</v>
      </c>
      <c r="CN413">
        <v>3</v>
      </c>
      <c r="CO413">
        <v>10</v>
      </c>
      <c r="CP413">
        <v>4</v>
      </c>
      <c r="CQ413">
        <v>2</v>
      </c>
      <c r="CR413">
        <v>1</v>
      </c>
      <c r="CS413">
        <v>5</v>
      </c>
      <c r="CT413">
        <v>4</v>
      </c>
      <c r="CU413">
        <v>4</v>
      </c>
      <c r="CV413">
        <v>8</v>
      </c>
      <c r="CW413">
        <v>6</v>
      </c>
      <c r="CX413">
        <v>5</v>
      </c>
      <c r="CY413">
        <v>3</v>
      </c>
      <c r="CZ413">
        <v>10</v>
      </c>
      <c r="DA413">
        <v>9</v>
      </c>
      <c r="DB413">
        <v>5</v>
      </c>
      <c r="DC413">
        <v>1</v>
      </c>
      <c r="DD413">
        <v>5</v>
      </c>
      <c r="DE413">
        <v>3</v>
      </c>
      <c r="DF413">
        <v>4</v>
      </c>
      <c r="DG413">
        <v>8</v>
      </c>
      <c r="DH413">
        <v>0</v>
      </c>
      <c r="DI413">
        <v>3</v>
      </c>
      <c r="DJ413">
        <v>7</v>
      </c>
      <c r="DK413">
        <v>3</v>
      </c>
    </row>
    <row r="414" spans="1:115">
      <c r="A414" s="173">
        <f>Calculations[[#This Row],[Sum t eCO2]]*IF(Calculations[[#This Row],[GHG Scope]]="BIOGENIC",0,1)</f>
        <v>4.607367225</v>
      </c>
      <c r="O414">
        <f t="shared" si="6"/>
        <v>413</v>
      </c>
      <c r="P414">
        <v>0</v>
      </c>
      <c r="Q414">
        <v>6</v>
      </c>
      <c r="R414">
        <v>6</v>
      </c>
      <c r="S414">
        <v>0</v>
      </c>
      <c r="T414">
        <v>1</v>
      </c>
      <c r="U414">
        <v>5</v>
      </c>
      <c r="V414">
        <v>7</v>
      </c>
      <c r="W414">
        <v>3</v>
      </c>
      <c r="X414">
        <v>1</v>
      </c>
      <c r="Y414">
        <v>3</v>
      </c>
      <c r="Z414">
        <v>1</v>
      </c>
      <c r="AA414">
        <v>2</v>
      </c>
      <c r="AB414">
        <v>1</v>
      </c>
      <c r="AC414">
        <v>6</v>
      </c>
      <c r="AD414">
        <v>7</v>
      </c>
      <c r="AE414">
        <v>7</v>
      </c>
      <c r="AF414">
        <v>3</v>
      </c>
      <c r="AG414">
        <v>10</v>
      </c>
      <c r="AH414">
        <v>7</v>
      </c>
      <c r="AI414">
        <v>10</v>
      </c>
      <c r="AJ414">
        <v>1</v>
      </c>
      <c r="AK414">
        <v>9</v>
      </c>
      <c r="AL414">
        <v>2</v>
      </c>
      <c r="AM414">
        <v>0</v>
      </c>
      <c r="AN414">
        <v>0</v>
      </c>
      <c r="AO414">
        <v>4</v>
      </c>
      <c r="AP414">
        <v>6</v>
      </c>
      <c r="AQ414">
        <v>9</v>
      </c>
      <c r="AR414">
        <v>0</v>
      </c>
      <c r="AS414">
        <v>8</v>
      </c>
      <c r="AT414">
        <v>1</v>
      </c>
      <c r="AU414">
        <v>7</v>
      </c>
      <c r="AV414">
        <v>6</v>
      </c>
      <c r="AW414">
        <v>4</v>
      </c>
      <c r="AX414">
        <v>8</v>
      </c>
      <c r="AY414">
        <v>9</v>
      </c>
      <c r="AZ414">
        <v>5</v>
      </c>
      <c r="BA414">
        <v>6</v>
      </c>
      <c r="BB414">
        <v>9</v>
      </c>
      <c r="BC414">
        <v>3</v>
      </c>
      <c r="BD414">
        <v>3</v>
      </c>
      <c r="BE414">
        <v>8</v>
      </c>
      <c r="BF414">
        <v>6</v>
      </c>
      <c r="BG414">
        <v>6</v>
      </c>
      <c r="BH414">
        <v>5</v>
      </c>
      <c r="BI414">
        <v>2</v>
      </c>
      <c r="BJ414">
        <v>4</v>
      </c>
      <c r="BK414">
        <v>0</v>
      </c>
      <c r="BL414">
        <v>0</v>
      </c>
      <c r="BM414">
        <v>4</v>
      </c>
      <c r="BN414">
        <v>10</v>
      </c>
      <c r="BO414">
        <v>2</v>
      </c>
      <c r="BP414">
        <v>10</v>
      </c>
      <c r="BQ414">
        <v>3</v>
      </c>
      <c r="BR414">
        <v>4</v>
      </c>
      <c r="BS414">
        <v>6</v>
      </c>
      <c r="BT414">
        <v>3</v>
      </c>
      <c r="BU414">
        <v>6</v>
      </c>
      <c r="BV414">
        <v>8</v>
      </c>
      <c r="BW414">
        <v>5</v>
      </c>
      <c r="BX414">
        <v>7</v>
      </c>
      <c r="BY414">
        <v>0</v>
      </c>
      <c r="BZ414">
        <v>4</v>
      </c>
      <c r="CA414">
        <v>0</v>
      </c>
      <c r="CB414">
        <v>4</v>
      </c>
      <c r="CC414">
        <v>10</v>
      </c>
      <c r="CD414">
        <v>5</v>
      </c>
      <c r="CE414">
        <v>1</v>
      </c>
      <c r="CF414">
        <v>7</v>
      </c>
      <c r="CG414">
        <v>2</v>
      </c>
      <c r="CH414">
        <v>5</v>
      </c>
      <c r="CI414">
        <v>5</v>
      </c>
      <c r="CJ414">
        <v>7</v>
      </c>
      <c r="CK414">
        <v>9</v>
      </c>
      <c r="CL414">
        <v>4</v>
      </c>
      <c r="CM414">
        <v>4</v>
      </c>
      <c r="CN414">
        <v>4</v>
      </c>
      <c r="CO414">
        <v>7</v>
      </c>
      <c r="CP414">
        <v>8</v>
      </c>
      <c r="CQ414">
        <v>7</v>
      </c>
      <c r="CR414">
        <v>0</v>
      </c>
      <c r="CS414">
        <v>0</v>
      </c>
      <c r="CT414">
        <v>2</v>
      </c>
      <c r="CU414">
        <v>3</v>
      </c>
      <c r="CV414">
        <v>3</v>
      </c>
      <c r="CW414">
        <v>8</v>
      </c>
      <c r="CX414">
        <v>8</v>
      </c>
      <c r="CY414">
        <v>1</v>
      </c>
      <c r="CZ414">
        <v>9</v>
      </c>
      <c r="DA414">
        <v>10</v>
      </c>
      <c r="DB414">
        <v>1</v>
      </c>
      <c r="DC414">
        <v>4</v>
      </c>
      <c r="DD414">
        <v>0</v>
      </c>
      <c r="DE414">
        <v>9</v>
      </c>
      <c r="DF414">
        <v>9</v>
      </c>
      <c r="DG414">
        <v>5</v>
      </c>
      <c r="DH414">
        <v>6</v>
      </c>
      <c r="DI414">
        <v>2</v>
      </c>
      <c r="DJ414">
        <v>3</v>
      </c>
      <c r="DK414">
        <v>0</v>
      </c>
    </row>
    <row r="415" spans="1:115">
      <c r="A415" s="173">
        <f>Calculations[[#This Row],[Sum t eCO2]]*IF(Calculations[[#This Row],[GHG Scope]]="BIOGENIC",0,1)</f>
        <v>5.704749648</v>
      </c>
      <c r="O415">
        <f t="shared" si="6"/>
        <v>414</v>
      </c>
      <c r="P415">
        <v>1</v>
      </c>
      <c r="Q415">
        <v>6</v>
      </c>
      <c r="R415">
        <v>2</v>
      </c>
      <c r="S415">
        <v>10</v>
      </c>
      <c r="T415">
        <v>7</v>
      </c>
      <c r="U415">
        <v>3</v>
      </c>
      <c r="V415">
        <v>5</v>
      </c>
      <c r="W415">
        <v>8</v>
      </c>
      <c r="X415">
        <v>10</v>
      </c>
      <c r="Y415">
        <v>2</v>
      </c>
      <c r="Z415">
        <v>2</v>
      </c>
      <c r="AA415">
        <v>0</v>
      </c>
      <c r="AB415">
        <v>9</v>
      </c>
      <c r="AC415">
        <v>6</v>
      </c>
      <c r="AD415">
        <v>1</v>
      </c>
      <c r="AE415">
        <v>2</v>
      </c>
      <c r="AF415">
        <v>10</v>
      </c>
      <c r="AG415">
        <v>6</v>
      </c>
      <c r="AH415">
        <v>10</v>
      </c>
      <c r="AI415">
        <v>2</v>
      </c>
      <c r="AJ415">
        <v>8</v>
      </c>
      <c r="AK415">
        <v>6</v>
      </c>
      <c r="AL415">
        <v>3</v>
      </c>
      <c r="AM415">
        <v>1</v>
      </c>
      <c r="AN415">
        <v>2</v>
      </c>
      <c r="AO415">
        <v>10</v>
      </c>
      <c r="AP415">
        <v>2</v>
      </c>
      <c r="AQ415">
        <v>8</v>
      </c>
      <c r="AR415">
        <v>7</v>
      </c>
      <c r="AS415">
        <v>2</v>
      </c>
      <c r="AT415">
        <v>0</v>
      </c>
      <c r="AU415">
        <v>9</v>
      </c>
      <c r="AV415">
        <v>9</v>
      </c>
      <c r="AW415">
        <v>2</v>
      </c>
      <c r="AX415">
        <v>3</v>
      </c>
      <c r="AY415">
        <v>4</v>
      </c>
      <c r="AZ415">
        <v>10</v>
      </c>
      <c r="BA415">
        <v>1</v>
      </c>
      <c r="BB415">
        <v>10</v>
      </c>
      <c r="BC415">
        <v>7</v>
      </c>
      <c r="BD415">
        <v>6</v>
      </c>
      <c r="BE415">
        <v>7</v>
      </c>
      <c r="BF415">
        <v>9</v>
      </c>
      <c r="BG415">
        <v>2</v>
      </c>
      <c r="BH415">
        <v>9</v>
      </c>
      <c r="BI415">
        <v>10</v>
      </c>
      <c r="BJ415">
        <v>4</v>
      </c>
      <c r="BK415">
        <v>5</v>
      </c>
      <c r="BL415">
        <v>10</v>
      </c>
      <c r="BM415">
        <v>9</v>
      </c>
      <c r="BN415">
        <v>1</v>
      </c>
      <c r="BO415">
        <v>6</v>
      </c>
      <c r="BP415">
        <v>5</v>
      </c>
      <c r="BQ415">
        <v>7</v>
      </c>
      <c r="BR415">
        <v>9</v>
      </c>
      <c r="BS415">
        <v>0</v>
      </c>
      <c r="BT415">
        <v>5</v>
      </c>
      <c r="BU415">
        <v>5</v>
      </c>
      <c r="BV415">
        <v>10</v>
      </c>
      <c r="BW415">
        <v>1</v>
      </c>
      <c r="BX415">
        <v>9</v>
      </c>
      <c r="BY415">
        <v>6</v>
      </c>
      <c r="BZ415">
        <v>5</v>
      </c>
      <c r="CA415">
        <v>10</v>
      </c>
      <c r="CB415">
        <v>7</v>
      </c>
      <c r="CC415">
        <v>9</v>
      </c>
      <c r="CD415">
        <v>4</v>
      </c>
      <c r="CE415">
        <v>8</v>
      </c>
      <c r="CF415">
        <v>2</v>
      </c>
      <c r="CG415">
        <v>0</v>
      </c>
      <c r="CH415">
        <v>4</v>
      </c>
      <c r="CI415">
        <v>7</v>
      </c>
      <c r="CJ415">
        <v>10</v>
      </c>
      <c r="CK415">
        <v>9</v>
      </c>
      <c r="CL415">
        <v>7</v>
      </c>
      <c r="CM415">
        <v>3</v>
      </c>
      <c r="CN415">
        <v>0</v>
      </c>
      <c r="CO415">
        <v>7</v>
      </c>
      <c r="CP415">
        <v>0</v>
      </c>
      <c r="CQ415">
        <v>8</v>
      </c>
      <c r="CR415">
        <v>1</v>
      </c>
      <c r="CS415">
        <v>1</v>
      </c>
      <c r="CT415">
        <v>9</v>
      </c>
      <c r="CU415">
        <v>3</v>
      </c>
      <c r="CV415">
        <v>8</v>
      </c>
      <c r="CW415">
        <v>1</v>
      </c>
      <c r="CX415">
        <v>6</v>
      </c>
      <c r="CY415">
        <v>9</v>
      </c>
      <c r="CZ415">
        <v>2</v>
      </c>
      <c r="DA415">
        <v>0</v>
      </c>
      <c r="DB415">
        <v>10</v>
      </c>
      <c r="DC415">
        <v>3</v>
      </c>
      <c r="DD415">
        <v>5</v>
      </c>
      <c r="DE415">
        <v>2</v>
      </c>
      <c r="DF415">
        <v>1</v>
      </c>
      <c r="DG415">
        <v>0</v>
      </c>
      <c r="DH415">
        <v>10</v>
      </c>
      <c r="DI415">
        <v>7</v>
      </c>
      <c r="DJ415">
        <v>3</v>
      </c>
      <c r="DK415">
        <v>10</v>
      </c>
    </row>
    <row r="416" spans="1:115">
      <c r="A416" s="173">
        <f>Calculations[[#This Row],[Sum t eCO2]]*IF(Calculations[[#This Row],[GHG Scope]]="BIOGENIC",0,1)</f>
        <v>7.9833682056000015</v>
      </c>
      <c r="O416">
        <f t="shared" si="6"/>
        <v>415</v>
      </c>
      <c r="P416">
        <v>9</v>
      </c>
      <c r="Q416">
        <v>4</v>
      </c>
      <c r="R416">
        <v>3</v>
      </c>
      <c r="S416">
        <v>0</v>
      </c>
      <c r="T416">
        <v>8</v>
      </c>
      <c r="U416">
        <v>10</v>
      </c>
      <c r="V416">
        <v>4</v>
      </c>
      <c r="W416">
        <v>3</v>
      </c>
      <c r="X416">
        <v>3</v>
      </c>
      <c r="Y416">
        <v>4</v>
      </c>
      <c r="Z416">
        <v>3</v>
      </c>
      <c r="AA416">
        <v>1</v>
      </c>
      <c r="AB416">
        <v>7</v>
      </c>
      <c r="AC416">
        <v>2</v>
      </c>
      <c r="AD416">
        <v>9</v>
      </c>
      <c r="AE416">
        <v>4</v>
      </c>
      <c r="AF416">
        <v>4</v>
      </c>
      <c r="AG416">
        <v>0</v>
      </c>
      <c r="AH416">
        <v>7</v>
      </c>
      <c r="AI416">
        <v>3</v>
      </c>
      <c r="AJ416">
        <v>1</v>
      </c>
      <c r="AK416">
        <v>4</v>
      </c>
      <c r="AL416">
        <v>8</v>
      </c>
      <c r="AM416">
        <v>1</v>
      </c>
      <c r="AN416">
        <v>7</v>
      </c>
      <c r="AO416">
        <v>7</v>
      </c>
      <c r="AP416">
        <v>0</v>
      </c>
      <c r="AQ416">
        <v>1</v>
      </c>
      <c r="AR416">
        <v>4</v>
      </c>
      <c r="AS416">
        <v>7</v>
      </c>
      <c r="AT416">
        <v>5</v>
      </c>
      <c r="AU416">
        <v>0</v>
      </c>
      <c r="AV416">
        <v>8</v>
      </c>
      <c r="AW416">
        <v>6</v>
      </c>
      <c r="AX416">
        <v>4</v>
      </c>
      <c r="AY416">
        <v>4</v>
      </c>
      <c r="AZ416">
        <v>7</v>
      </c>
      <c r="BA416">
        <v>6</v>
      </c>
      <c r="BB416">
        <v>3</v>
      </c>
      <c r="BC416">
        <v>8</v>
      </c>
      <c r="BD416">
        <v>7</v>
      </c>
      <c r="BE416">
        <v>9</v>
      </c>
      <c r="BF416">
        <v>2</v>
      </c>
      <c r="BG416">
        <v>1</v>
      </c>
      <c r="BH416">
        <v>8</v>
      </c>
      <c r="BI416">
        <v>7</v>
      </c>
      <c r="BJ416">
        <v>10</v>
      </c>
      <c r="BK416">
        <v>4</v>
      </c>
      <c r="BL416">
        <v>7</v>
      </c>
      <c r="BM416">
        <v>2</v>
      </c>
      <c r="BN416">
        <v>6</v>
      </c>
      <c r="BO416">
        <v>2</v>
      </c>
      <c r="BP416">
        <v>2</v>
      </c>
      <c r="BQ416">
        <v>7</v>
      </c>
      <c r="BR416">
        <v>5</v>
      </c>
      <c r="BS416">
        <v>7</v>
      </c>
      <c r="BT416">
        <v>1</v>
      </c>
      <c r="BU416">
        <v>6</v>
      </c>
      <c r="BV416">
        <v>3</v>
      </c>
      <c r="BW416">
        <v>4</v>
      </c>
      <c r="BX416">
        <v>3</v>
      </c>
      <c r="BY416">
        <v>9</v>
      </c>
      <c r="BZ416">
        <v>2</v>
      </c>
      <c r="CA416">
        <v>4</v>
      </c>
      <c r="CB416">
        <v>1</v>
      </c>
      <c r="CC416">
        <v>6</v>
      </c>
      <c r="CD416">
        <v>4</v>
      </c>
      <c r="CE416">
        <v>10</v>
      </c>
      <c r="CF416">
        <v>8</v>
      </c>
      <c r="CG416">
        <v>9</v>
      </c>
      <c r="CH416">
        <v>7</v>
      </c>
      <c r="CI416">
        <v>10</v>
      </c>
      <c r="CJ416">
        <v>7</v>
      </c>
      <c r="CK416">
        <v>9</v>
      </c>
      <c r="CL416">
        <v>0</v>
      </c>
      <c r="CM416">
        <v>10</v>
      </c>
      <c r="CN416">
        <v>9</v>
      </c>
      <c r="CO416">
        <v>3</v>
      </c>
      <c r="CP416">
        <v>1</v>
      </c>
      <c r="CQ416">
        <v>1</v>
      </c>
      <c r="CR416">
        <v>9</v>
      </c>
      <c r="CS416">
        <v>3</v>
      </c>
      <c r="CT416">
        <v>9</v>
      </c>
      <c r="CU416">
        <v>3</v>
      </c>
      <c r="CV416">
        <v>1</v>
      </c>
      <c r="CW416">
        <v>9</v>
      </c>
      <c r="CX416">
        <v>9</v>
      </c>
      <c r="CY416">
        <v>9</v>
      </c>
      <c r="CZ416">
        <v>7</v>
      </c>
      <c r="DA416">
        <v>8</v>
      </c>
      <c r="DB416">
        <v>9</v>
      </c>
      <c r="DC416">
        <v>9</v>
      </c>
      <c r="DD416">
        <v>1</v>
      </c>
      <c r="DE416">
        <v>9</v>
      </c>
      <c r="DF416">
        <v>10</v>
      </c>
      <c r="DG416">
        <v>6</v>
      </c>
      <c r="DH416">
        <v>10</v>
      </c>
      <c r="DI416">
        <v>8</v>
      </c>
      <c r="DJ416">
        <v>9</v>
      </c>
      <c r="DK416">
        <v>8</v>
      </c>
    </row>
    <row r="417" spans="1:115">
      <c r="A417" s="173">
        <f>Calculations[[#This Row],[Sum t eCO2]]*IF(Calculations[[#This Row],[GHG Scope]]="BIOGENIC",0,1)</f>
        <v>16.126486800839999</v>
      </c>
      <c r="O417">
        <f t="shared" si="6"/>
        <v>416</v>
      </c>
      <c r="P417">
        <v>7</v>
      </c>
      <c r="Q417">
        <v>10</v>
      </c>
      <c r="R417">
        <v>4</v>
      </c>
      <c r="S417">
        <v>1</v>
      </c>
      <c r="T417">
        <v>5</v>
      </c>
      <c r="U417">
        <v>8</v>
      </c>
      <c r="V417">
        <v>10</v>
      </c>
      <c r="W417">
        <v>2</v>
      </c>
      <c r="X417">
        <v>5</v>
      </c>
      <c r="Y417">
        <v>9</v>
      </c>
      <c r="Z417">
        <v>5</v>
      </c>
      <c r="AA417">
        <v>6</v>
      </c>
      <c r="AB417">
        <v>1</v>
      </c>
      <c r="AC417">
        <v>2</v>
      </c>
      <c r="AD417">
        <v>2</v>
      </c>
      <c r="AE417">
        <v>8</v>
      </c>
      <c r="AF417">
        <v>5</v>
      </c>
      <c r="AG417">
        <v>6</v>
      </c>
      <c r="AH417">
        <v>5</v>
      </c>
      <c r="AI417">
        <v>8</v>
      </c>
      <c r="AJ417">
        <v>3</v>
      </c>
      <c r="AK417">
        <v>1</v>
      </c>
      <c r="AL417">
        <v>2</v>
      </c>
      <c r="AM417">
        <v>2</v>
      </c>
      <c r="AN417">
        <v>8</v>
      </c>
      <c r="AO417">
        <v>1</v>
      </c>
      <c r="AP417">
        <v>2</v>
      </c>
      <c r="AQ417">
        <v>10</v>
      </c>
      <c r="AR417">
        <v>2</v>
      </c>
      <c r="AS417">
        <v>9</v>
      </c>
      <c r="AT417">
        <v>6</v>
      </c>
      <c r="AU417">
        <v>0</v>
      </c>
      <c r="AV417">
        <v>9</v>
      </c>
      <c r="AW417">
        <v>6</v>
      </c>
      <c r="AX417">
        <v>7</v>
      </c>
      <c r="AY417">
        <v>4</v>
      </c>
      <c r="AZ417">
        <v>2</v>
      </c>
      <c r="BA417">
        <v>7</v>
      </c>
      <c r="BB417">
        <v>6</v>
      </c>
      <c r="BC417">
        <v>7</v>
      </c>
      <c r="BD417">
        <v>1</v>
      </c>
      <c r="BE417">
        <v>0</v>
      </c>
      <c r="BF417">
        <v>6</v>
      </c>
      <c r="BG417">
        <v>3</v>
      </c>
      <c r="BH417">
        <v>9</v>
      </c>
      <c r="BI417">
        <v>0</v>
      </c>
      <c r="BJ417">
        <v>6</v>
      </c>
      <c r="BK417">
        <v>7</v>
      </c>
      <c r="BL417">
        <v>7</v>
      </c>
      <c r="BM417">
        <v>3</v>
      </c>
      <c r="BN417">
        <v>5</v>
      </c>
      <c r="BO417">
        <v>5</v>
      </c>
      <c r="BP417">
        <v>3</v>
      </c>
      <c r="BQ417">
        <v>2</v>
      </c>
      <c r="BR417">
        <v>7</v>
      </c>
      <c r="BS417">
        <v>3</v>
      </c>
      <c r="BT417">
        <v>3</v>
      </c>
      <c r="BU417">
        <v>6</v>
      </c>
      <c r="BV417">
        <v>0</v>
      </c>
      <c r="BW417">
        <v>7</v>
      </c>
      <c r="BX417">
        <v>2</v>
      </c>
      <c r="BY417">
        <v>7</v>
      </c>
      <c r="BZ417">
        <v>3</v>
      </c>
      <c r="CA417">
        <v>6</v>
      </c>
      <c r="CB417">
        <v>5</v>
      </c>
      <c r="CC417">
        <v>5</v>
      </c>
      <c r="CD417">
        <v>5</v>
      </c>
      <c r="CE417">
        <v>8</v>
      </c>
      <c r="CF417">
        <v>9</v>
      </c>
      <c r="CG417">
        <v>5</v>
      </c>
      <c r="CH417">
        <v>1</v>
      </c>
      <c r="CI417">
        <v>7</v>
      </c>
      <c r="CJ417">
        <v>10</v>
      </c>
      <c r="CK417">
        <v>10</v>
      </c>
      <c r="CL417">
        <v>4</v>
      </c>
      <c r="CM417">
        <v>5</v>
      </c>
      <c r="CN417">
        <v>3</v>
      </c>
      <c r="CO417">
        <v>4</v>
      </c>
      <c r="CP417">
        <v>6</v>
      </c>
      <c r="CQ417">
        <v>10</v>
      </c>
      <c r="CR417">
        <v>7</v>
      </c>
      <c r="CS417">
        <v>5</v>
      </c>
      <c r="CT417">
        <v>2</v>
      </c>
      <c r="CU417">
        <v>0</v>
      </c>
      <c r="CV417">
        <v>0</v>
      </c>
      <c r="CW417">
        <v>5</v>
      </c>
      <c r="CX417">
        <v>3</v>
      </c>
      <c r="CY417">
        <v>1</v>
      </c>
      <c r="CZ417">
        <v>5</v>
      </c>
      <c r="DA417">
        <v>10</v>
      </c>
      <c r="DB417">
        <v>4</v>
      </c>
      <c r="DC417">
        <v>9</v>
      </c>
      <c r="DD417">
        <v>4</v>
      </c>
      <c r="DE417">
        <v>4</v>
      </c>
      <c r="DF417">
        <v>0</v>
      </c>
      <c r="DG417">
        <v>1</v>
      </c>
      <c r="DH417">
        <v>6</v>
      </c>
      <c r="DI417">
        <v>9</v>
      </c>
      <c r="DJ417">
        <v>2</v>
      </c>
      <c r="DK417">
        <v>0</v>
      </c>
    </row>
    <row r="418" spans="1:115">
      <c r="A418" s="173">
        <f>Calculations[[#This Row],[Sum t eCO2]]*IF(Calculations[[#This Row],[GHG Scope]]="BIOGENIC",0,1)</f>
        <v>10.796995615770001</v>
      </c>
      <c r="O418">
        <f t="shared" si="6"/>
        <v>417</v>
      </c>
      <c r="P418">
        <v>3</v>
      </c>
      <c r="Q418">
        <v>0</v>
      </c>
      <c r="R418">
        <v>0</v>
      </c>
      <c r="S418">
        <v>1</v>
      </c>
      <c r="T418">
        <v>0</v>
      </c>
      <c r="U418">
        <v>8</v>
      </c>
      <c r="V418">
        <v>8</v>
      </c>
      <c r="W418">
        <v>9</v>
      </c>
      <c r="X418">
        <v>6</v>
      </c>
      <c r="Y418">
        <v>9</v>
      </c>
      <c r="Z418">
        <v>5</v>
      </c>
      <c r="AA418">
        <v>7</v>
      </c>
      <c r="AB418">
        <v>3</v>
      </c>
      <c r="AC418">
        <v>4</v>
      </c>
      <c r="AD418">
        <v>1</v>
      </c>
      <c r="AE418">
        <v>7</v>
      </c>
      <c r="AF418">
        <v>2</v>
      </c>
      <c r="AG418">
        <v>5</v>
      </c>
      <c r="AH418">
        <v>2</v>
      </c>
      <c r="AI418">
        <v>9</v>
      </c>
      <c r="AJ418">
        <v>9</v>
      </c>
      <c r="AK418">
        <v>2</v>
      </c>
      <c r="AL418">
        <v>9</v>
      </c>
      <c r="AM418">
        <v>1</v>
      </c>
      <c r="AN418">
        <v>4</v>
      </c>
      <c r="AO418">
        <v>1</v>
      </c>
      <c r="AP418">
        <v>8</v>
      </c>
      <c r="AQ418">
        <v>5</v>
      </c>
      <c r="AR418">
        <v>4</v>
      </c>
      <c r="AS418">
        <v>3</v>
      </c>
      <c r="AT418">
        <v>0</v>
      </c>
      <c r="AU418">
        <v>1</v>
      </c>
      <c r="AV418">
        <v>9</v>
      </c>
      <c r="AW418">
        <v>2</v>
      </c>
      <c r="AX418">
        <v>8</v>
      </c>
      <c r="AY418">
        <v>3</v>
      </c>
      <c r="AZ418">
        <v>10</v>
      </c>
      <c r="BA418">
        <v>5</v>
      </c>
      <c r="BB418">
        <v>9</v>
      </c>
      <c r="BC418">
        <v>10</v>
      </c>
      <c r="BD418">
        <v>5</v>
      </c>
      <c r="BE418">
        <v>5</v>
      </c>
      <c r="BF418">
        <v>1</v>
      </c>
      <c r="BG418">
        <v>6</v>
      </c>
      <c r="BH418">
        <v>2</v>
      </c>
      <c r="BI418">
        <v>3</v>
      </c>
      <c r="BJ418">
        <v>10</v>
      </c>
      <c r="BK418">
        <v>1</v>
      </c>
      <c r="BL418">
        <v>6</v>
      </c>
      <c r="BM418">
        <v>3</v>
      </c>
      <c r="BN418">
        <v>6</v>
      </c>
      <c r="BO418">
        <v>5</v>
      </c>
      <c r="BP418">
        <v>3</v>
      </c>
      <c r="BQ418">
        <v>7</v>
      </c>
      <c r="BR418">
        <v>0</v>
      </c>
      <c r="BS418">
        <v>3</v>
      </c>
      <c r="BT418">
        <v>3</v>
      </c>
      <c r="BU418">
        <v>10</v>
      </c>
      <c r="BV418">
        <v>5</v>
      </c>
      <c r="BW418">
        <v>4</v>
      </c>
      <c r="BX418">
        <v>7</v>
      </c>
      <c r="BY418">
        <v>3</v>
      </c>
      <c r="BZ418">
        <v>0</v>
      </c>
      <c r="CA418">
        <v>3</v>
      </c>
      <c r="CB418">
        <v>4</v>
      </c>
      <c r="CC418">
        <v>9</v>
      </c>
      <c r="CD418">
        <v>10</v>
      </c>
      <c r="CE418">
        <v>4</v>
      </c>
      <c r="CF418">
        <v>10</v>
      </c>
      <c r="CG418">
        <v>6</v>
      </c>
      <c r="CH418">
        <v>3</v>
      </c>
      <c r="CI418">
        <v>7</v>
      </c>
      <c r="CJ418">
        <v>2</v>
      </c>
      <c r="CK418">
        <v>7</v>
      </c>
      <c r="CL418">
        <v>5</v>
      </c>
      <c r="CM418">
        <v>3</v>
      </c>
      <c r="CN418">
        <v>6</v>
      </c>
      <c r="CO418">
        <v>8</v>
      </c>
      <c r="CP418">
        <v>10</v>
      </c>
      <c r="CQ418">
        <v>10</v>
      </c>
      <c r="CR418">
        <v>0</v>
      </c>
      <c r="CS418">
        <v>9</v>
      </c>
      <c r="CT418">
        <v>3</v>
      </c>
      <c r="CU418">
        <v>3</v>
      </c>
      <c r="CV418">
        <v>0</v>
      </c>
      <c r="CW418">
        <v>6</v>
      </c>
      <c r="CX418">
        <v>0</v>
      </c>
      <c r="CY418">
        <v>1</v>
      </c>
      <c r="CZ418">
        <v>1</v>
      </c>
      <c r="DA418">
        <v>5</v>
      </c>
      <c r="DB418">
        <v>3</v>
      </c>
      <c r="DC418">
        <v>8</v>
      </c>
      <c r="DD418">
        <v>9</v>
      </c>
      <c r="DE418">
        <v>5</v>
      </c>
      <c r="DF418">
        <v>8</v>
      </c>
      <c r="DG418">
        <v>6</v>
      </c>
      <c r="DH418">
        <v>9</v>
      </c>
      <c r="DI418">
        <v>6</v>
      </c>
      <c r="DJ418">
        <v>4</v>
      </c>
      <c r="DK418">
        <v>9</v>
      </c>
    </row>
    <row r="419" spans="1:115">
      <c r="A419" s="173">
        <f>Calculations[[#This Row],[Sum t eCO2]]*IF(Calculations[[#This Row],[GHG Scope]]="BIOGENIC",0,1)</f>
        <v>14.001579801000002</v>
      </c>
      <c r="O419">
        <f t="shared" si="6"/>
        <v>418</v>
      </c>
      <c r="P419">
        <v>3</v>
      </c>
      <c r="Q419">
        <v>10</v>
      </c>
      <c r="R419">
        <v>9</v>
      </c>
      <c r="S419">
        <v>2</v>
      </c>
      <c r="T419">
        <v>4</v>
      </c>
      <c r="U419">
        <v>5</v>
      </c>
      <c r="V419">
        <v>7</v>
      </c>
      <c r="W419">
        <v>7</v>
      </c>
      <c r="X419">
        <v>8</v>
      </c>
      <c r="Y419">
        <v>4</v>
      </c>
      <c r="Z419">
        <v>0</v>
      </c>
      <c r="AA419">
        <v>10</v>
      </c>
      <c r="AB419">
        <v>0</v>
      </c>
      <c r="AC419">
        <v>6</v>
      </c>
      <c r="AD419">
        <v>2</v>
      </c>
      <c r="AE419">
        <v>5</v>
      </c>
      <c r="AF419">
        <v>6</v>
      </c>
      <c r="AG419">
        <v>9</v>
      </c>
      <c r="AH419">
        <v>1</v>
      </c>
      <c r="AI419">
        <v>7</v>
      </c>
      <c r="AJ419">
        <v>2</v>
      </c>
      <c r="AK419">
        <v>3</v>
      </c>
      <c r="AL419">
        <v>4</v>
      </c>
      <c r="AM419">
        <v>1</v>
      </c>
      <c r="AN419">
        <v>9</v>
      </c>
      <c r="AO419">
        <v>5</v>
      </c>
      <c r="AP419">
        <v>6</v>
      </c>
      <c r="AQ419">
        <v>2</v>
      </c>
      <c r="AR419">
        <v>4</v>
      </c>
      <c r="AS419">
        <v>6</v>
      </c>
      <c r="AT419">
        <v>7</v>
      </c>
      <c r="AU419">
        <v>6</v>
      </c>
      <c r="AV419">
        <v>2</v>
      </c>
      <c r="AW419">
        <v>3</v>
      </c>
      <c r="AX419">
        <v>0</v>
      </c>
      <c r="AY419">
        <v>1</v>
      </c>
      <c r="AZ419">
        <v>1</v>
      </c>
      <c r="BA419">
        <v>9</v>
      </c>
      <c r="BB419">
        <v>5</v>
      </c>
      <c r="BC419">
        <v>4</v>
      </c>
      <c r="BD419">
        <v>1</v>
      </c>
      <c r="BE419">
        <v>6</v>
      </c>
      <c r="BF419">
        <v>4</v>
      </c>
      <c r="BG419">
        <v>8</v>
      </c>
      <c r="BH419">
        <v>4</v>
      </c>
      <c r="BI419">
        <v>6</v>
      </c>
      <c r="BJ419">
        <v>4</v>
      </c>
      <c r="BK419">
        <v>7</v>
      </c>
      <c r="BL419">
        <v>8</v>
      </c>
      <c r="BM419">
        <v>3</v>
      </c>
      <c r="BN419">
        <v>1</v>
      </c>
      <c r="BO419">
        <v>8</v>
      </c>
      <c r="BP419">
        <v>3</v>
      </c>
      <c r="BQ419">
        <v>5</v>
      </c>
      <c r="BR419">
        <v>1</v>
      </c>
      <c r="BS419">
        <v>10</v>
      </c>
      <c r="BT419">
        <v>3</v>
      </c>
      <c r="BU419">
        <v>6</v>
      </c>
      <c r="BV419">
        <v>0</v>
      </c>
      <c r="BW419">
        <v>3</v>
      </c>
      <c r="BX419">
        <v>9</v>
      </c>
      <c r="BY419">
        <v>5</v>
      </c>
      <c r="BZ419">
        <v>7</v>
      </c>
      <c r="CA419">
        <v>0</v>
      </c>
      <c r="CB419">
        <v>10</v>
      </c>
      <c r="CC419">
        <v>6</v>
      </c>
      <c r="CD419">
        <v>0</v>
      </c>
      <c r="CE419">
        <v>1</v>
      </c>
      <c r="CF419">
        <v>8</v>
      </c>
      <c r="CG419">
        <v>8</v>
      </c>
      <c r="CH419">
        <v>5</v>
      </c>
      <c r="CI419">
        <v>10</v>
      </c>
      <c r="CJ419">
        <v>6</v>
      </c>
      <c r="CK419">
        <v>10</v>
      </c>
      <c r="CL419">
        <v>2</v>
      </c>
      <c r="CM419">
        <v>9</v>
      </c>
      <c r="CN419">
        <v>3</v>
      </c>
      <c r="CO419">
        <v>9</v>
      </c>
      <c r="CP419">
        <v>0</v>
      </c>
      <c r="CQ419">
        <v>9</v>
      </c>
      <c r="CR419">
        <v>1</v>
      </c>
      <c r="CS419">
        <v>7</v>
      </c>
      <c r="CT419">
        <v>6</v>
      </c>
      <c r="CU419">
        <v>5</v>
      </c>
      <c r="CV419">
        <v>9</v>
      </c>
      <c r="CW419">
        <v>4</v>
      </c>
      <c r="CX419">
        <v>6</v>
      </c>
      <c r="CY419">
        <v>2</v>
      </c>
      <c r="CZ419">
        <v>2</v>
      </c>
      <c r="DA419">
        <v>9</v>
      </c>
      <c r="DB419">
        <v>10</v>
      </c>
      <c r="DC419">
        <v>2</v>
      </c>
      <c r="DD419">
        <v>7</v>
      </c>
      <c r="DE419">
        <v>2</v>
      </c>
      <c r="DF419">
        <v>0</v>
      </c>
      <c r="DG419">
        <v>4</v>
      </c>
      <c r="DH419">
        <v>0</v>
      </c>
      <c r="DI419">
        <v>8</v>
      </c>
      <c r="DJ419">
        <v>8</v>
      </c>
      <c r="DK419">
        <v>4</v>
      </c>
    </row>
    <row r="420" spans="1:115">
      <c r="A420" s="173">
        <f>Calculations[[#This Row],[Sum t eCO2]]*IF(Calculations[[#This Row],[GHG Scope]]="BIOGENIC",0,1)</f>
        <v>21.624022517759993</v>
      </c>
      <c r="O420">
        <f t="shared" si="6"/>
        <v>419</v>
      </c>
      <c r="P420">
        <v>2</v>
      </c>
      <c r="Q420">
        <v>1</v>
      </c>
      <c r="R420">
        <v>8</v>
      </c>
      <c r="S420">
        <v>6</v>
      </c>
      <c r="T420">
        <v>7</v>
      </c>
      <c r="U420">
        <v>4</v>
      </c>
      <c r="V420">
        <v>4</v>
      </c>
      <c r="W420">
        <v>7</v>
      </c>
      <c r="X420">
        <v>8</v>
      </c>
      <c r="Y420">
        <v>0</v>
      </c>
      <c r="Z420">
        <v>10</v>
      </c>
      <c r="AA420">
        <v>1</v>
      </c>
      <c r="AB420">
        <v>9</v>
      </c>
      <c r="AC420">
        <v>9</v>
      </c>
      <c r="AD420">
        <v>6</v>
      </c>
      <c r="AE420">
        <v>10</v>
      </c>
      <c r="AF420">
        <v>10</v>
      </c>
      <c r="AG420">
        <v>1</v>
      </c>
      <c r="AH420">
        <v>7</v>
      </c>
      <c r="AI420">
        <v>0</v>
      </c>
      <c r="AJ420">
        <v>0</v>
      </c>
      <c r="AK420">
        <v>3</v>
      </c>
      <c r="AL420">
        <v>7</v>
      </c>
      <c r="AM420">
        <v>3</v>
      </c>
      <c r="AN420">
        <v>7</v>
      </c>
      <c r="AO420">
        <v>2</v>
      </c>
      <c r="AP420">
        <v>8</v>
      </c>
      <c r="AQ420">
        <v>6</v>
      </c>
      <c r="AR420">
        <v>0</v>
      </c>
      <c r="AS420">
        <v>1</v>
      </c>
      <c r="AT420">
        <v>8</v>
      </c>
      <c r="AU420">
        <v>5</v>
      </c>
      <c r="AV420">
        <v>10</v>
      </c>
      <c r="AW420">
        <v>6</v>
      </c>
      <c r="AX420">
        <v>2</v>
      </c>
      <c r="AY420">
        <v>8</v>
      </c>
      <c r="AZ420">
        <v>0</v>
      </c>
      <c r="BA420">
        <v>6</v>
      </c>
      <c r="BB420">
        <v>5</v>
      </c>
      <c r="BC420">
        <v>5</v>
      </c>
      <c r="BD420">
        <v>4</v>
      </c>
      <c r="BE420">
        <v>6</v>
      </c>
      <c r="BF420">
        <v>8</v>
      </c>
      <c r="BG420">
        <v>3</v>
      </c>
      <c r="BH420">
        <v>9</v>
      </c>
      <c r="BI420">
        <v>9</v>
      </c>
      <c r="BJ420">
        <v>3</v>
      </c>
      <c r="BK420">
        <v>4</v>
      </c>
      <c r="BL420">
        <v>3</v>
      </c>
      <c r="BM420">
        <v>4</v>
      </c>
      <c r="BN420">
        <v>2</v>
      </c>
      <c r="BO420">
        <v>0</v>
      </c>
      <c r="BP420">
        <v>6</v>
      </c>
      <c r="BQ420">
        <v>9</v>
      </c>
      <c r="BR420">
        <v>10</v>
      </c>
      <c r="BS420">
        <v>1</v>
      </c>
      <c r="BT420">
        <v>5</v>
      </c>
      <c r="BU420">
        <v>2</v>
      </c>
      <c r="BV420">
        <v>3</v>
      </c>
      <c r="BW420">
        <v>10</v>
      </c>
      <c r="BX420">
        <v>5</v>
      </c>
      <c r="BY420">
        <v>10</v>
      </c>
      <c r="BZ420">
        <v>9</v>
      </c>
      <c r="CA420">
        <v>2</v>
      </c>
      <c r="CB420">
        <v>7</v>
      </c>
      <c r="CC420">
        <v>10</v>
      </c>
      <c r="CD420">
        <v>9</v>
      </c>
      <c r="CE420">
        <v>4</v>
      </c>
      <c r="CF420">
        <v>5</v>
      </c>
      <c r="CG420">
        <v>2</v>
      </c>
      <c r="CH420">
        <v>8</v>
      </c>
      <c r="CI420">
        <v>9</v>
      </c>
      <c r="CJ420">
        <v>0</v>
      </c>
      <c r="CK420">
        <v>7</v>
      </c>
      <c r="CL420">
        <v>5</v>
      </c>
      <c r="CM420">
        <v>1</v>
      </c>
      <c r="CN420">
        <v>2</v>
      </c>
      <c r="CO420">
        <v>2</v>
      </c>
      <c r="CP420">
        <v>9</v>
      </c>
      <c r="CQ420">
        <v>8</v>
      </c>
      <c r="CR420">
        <v>5</v>
      </c>
      <c r="CS420">
        <v>9</v>
      </c>
      <c r="CT420">
        <v>10</v>
      </c>
      <c r="CU420">
        <v>1</v>
      </c>
      <c r="CV420">
        <v>5</v>
      </c>
      <c r="CW420">
        <v>2</v>
      </c>
      <c r="CX420">
        <v>2</v>
      </c>
      <c r="CY420">
        <v>7</v>
      </c>
      <c r="CZ420">
        <v>5</v>
      </c>
      <c r="DA420">
        <v>10</v>
      </c>
      <c r="DB420">
        <v>2</v>
      </c>
      <c r="DC420">
        <v>3</v>
      </c>
      <c r="DD420">
        <v>6</v>
      </c>
      <c r="DE420">
        <v>4</v>
      </c>
      <c r="DF420">
        <v>8</v>
      </c>
      <c r="DG420">
        <v>6</v>
      </c>
      <c r="DH420">
        <v>3</v>
      </c>
      <c r="DI420">
        <v>7</v>
      </c>
      <c r="DJ420">
        <v>7</v>
      </c>
      <c r="DK420">
        <v>5</v>
      </c>
    </row>
    <row r="421" spans="1:115">
      <c r="A421" s="173">
        <f>Calculations[[#This Row],[Sum t eCO2]]*IF(Calculations[[#This Row],[GHG Scope]]="BIOGENIC",0,1)</f>
        <v>4.0501500000000003E-2</v>
      </c>
      <c r="O421">
        <f t="shared" si="6"/>
        <v>420</v>
      </c>
      <c r="P421">
        <v>2</v>
      </c>
      <c r="Q421">
        <v>8</v>
      </c>
      <c r="R421">
        <v>9</v>
      </c>
      <c r="S421">
        <v>5</v>
      </c>
      <c r="T421">
        <v>5</v>
      </c>
      <c r="U421">
        <v>7</v>
      </c>
      <c r="V421">
        <v>0</v>
      </c>
      <c r="W421">
        <v>1</v>
      </c>
      <c r="X421">
        <v>7</v>
      </c>
      <c r="Y421">
        <v>8</v>
      </c>
      <c r="Z421">
        <v>6</v>
      </c>
      <c r="AA421">
        <v>1</v>
      </c>
      <c r="AB421">
        <v>5</v>
      </c>
      <c r="AC421">
        <v>6</v>
      </c>
      <c r="AD421">
        <v>5</v>
      </c>
      <c r="AE421">
        <v>5</v>
      </c>
      <c r="AF421">
        <v>7</v>
      </c>
      <c r="AG421">
        <v>8</v>
      </c>
      <c r="AH421">
        <v>0</v>
      </c>
      <c r="AI421">
        <v>10</v>
      </c>
      <c r="AJ421">
        <v>2</v>
      </c>
      <c r="AK421">
        <v>4</v>
      </c>
      <c r="AL421">
        <v>2</v>
      </c>
      <c r="AM421">
        <v>7</v>
      </c>
      <c r="AN421">
        <v>4</v>
      </c>
      <c r="AO421">
        <v>4</v>
      </c>
      <c r="AP421">
        <v>9</v>
      </c>
      <c r="AQ421">
        <v>7</v>
      </c>
      <c r="AR421">
        <v>8</v>
      </c>
      <c r="AS421">
        <v>0</v>
      </c>
      <c r="AT421">
        <v>7</v>
      </c>
      <c r="AU421">
        <v>2</v>
      </c>
      <c r="AV421">
        <v>3</v>
      </c>
      <c r="AW421">
        <v>5</v>
      </c>
      <c r="AX421">
        <v>7</v>
      </c>
      <c r="AY421">
        <v>10</v>
      </c>
      <c r="AZ421">
        <v>6</v>
      </c>
      <c r="BA421">
        <v>0</v>
      </c>
      <c r="BB421">
        <v>1</v>
      </c>
      <c r="BC421">
        <v>4</v>
      </c>
      <c r="BD421">
        <v>1</v>
      </c>
      <c r="BE421">
        <v>9</v>
      </c>
      <c r="BF421">
        <v>3</v>
      </c>
      <c r="BG421">
        <v>2</v>
      </c>
      <c r="BH421">
        <v>9</v>
      </c>
      <c r="BI421">
        <v>8</v>
      </c>
      <c r="BJ421">
        <v>2</v>
      </c>
      <c r="BK421">
        <v>4</v>
      </c>
      <c r="BL421">
        <v>3</v>
      </c>
      <c r="BM421">
        <v>4</v>
      </c>
      <c r="BN421">
        <v>9</v>
      </c>
      <c r="BO421">
        <v>7</v>
      </c>
      <c r="BP421">
        <v>5</v>
      </c>
      <c r="BQ421">
        <v>10</v>
      </c>
      <c r="BR421">
        <v>0</v>
      </c>
      <c r="BS421">
        <v>9</v>
      </c>
      <c r="BT421">
        <v>10</v>
      </c>
      <c r="BU421">
        <v>10</v>
      </c>
      <c r="BV421">
        <v>2</v>
      </c>
      <c r="BW421">
        <v>0</v>
      </c>
      <c r="BX421">
        <v>4</v>
      </c>
      <c r="BY421">
        <v>0</v>
      </c>
      <c r="BZ421">
        <v>7</v>
      </c>
      <c r="CA421">
        <v>1</v>
      </c>
      <c r="CB421">
        <v>1</v>
      </c>
      <c r="CC421">
        <v>0</v>
      </c>
      <c r="CD421">
        <v>7</v>
      </c>
      <c r="CE421">
        <v>7</v>
      </c>
      <c r="CF421">
        <v>1</v>
      </c>
      <c r="CG421">
        <v>2</v>
      </c>
      <c r="CH421">
        <v>0</v>
      </c>
      <c r="CI421">
        <v>1</v>
      </c>
      <c r="CJ421">
        <v>4</v>
      </c>
      <c r="CK421">
        <v>5</v>
      </c>
      <c r="CL421">
        <v>5</v>
      </c>
      <c r="CM421">
        <v>10</v>
      </c>
      <c r="CN421">
        <v>1</v>
      </c>
      <c r="CO421">
        <v>3</v>
      </c>
      <c r="CP421">
        <v>5</v>
      </c>
      <c r="CQ421">
        <v>8</v>
      </c>
      <c r="CR421">
        <v>9</v>
      </c>
      <c r="CS421">
        <v>4</v>
      </c>
      <c r="CT421">
        <v>10</v>
      </c>
      <c r="CU421">
        <v>3</v>
      </c>
      <c r="CV421">
        <v>5</v>
      </c>
      <c r="CW421">
        <v>10</v>
      </c>
      <c r="CX421">
        <v>6</v>
      </c>
      <c r="CY421">
        <v>3</v>
      </c>
      <c r="CZ421">
        <v>1</v>
      </c>
      <c r="DA421">
        <v>4</v>
      </c>
      <c r="DB421">
        <v>2</v>
      </c>
      <c r="DC421">
        <v>10</v>
      </c>
      <c r="DD421">
        <v>3</v>
      </c>
      <c r="DE421">
        <v>1</v>
      </c>
      <c r="DF421">
        <v>10</v>
      </c>
      <c r="DG421">
        <v>2</v>
      </c>
      <c r="DH421">
        <v>7</v>
      </c>
      <c r="DI421">
        <v>6</v>
      </c>
      <c r="DJ421">
        <v>1</v>
      </c>
      <c r="DK421">
        <v>4</v>
      </c>
    </row>
    <row r="422" spans="1:115">
      <c r="A422" s="173">
        <f>Calculations[[#This Row],[Sum t eCO2]]*IF(Calculations[[#This Row],[GHG Scope]]="BIOGENIC",0,1)</f>
        <v>8.0879483300000086</v>
      </c>
      <c r="O422">
        <f t="shared" si="6"/>
        <v>421</v>
      </c>
      <c r="P422">
        <v>6</v>
      </c>
      <c r="Q422">
        <v>0</v>
      </c>
      <c r="R422">
        <v>6</v>
      </c>
      <c r="S422">
        <v>2</v>
      </c>
      <c r="T422">
        <v>8</v>
      </c>
      <c r="U422">
        <v>1</v>
      </c>
      <c r="V422">
        <v>10</v>
      </c>
      <c r="W422">
        <v>7</v>
      </c>
      <c r="X422">
        <v>2</v>
      </c>
      <c r="Y422">
        <v>7</v>
      </c>
      <c r="Z422">
        <v>5</v>
      </c>
      <c r="AA422">
        <v>0</v>
      </c>
      <c r="AB422">
        <v>0</v>
      </c>
      <c r="AC422">
        <v>4</v>
      </c>
      <c r="AD422">
        <v>10</v>
      </c>
      <c r="AE422">
        <v>5</v>
      </c>
      <c r="AF422">
        <v>1</v>
      </c>
      <c r="AG422">
        <v>10</v>
      </c>
      <c r="AH422">
        <v>10</v>
      </c>
      <c r="AI422">
        <v>9</v>
      </c>
      <c r="AJ422">
        <v>2</v>
      </c>
      <c r="AK422">
        <v>0</v>
      </c>
      <c r="AL422">
        <v>0</v>
      </c>
      <c r="AM422">
        <v>4</v>
      </c>
      <c r="AN422">
        <v>9</v>
      </c>
      <c r="AO422">
        <v>8</v>
      </c>
      <c r="AP422">
        <v>9</v>
      </c>
      <c r="AQ422">
        <v>10</v>
      </c>
      <c r="AR422">
        <v>7</v>
      </c>
      <c r="AS422">
        <v>9</v>
      </c>
      <c r="AT422">
        <v>8</v>
      </c>
      <c r="AU422">
        <v>5</v>
      </c>
      <c r="AV422">
        <v>1</v>
      </c>
      <c r="AW422">
        <v>10</v>
      </c>
      <c r="AX422">
        <v>3</v>
      </c>
      <c r="AY422">
        <v>5</v>
      </c>
      <c r="AZ422">
        <v>8</v>
      </c>
      <c r="BA422">
        <v>0</v>
      </c>
      <c r="BB422">
        <v>6</v>
      </c>
      <c r="BC422">
        <v>3</v>
      </c>
      <c r="BD422">
        <v>6</v>
      </c>
      <c r="BE422">
        <v>10</v>
      </c>
      <c r="BF422">
        <v>3</v>
      </c>
      <c r="BG422">
        <v>10</v>
      </c>
      <c r="BH422">
        <v>10</v>
      </c>
      <c r="BI422">
        <v>6</v>
      </c>
      <c r="BJ422">
        <v>2</v>
      </c>
      <c r="BK422">
        <v>3</v>
      </c>
      <c r="BL422">
        <v>10</v>
      </c>
      <c r="BM422">
        <v>7</v>
      </c>
      <c r="BN422">
        <v>5</v>
      </c>
      <c r="BO422">
        <v>6</v>
      </c>
      <c r="BP422">
        <v>4</v>
      </c>
      <c r="BQ422">
        <v>6</v>
      </c>
      <c r="BR422">
        <v>8</v>
      </c>
      <c r="BS422">
        <v>8</v>
      </c>
      <c r="BT422">
        <v>3</v>
      </c>
      <c r="BU422">
        <v>2</v>
      </c>
      <c r="BV422">
        <v>7</v>
      </c>
      <c r="BW422">
        <v>6</v>
      </c>
      <c r="BX422">
        <v>7</v>
      </c>
      <c r="BY422">
        <v>10</v>
      </c>
      <c r="BZ422">
        <v>10</v>
      </c>
      <c r="CA422">
        <v>8</v>
      </c>
      <c r="CB422">
        <v>0</v>
      </c>
      <c r="CC422">
        <v>10</v>
      </c>
      <c r="CD422">
        <v>1</v>
      </c>
      <c r="CE422">
        <v>9</v>
      </c>
      <c r="CF422">
        <v>2</v>
      </c>
      <c r="CG422">
        <v>7</v>
      </c>
      <c r="CH422">
        <v>7</v>
      </c>
      <c r="CI422">
        <v>7</v>
      </c>
      <c r="CJ422">
        <v>0</v>
      </c>
      <c r="CK422">
        <v>4</v>
      </c>
      <c r="CL422">
        <v>8</v>
      </c>
      <c r="CM422">
        <v>1</v>
      </c>
      <c r="CN422">
        <v>4</v>
      </c>
      <c r="CO422">
        <v>5</v>
      </c>
      <c r="CP422">
        <v>1</v>
      </c>
      <c r="CQ422">
        <v>7</v>
      </c>
      <c r="CR422">
        <v>5</v>
      </c>
      <c r="CS422">
        <v>8</v>
      </c>
      <c r="CT422">
        <v>5</v>
      </c>
      <c r="CU422">
        <v>6</v>
      </c>
      <c r="CV422">
        <v>7</v>
      </c>
      <c r="CW422">
        <v>1</v>
      </c>
      <c r="CX422">
        <v>8</v>
      </c>
      <c r="CY422">
        <v>3</v>
      </c>
      <c r="CZ422">
        <v>1</v>
      </c>
      <c r="DA422">
        <v>6</v>
      </c>
      <c r="DB422">
        <v>3</v>
      </c>
      <c r="DC422">
        <v>9</v>
      </c>
      <c r="DD422">
        <v>6</v>
      </c>
      <c r="DE422">
        <v>2</v>
      </c>
      <c r="DF422">
        <v>0</v>
      </c>
      <c r="DG422">
        <v>9</v>
      </c>
      <c r="DH422">
        <v>10</v>
      </c>
      <c r="DI422">
        <v>10</v>
      </c>
      <c r="DJ422">
        <v>8</v>
      </c>
      <c r="DK422">
        <v>9</v>
      </c>
    </row>
    <row r="423" spans="1:115">
      <c r="A423" s="173">
        <f>Calculations[[#This Row],[Sum t eCO2]]*IF(Calculations[[#This Row],[GHG Scope]]="BIOGENIC",0,1)</f>
        <v>1.7846278959599999</v>
      </c>
      <c r="O423">
        <f t="shared" si="6"/>
        <v>422</v>
      </c>
      <c r="P423">
        <v>2</v>
      </c>
      <c r="Q423">
        <v>10</v>
      </c>
      <c r="R423">
        <v>0</v>
      </c>
      <c r="S423">
        <v>3</v>
      </c>
      <c r="T423">
        <v>6</v>
      </c>
      <c r="U423">
        <v>5</v>
      </c>
      <c r="V423">
        <v>5</v>
      </c>
      <c r="W423">
        <v>10</v>
      </c>
      <c r="X423">
        <v>3</v>
      </c>
      <c r="Y423">
        <v>4</v>
      </c>
      <c r="Z423">
        <v>5</v>
      </c>
      <c r="AA423">
        <v>7</v>
      </c>
      <c r="AB423">
        <v>5</v>
      </c>
      <c r="AC423">
        <v>9</v>
      </c>
      <c r="AD423">
        <v>10</v>
      </c>
      <c r="AE423">
        <v>9</v>
      </c>
      <c r="AF423">
        <v>5</v>
      </c>
      <c r="AG423">
        <v>1</v>
      </c>
      <c r="AH423">
        <v>5</v>
      </c>
      <c r="AI423">
        <v>3</v>
      </c>
      <c r="AJ423">
        <v>8</v>
      </c>
      <c r="AK423">
        <v>6</v>
      </c>
      <c r="AL423">
        <v>1</v>
      </c>
      <c r="AM423">
        <v>2</v>
      </c>
      <c r="AN423">
        <v>5</v>
      </c>
      <c r="AO423">
        <v>10</v>
      </c>
      <c r="AP423">
        <v>8</v>
      </c>
      <c r="AQ423">
        <v>0</v>
      </c>
      <c r="AR423">
        <v>3</v>
      </c>
      <c r="AS423">
        <v>3</v>
      </c>
      <c r="AT423">
        <v>4</v>
      </c>
      <c r="AU423">
        <v>5</v>
      </c>
      <c r="AV423">
        <v>0</v>
      </c>
      <c r="AW423">
        <v>0</v>
      </c>
      <c r="AX423">
        <v>7</v>
      </c>
      <c r="AY423">
        <v>0</v>
      </c>
      <c r="AZ423">
        <v>7</v>
      </c>
      <c r="BA423">
        <v>2</v>
      </c>
      <c r="BB423">
        <v>10</v>
      </c>
      <c r="BC423">
        <v>7</v>
      </c>
      <c r="BD423">
        <v>3</v>
      </c>
      <c r="BE423">
        <v>4</v>
      </c>
      <c r="BF423">
        <v>8</v>
      </c>
      <c r="BG423">
        <v>2</v>
      </c>
      <c r="BH423">
        <v>7</v>
      </c>
      <c r="BI423">
        <v>4</v>
      </c>
      <c r="BJ423">
        <v>10</v>
      </c>
      <c r="BK423">
        <v>2</v>
      </c>
      <c r="BL423">
        <v>4</v>
      </c>
      <c r="BM423">
        <v>9</v>
      </c>
      <c r="BN423">
        <v>10</v>
      </c>
      <c r="BO423">
        <v>1</v>
      </c>
      <c r="BP423">
        <v>6</v>
      </c>
      <c r="BQ423">
        <v>0</v>
      </c>
      <c r="BR423">
        <v>1</v>
      </c>
      <c r="BS423">
        <v>2</v>
      </c>
      <c r="BT423">
        <v>5</v>
      </c>
      <c r="BU423">
        <v>7</v>
      </c>
      <c r="BV423">
        <v>4</v>
      </c>
      <c r="BW423">
        <v>0</v>
      </c>
      <c r="BX423">
        <v>2</v>
      </c>
      <c r="BY423">
        <v>5</v>
      </c>
      <c r="BZ423">
        <v>4</v>
      </c>
      <c r="CA423">
        <v>9</v>
      </c>
      <c r="CB423">
        <v>8</v>
      </c>
      <c r="CC423">
        <v>1</v>
      </c>
      <c r="CD423">
        <v>9</v>
      </c>
      <c r="CE423">
        <v>3</v>
      </c>
      <c r="CF423">
        <v>2</v>
      </c>
      <c r="CG423">
        <v>1</v>
      </c>
      <c r="CH423">
        <v>5</v>
      </c>
      <c r="CI423">
        <v>2</v>
      </c>
      <c r="CJ423">
        <v>3</v>
      </c>
      <c r="CK423">
        <v>2</v>
      </c>
      <c r="CL423">
        <v>2</v>
      </c>
      <c r="CM423">
        <v>5</v>
      </c>
      <c r="CN423">
        <v>0</v>
      </c>
      <c r="CO423">
        <v>7</v>
      </c>
      <c r="CP423">
        <v>10</v>
      </c>
      <c r="CQ423">
        <v>2</v>
      </c>
      <c r="CR423">
        <v>4</v>
      </c>
      <c r="CS423">
        <v>9</v>
      </c>
      <c r="CT423">
        <v>5</v>
      </c>
      <c r="CU423">
        <v>3</v>
      </c>
      <c r="CV423">
        <v>6</v>
      </c>
      <c r="CW423">
        <v>7</v>
      </c>
      <c r="CX423">
        <v>6</v>
      </c>
      <c r="CY423">
        <v>3</v>
      </c>
      <c r="CZ423">
        <v>7</v>
      </c>
      <c r="DA423">
        <v>7</v>
      </c>
      <c r="DB423">
        <v>8</v>
      </c>
      <c r="DC423">
        <v>2</v>
      </c>
      <c r="DD423">
        <v>4</v>
      </c>
      <c r="DE423">
        <v>2</v>
      </c>
      <c r="DF423">
        <v>2</v>
      </c>
      <c r="DG423">
        <v>3</v>
      </c>
      <c r="DH423">
        <v>4</v>
      </c>
      <c r="DI423">
        <v>7</v>
      </c>
      <c r="DJ423">
        <v>6</v>
      </c>
      <c r="DK423">
        <v>1</v>
      </c>
    </row>
    <row r="424" spans="1:115">
      <c r="A424" s="173">
        <f>Calculations[[#This Row],[Sum t eCO2]]*IF(Calculations[[#This Row],[GHG Scope]]="BIOGENIC",0,1)</f>
        <v>2.8548145512899996</v>
      </c>
      <c r="O424">
        <f t="shared" si="6"/>
        <v>423</v>
      </c>
      <c r="P424">
        <v>6</v>
      </c>
      <c r="Q424">
        <v>8</v>
      </c>
      <c r="R424">
        <v>4</v>
      </c>
      <c r="S424">
        <v>3</v>
      </c>
      <c r="T424">
        <v>2</v>
      </c>
      <c r="U424">
        <v>5</v>
      </c>
      <c r="V424">
        <v>7</v>
      </c>
      <c r="W424">
        <v>8</v>
      </c>
      <c r="X424">
        <v>8</v>
      </c>
      <c r="Y424">
        <v>0</v>
      </c>
      <c r="Z424">
        <v>0</v>
      </c>
      <c r="AA424">
        <v>3</v>
      </c>
      <c r="AB424">
        <v>6</v>
      </c>
      <c r="AC424">
        <v>9</v>
      </c>
      <c r="AD424">
        <v>4</v>
      </c>
      <c r="AE424">
        <v>8</v>
      </c>
      <c r="AF424">
        <v>3</v>
      </c>
      <c r="AG424">
        <v>3</v>
      </c>
      <c r="AH424">
        <v>8</v>
      </c>
      <c r="AI424">
        <v>8</v>
      </c>
      <c r="AJ424">
        <v>10</v>
      </c>
      <c r="AK424">
        <v>1</v>
      </c>
      <c r="AL424">
        <v>0</v>
      </c>
      <c r="AM424">
        <v>1</v>
      </c>
      <c r="AN424">
        <v>3</v>
      </c>
      <c r="AO424">
        <v>9</v>
      </c>
      <c r="AP424">
        <v>4</v>
      </c>
      <c r="AQ424">
        <v>4</v>
      </c>
      <c r="AR424">
        <v>5</v>
      </c>
      <c r="AS424">
        <v>5</v>
      </c>
      <c r="AT424">
        <v>0</v>
      </c>
      <c r="AU424">
        <v>8</v>
      </c>
      <c r="AV424">
        <v>7</v>
      </c>
      <c r="AW424">
        <v>9</v>
      </c>
      <c r="AX424">
        <v>4</v>
      </c>
      <c r="AY424">
        <v>3</v>
      </c>
      <c r="AZ424">
        <v>3</v>
      </c>
      <c r="BA424">
        <v>3</v>
      </c>
      <c r="BB424">
        <v>9</v>
      </c>
      <c r="BC424">
        <v>4</v>
      </c>
      <c r="BD424">
        <v>8</v>
      </c>
      <c r="BE424">
        <v>0</v>
      </c>
      <c r="BF424">
        <v>6</v>
      </c>
      <c r="BG424">
        <v>0</v>
      </c>
      <c r="BH424">
        <v>4</v>
      </c>
      <c r="BI424">
        <v>10</v>
      </c>
      <c r="BJ424">
        <v>1</v>
      </c>
      <c r="BK424">
        <v>2</v>
      </c>
      <c r="BL424">
        <v>5</v>
      </c>
      <c r="BM424">
        <v>3</v>
      </c>
      <c r="BN424">
        <v>0</v>
      </c>
      <c r="BO424">
        <v>6</v>
      </c>
      <c r="BP424">
        <v>7</v>
      </c>
      <c r="BQ424">
        <v>8</v>
      </c>
      <c r="BR424">
        <v>3</v>
      </c>
      <c r="BS424">
        <v>3</v>
      </c>
      <c r="BT424">
        <v>4</v>
      </c>
      <c r="BU424">
        <v>1</v>
      </c>
      <c r="BV424">
        <v>6</v>
      </c>
      <c r="BW424">
        <v>10</v>
      </c>
      <c r="BX424">
        <v>8</v>
      </c>
      <c r="BY424">
        <v>5</v>
      </c>
      <c r="BZ424">
        <v>9</v>
      </c>
      <c r="CA424">
        <v>6</v>
      </c>
      <c r="CB424">
        <v>1</v>
      </c>
      <c r="CC424">
        <v>9</v>
      </c>
      <c r="CD424">
        <v>2</v>
      </c>
      <c r="CE424">
        <v>8</v>
      </c>
      <c r="CF424">
        <v>5</v>
      </c>
      <c r="CG424">
        <v>2</v>
      </c>
      <c r="CH424">
        <v>9</v>
      </c>
      <c r="CI424">
        <v>1</v>
      </c>
      <c r="CJ424">
        <v>7</v>
      </c>
      <c r="CK424">
        <v>3</v>
      </c>
      <c r="CL424">
        <v>8</v>
      </c>
      <c r="CM424">
        <v>9</v>
      </c>
      <c r="CN424">
        <v>4</v>
      </c>
      <c r="CO424">
        <v>5</v>
      </c>
      <c r="CP424">
        <v>7</v>
      </c>
      <c r="CQ424">
        <v>1</v>
      </c>
      <c r="CR424">
        <v>7</v>
      </c>
      <c r="CS424">
        <v>0</v>
      </c>
      <c r="CT424">
        <v>3</v>
      </c>
      <c r="CU424">
        <v>1</v>
      </c>
      <c r="CV424">
        <v>7</v>
      </c>
      <c r="CW424">
        <v>0</v>
      </c>
      <c r="CX424">
        <v>9</v>
      </c>
      <c r="CY424">
        <v>2</v>
      </c>
      <c r="CZ424">
        <v>6</v>
      </c>
      <c r="DA424">
        <v>3</v>
      </c>
      <c r="DB424">
        <v>10</v>
      </c>
      <c r="DC424">
        <v>6</v>
      </c>
      <c r="DD424">
        <v>6</v>
      </c>
      <c r="DE424">
        <v>7</v>
      </c>
      <c r="DF424">
        <v>8</v>
      </c>
      <c r="DG424">
        <v>1</v>
      </c>
      <c r="DH424">
        <v>8</v>
      </c>
      <c r="DI424">
        <v>10</v>
      </c>
      <c r="DJ424">
        <v>4</v>
      </c>
      <c r="DK424">
        <v>10</v>
      </c>
    </row>
    <row r="425" spans="1:115">
      <c r="A425" s="173">
        <f>Calculations[[#This Row],[Sum t eCO2]]*IF(Calculations[[#This Row],[GHG Scope]]="BIOGENIC",0,1)</f>
        <v>12.385451285999999</v>
      </c>
      <c r="O425">
        <f t="shared" si="6"/>
        <v>424</v>
      </c>
      <c r="P425">
        <v>2</v>
      </c>
      <c r="Q425">
        <v>9</v>
      </c>
      <c r="R425">
        <v>0</v>
      </c>
      <c r="S425">
        <v>3</v>
      </c>
      <c r="T425">
        <v>7</v>
      </c>
      <c r="U425">
        <v>4</v>
      </c>
      <c r="V425">
        <v>8</v>
      </c>
      <c r="W425">
        <v>4</v>
      </c>
      <c r="X425">
        <v>0</v>
      </c>
      <c r="Y425">
        <v>8</v>
      </c>
      <c r="Z425">
        <v>3</v>
      </c>
      <c r="AA425">
        <v>9</v>
      </c>
      <c r="AB425">
        <v>2</v>
      </c>
      <c r="AC425">
        <v>9</v>
      </c>
      <c r="AD425">
        <v>4</v>
      </c>
      <c r="AE425">
        <v>1</v>
      </c>
      <c r="AF425">
        <v>9</v>
      </c>
      <c r="AG425">
        <v>10</v>
      </c>
      <c r="AH425">
        <v>2</v>
      </c>
      <c r="AI425">
        <v>3</v>
      </c>
      <c r="AJ425">
        <v>6</v>
      </c>
      <c r="AK425">
        <v>9</v>
      </c>
      <c r="AL425">
        <v>7</v>
      </c>
      <c r="AM425">
        <v>2</v>
      </c>
      <c r="AN425">
        <v>1</v>
      </c>
      <c r="AO425">
        <v>4</v>
      </c>
      <c r="AP425">
        <v>6</v>
      </c>
      <c r="AQ425">
        <v>9</v>
      </c>
      <c r="AR425">
        <v>8</v>
      </c>
      <c r="AS425">
        <v>6</v>
      </c>
      <c r="AT425">
        <v>4</v>
      </c>
      <c r="AU425">
        <v>2</v>
      </c>
      <c r="AV425">
        <v>2</v>
      </c>
      <c r="AW425">
        <v>8</v>
      </c>
      <c r="AX425">
        <v>0</v>
      </c>
      <c r="AY425">
        <v>5</v>
      </c>
      <c r="AZ425">
        <v>1</v>
      </c>
      <c r="BA425">
        <v>3</v>
      </c>
      <c r="BB425">
        <v>4</v>
      </c>
      <c r="BC425">
        <v>6</v>
      </c>
      <c r="BD425">
        <v>10</v>
      </c>
      <c r="BE425">
        <v>1</v>
      </c>
      <c r="BF425">
        <v>5</v>
      </c>
      <c r="BG425">
        <v>0</v>
      </c>
      <c r="BH425">
        <v>2</v>
      </c>
      <c r="BI425">
        <v>6</v>
      </c>
      <c r="BJ425">
        <v>7</v>
      </c>
      <c r="BK425">
        <v>10</v>
      </c>
      <c r="BL425">
        <v>3</v>
      </c>
      <c r="BM425">
        <v>5</v>
      </c>
      <c r="BN425">
        <v>7</v>
      </c>
      <c r="BO425">
        <v>8</v>
      </c>
      <c r="BP425">
        <v>5</v>
      </c>
      <c r="BQ425">
        <v>2</v>
      </c>
      <c r="BR425">
        <v>4</v>
      </c>
      <c r="BS425">
        <v>9</v>
      </c>
      <c r="BT425">
        <v>9</v>
      </c>
      <c r="BU425">
        <v>10</v>
      </c>
      <c r="BV425">
        <v>3</v>
      </c>
      <c r="BW425">
        <v>1</v>
      </c>
      <c r="BX425">
        <v>10</v>
      </c>
      <c r="BY425">
        <v>6</v>
      </c>
      <c r="BZ425">
        <v>3</v>
      </c>
      <c r="CA425">
        <v>9</v>
      </c>
      <c r="CB425">
        <v>3</v>
      </c>
      <c r="CC425">
        <v>7</v>
      </c>
      <c r="CD425">
        <v>7</v>
      </c>
      <c r="CE425">
        <v>0</v>
      </c>
      <c r="CF425">
        <v>6</v>
      </c>
      <c r="CG425">
        <v>10</v>
      </c>
      <c r="CH425">
        <v>6</v>
      </c>
      <c r="CI425">
        <v>8</v>
      </c>
      <c r="CJ425">
        <v>3</v>
      </c>
      <c r="CK425">
        <v>1</v>
      </c>
      <c r="CL425">
        <v>9</v>
      </c>
      <c r="CM425">
        <v>7</v>
      </c>
      <c r="CN425">
        <v>6</v>
      </c>
      <c r="CO425">
        <v>10</v>
      </c>
      <c r="CP425">
        <v>1</v>
      </c>
      <c r="CQ425">
        <v>1</v>
      </c>
      <c r="CR425">
        <v>2</v>
      </c>
      <c r="CS425">
        <v>0</v>
      </c>
      <c r="CT425">
        <v>8</v>
      </c>
      <c r="CU425">
        <v>8</v>
      </c>
      <c r="CV425">
        <v>1</v>
      </c>
      <c r="CW425">
        <v>6</v>
      </c>
      <c r="CX425">
        <v>10</v>
      </c>
      <c r="CY425">
        <v>0</v>
      </c>
      <c r="CZ425">
        <v>1</v>
      </c>
      <c r="DA425">
        <v>3</v>
      </c>
      <c r="DB425">
        <v>1</v>
      </c>
      <c r="DC425">
        <v>4</v>
      </c>
      <c r="DD425">
        <v>0</v>
      </c>
      <c r="DE425">
        <v>8</v>
      </c>
      <c r="DF425">
        <v>2</v>
      </c>
      <c r="DG425">
        <v>5</v>
      </c>
      <c r="DH425">
        <v>3</v>
      </c>
      <c r="DI425">
        <v>1</v>
      </c>
      <c r="DJ425">
        <v>0</v>
      </c>
      <c r="DK425">
        <v>6</v>
      </c>
    </row>
    <row r="426" spans="1:115">
      <c r="A426" s="173">
        <f>Calculations[[#This Row],[Sum t eCO2]]*IF(Calculations[[#This Row],[GHG Scope]]="BIOGENIC",0,1)</f>
        <v>21.422285300000006</v>
      </c>
      <c r="O426">
        <f t="shared" si="6"/>
        <v>425</v>
      </c>
      <c r="P426">
        <v>6</v>
      </c>
      <c r="Q426">
        <v>1</v>
      </c>
      <c r="R426">
        <v>0</v>
      </c>
      <c r="S426">
        <v>3</v>
      </c>
      <c r="T426">
        <v>9</v>
      </c>
      <c r="U426">
        <v>6</v>
      </c>
      <c r="V426">
        <v>7</v>
      </c>
      <c r="W426">
        <v>4</v>
      </c>
      <c r="X426">
        <v>1</v>
      </c>
      <c r="Y426">
        <v>9</v>
      </c>
      <c r="Z426">
        <v>10</v>
      </c>
      <c r="AA426">
        <v>5</v>
      </c>
      <c r="AB426">
        <v>9</v>
      </c>
      <c r="AC426">
        <v>4</v>
      </c>
      <c r="AD426">
        <v>6</v>
      </c>
      <c r="AE426">
        <v>4</v>
      </c>
      <c r="AF426">
        <v>3</v>
      </c>
      <c r="AG426">
        <v>6</v>
      </c>
      <c r="AH426">
        <v>2</v>
      </c>
      <c r="AI426">
        <v>0</v>
      </c>
      <c r="AJ426">
        <v>6</v>
      </c>
      <c r="AK426">
        <v>5</v>
      </c>
      <c r="AL426">
        <v>9</v>
      </c>
      <c r="AM426">
        <v>2</v>
      </c>
      <c r="AN426">
        <v>6</v>
      </c>
      <c r="AO426">
        <v>10</v>
      </c>
      <c r="AP426">
        <v>2</v>
      </c>
      <c r="AQ426">
        <v>5</v>
      </c>
      <c r="AR426">
        <v>8</v>
      </c>
      <c r="AS426">
        <v>6</v>
      </c>
      <c r="AT426">
        <v>7</v>
      </c>
      <c r="AU426">
        <v>10</v>
      </c>
      <c r="AV426">
        <v>1</v>
      </c>
      <c r="AW426">
        <v>1</v>
      </c>
      <c r="AX426">
        <v>8</v>
      </c>
      <c r="AY426">
        <v>5</v>
      </c>
      <c r="AZ426">
        <v>10</v>
      </c>
      <c r="BA426">
        <v>2</v>
      </c>
      <c r="BB426">
        <v>10</v>
      </c>
      <c r="BC426">
        <v>0</v>
      </c>
      <c r="BD426">
        <v>7</v>
      </c>
      <c r="BE426">
        <v>3</v>
      </c>
      <c r="BF426">
        <v>2</v>
      </c>
      <c r="BG426">
        <v>7</v>
      </c>
      <c r="BH426">
        <v>0</v>
      </c>
      <c r="BI426">
        <v>2</v>
      </c>
      <c r="BJ426">
        <v>9</v>
      </c>
      <c r="BK426">
        <v>8</v>
      </c>
      <c r="BL426">
        <v>0</v>
      </c>
      <c r="BM426">
        <v>3</v>
      </c>
      <c r="BN426">
        <v>8</v>
      </c>
      <c r="BO426">
        <v>10</v>
      </c>
      <c r="BP426">
        <v>9</v>
      </c>
      <c r="BQ426">
        <v>0</v>
      </c>
      <c r="BR426">
        <v>4</v>
      </c>
      <c r="BS426">
        <v>2</v>
      </c>
      <c r="BT426">
        <v>3</v>
      </c>
      <c r="BU426">
        <v>10</v>
      </c>
      <c r="BV426">
        <v>2</v>
      </c>
      <c r="BW426">
        <v>1</v>
      </c>
      <c r="BX426">
        <v>9</v>
      </c>
      <c r="BY426">
        <v>2</v>
      </c>
      <c r="BZ426">
        <v>1</v>
      </c>
      <c r="CA426">
        <v>5</v>
      </c>
      <c r="CB426">
        <v>5</v>
      </c>
      <c r="CC426">
        <v>5</v>
      </c>
      <c r="CD426">
        <v>6</v>
      </c>
      <c r="CE426">
        <v>2</v>
      </c>
      <c r="CF426">
        <v>10</v>
      </c>
      <c r="CG426">
        <v>4</v>
      </c>
      <c r="CH426">
        <v>7</v>
      </c>
      <c r="CI426">
        <v>1</v>
      </c>
      <c r="CJ426">
        <v>10</v>
      </c>
      <c r="CK426">
        <v>6</v>
      </c>
      <c r="CL426">
        <v>10</v>
      </c>
      <c r="CM426">
        <v>0</v>
      </c>
      <c r="CN426">
        <v>6</v>
      </c>
      <c r="CO426">
        <v>1</v>
      </c>
      <c r="CP426">
        <v>6</v>
      </c>
      <c r="CQ426">
        <v>4</v>
      </c>
      <c r="CR426">
        <v>4</v>
      </c>
      <c r="CS426">
        <v>7</v>
      </c>
      <c r="CT426">
        <v>1</v>
      </c>
      <c r="CU426">
        <v>4</v>
      </c>
      <c r="CV426">
        <v>8</v>
      </c>
      <c r="CW426">
        <v>1</v>
      </c>
      <c r="CX426">
        <v>9</v>
      </c>
      <c r="CY426">
        <v>9</v>
      </c>
      <c r="CZ426">
        <v>2</v>
      </c>
      <c r="DA426">
        <v>6</v>
      </c>
      <c r="DB426">
        <v>1</v>
      </c>
      <c r="DC426">
        <v>10</v>
      </c>
      <c r="DD426">
        <v>7</v>
      </c>
      <c r="DE426">
        <v>3</v>
      </c>
      <c r="DF426">
        <v>10</v>
      </c>
      <c r="DG426">
        <v>1</v>
      </c>
      <c r="DH426">
        <v>8</v>
      </c>
      <c r="DI426">
        <v>6</v>
      </c>
      <c r="DJ426">
        <v>0</v>
      </c>
      <c r="DK426">
        <v>3</v>
      </c>
    </row>
    <row r="427" spans="1:115">
      <c r="A427" s="173">
        <f>Calculations[[#This Row],[Sum t eCO2]]*IF(Calculations[[#This Row],[GHG Scope]]="BIOGENIC",0,1)</f>
        <v>11.825620840252798</v>
      </c>
      <c r="O427">
        <f t="shared" si="6"/>
        <v>426</v>
      </c>
      <c r="P427">
        <v>4</v>
      </c>
      <c r="Q427">
        <v>2</v>
      </c>
      <c r="R427">
        <v>5</v>
      </c>
      <c r="S427">
        <v>4</v>
      </c>
      <c r="T427">
        <v>6</v>
      </c>
      <c r="U427">
        <v>2</v>
      </c>
      <c r="V427">
        <v>5</v>
      </c>
      <c r="W427">
        <v>3</v>
      </c>
      <c r="X427">
        <v>9</v>
      </c>
      <c r="Y427">
        <v>4</v>
      </c>
      <c r="Z427">
        <v>3</v>
      </c>
      <c r="AA427">
        <v>0</v>
      </c>
      <c r="AB427">
        <v>9</v>
      </c>
      <c r="AC427">
        <v>9</v>
      </c>
      <c r="AD427">
        <v>9</v>
      </c>
      <c r="AE427">
        <v>0</v>
      </c>
      <c r="AF427">
        <v>1</v>
      </c>
      <c r="AG427">
        <v>3</v>
      </c>
      <c r="AH427">
        <v>4</v>
      </c>
      <c r="AI427">
        <v>7</v>
      </c>
      <c r="AJ427">
        <v>6</v>
      </c>
      <c r="AK427">
        <v>8</v>
      </c>
      <c r="AL427">
        <v>6</v>
      </c>
      <c r="AM427">
        <v>3</v>
      </c>
      <c r="AN427">
        <v>4</v>
      </c>
      <c r="AO427">
        <v>8</v>
      </c>
      <c r="AP427">
        <v>10</v>
      </c>
      <c r="AQ427">
        <v>4</v>
      </c>
      <c r="AR427">
        <v>5</v>
      </c>
      <c r="AS427">
        <v>3</v>
      </c>
      <c r="AT427">
        <v>7</v>
      </c>
      <c r="AU427">
        <v>5</v>
      </c>
      <c r="AV427">
        <v>3</v>
      </c>
      <c r="AW427">
        <v>1</v>
      </c>
      <c r="AX427">
        <v>0</v>
      </c>
      <c r="AY427">
        <v>6</v>
      </c>
      <c r="AZ427">
        <v>9</v>
      </c>
      <c r="BA427">
        <v>2</v>
      </c>
      <c r="BB427">
        <v>4</v>
      </c>
      <c r="BC427">
        <v>8</v>
      </c>
      <c r="BD427">
        <v>0</v>
      </c>
      <c r="BE427">
        <v>10</v>
      </c>
      <c r="BF427">
        <v>2</v>
      </c>
      <c r="BG427">
        <v>4</v>
      </c>
      <c r="BH427">
        <v>1</v>
      </c>
      <c r="BI427">
        <v>3</v>
      </c>
      <c r="BJ427">
        <v>5</v>
      </c>
      <c r="BK427">
        <v>9</v>
      </c>
      <c r="BL427">
        <v>5</v>
      </c>
      <c r="BM427">
        <v>2</v>
      </c>
      <c r="BN427">
        <v>9</v>
      </c>
      <c r="BO427">
        <v>6</v>
      </c>
      <c r="BP427">
        <v>3</v>
      </c>
      <c r="BQ427">
        <v>8</v>
      </c>
      <c r="BR427">
        <v>0</v>
      </c>
      <c r="BS427">
        <v>0</v>
      </c>
      <c r="BT427">
        <v>6</v>
      </c>
      <c r="BU427">
        <v>6</v>
      </c>
      <c r="BV427">
        <v>2</v>
      </c>
      <c r="BW427">
        <v>8</v>
      </c>
      <c r="BX427">
        <v>5</v>
      </c>
      <c r="BY427">
        <v>6</v>
      </c>
      <c r="BZ427">
        <v>4</v>
      </c>
      <c r="CA427">
        <v>7</v>
      </c>
      <c r="CB427">
        <v>1</v>
      </c>
      <c r="CC427">
        <v>3</v>
      </c>
      <c r="CD427">
        <v>3</v>
      </c>
      <c r="CE427">
        <v>1</v>
      </c>
      <c r="CF427">
        <v>7</v>
      </c>
      <c r="CG427">
        <v>5</v>
      </c>
      <c r="CH427">
        <v>6</v>
      </c>
      <c r="CI427">
        <v>3</v>
      </c>
      <c r="CJ427">
        <v>5</v>
      </c>
      <c r="CK427">
        <v>9</v>
      </c>
      <c r="CL427">
        <v>6</v>
      </c>
      <c r="CM427">
        <v>2</v>
      </c>
      <c r="CN427">
        <v>2</v>
      </c>
      <c r="CO427">
        <v>10</v>
      </c>
      <c r="CP427">
        <v>10</v>
      </c>
      <c r="CQ427">
        <v>4</v>
      </c>
      <c r="CR427">
        <v>1</v>
      </c>
      <c r="CS427">
        <v>2</v>
      </c>
      <c r="CT427">
        <v>2</v>
      </c>
      <c r="CU427">
        <v>1</v>
      </c>
      <c r="CV427">
        <v>2</v>
      </c>
      <c r="CW427">
        <v>10</v>
      </c>
      <c r="CX427">
        <v>8</v>
      </c>
      <c r="CY427">
        <v>7</v>
      </c>
      <c r="CZ427">
        <v>9</v>
      </c>
      <c r="DA427">
        <v>0</v>
      </c>
      <c r="DB427">
        <v>8</v>
      </c>
      <c r="DC427">
        <v>5</v>
      </c>
      <c r="DD427">
        <v>5</v>
      </c>
      <c r="DE427">
        <v>10</v>
      </c>
      <c r="DF427">
        <v>0</v>
      </c>
      <c r="DG427">
        <v>9</v>
      </c>
      <c r="DH427">
        <v>1</v>
      </c>
      <c r="DI427">
        <v>1</v>
      </c>
      <c r="DJ427">
        <v>4</v>
      </c>
      <c r="DK427">
        <v>8</v>
      </c>
    </row>
    <row r="428" spans="1:115">
      <c r="A428" s="173">
        <f>Calculations[[#This Row],[Sum t eCO2]]*IF(Calculations[[#This Row],[GHG Scope]]="BIOGENIC",0,1)</f>
        <v>440.58080088593999</v>
      </c>
      <c r="O428">
        <f t="shared" si="6"/>
        <v>427</v>
      </c>
      <c r="P428">
        <v>9</v>
      </c>
      <c r="Q428">
        <v>1</v>
      </c>
      <c r="R428">
        <v>1</v>
      </c>
      <c r="S428">
        <v>9</v>
      </c>
      <c r="T428">
        <v>5</v>
      </c>
      <c r="U428">
        <v>2</v>
      </c>
      <c r="V428">
        <v>1</v>
      </c>
      <c r="W428">
        <v>2</v>
      </c>
      <c r="X428">
        <v>3</v>
      </c>
      <c r="Y428">
        <v>1</v>
      </c>
      <c r="Z428">
        <v>1</v>
      </c>
      <c r="AA428">
        <v>7</v>
      </c>
      <c r="AB428">
        <v>1</v>
      </c>
      <c r="AC428">
        <v>10</v>
      </c>
      <c r="AD428">
        <v>9</v>
      </c>
      <c r="AE428">
        <v>1</v>
      </c>
      <c r="AF428">
        <v>10</v>
      </c>
      <c r="AG428">
        <v>1</v>
      </c>
      <c r="AH428">
        <v>10</v>
      </c>
      <c r="AI428">
        <v>1</v>
      </c>
      <c r="AJ428">
        <v>8</v>
      </c>
      <c r="AK428">
        <v>10</v>
      </c>
      <c r="AL428">
        <v>3</v>
      </c>
      <c r="AM428">
        <v>5</v>
      </c>
      <c r="AN428">
        <v>6</v>
      </c>
      <c r="AO428">
        <v>0</v>
      </c>
      <c r="AP428">
        <v>5</v>
      </c>
      <c r="AQ428">
        <v>3</v>
      </c>
      <c r="AR428">
        <v>6</v>
      </c>
      <c r="AS428">
        <v>3</v>
      </c>
      <c r="AT428">
        <v>4</v>
      </c>
      <c r="AU428">
        <v>0</v>
      </c>
      <c r="AV428">
        <v>3</v>
      </c>
      <c r="AW428">
        <v>9</v>
      </c>
      <c r="AX428">
        <v>1</v>
      </c>
      <c r="AY428">
        <v>0</v>
      </c>
      <c r="AZ428">
        <v>5</v>
      </c>
      <c r="BA428">
        <v>3</v>
      </c>
      <c r="BB428">
        <v>9</v>
      </c>
      <c r="BC428">
        <v>4</v>
      </c>
      <c r="BD428">
        <v>2</v>
      </c>
      <c r="BE428">
        <v>0</v>
      </c>
      <c r="BF428">
        <v>6</v>
      </c>
      <c r="BG428">
        <v>4</v>
      </c>
      <c r="BH428">
        <v>9</v>
      </c>
      <c r="BI428">
        <v>0</v>
      </c>
      <c r="BJ428">
        <v>5</v>
      </c>
      <c r="BK428">
        <v>0</v>
      </c>
      <c r="BL428">
        <v>6</v>
      </c>
      <c r="BM428">
        <v>8</v>
      </c>
      <c r="BN428">
        <v>4</v>
      </c>
      <c r="BO428">
        <v>9</v>
      </c>
      <c r="BP428">
        <v>7</v>
      </c>
      <c r="BQ428">
        <v>8</v>
      </c>
      <c r="BR428">
        <v>6</v>
      </c>
      <c r="BS428">
        <v>8</v>
      </c>
      <c r="BT428">
        <v>1</v>
      </c>
      <c r="BU428">
        <v>0</v>
      </c>
      <c r="BV428">
        <v>3</v>
      </c>
      <c r="BW428">
        <v>5</v>
      </c>
      <c r="BX428">
        <v>10</v>
      </c>
      <c r="BY428">
        <v>10</v>
      </c>
      <c r="BZ428">
        <v>3</v>
      </c>
      <c r="CA428">
        <v>10</v>
      </c>
      <c r="CB428">
        <v>6</v>
      </c>
      <c r="CC428">
        <v>6</v>
      </c>
      <c r="CD428">
        <v>3</v>
      </c>
      <c r="CE428">
        <v>6</v>
      </c>
      <c r="CF428">
        <v>5</v>
      </c>
      <c r="CG428">
        <v>4</v>
      </c>
      <c r="CH428">
        <v>1</v>
      </c>
      <c r="CI428">
        <v>7</v>
      </c>
      <c r="CJ428">
        <v>1</v>
      </c>
      <c r="CK428">
        <v>3</v>
      </c>
      <c r="CL428">
        <v>5</v>
      </c>
      <c r="CM428">
        <v>4</v>
      </c>
      <c r="CN428">
        <v>8</v>
      </c>
      <c r="CO428">
        <v>4</v>
      </c>
      <c r="CP428">
        <v>2</v>
      </c>
      <c r="CQ428">
        <v>9</v>
      </c>
      <c r="CR428">
        <v>6</v>
      </c>
      <c r="CS428">
        <v>10</v>
      </c>
      <c r="CT428">
        <v>7</v>
      </c>
      <c r="CU428">
        <v>8</v>
      </c>
      <c r="CV428">
        <v>0</v>
      </c>
      <c r="CW428">
        <v>8</v>
      </c>
      <c r="CX428">
        <v>2</v>
      </c>
      <c r="CY428">
        <v>2</v>
      </c>
      <c r="CZ428">
        <v>0</v>
      </c>
      <c r="DA428">
        <v>3</v>
      </c>
      <c r="DB428">
        <v>6</v>
      </c>
      <c r="DC428">
        <v>4</v>
      </c>
      <c r="DD428">
        <v>2</v>
      </c>
      <c r="DE428">
        <v>2</v>
      </c>
      <c r="DF428">
        <v>9</v>
      </c>
      <c r="DG428">
        <v>1</v>
      </c>
      <c r="DH428">
        <v>3</v>
      </c>
      <c r="DI428">
        <v>6</v>
      </c>
      <c r="DJ428">
        <v>3</v>
      </c>
      <c r="DK428">
        <v>4</v>
      </c>
    </row>
    <row r="429" spans="1:115">
      <c r="A429" s="173">
        <f>Calculations[[#This Row],[Sum t eCO2]]*IF(Calculations[[#This Row],[GHG Scope]]="BIOGENIC",0,1)</f>
        <v>38.964692255999999</v>
      </c>
      <c r="O429">
        <f t="shared" si="6"/>
        <v>428</v>
      </c>
      <c r="P429">
        <v>0</v>
      </c>
      <c r="Q429">
        <v>1</v>
      </c>
      <c r="R429">
        <v>8</v>
      </c>
      <c r="S429">
        <v>9</v>
      </c>
      <c r="T429">
        <v>2</v>
      </c>
      <c r="U429">
        <v>8</v>
      </c>
      <c r="V429">
        <v>4</v>
      </c>
      <c r="W429">
        <v>0</v>
      </c>
      <c r="X429">
        <v>3</v>
      </c>
      <c r="Y429">
        <v>3</v>
      </c>
      <c r="Z429">
        <v>9</v>
      </c>
      <c r="AA429">
        <v>4</v>
      </c>
      <c r="AB429">
        <v>2</v>
      </c>
      <c r="AC429">
        <v>3</v>
      </c>
      <c r="AD429">
        <v>1</v>
      </c>
      <c r="AE429">
        <v>9</v>
      </c>
      <c r="AF429">
        <v>8</v>
      </c>
      <c r="AG429">
        <v>3</v>
      </c>
      <c r="AH429">
        <v>4</v>
      </c>
      <c r="AI429">
        <v>2</v>
      </c>
      <c r="AJ429">
        <v>5</v>
      </c>
      <c r="AK429">
        <v>1</v>
      </c>
      <c r="AL429">
        <v>2</v>
      </c>
      <c r="AM429">
        <v>1</v>
      </c>
      <c r="AN429">
        <v>7</v>
      </c>
      <c r="AO429">
        <v>9</v>
      </c>
      <c r="AP429">
        <v>0</v>
      </c>
      <c r="AQ429">
        <v>6</v>
      </c>
      <c r="AR429">
        <v>7</v>
      </c>
      <c r="AS429">
        <v>10</v>
      </c>
      <c r="AT429">
        <v>8</v>
      </c>
      <c r="AU429">
        <v>2</v>
      </c>
      <c r="AV429">
        <v>9</v>
      </c>
      <c r="AW429">
        <v>0</v>
      </c>
      <c r="AX429">
        <v>9</v>
      </c>
      <c r="AY429">
        <v>7</v>
      </c>
      <c r="AZ429">
        <v>3</v>
      </c>
      <c r="BA429">
        <v>5</v>
      </c>
      <c r="BB429">
        <v>8</v>
      </c>
      <c r="BC429">
        <v>8</v>
      </c>
      <c r="BD429">
        <v>7</v>
      </c>
      <c r="BE429">
        <v>9</v>
      </c>
      <c r="BF429">
        <v>1</v>
      </c>
      <c r="BG429">
        <v>6</v>
      </c>
      <c r="BH429">
        <v>9</v>
      </c>
      <c r="BI429">
        <v>10</v>
      </c>
      <c r="BJ429">
        <v>2</v>
      </c>
      <c r="BK429">
        <v>6</v>
      </c>
      <c r="BL429">
        <v>2</v>
      </c>
      <c r="BM429">
        <v>3</v>
      </c>
      <c r="BN429">
        <v>5</v>
      </c>
      <c r="BO429">
        <v>9</v>
      </c>
      <c r="BP429">
        <v>3</v>
      </c>
      <c r="BQ429">
        <v>0</v>
      </c>
      <c r="BR429">
        <v>3</v>
      </c>
      <c r="BS429">
        <v>5</v>
      </c>
      <c r="BT429">
        <v>10</v>
      </c>
      <c r="BU429">
        <v>3</v>
      </c>
      <c r="BV429">
        <v>5</v>
      </c>
      <c r="BW429">
        <v>8</v>
      </c>
      <c r="BX429">
        <v>2</v>
      </c>
      <c r="BY429">
        <v>2</v>
      </c>
      <c r="BZ429">
        <v>4</v>
      </c>
      <c r="CA429">
        <v>1</v>
      </c>
      <c r="CB429">
        <v>8</v>
      </c>
      <c r="CC429">
        <v>2</v>
      </c>
      <c r="CD429">
        <v>6</v>
      </c>
      <c r="CE429">
        <v>9</v>
      </c>
      <c r="CF429">
        <v>5</v>
      </c>
      <c r="CG429">
        <v>2</v>
      </c>
      <c r="CH429">
        <v>2</v>
      </c>
      <c r="CI429">
        <v>6</v>
      </c>
      <c r="CJ429">
        <v>8</v>
      </c>
      <c r="CK429">
        <v>4</v>
      </c>
      <c r="CL429">
        <v>3</v>
      </c>
      <c r="CM429">
        <v>0</v>
      </c>
      <c r="CN429">
        <v>1</v>
      </c>
      <c r="CO429">
        <v>9</v>
      </c>
      <c r="CP429">
        <v>3</v>
      </c>
      <c r="CQ429">
        <v>6</v>
      </c>
      <c r="CR429">
        <v>9</v>
      </c>
      <c r="CS429">
        <v>6</v>
      </c>
      <c r="CT429">
        <v>0</v>
      </c>
      <c r="CU429">
        <v>0</v>
      </c>
      <c r="CV429">
        <v>8</v>
      </c>
      <c r="CW429">
        <v>4</v>
      </c>
      <c r="CX429">
        <v>3</v>
      </c>
      <c r="CY429">
        <v>8</v>
      </c>
      <c r="CZ429">
        <v>5</v>
      </c>
      <c r="DA429">
        <v>1</v>
      </c>
      <c r="DB429">
        <v>9</v>
      </c>
      <c r="DC429">
        <v>9</v>
      </c>
      <c r="DD429">
        <v>3</v>
      </c>
      <c r="DE429">
        <v>6</v>
      </c>
      <c r="DF429">
        <v>7</v>
      </c>
      <c r="DG429">
        <v>5</v>
      </c>
      <c r="DH429">
        <v>7</v>
      </c>
      <c r="DI429">
        <v>7</v>
      </c>
      <c r="DJ429">
        <v>7</v>
      </c>
      <c r="DK429">
        <v>4</v>
      </c>
    </row>
    <row r="430" spans="1:115">
      <c r="A430" s="173">
        <f>Calculations[[#This Row],[Sum t eCO2]]*IF(Calculations[[#This Row],[GHG Scope]]="BIOGENIC",0,1)</f>
        <v>761.59319980000009</v>
      </c>
      <c r="O430">
        <f t="shared" si="6"/>
        <v>429</v>
      </c>
      <c r="P430">
        <v>10</v>
      </c>
      <c r="Q430">
        <v>10</v>
      </c>
      <c r="R430">
        <v>6</v>
      </c>
      <c r="S430">
        <v>4</v>
      </c>
      <c r="T430">
        <v>10</v>
      </c>
      <c r="U430">
        <v>0</v>
      </c>
      <c r="V430">
        <v>9</v>
      </c>
      <c r="W430">
        <v>0</v>
      </c>
      <c r="X430">
        <v>6</v>
      </c>
      <c r="Y430">
        <v>5</v>
      </c>
      <c r="Z430">
        <v>1</v>
      </c>
      <c r="AA430">
        <v>4</v>
      </c>
      <c r="AB430">
        <v>10</v>
      </c>
      <c r="AC430">
        <v>4</v>
      </c>
      <c r="AD430">
        <v>6</v>
      </c>
      <c r="AE430">
        <v>8</v>
      </c>
      <c r="AF430">
        <v>6</v>
      </c>
      <c r="AG430">
        <v>2</v>
      </c>
      <c r="AH430">
        <v>0</v>
      </c>
      <c r="AI430">
        <v>3</v>
      </c>
      <c r="AJ430">
        <v>10</v>
      </c>
      <c r="AK430">
        <v>6</v>
      </c>
      <c r="AL430">
        <v>4</v>
      </c>
      <c r="AM430">
        <v>2</v>
      </c>
      <c r="AN430">
        <v>1</v>
      </c>
      <c r="AO430">
        <v>10</v>
      </c>
      <c r="AP430">
        <v>7</v>
      </c>
      <c r="AQ430">
        <v>0</v>
      </c>
      <c r="AR430">
        <v>0</v>
      </c>
      <c r="AS430">
        <v>9</v>
      </c>
      <c r="AT430">
        <v>7</v>
      </c>
      <c r="AU430">
        <v>0</v>
      </c>
      <c r="AV430">
        <v>10</v>
      </c>
      <c r="AW430">
        <v>5</v>
      </c>
      <c r="AX430">
        <v>7</v>
      </c>
      <c r="AY430">
        <v>0</v>
      </c>
      <c r="AZ430">
        <v>3</v>
      </c>
      <c r="BA430">
        <v>4</v>
      </c>
      <c r="BB430">
        <v>10</v>
      </c>
      <c r="BC430">
        <v>6</v>
      </c>
      <c r="BD430">
        <v>4</v>
      </c>
      <c r="BE430">
        <v>1</v>
      </c>
      <c r="BF430">
        <v>10</v>
      </c>
      <c r="BG430">
        <v>0</v>
      </c>
      <c r="BH430">
        <v>7</v>
      </c>
      <c r="BI430">
        <v>3</v>
      </c>
      <c r="BJ430">
        <v>9</v>
      </c>
      <c r="BK430">
        <v>6</v>
      </c>
      <c r="BL430">
        <v>0</v>
      </c>
      <c r="BM430">
        <v>0</v>
      </c>
      <c r="BN430">
        <v>9</v>
      </c>
      <c r="BO430">
        <v>2</v>
      </c>
      <c r="BP430">
        <v>6</v>
      </c>
      <c r="BQ430">
        <v>3</v>
      </c>
      <c r="BR430">
        <v>4</v>
      </c>
      <c r="BS430">
        <v>10</v>
      </c>
      <c r="BT430">
        <v>9</v>
      </c>
      <c r="BU430">
        <v>3</v>
      </c>
      <c r="BV430">
        <v>0</v>
      </c>
      <c r="BW430">
        <v>6</v>
      </c>
      <c r="BX430">
        <v>0</v>
      </c>
      <c r="BY430">
        <v>8</v>
      </c>
      <c r="BZ430">
        <v>5</v>
      </c>
      <c r="CA430">
        <v>1</v>
      </c>
      <c r="CB430">
        <v>0</v>
      </c>
      <c r="CC430">
        <v>5</v>
      </c>
      <c r="CD430">
        <v>6</v>
      </c>
      <c r="CE430">
        <v>7</v>
      </c>
      <c r="CF430">
        <v>5</v>
      </c>
      <c r="CG430">
        <v>5</v>
      </c>
      <c r="CH430">
        <v>3</v>
      </c>
      <c r="CI430">
        <v>3</v>
      </c>
      <c r="CJ430">
        <v>5</v>
      </c>
      <c r="CK430">
        <v>5</v>
      </c>
      <c r="CL430">
        <v>3</v>
      </c>
      <c r="CM430">
        <v>5</v>
      </c>
      <c r="CN430">
        <v>3</v>
      </c>
      <c r="CO430">
        <v>3</v>
      </c>
      <c r="CP430">
        <v>1</v>
      </c>
      <c r="CQ430">
        <v>2</v>
      </c>
      <c r="CR430">
        <v>9</v>
      </c>
      <c r="CS430">
        <v>5</v>
      </c>
      <c r="CT430">
        <v>10</v>
      </c>
      <c r="CU430">
        <v>10</v>
      </c>
      <c r="CV430">
        <v>8</v>
      </c>
      <c r="CW430">
        <v>2</v>
      </c>
      <c r="CX430">
        <v>4</v>
      </c>
      <c r="CY430">
        <v>5</v>
      </c>
      <c r="CZ430">
        <v>7</v>
      </c>
      <c r="DA430">
        <v>6</v>
      </c>
      <c r="DB430">
        <v>4</v>
      </c>
      <c r="DC430">
        <v>9</v>
      </c>
      <c r="DD430">
        <v>1</v>
      </c>
      <c r="DE430">
        <v>6</v>
      </c>
      <c r="DF430">
        <v>3</v>
      </c>
      <c r="DG430">
        <v>7</v>
      </c>
      <c r="DH430">
        <v>7</v>
      </c>
      <c r="DI430">
        <v>7</v>
      </c>
      <c r="DJ430">
        <v>10</v>
      </c>
      <c r="DK430">
        <v>1</v>
      </c>
    </row>
    <row r="431" spans="1:115">
      <c r="A431" s="173">
        <f>Calculations[[#This Row],[Sum t eCO2]]*IF(Calculations[[#This Row],[GHG Scope]]="BIOGENIC",0,1)</f>
        <v>10.439252291520003</v>
      </c>
      <c r="O431">
        <f t="shared" si="6"/>
        <v>430</v>
      </c>
      <c r="P431">
        <v>0</v>
      </c>
      <c r="Q431">
        <v>0</v>
      </c>
      <c r="R431">
        <v>4</v>
      </c>
      <c r="S431">
        <v>2</v>
      </c>
      <c r="T431">
        <v>7</v>
      </c>
      <c r="U431">
        <v>9</v>
      </c>
      <c r="V431">
        <v>2</v>
      </c>
      <c r="W431">
        <v>9</v>
      </c>
      <c r="X431">
        <v>8</v>
      </c>
      <c r="Y431">
        <v>4</v>
      </c>
      <c r="Z431">
        <v>5</v>
      </c>
      <c r="AA431">
        <v>5</v>
      </c>
      <c r="AB431">
        <v>10</v>
      </c>
      <c r="AC431">
        <v>6</v>
      </c>
      <c r="AD431">
        <v>6</v>
      </c>
      <c r="AE431">
        <v>8</v>
      </c>
      <c r="AF431">
        <v>0</v>
      </c>
      <c r="AG431">
        <v>9</v>
      </c>
      <c r="AH431">
        <v>7</v>
      </c>
      <c r="AI431">
        <v>0</v>
      </c>
      <c r="AJ431">
        <v>5</v>
      </c>
      <c r="AK431">
        <v>5</v>
      </c>
      <c r="AL431">
        <v>6</v>
      </c>
      <c r="AM431">
        <v>5</v>
      </c>
      <c r="AN431">
        <v>7</v>
      </c>
      <c r="AO431">
        <v>4</v>
      </c>
      <c r="AP431">
        <v>10</v>
      </c>
      <c r="AQ431">
        <v>9</v>
      </c>
      <c r="AR431">
        <v>2</v>
      </c>
      <c r="AS431">
        <v>8</v>
      </c>
      <c r="AT431">
        <v>2</v>
      </c>
      <c r="AU431">
        <v>2</v>
      </c>
      <c r="AV431">
        <v>6</v>
      </c>
      <c r="AW431">
        <v>8</v>
      </c>
      <c r="AX431">
        <v>4</v>
      </c>
      <c r="AY431">
        <v>1</v>
      </c>
      <c r="AZ431">
        <v>3</v>
      </c>
      <c r="BA431">
        <v>5</v>
      </c>
      <c r="BB431">
        <v>2</v>
      </c>
      <c r="BC431">
        <v>1</v>
      </c>
      <c r="BD431">
        <v>10</v>
      </c>
      <c r="BE431">
        <v>6</v>
      </c>
      <c r="BF431">
        <v>6</v>
      </c>
      <c r="BG431">
        <v>0</v>
      </c>
      <c r="BH431">
        <v>6</v>
      </c>
      <c r="BI431">
        <v>7</v>
      </c>
      <c r="BJ431">
        <v>6</v>
      </c>
      <c r="BK431">
        <v>9</v>
      </c>
      <c r="BL431">
        <v>1</v>
      </c>
      <c r="BM431">
        <v>6</v>
      </c>
      <c r="BN431">
        <v>5</v>
      </c>
      <c r="BO431">
        <v>6</v>
      </c>
      <c r="BP431">
        <v>0</v>
      </c>
      <c r="BQ431">
        <v>3</v>
      </c>
      <c r="BR431">
        <v>8</v>
      </c>
      <c r="BS431">
        <v>1</v>
      </c>
      <c r="BT431">
        <v>0</v>
      </c>
      <c r="BU431">
        <v>2</v>
      </c>
      <c r="BV431">
        <v>9</v>
      </c>
      <c r="BW431">
        <v>7</v>
      </c>
      <c r="BX431">
        <v>7</v>
      </c>
      <c r="BY431">
        <v>10</v>
      </c>
      <c r="BZ431">
        <v>5</v>
      </c>
      <c r="CA431">
        <v>5</v>
      </c>
      <c r="CB431">
        <v>9</v>
      </c>
      <c r="CC431">
        <v>3</v>
      </c>
      <c r="CD431">
        <v>2</v>
      </c>
      <c r="CE431">
        <v>6</v>
      </c>
      <c r="CF431">
        <v>0</v>
      </c>
      <c r="CG431">
        <v>7</v>
      </c>
      <c r="CH431">
        <v>5</v>
      </c>
      <c r="CI431">
        <v>10</v>
      </c>
      <c r="CJ431">
        <v>10</v>
      </c>
      <c r="CK431">
        <v>9</v>
      </c>
      <c r="CL431">
        <v>8</v>
      </c>
      <c r="CM431">
        <v>4</v>
      </c>
      <c r="CN431">
        <v>0</v>
      </c>
      <c r="CO431">
        <v>7</v>
      </c>
      <c r="CP431">
        <v>6</v>
      </c>
      <c r="CQ431">
        <v>0</v>
      </c>
      <c r="CR431">
        <v>10</v>
      </c>
      <c r="CS431">
        <v>8</v>
      </c>
      <c r="CT431">
        <v>4</v>
      </c>
      <c r="CU431">
        <v>8</v>
      </c>
      <c r="CV431">
        <v>0</v>
      </c>
      <c r="CW431">
        <v>6</v>
      </c>
      <c r="CX431">
        <v>5</v>
      </c>
      <c r="CY431">
        <v>0</v>
      </c>
      <c r="CZ431">
        <v>5</v>
      </c>
      <c r="DA431">
        <v>3</v>
      </c>
      <c r="DB431">
        <v>2</v>
      </c>
      <c r="DC431">
        <v>2</v>
      </c>
      <c r="DD431">
        <v>8</v>
      </c>
      <c r="DE431">
        <v>0</v>
      </c>
      <c r="DF431">
        <v>10</v>
      </c>
      <c r="DG431">
        <v>9</v>
      </c>
      <c r="DH431">
        <v>1</v>
      </c>
      <c r="DI431">
        <v>9</v>
      </c>
      <c r="DJ431">
        <v>4</v>
      </c>
      <c r="DK431">
        <v>7</v>
      </c>
    </row>
    <row r="432" spans="1:115">
      <c r="A432" s="173">
        <f>Calculations[[#This Row],[Sum t eCO2]]*IF(Calculations[[#This Row],[GHG Scope]]="BIOGENIC",0,1)</f>
        <v>0.20621497104</v>
      </c>
      <c r="O432">
        <f t="shared" si="6"/>
        <v>431</v>
      </c>
      <c r="P432">
        <v>9</v>
      </c>
      <c r="Q432">
        <v>2</v>
      </c>
      <c r="R432">
        <v>5</v>
      </c>
      <c r="S432">
        <v>3</v>
      </c>
      <c r="T432">
        <v>5</v>
      </c>
      <c r="U432">
        <v>5</v>
      </c>
      <c r="V432">
        <v>9</v>
      </c>
      <c r="W432">
        <v>5</v>
      </c>
      <c r="X432">
        <v>10</v>
      </c>
      <c r="Y432">
        <v>4</v>
      </c>
      <c r="Z432">
        <v>10</v>
      </c>
      <c r="AA432">
        <v>10</v>
      </c>
      <c r="AB432">
        <v>9</v>
      </c>
      <c r="AC432">
        <v>4</v>
      </c>
      <c r="AD432">
        <v>6</v>
      </c>
      <c r="AE432">
        <v>1</v>
      </c>
      <c r="AF432">
        <v>7</v>
      </c>
      <c r="AG432">
        <v>0</v>
      </c>
      <c r="AH432">
        <v>4</v>
      </c>
      <c r="AI432">
        <v>9</v>
      </c>
      <c r="AJ432">
        <v>8</v>
      </c>
      <c r="AK432">
        <v>2</v>
      </c>
      <c r="AL432">
        <v>3</v>
      </c>
      <c r="AM432">
        <v>1</v>
      </c>
      <c r="AN432">
        <v>9</v>
      </c>
      <c r="AO432">
        <v>1</v>
      </c>
      <c r="AP432">
        <v>7</v>
      </c>
      <c r="AQ432">
        <v>9</v>
      </c>
      <c r="AR432">
        <v>10</v>
      </c>
      <c r="AS432">
        <v>8</v>
      </c>
      <c r="AT432">
        <v>3</v>
      </c>
      <c r="AU432">
        <v>0</v>
      </c>
      <c r="AV432">
        <v>5</v>
      </c>
      <c r="AW432">
        <v>8</v>
      </c>
      <c r="AX432">
        <v>4</v>
      </c>
      <c r="AY432">
        <v>8</v>
      </c>
      <c r="AZ432">
        <v>7</v>
      </c>
      <c r="BA432">
        <v>7</v>
      </c>
      <c r="BB432">
        <v>9</v>
      </c>
      <c r="BC432">
        <v>0</v>
      </c>
      <c r="BD432">
        <v>5</v>
      </c>
      <c r="BE432">
        <v>2</v>
      </c>
      <c r="BF432">
        <v>0</v>
      </c>
      <c r="BG432">
        <v>0</v>
      </c>
      <c r="BH432">
        <v>8</v>
      </c>
      <c r="BI432">
        <v>2</v>
      </c>
      <c r="BJ432">
        <v>0</v>
      </c>
      <c r="BK432">
        <v>1</v>
      </c>
      <c r="BL432">
        <v>1</v>
      </c>
      <c r="BM432">
        <v>10</v>
      </c>
      <c r="BN432">
        <v>1</v>
      </c>
      <c r="BO432">
        <v>5</v>
      </c>
      <c r="BP432">
        <v>10</v>
      </c>
      <c r="BQ432">
        <v>7</v>
      </c>
      <c r="BR432">
        <v>7</v>
      </c>
      <c r="BS432">
        <v>9</v>
      </c>
      <c r="BT432">
        <v>9</v>
      </c>
      <c r="BU432">
        <v>8</v>
      </c>
      <c r="BV432">
        <v>3</v>
      </c>
      <c r="BW432">
        <v>3</v>
      </c>
      <c r="BX432">
        <v>9</v>
      </c>
      <c r="BY432">
        <v>1</v>
      </c>
      <c r="BZ432">
        <v>1</v>
      </c>
      <c r="CA432">
        <v>0</v>
      </c>
      <c r="CB432">
        <v>10</v>
      </c>
      <c r="CC432">
        <v>7</v>
      </c>
      <c r="CD432">
        <v>1</v>
      </c>
      <c r="CE432">
        <v>6</v>
      </c>
      <c r="CF432">
        <v>8</v>
      </c>
      <c r="CG432">
        <v>6</v>
      </c>
      <c r="CH432">
        <v>1</v>
      </c>
      <c r="CI432">
        <v>0</v>
      </c>
      <c r="CJ432">
        <v>1</v>
      </c>
      <c r="CK432">
        <v>5</v>
      </c>
      <c r="CL432">
        <v>1</v>
      </c>
      <c r="CM432">
        <v>0</v>
      </c>
      <c r="CN432">
        <v>5</v>
      </c>
      <c r="CO432">
        <v>10</v>
      </c>
      <c r="CP432">
        <v>6</v>
      </c>
      <c r="CQ432">
        <v>8</v>
      </c>
      <c r="CR432">
        <v>5</v>
      </c>
      <c r="CS432">
        <v>9</v>
      </c>
      <c r="CT432">
        <v>9</v>
      </c>
      <c r="CU432">
        <v>2</v>
      </c>
      <c r="CV432">
        <v>2</v>
      </c>
      <c r="CW432">
        <v>5</v>
      </c>
      <c r="CX432">
        <v>1</v>
      </c>
      <c r="CY432">
        <v>8</v>
      </c>
      <c r="CZ432">
        <v>0</v>
      </c>
      <c r="DA432">
        <v>1</v>
      </c>
      <c r="DB432">
        <v>8</v>
      </c>
      <c r="DC432">
        <v>0</v>
      </c>
      <c r="DD432">
        <v>9</v>
      </c>
      <c r="DE432">
        <v>5</v>
      </c>
      <c r="DF432">
        <v>9</v>
      </c>
      <c r="DG432">
        <v>2</v>
      </c>
      <c r="DH432">
        <v>0</v>
      </c>
      <c r="DI432">
        <v>8</v>
      </c>
      <c r="DJ432">
        <v>5</v>
      </c>
      <c r="DK432">
        <v>8</v>
      </c>
    </row>
    <row r="433" spans="1:115">
      <c r="A433" s="173">
        <f>Calculations[[#This Row],[Sum t eCO2]]*IF(Calculations[[#This Row],[GHG Scope]]="BIOGENIC",0,1)</f>
        <v>3.8962342785599997</v>
      </c>
      <c r="O433">
        <f t="shared" si="6"/>
        <v>432</v>
      </c>
      <c r="P433">
        <v>10</v>
      </c>
      <c r="Q433">
        <v>1</v>
      </c>
      <c r="R433">
        <v>8</v>
      </c>
      <c r="S433">
        <v>9</v>
      </c>
      <c r="T433">
        <v>0</v>
      </c>
      <c r="U433">
        <v>7</v>
      </c>
      <c r="V433">
        <v>0</v>
      </c>
      <c r="W433">
        <v>9</v>
      </c>
      <c r="X433">
        <v>6</v>
      </c>
      <c r="Y433">
        <v>5</v>
      </c>
      <c r="Z433">
        <v>3</v>
      </c>
      <c r="AA433">
        <v>10</v>
      </c>
      <c r="AB433">
        <v>7</v>
      </c>
      <c r="AC433">
        <v>4</v>
      </c>
      <c r="AD433">
        <v>1</v>
      </c>
      <c r="AE433">
        <v>0</v>
      </c>
      <c r="AF433">
        <v>3</v>
      </c>
      <c r="AG433">
        <v>3</v>
      </c>
      <c r="AH433">
        <v>4</v>
      </c>
      <c r="AI433">
        <v>0</v>
      </c>
      <c r="AJ433">
        <v>0</v>
      </c>
      <c r="AK433">
        <v>5</v>
      </c>
      <c r="AL433">
        <v>5</v>
      </c>
      <c r="AM433">
        <v>3</v>
      </c>
      <c r="AN433">
        <v>0</v>
      </c>
      <c r="AO433">
        <v>2</v>
      </c>
      <c r="AP433">
        <v>5</v>
      </c>
      <c r="AQ433">
        <v>7</v>
      </c>
      <c r="AR433">
        <v>4</v>
      </c>
      <c r="AS433">
        <v>10</v>
      </c>
      <c r="AT433">
        <v>2</v>
      </c>
      <c r="AU433">
        <v>0</v>
      </c>
      <c r="AV433">
        <v>0</v>
      </c>
      <c r="AW433">
        <v>9</v>
      </c>
      <c r="AX433">
        <v>0</v>
      </c>
      <c r="AY433">
        <v>5</v>
      </c>
      <c r="AZ433">
        <v>1</v>
      </c>
      <c r="BA433">
        <v>3</v>
      </c>
      <c r="BB433">
        <v>10</v>
      </c>
      <c r="BC433">
        <v>9</v>
      </c>
      <c r="BD433">
        <v>6</v>
      </c>
      <c r="BE433">
        <v>9</v>
      </c>
      <c r="BF433">
        <v>1</v>
      </c>
      <c r="BG433">
        <v>10</v>
      </c>
      <c r="BH433">
        <v>1</v>
      </c>
      <c r="BI433">
        <v>6</v>
      </c>
      <c r="BJ433">
        <v>1</v>
      </c>
      <c r="BK433">
        <v>9</v>
      </c>
      <c r="BL433">
        <v>4</v>
      </c>
      <c r="BM433">
        <v>7</v>
      </c>
      <c r="BN433">
        <v>9</v>
      </c>
      <c r="BO433">
        <v>10</v>
      </c>
      <c r="BP433">
        <v>1</v>
      </c>
      <c r="BQ433">
        <v>7</v>
      </c>
      <c r="BR433">
        <v>7</v>
      </c>
      <c r="BS433">
        <v>7</v>
      </c>
      <c r="BT433">
        <v>5</v>
      </c>
      <c r="BU433">
        <v>2</v>
      </c>
      <c r="BV433">
        <v>4</v>
      </c>
      <c r="BW433">
        <v>8</v>
      </c>
      <c r="BX433">
        <v>3</v>
      </c>
      <c r="BY433">
        <v>1</v>
      </c>
      <c r="BZ433">
        <v>8</v>
      </c>
      <c r="CA433">
        <v>0</v>
      </c>
      <c r="CB433">
        <v>5</v>
      </c>
      <c r="CC433">
        <v>8</v>
      </c>
      <c r="CD433">
        <v>8</v>
      </c>
      <c r="CE433">
        <v>8</v>
      </c>
      <c r="CF433">
        <v>9</v>
      </c>
      <c r="CG433">
        <v>10</v>
      </c>
      <c r="CH433">
        <v>7</v>
      </c>
      <c r="CI433">
        <v>6</v>
      </c>
      <c r="CJ433">
        <v>4</v>
      </c>
      <c r="CK433">
        <v>7</v>
      </c>
      <c r="CL433">
        <v>8</v>
      </c>
      <c r="CM433">
        <v>0</v>
      </c>
      <c r="CN433">
        <v>4</v>
      </c>
      <c r="CO433">
        <v>3</v>
      </c>
      <c r="CP433">
        <v>4</v>
      </c>
      <c r="CQ433">
        <v>5</v>
      </c>
      <c r="CR433">
        <v>2</v>
      </c>
      <c r="CS433">
        <v>1</v>
      </c>
      <c r="CT433">
        <v>4</v>
      </c>
      <c r="CU433">
        <v>6</v>
      </c>
      <c r="CV433">
        <v>10</v>
      </c>
      <c r="CW433">
        <v>8</v>
      </c>
      <c r="CX433">
        <v>4</v>
      </c>
      <c r="CY433">
        <v>6</v>
      </c>
      <c r="CZ433">
        <v>9</v>
      </c>
      <c r="DA433">
        <v>4</v>
      </c>
      <c r="DB433">
        <v>3</v>
      </c>
      <c r="DC433">
        <v>0</v>
      </c>
      <c r="DD433">
        <v>2</v>
      </c>
      <c r="DE433">
        <v>8</v>
      </c>
      <c r="DF433">
        <v>4</v>
      </c>
      <c r="DG433">
        <v>6</v>
      </c>
      <c r="DH433">
        <v>2</v>
      </c>
      <c r="DI433">
        <v>8</v>
      </c>
      <c r="DJ433">
        <v>0</v>
      </c>
      <c r="DK433">
        <v>10</v>
      </c>
    </row>
    <row r="434" spans="1:115">
      <c r="A434" s="173">
        <f>Calculations[[#This Row],[Sum t eCO2]]*IF(Calculations[[#This Row],[GHG Scope]]="BIOGENIC",0,1)</f>
        <v>6.784722748440001</v>
      </c>
      <c r="O434">
        <f t="shared" si="6"/>
        <v>433</v>
      </c>
      <c r="P434">
        <v>5</v>
      </c>
      <c r="Q434">
        <v>2</v>
      </c>
      <c r="R434">
        <v>3</v>
      </c>
      <c r="S434">
        <v>0</v>
      </c>
      <c r="T434">
        <v>2</v>
      </c>
      <c r="U434">
        <v>2</v>
      </c>
      <c r="V434">
        <v>8</v>
      </c>
      <c r="W434">
        <v>4</v>
      </c>
      <c r="X434">
        <v>5</v>
      </c>
      <c r="Y434">
        <v>10</v>
      </c>
      <c r="Z434">
        <v>6</v>
      </c>
      <c r="AA434">
        <v>4</v>
      </c>
      <c r="AB434">
        <v>2</v>
      </c>
      <c r="AC434">
        <v>4</v>
      </c>
      <c r="AD434">
        <v>9</v>
      </c>
      <c r="AE434">
        <v>2</v>
      </c>
      <c r="AF434">
        <v>9</v>
      </c>
      <c r="AG434">
        <v>6</v>
      </c>
      <c r="AH434">
        <v>8</v>
      </c>
      <c r="AI434">
        <v>3</v>
      </c>
      <c r="AJ434">
        <v>10</v>
      </c>
      <c r="AK434">
        <v>8</v>
      </c>
      <c r="AL434">
        <v>1</v>
      </c>
      <c r="AM434">
        <v>1</v>
      </c>
      <c r="AN434">
        <v>3</v>
      </c>
      <c r="AO434">
        <v>5</v>
      </c>
      <c r="AP434">
        <v>4</v>
      </c>
      <c r="AQ434">
        <v>5</v>
      </c>
      <c r="AR434">
        <v>10</v>
      </c>
      <c r="AS434">
        <v>7</v>
      </c>
      <c r="AT434">
        <v>0</v>
      </c>
      <c r="AU434">
        <v>6</v>
      </c>
      <c r="AV434">
        <v>6</v>
      </c>
      <c r="AW434">
        <v>6</v>
      </c>
      <c r="AX434">
        <v>8</v>
      </c>
      <c r="AY434">
        <v>4</v>
      </c>
      <c r="AZ434">
        <v>6</v>
      </c>
      <c r="BA434">
        <v>9</v>
      </c>
      <c r="BB434">
        <v>3</v>
      </c>
      <c r="BC434">
        <v>6</v>
      </c>
      <c r="BD434">
        <v>8</v>
      </c>
      <c r="BE434">
        <v>7</v>
      </c>
      <c r="BF434">
        <v>7</v>
      </c>
      <c r="BG434">
        <v>10</v>
      </c>
      <c r="BH434">
        <v>8</v>
      </c>
      <c r="BI434">
        <v>6</v>
      </c>
      <c r="BJ434">
        <v>1</v>
      </c>
      <c r="BK434">
        <v>4</v>
      </c>
      <c r="BL434">
        <v>0</v>
      </c>
      <c r="BM434">
        <v>1</v>
      </c>
      <c r="BN434">
        <v>9</v>
      </c>
      <c r="BO434">
        <v>10</v>
      </c>
      <c r="BP434">
        <v>7</v>
      </c>
      <c r="BQ434">
        <v>10</v>
      </c>
      <c r="BR434">
        <v>6</v>
      </c>
      <c r="BS434">
        <v>3</v>
      </c>
      <c r="BT434">
        <v>4</v>
      </c>
      <c r="BU434">
        <v>1</v>
      </c>
      <c r="BV434">
        <v>4</v>
      </c>
      <c r="BW434">
        <v>10</v>
      </c>
      <c r="BX434">
        <v>4</v>
      </c>
      <c r="BY434">
        <v>9</v>
      </c>
      <c r="BZ434">
        <v>4</v>
      </c>
      <c r="CA434">
        <v>2</v>
      </c>
      <c r="CB434">
        <v>3</v>
      </c>
      <c r="CC434">
        <v>8</v>
      </c>
      <c r="CD434">
        <v>10</v>
      </c>
      <c r="CE434">
        <v>1</v>
      </c>
      <c r="CF434">
        <v>9</v>
      </c>
      <c r="CG434">
        <v>5</v>
      </c>
      <c r="CH434">
        <v>3</v>
      </c>
      <c r="CI434">
        <v>4</v>
      </c>
      <c r="CJ434">
        <v>5</v>
      </c>
      <c r="CK434">
        <v>9</v>
      </c>
      <c r="CL434">
        <v>9</v>
      </c>
      <c r="CM434">
        <v>2</v>
      </c>
      <c r="CN434">
        <v>10</v>
      </c>
      <c r="CO434">
        <v>3</v>
      </c>
      <c r="CP434">
        <v>2</v>
      </c>
      <c r="CQ434">
        <v>2</v>
      </c>
      <c r="CR434">
        <v>8</v>
      </c>
      <c r="CS434">
        <v>10</v>
      </c>
      <c r="CT434">
        <v>2</v>
      </c>
      <c r="CU434">
        <v>7</v>
      </c>
      <c r="CV434">
        <v>0</v>
      </c>
      <c r="CW434">
        <v>2</v>
      </c>
      <c r="CX434">
        <v>8</v>
      </c>
      <c r="CY434">
        <v>3</v>
      </c>
      <c r="CZ434">
        <v>9</v>
      </c>
      <c r="DA434">
        <v>7</v>
      </c>
      <c r="DB434">
        <v>4</v>
      </c>
      <c r="DC434">
        <v>10</v>
      </c>
      <c r="DD434">
        <v>1</v>
      </c>
      <c r="DE434">
        <v>10</v>
      </c>
      <c r="DF434">
        <v>4</v>
      </c>
      <c r="DG434">
        <v>10</v>
      </c>
      <c r="DH434">
        <v>4</v>
      </c>
      <c r="DI434">
        <v>3</v>
      </c>
      <c r="DJ434">
        <v>9</v>
      </c>
      <c r="DK434">
        <v>6</v>
      </c>
    </row>
    <row r="435" spans="1:115">
      <c r="A435" s="173">
        <f>Calculations[[#This Row],[Sum t eCO2]]*IF(Calculations[[#This Row],[GHG Scope]]="BIOGENIC",0,1)</f>
        <v>585.53044975837429</v>
      </c>
      <c r="O435">
        <f t="shared" si="6"/>
        <v>434</v>
      </c>
      <c r="P435">
        <v>0</v>
      </c>
      <c r="Q435">
        <v>3</v>
      </c>
      <c r="R435">
        <v>6</v>
      </c>
      <c r="S435">
        <v>3</v>
      </c>
      <c r="T435">
        <v>10</v>
      </c>
      <c r="U435">
        <v>3</v>
      </c>
      <c r="V435">
        <v>6</v>
      </c>
      <c r="W435">
        <v>6</v>
      </c>
      <c r="X435">
        <v>7</v>
      </c>
      <c r="Y435">
        <v>4</v>
      </c>
      <c r="Z435">
        <v>6</v>
      </c>
      <c r="AA435">
        <v>0</v>
      </c>
      <c r="AB435">
        <v>6</v>
      </c>
      <c r="AC435">
        <v>8</v>
      </c>
      <c r="AD435">
        <v>10</v>
      </c>
      <c r="AE435">
        <v>10</v>
      </c>
      <c r="AF435">
        <v>5</v>
      </c>
      <c r="AG435">
        <v>10</v>
      </c>
      <c r="AH435">
        <v>3</v>
      </c>
      <c r="AI435">
        <v>1</v>
      </c>
      <c r="AJ435">
        <v>5</v>
      </c>
      <c r="AK435">
        <v>8</v>
      </c>
      <c r="AL435">
        <v>4</v>
      </c>
      <c r="AM435">
        <v>9</v>
      </c>
      <c r="AN435">
        <v>2</v>
      </c>
      <c r="AO435">
        <v>7</v>
      </c>
      <c r="AP435">
        <v>2</v>
      </c>
      <c r="AQ435">
        <v>10</v>
      </c>
      <c r="AR435">
        <v>8</v>
      </c>
      <c r="AS435">
        <v>4</v>
      </c>
      <c r="AT435">
        <v>0</v>
      </c>
      <c r="AU435">
        <v>8</v>
      </c>
      <c r="AV435">
        <v>6</v>
      </c>
      <c r="AW435">
        <v>10</v>
      </c>
      <c r="AX435">
        <v>4</v>
      </c>
      <c r="AY435">
        <v>6</v>
      </c>
      <c r="AZ435">
        <v>2</v>
      </c>
      <c r="BA435">
        <v>10</v>
      </c>
      <c r="BB435">
        <v>10</v>
      </c>
      <c r="BC435">
        <v>8</v>
      </c>
      <c r="BD435">
        <v>5</v>
      </c>
      <c r="BE435">
        <v>9</v>
      </c>
      <c r="BF435">
        <v>4</v>
      </c>
      <c r="BG435">
        <v>0</v>
      </c>
      <c r="BH435">
        <v>9</v>
      </c>
      <c r="BI435">
        <v>5</v>
      </c>
      <c r="BJ435">
        <v>2</v>
      </c>
      <c r="BK435">
        <v>1</v>
      </c>
      <c r="BL435">
        <v>5</v>
      </c>
      <c r="BM435">
        <v>5</v>
      </c>
      <c r="BN435">
        <v>4</v>
      </c>
      <c r="BO435">
        <v>8</v>
      </c>
      <c r="BP435">
        <v>9</v>
      </c>
      <c r="BQ435">
        <v>10</v>
      </c>
      <c r="BR435">
        <v>5</v>
      </c>
      <c r="BS435">
        <v>2</v>
      </c>
      <c r="BT435">
        <v>2</v>
      </c>
      <c r="BU435">
        <v>10</v>
      </c>
      <c r="BV435">
        <v>8</v>
      </c>
      <c r="BW435">
        <v>3</v>
      </c>
      <c r="BX435">
        <v>2</v>
      </c>
      <c r="BY435">
        <v>9</v>
      </c>
      <c r="BZ435">
        <v>10</v>
      </c>
      <c r="CA435">
        <v>4</v>
      </c>
      <c r="CB435">
        <v>1</v>
      </c>
      <c r="CC435">
        <v>10</v>
      </c>
      <c r="CD435">
        <v>6</v>
      </c>
      <c r="CE435">
        <v>8</v>
      </c>
      <c r="CF435">
        <v>6</v>
      </c>
      <c r="CG435">
        <v>4</v>
      </c>
      <c r="CH435">
        <v>10</v>
      </c>
      <c r="CI435">
        <v>0</v>
      </c>
      <c r="CJ435">
        <v>10</v>
      </c>
      <c r="CK435">
        <v>7</v>
      </c>
      <c r="CL435">
        <v>4</v>
      </c>
      <c r="CM435">
        <v>5</v>
      </c>
      <c r="CN435">
        <v>3</v>
      </c>
      <c r="CO435">
        <v>6</v>
      </c>
      <c r="CP435">
        <v>0</v>
      </c>
      <c r="CQ435">
        <v>6</v>
      </c>
      <c r="CR435">
        <v>3</v>
      </c>
      <c r="CS435">
        <v>10</v>
      </c>
      <c r="CT435">
        <v>4</v>
      </c>
      <c r="CU435">
        <v>9</v>
      </c>
      <c r="CV435">
        <v>7</v>
      </c>
      <c r="CW435">
        <v>5</v>
      </c>
      <c r="CX435">
        <v>5</v>
      </c>
      <c r="CY435">
        <v>5</v>
      </c>
      <c r="CZ435">
        <v>1</v>
      </c>
      <c r="DA435">
        <v>5</v>
      </c>
      <c r="DB435">
        <v>3</v>
      </c>
      <c r="DC435">
        <v>5</v>
      </c>
      <c r="DD435">
        <v>10</v>
      </c>
      <c r="DE435">
        <v>6</v>
      </c>
      <c r="DF435">
        <v>10</v>
      </c>
      <c r="DG435">
        <v>6</v>
      </c>
      <c r="DH435">
        <v>6</v>
      </c>
      <c r="DI435">
        <v>9</v>
      </c>
      <c r="DJ435">
        <v>0</v>
      </c>
      <c r="DK435">
        <v>9</v>
      </c>
    </row>
    <row r="436" spans="1:115">
      <c r="A436" s="173">
        <f>Calculations[[#This Row],[Sum t eCO2]]*IF(Calculations[[#This Row],[GHG Scope]]="BIOGENIC",0,1)</f>
        <v>4.5721432800000006</v>
      </c>
      <c r="O436">
        <f t="shared" si="6"/>
        <v>435</v>
      </c>
      <c r="P436">
        <v>1</v>
      </c>
      <c r="Q436">
        <v>10</v>
      </c>
      <c r="R436">
        <v>9</v>
      </c>
      <c r="S436">
        <v>2</v>
      </c>
      <c r="T436">
        <v>7</v>
      </c>
      <c r="U436">
        <v>4</v>
      </c>
      <c r="V436">
        <v>0</v>
      </c>
      <c r="W436">
        <v>2</v>
      </c>
      <c r="X436">
        <v>0</v>
      </c>
      <c r="Y436">
        <v>7</v>
      </c>
      <c r="Z436">
        <v>7</v>
      </c>
      <c r="AA436">
        <v>7</v>
      </c>
      <c r="AB436">
        <v>9</v>
      </c>
      <c r="AC436">
        <v>3</v>
      </c>
      <c r="AD436">
        <v>1</v>
      </c>
      <c r="AE436">
        <v>0</v>
      </c>
      <c r="AF436">
        <v>7</v>
      </c>
      <c r="AG436">
        <v>7</v>
      </c>
      <c r="AH436">
        <v>10</v>
      </c>
      <c r="AI436">
        <v>5</v>
      </c>
      <c r="AJ436">
        <v>8</v>
      </c>
      <c r="AK436">
        <v>10</v>
      </c>
      <c r="AL436">
        <v>3</v>
      </c>
      <c r="AM436">
        <v>10</v>
      </c>
      <c r="AN436">
        <v>7</v>
      </c>
      <c r="AO436">
        <v>2</v>
      </c>
      <c r="AP436">
        <v>0</v>
      </c>
      <c r="AQ436">
        <v>0</v>
      </c>
      <c r="AR436">
        <v>4</v>
      </c>
      <c r="AS436">
        <v>8</v>
      </c>
      <c r="AT436">
        <v>7</v>
      </c>
      <c r="AU436">
        <v>9</v>
      </c>
      <c r="AV436">
        <v>10</v>
      </c>
      <c r="AW436">
        <v>9</v>
      </c>
      <c r="AX436">
        <v>6</v>
      </c>
      <c r="AY436">
        <v>10</v>
      </c>
      <c r="AZ436">
        <v>1</v>
      </c>
      <c r="BA436">
        <v>9</v>
      </c>
      <c r="BB436">
        <v>9</v>
      </c>
      <c r="BC436">
        <v>6</v>
      </c>
      <c r="BD436">
        <v>10</v>
      </c>
      <c r="BE436">
        <v>3</v>
      </c>
      <c r="BF436">
        <v>3</v>
      </c>
      <c r="BG436">
        <v>1</v>
      </c>
      <c r="BH436">
        <v>8</v>
      </c>
      <c r="BI436">
        <v>4</v>
      </c>
      <c r="BJ436">
        <v>5</v>
      </c>
      <c r="BK436">
        <v>0</v>
      </c>
      <c r="BL436">
        <v>8</v>
      </c>
      <c r="BM436">
        <v>0</v>
      </c>
      <c r="BN436">
        <v>1</v>
      </c>
      <c r="BO436">
        <v>10</v>
      </c>
      <c r="BP436">
        <v>9</v>
      </c>
      <c r="BQ436">
        <v>3</v>
      </c>
      <c r="BR436">
        <v>8</v>
      </c>
      <c r="BS436">
        <v>6</v>
      </c>
      <c r="BT436">
        <v>10</v>
      </c>
      <c r="BU436">
        <v>1</v>
      </c>
      <c r="BV436">
        <v>1</v>
      </c>
      <c r="BW436">
        <v>5</v>
      </c>
      <c r="BX436">
        <v>4</v>
      </c>
      <c r="BY436">
        <v>4</v>
      </c>
      <c r="BZ436">
        <v>1</v>
      </c>
      <c r="CA436">
        <v>6</v>
      </c>
      <c r="CB436">
        <v>4</v>
      </c>
      <c r="CC436">
        <v>3</v>
      </c>
      <c r="CD436">
        <v>8</v>
      </c>
      <c r="CE436">
        <v>1</v>
      </c>
      <c r="CF436">
        <v>7</v>
      </c>
      <c r="CG436">
        <v>8</v>
      </c>
      <c r="CH436">
        <v>0</v>
      </c>
      <c r="CI436">
        <v>10</v>
      </c>
      <c r="CJ436">
        <v>2</v>
      </c>
      <c r="CK436">
        <v>6</v>
      </c>
      <c r="CL436">
        <v>6</v>
      </c>
      <c r="CM436">
        <v>8</v>
      </c>
      <c r="CN436">
        <v>8</v>
      </c>
      <c r="CO436">
        <v>1</v>
      </c>
      <c r="CP436">
        <v>9</v>
      </c>
      <c r="CQ436">
        <v>7</v>
      </c>
      <c r="CR436">
        <v>2</v>
      </c>
      <c r="CS436">
        <v>5</v>
      </c>
      <c r="CT436">
        <v>7</v>
      </c>
      <c r="CU436">
        <v>7</v>
      </c>
      <c r="CV436">
        <v>9</v>
      </c>
      <c r="CW436">
        <v>1</v>
      </c>
      <c r="CX436">
        <v>4</v>
      </c>
      <c r="CY436">
        <v>8</v>
      </c>
      <c r="CZ436">
        <v>3</v>
      </c>
      <c r="DA436">
        <v>8</v>
      </c>
      <c r="DB436">
        <v>10</v>
      </c>
      <c r="DC436">
        <v>6</v>
      </c>
      <c r="DD436">
        <v>2</v>
      </c>
      <c r="DE436">
        <v>8</v>
      </c>
      <c r="DF436">
        <v>4</v>
      </c>
      <c r="DG436">
        <v>6</v>
      </c>
      <c r="DH436">
        <v>4</v>
      </c>
      <c r="DI436">
        <v>10</v>
      </c>
      <c r="DJ436">
        <v>6</v>
      </c>
      <c r="DK436">
        <v>8</v>
      </c>
    </row>
    <row r="437" spans="1:115">
      <c r="A437" s="173">
        <f>Calculations[[#This Row],[Sum t eCO2]]*IF(Calculations[[#This Row],[GHG Scope]]="BIOGENIC",0,1)</f>
        <v>95.826908020000005</v>
      </c>
      <c r="O437">
        <f t="shared" si="6"/>
        <v>436</v>
      </c>
      <c r="P437">
        <v>4</v>
      </c>
      <c r="Q437">
        <v>4</v>
      </c>
      <c r="R437">
        <v>7</v>
      </c>
      <c r="S437">
        <v>7</v>
      </c>
      <c r="T437">
        <v>6</v>
      </c>
      <c r="U437">
        <v>3</v>
      </c>
      <c r="V437">
        <v>6</v>
      </c>
      <c r="W437">
        <v>2</v>
      </c>
      <c r="X437">
        <v>8</v>
      </c>
      <c r="Y437">
        <v>7</v>
      </c>
      <c r="Z437">
        <v>5</v>
      </c>
      <c r="AA437">
        <v>1</v>
      </c>
      <c r="AB437">
        <v>7</v>
      </c>
      <c r="AC437">
        <v>8</v>
      </c>
      <c r="AD437">
        <v>9</v>
      </c>
      <c r="AE437">
        <v>8</v>
      </c>
      <c r="AF437">
        <v>2</v>
      </c>
      <c r="AG437">
        <v>3</v>
      </c>
      <c r="AH437">
        <v>4</v>
      </c>
      <c r="AI437">
        <v>2</v>
      </c>
      <c r="AJ437">
        <v>9</v>
      </c>
      <c r="AK437">
        <v>10</v>
      </c>
      <c r="AL437">
        <v>1</v>
      </c>
      <c r="AM437">
        <v>8</v>
      </c>
      <c r="AN437">
        <v>2</v>
      </c>
      <c r="AO437">
        <v>3</v>
      </c>
      <c r="AP437">
        <v>10</v>
      </c>
      <c r="AQ437">
        <v>7</v>
      </c>
      <c r="AR437">
        <v>4</v>
      </c>
      <c r="AS437">
        <v>3</v>
      </c>
      <c r="AT437">
        <v>7</v>
      </c>
      <c r="AU437">
        <v>3</v>
      </c>
      <c r="AV437">
        <v>1</v>
      </c>
      <c r="AW437">
        <v>5</v>
      </c>
      <c r="AX437">
        <v>0</v>
      </c>
      <c r="AY437">
        <v>3</v>
      </c>
      <c r="AZ437">
        <v>4</v>
      </c>
      <c r="BA437">
        <v>10</v>
      </c>
      <c r="BB437">
        <v>0</v>
      </c>
      <c r="BC437">
        <v>5</v>
      </c>
      <c r="BD437">
        <v>8</v>
      </c>
      <c r="BE437">
        <v>1</v>
      </c>
      <c r="BF437">
        <v>0</v>
      </c>
      <c r="BG437">
        <v>1</v>
      </c>
      <c r="BH437">
        <v>9</v>
      </c>
      <c r="BI437">
        <v>4</v>
      </c>
      <c r="BJ437">
        <v>1</v>
      </c>
      <c r="BK437">
        <v>0</v>
      </c>
      <c r="BL437">
        <v>5</v>
      </c>
      <c r="BM437">
        <v>0</v>
      </c>
      <c r="BN437">
        <v>1</v>
      </c>
      <c r="BO437">
        <v>6</v>
      </c>
      <c r="BP437">
        <v>7</v>
      </c>
      <c r="BQ437">
        <v>1</v>
      </c>
      <c r="BR437">
        <v>9</v>
      </c>
      <c r="BS437">
        <v>6</v>
      </c>
      <c r="BT437">
        <v>9</v>
      </c>
      <c r="BU437">
        <v>8</v>
      </c>
      <c r="BV437">
        <v>1</v>
      </c>
      <c r="BW437">
        <v>9</v>
      </c>
      <c r="BX437">
        <v>3</v>
      </c>
      <c r="BY437">
        <v>5</v>
      </c>
      <c r="BZ437">
        <v>4</v>
      </c>
      <c r="CA437">
        <v>2</v>
      </c>
      <c r="CB437">
        <v>9</v>
      </c>
      <c r="CC437">
        <v>6</v>
      </c>
      <c r="CD437">
        <v>4</v>
      </c>
      <c r="CE437">
        <v>10</v>
      </c>
      <c r="CF437">
        <v>1</v>
      </c>
      <c r="CG437">
        <v>2</v>
      </c>
      <c r="CH437">
        <v>7</v>
      </c>
      <c r="CI437">
        <v>3</v>
      </c>
      <c r="CJ437">
        <v>6</v>
      </c>
      <c r="CK437">
        <v>3</v>
      </c>
      <c r="CL437">
        <v>1</v>
      </c>
      <c r="CM437">
        <v>1</v>
      </c>
      <c r="CN437">
        <v>10</v>
      </c>
      <c r="CO437">
        <v>7</v>
      </c>
      <c r="CP437">
        <v>6</v>
      </c>
      <c r="CQ437">
        <v>10</v>
      </c>
      <c r="CR437">
        <v>9</v>
      </c>
      <c r="CS437">
        <v>8</v>
      </c>
      <c r="CT437">
        <v>2</v>
      </c>
      <c r="CU437">
        <v>10</v>
      </c>
      <c r="CV437">
        <v>2</v>
      </c>
      <c r="CW437">
        <v>10</v>
      </c>
      <c r="CX437">
        <v>8</v>
      </c>
      <c r="CY437">
        <v>8</v>
      </c>
      <c r="CZ437">
        <v>9</v>
      </c>
      <c r="DA437">
        <v>4</v>
      </c>
      <c r="DB437">
        <v>6</v>
      </c>
      <c r="DC437">
        <v>3</v>
      </c>
      <c r="DD437">
        <v>8</v>
      </c>
      <c r="DE437">
        <v>8</v>
      </c>
      <c r="DF437">
        <v>4</v>
      </c>
      <c r="DG437">
        <v>4</v>
      </c>
      <c r="DH437">
        <v>2</v>
      </c>
      <c r="DI437">
        <v>5</v>
      </c>
      <c r="DJ437">
        <v>4</v>
      </c>
      <c r="DK437">
        <v>5</v>
      </c>
    </row>
    <row r="438" spans="1:115">
      <c r="A438" s="173">
        <f>Calculations[[#This Row],[Sum t eCO2]]*IF(Calculations[[#This Row],[GHG Scope]]="BIOGENIC",0,1)</f>
        <v>1.3977001817999999</v>
      </c>
      <c r="O438">
        <f t="shared" si="6"/>
        <v>437</v>
      </c>
      <c r="P438">
        <v>8</v>
      </c>
      <c r="Q438">
        <v>2</v>
      </c>
      <c r="R438">
        <v>9</v>
      </c>
      <c r="S438">
        <v>3</v>
      </c>
      <c r="T438">
        <v>0</v>
      </c>
      <c r="U438">
        <v>2</v>
      </c>
      <c r="V438">
        <v>5</v>
      </c>
      <c r="W438">
        <v>9</v>
      </c>
      <c r="X438">
        <v>2</v>
      </c>
      <c r="Y438">
        <v>0</v>
      </c>
      <c r="Z438">
        <v>6</v>
      </c>
      <c r="AA438">
        <v>6</v>
      </c>
      <c r="AB438">
        <v>10</v>
      </c>
      <c r="AC438">
        <v>5</v>
      </c>
      <c r="AD438">
        <v>8</v>
      </c>
      <c r="AE438">
        <v>4</v>
      </c>
      <c r="AF438">
        <v>9</v>
      </c>
      <c r="AG438">
        <v>0</v>
      </c>
      <c r="AH438">
        <v>4</v>
      </c>
      <c r="AI438">
        <v>4</v>
      </c>
      <c r="AJ438">
        <v>6</v>
      </c>
      <c r="AK438">
        <v>9</v>
      </c>
      <c r="AL438">
        <v>5</v>
      </c>
      <c r="AM438">
        <v>5</v>
      </c>
      <c r="AN438">
        <v>10</v>
      </c>
      <c r="AO438">
        <v>8</v>
      </c>
      <c r="AP438">
        <v>1</v>
      </c>
      <c r="AQ438">
        <v>5</v>
      </c>
      <c r="AR438">
        <v>6</v>
      </c>
      <c r="AS438">
        <v>10</v>
      </c>
      <c r="AT438">
        <v>0</v>
      </c>
      <c r="AU438">
        <v>5</v>
      </c>
      <c r="AV438">
        <v>3</v>
      </c>
      <c r="AW438">
        <v>9</v>
      </c>
      <c r="AX438">
        <v>9</v>
      </c>
      <c r="AY438">
        <v>7</v>
      </c>
      <c r="AZ438">
        <v>5</v>
      </c>
      <c r="BA438">
        <v>1</v>
      </c>
      <c r="BB438">
        <v>2</v>
      </c>
      <c r="BC438">
        <v>9</v>
      </c>
      <c r="BD438">
        <v>9</v>
      </c>
      <c r="BE438">
        <v>2</v>
      </c>
      <c r="BF438">
        <v>7</v>
      </c>
      <c r="BG438">
        <v>3</v>
      </c>
      <c r="BH438">
        <v>5</v>
      </c>
      <c r="BI438">
        <v>9</v>
      </c>
      <c r="BJ438">
        <v>10</v>
      </c>
      <c r="BK438">
        <v>10</v>
      </c>
      <c r="BL438">
        <v>2</v>
      </c>
      <c r="BM438">
        <v>1</v>
      </c>
      <c r="BN438">
        <v>9</v>
      </c>
      <c r="BO438">
        <v>3</v>
      </c>
      <c r="BP438">
        <v>10</v>
      </c>
      <c r="BQ438">
        <v>7</v>
      </c>
      <c r="BR438">
        <v>10</v>
      </c>
      <c r="BS438">
        <v>6</v>
      </c>
      <c r="BT438">
        <v>10</v>
      </c>
      <c r="BU438">
        <v>0</v>
      </c>
      <c r="BV438">
        <v>6</v>
      </c>
      <c r="BW438">
        <v>6</v>
      </c>
      <c r="BX438">
        <v>9</v>
      </c>
      <c r="BY438">
        <v>0</v>
      </c>
      <c r="BZ438">
        <v>0</v>
      </c>
      <c r="CA438">
        <v>2</v>
      </c>
      <c r="CB438">
        <v>7</v>
      </c>
      <c r="CC438">
        <v>0</v>
      </c>
      <c r="CD438">
        <v>6</v>
      </c>
      <c r="CE438">
        <v>6</v>
      </c>
      <c r="CF438">
        <v>4</v>
      </c>
      <c r="CG438">
        <v>7</v>
      </c>
      <c r="CH438">
        <v>1</v>
      </c>
      <c r="CI438">
        <v>6</v>
      </c>
      <c r="CJ438">
        <v>9</v>
      </c>
      <c r="CK438">
        <v>2</v>
      </c>
      <c r="CL438">
        <v>6</v>
      </c>
      <c r="CM438">
        <v>4</v>
      </c>
      <c r="CN438">
        <v>7</v>
      </c>
      <c r="CO438">
        <v>6</v>
      </c>
      <c r="CP438">
        <v>1</v>
      </c>
      <c r="CQ438">
        <v>10</v>
      </c>
      <c r="CR438">
        <v>3</v>
      </c>
      <c r="CS438">
        <v>9</v>
      </c>
      <c r="CT438">
        <v>0</v>
      </c>
      <c r="CU438">
        <v>9</v>
      </c>
      <c r="CV438">
        <v>7</v>
      </c>
      <c r="CW438">
        <v>2</v>
      </c>
      <c r="CX438">
        <v>3</v>
      </c>
      <c r="CY438">
        <v>9</v>
      </c>
      <c r="CZ438">
        <v>0</v>
      </c>
      <c r="DA438">
        <v>7</v>
      </c>
      <c r="DB438">
        <v>1</v>
      </c>
      <c r="DC438">
        <v>3</v>
      </c>
      <c r="DD438">
        <v>3</v>
      </c>
      <c r="DE438">
        <v>6</v>
      </c>
      <c r="DF438">
        <v>10</v>
      </c>
      <c r="DG438">
        <v>9</v>
      </c>
      <c r="DH438">
        <v>3</v>
      </c>
      <c r="DI438">
        <v>0</v>
      </c>
      <c r="DJ438">
        <v>2</v>
      </c>
      <c r="DK438">
        <v>3</v>
      </c>
    </row>
    <row r="439" spans="1:115">
      <c r="A439" s="173">
        <f>Calculations[[#This Row],[Sum t eCO2]]*IF(Calculations[[#This Row],[GHG Scope]]="BIOGENIC",0,1)</f>
        <v>156.45002416056005</v>
      </c>
      <c r="O439">
        <f t="shared" si="6"/>
        <v>438</v>
      </c>
      <c r="P439">
        <v>9</v>
      </c>
      <c r="Q439">
        <v>4</v>
      </c>
      <c r="R439">
        <v>4</v>
      </c>
      <c r="S439">
        <v>10</v>
      </c>
      <c r="T439">
        <v>5</v>
      </c>
      <c r="U439">
        <v>10</v>
      </c>
      <c r="V439">
        <v>4</v>
      </c>
      <c r="W439">
        <v>9</v>
      </c>
      <c r="X439">
        <v>2</v>
      </c>
      <c r="Y439">
        <v>10</v>
      </c>
      <c r="Z439">
        <v>8</v>
      </c>
      <c r="AA439">
        <v>0</v>
      </c>
      <c r="AB439">
        <v>8</v>
      </c>
      <c r="AC439">
        <v>4</v>
      </c>
      <c r="AD439">
        <v>7</v>
      </c>
      <c r="AE439">
        <v>9</v>
      </c>
      <c r="AF439">
        <v>3</v>
      </c>
      <c r="AG439">
        <v>5</v>
      </c>
      <c r="AH439">
        <v>5</v>
      </c>
      <c r="AI439">
        <v>10</v>
      </c>
      <c r="AJ439">
        <v>5</v>
      </c>
      <c r="AK439">
        <v>9</v>
      </c>
      <c r="AL439">
        <v>10</v>
      </c>
      <c r="AM439">
        <v>4</v>
      </c>
      <c r="AN439">
        <v>0</v>
      </c>
      <c r="AO439">
        <v>1</v>
      </c>
      <c r="AP439">
        <v>4</v>
      </c>
      <c r="AQ439">
        <v>9</v>
      </c>
      <c r="AR439">
        <v>3</v>
      </c>
      <c r="AS439">
        <v>7</v>
      </c>
      <c r="AT439">
        <v>6</v>
      </c>
      <c r="AU439">
        <v>5</v>
      </c>
      <c r="AV439">
        <v>6</v>
      </c>
      <c r="AW439">
        <v>7</v>
      </c>
      <c r="AX439">
        <v>2</v>
      </c>
      <c r="AY439">
        <v>2</v>
      </c>
      <c r="AZ439">
        <v>8</v>
      </c>
      <c r="BA439">
        <v>5</v>
      </c>
      <c r="BB439">
        <v>7</v>
      </c>
      <c r="BC439">
        <v>10</v>
      </c>
      <c r="BD439">
        <v>6</v>
      </c>
      <c r="BE439">
        <v>6</v>
      </c>
      <c r="BF439">
        <v>8</v>
      </c>
      <c r="BG439">
        <v>3</v>
      </c>
      <c r="BH439">
        <v>10</v>
      </c>
      <c r="BI439">
        <v>1</v>
      </c>
      <c r="BJ439">
        <v>8</v>
      </c>
      <c r="BK439">
        <v>3</v>
      </c>
      <c r="BL439">
        <v>8</v>
      </c>
      <c r="BM439">
        <v>4</v>
      </c>
      <c r="BN439">
        <v>9</v>
      </c>
      <c r="BO439">
        <v>9</v>
      </c>
      <c r="BP439">
        <v>8</v>
      </c>
      <c r="BQ439">
        <v>2</v>
      </c>
      <c r="BR439">
        <v>6</v>
      </c>
      <c r="BS439">
        <v>7</v>
      </c>
      <c r="BT439">
        <v>2</v>
      </c>
      <c r="BU439">
        <v>10</v>
      </c>
      <c r="BV439">
        <v>2</v>
      </c>
      <c r="BW439">
        <v>7</v>
      </c>
      <c r="BX439">
        <v>4</v>
      </c>
      <c r="BY439">
        <v>2</v>
      </c>
      <c r="BZ439">
        <v>3</v>
      </c>
      <c r="CA439">
        <v>3</v>
      </c>
      <c r="CB439">
        <v>0</v>
      </c>
      <c r="CC439">
        <v>4</v>
      </c>
      <c r="CD439">
        <v>0</v>
      </c>
      <c r="CE439">
        <v>8</v>
      </c>
      <c r="CF439">
        <v>6</v>
      </c>
      <c r="CG439">
        <v>9</v>
      </c>
      <c r="CH439">
        <v>1</v>
      </c>
      <c r="CI439">
        <v>2</v>
      </c>
      <c r="CJ439">
        <v>6</v>
      </c>
      <c r="CK439">
        <v>7</v>
      </c>
      <c r="CL439">
        <v>8</v>
      </c>
      <c r="CM439">
        <v>4</v>
      </c>
      <c r="CN439">
        <v>3</v>
      </c>
      <c r="CO439">
        <v>7</v>
      </c>
      <c r="CP439">
        <v>0</v>
      </c>
      <c r="CQ439">
        <v>9</v>
      </c>
      <c r="CR439">
        <v>4</v>
      </c>
      <c r="CS439">
        <v>5</v>
      </c>
      <c r="CT439">
        <v>5</v>
      </c>
      <c r="CU439">
        <v>4</v>
      </c>
      <c r="CV439">
        <v>9</v>
      </c>
      <c r="CW439">
        <v>9</v>
      </c>
      <c r="CX439">
        <v>6</v>
      </c>
      <c r="CY439">
        <v>5</v>
      </c>
      <c r="CZ439">
        <v>7</v>
      </c>
      <c r="DA439">
        <v>3</v>
      </c>
      <c r="DB439">
        <v>0</v>
      </c>
      <c r="DC439">
        <v>10</v>
      </c>
      <c r="DD439">
        <v>9</v>
      </c>
      <c r="DE439">
        <v>7</v>
      </c>
      <c r="DF439">
        <v>10</v>
      </c>
      <c r="DG439">
        <v>0</v>
      </c>
      <c r="DH439">
        <v>6</v>
      </c>
      <c r="DI439">
        <v>0</v>
      </c>
      <c r="DJ439">
        <v>2</v>
      </c>
      <c r="DK439">
        <v>10</v>
      </c>
    </row>
    <row r="440" spans="1:115">
      <c r="A440" s="173">
        <f>Calculations[[#This Row],[Sum t eCO2]]*IF(Calculations[[#This Row],[GHG Scope]]="BIOGENIC",0,1)</f>
        <v>12.3543967365</v>
      </c>
      <c r="O440">
        <f t="shared" si="6"/>
        <v>439</v>
      </c>
      <c r="P440">
        <v>8</v>
      </c>
      <c r="Q440">
        <v>7</v>
      </c>
      <c r="R440">
        <v>7</v>
      </c>
      <c r="S440">
        <v>2</v>
      </c>
      <c r="T440">
        <v>6</v>
      </c>
      <c r="U440">
        <v>7</v>
      </c>
      <c r="V440">
        <v>10</v>
      </c>
      <c r="W440">
        <v>8</v>
      </c>
      <c r="X440">
        <v>10</v>
      </c>
      <c r="Y440">
        <v>1</v>
      </c>
      <c r="Z440">
        <v>7</v>
      </c>
      <c r="AA440">
        <v>9</v>
      </c>
      <c r="AB440">
        <v>4</v>
      </c>
      <c r="AC440">
        <v>10</v>
      </c>
      <c r="AD440">
        <v>6</v>
      </c>
      <c r="AE440">
        <v>2</v>
      </c>
      <c r="AF440">
        <v>10</v>
      </c>
      <c r="AG440">
        <v>9</v>
      </c>
      <c r="AH440">
        <v>4</v>
      </c>
      <c r="AI440">
        <v>1</v>
      </c>
      <c r="AJ440">
        <v>10</v>
      </c>
      <c r="AK440">
        <v>6</v>
      </c>
      <c r="AL440">
        <v>4</v>
      </c>
      <c r="AM440">
        <v>6</v>
      </c>
      <c r="AN440">
        <v>5</v>
      </c>
      <c r="AO440">
        <v>7</v>
      </c>
      <c r="AP440">
        <v>3</v>
      </c>
      <c r="AQ440">
        <v>4</v>
      </c>
      <c r="AR440">
        <v>10</v>
      </c>
      <c r="AS440">
        <v>0</v>
      </c>
      <c r="AT440">
        <v>2</v>
      </c>
      <c r="AU440">
        <v>9</v>
      </c>
      <c r="AV440">
        <v>7</v>
      </c>
      <c r="AW440">
        <v>9</v>
      </c>
      <c r="AX440">
        <v>10</v>
      </c>
      <c r="AY440">
        <v>6</v>
      </c>
      <c r="AZ440">
        <v>5</v>
      </c>
      <c r="BA440">
        <v>8</v>
      </c>
      <c r="BB440">
        <v>9</v>
      </c>
      <c r="BC440">
        <v>10</v>
      </c>
      <c r="BD440">
        <v>8</v>
      </c>
      <c r="BE440">
        <v>2</v>
      </c>
      <c r="BF440">
        <v>5</v>
      </c>
      <c r="BG440">
        <v>7</v>
      </c>
      <c r="BH440">
        <v>4</v>
      </c>
      <c r="BI440">
        <v>0</v>
      </c>
      <c r="BJ440">
        <v>2</v>
      </c>
      <c r="BK440">
        <v>0</v>
      </c>
      <c r="BL440">
        <v>4</v>
      </c>
      <c r="BM440">
        <v>4</v>
      </c>
      <c r="BN440">
        <v>10</v>
      </c>
      <c r="BO440">
        <v>9</v>
      </c>
      <c r="BP440">
        <v>9</v>
      </c>
      <c r="BQ440">
        <v>9</v>
      </c>
      <c r="BR440">
        <v>3</v>
      </c>
      <c r="BS440">
        <v>2</v>
      </c>
      <c r="BT440">
        <v>4</v>
      </c>
      <c r="BU440">
        <v>3</v>
      </c>
      <c r="BV440">
        <v>1</v>
      </c>
      <c r="BW440">
        <v>4</v>
      </c>
      <c r="BX440">
        <v>3</v>
      </c>
      <c r="BY440">
        <v>2</v>
      </c>
      <c r="BZ440">
        <v>0</v>
      </c>
      <c r="CA440">
        <v>9</v>
      </c>
      <c r="CB440">
        <v>5</v>
      </c>
      <c r="CC440">
        <v>10</v>
      </c>
      <c r="CD440">
        <v>7</v>
      </c>
      <c r="CE440">
        <v>10</v>
      </c>
      <c r="CF440">
        <v>2</v>
      </c>
      <c r="CG440">
        <v>10</v>
      </c>
      <c r="CH440">
        <v>10</v>
      </c>
      <c r="CI440">
        <v>9</v>
      </c>
      <c r="CJ440">
        <v>1</v>
      </c>
      <c r="CK440">
        <v>6</v>
      </c>
      <c r="CL440">
        <v>10</v>
      </c>
      <c r="CM440">
        <v>6</v>
      </c>
      <c r="CN440">
        <v>8</v>
      </c>
      <c r="CO440">
        <v>8</v>
      </c>
      <c r="CP440">
        <v>6</v>
      </c>
      <c r="CQ440">
        <v>3</v>
      </c>
      <c r="CR440">
        <v>6</v>
      </c>
      <c r="CS440">
        <v>3</v>
      </c>
      <c r="CT440">
        <v>5</v>
      </c>
      <c r="CU440">
        <v>1</v>
      </c>
      <c r="CV440">
        <v>1</v>
      </c>
      <c r="CW440">
        <v>4</v>
      </c>
      <c r="CX440">
        <v>0</v>
      </c>
      <c r="CY440">
        <v>0</v>
      </c>
      <c r="CZ440">
        <v>1</v>
      </c>
      <c r="DA440">
        <v>10</v>
      </c>
      <c r="DB440">
        <v>7</v>
      </c>
      <c r="DC440">
        <v>9</v>
      </c>
      <c r="DD440">
        <v>0</v>
      </c>
      <c r="DE440">
        <v>1</v>
      </c>
      <c r="DF440">
        <v>3</v>
      </c>
      <c r="DG440">
        <v>6</v>
      </c>
      <c r="DH440">
        <v>10</v>
      </c>
      <c r="DI440">
        <v>5</v>
      </c>
      <c r="DJ440">
        <v>7</v>
      </c>
      <c r="DK440">
        <v>1</v>
      </c>
    </row>
    <row r="441" spans="1:115">
      <c r="A441" s="173">
        <f>Calculations[[#This Row],[Sum t eCO2]]*IF(Calculations[[#This Row],[GHG Scope]]="BIOGENIC",0,1)</f>
        <v>7.3097352870000014</v>
      </c>
      <c r="O441">
        <f t="shared" si="6"/>
        <v>440</v>
      </c>
      <c r="P441">
        <v>9</v>
      </c>
      <c r="Q441">
        <v>0</v>
      </c>
      <c r="R441">
        <v>0</v>
      </c>
      <c r="S441">
        <v>4</v>
      </c>
      <c r="T441">
        <v>6</v>
      </c>
      <c r="U441">
        <v>4</v>
      </c>
      <c r="V441">
        <v>4</v>
      </c>
      <c r="W441">
        <v>8</v>
      </c>
      <c r="X441">
        <v>5</v>
      </c>
      <c r="Y441">
        <v>6</v>
      </c>
      <c r="Z441">
        <v>1</v>
      </c>
      <c r="AA441">
        <v>6</v>
      </c>
      <c r="AB441">
        <v>4</v>
      </c>
      <c r="AC441">
        <v>4</v>
      </c>
      <c r="AD441">
        <v>10</v>
      </c>
      <c r="AE441">
        <v>7</v>
      </c>
      <c r="AF441">
        <v>2</v>
      </c>
      <c r="AG441">
        <v>8</v>
      </c>
      <c r="AH441">
        <v>0</v>
      </c>
      <c r="AI441">
        <v>7</v>
      </c>
      <c r="AJ441">
        <v>8</v>
      </c>
      <c r="AK441">
        <v>9</v>
      </c>
      <c r="AL441">
        <v>5</v>
      </c>
      <c r="AM441">
        <v>7</v>
      </c>
      <c r="AN441">
        <v>9</v>
      </c>
      <c r="AO441">
        <v>2</v>
      </c>
      <c r="AP441">
        <v>4</v>
      </c>
      <c r="AQ441">
        <v>1</v>
      </c>
      <c r="AR441">
        <v>2</v>
      </c>
      <c r="AS441">
        <v>3</v>
      </c>
      <c r="AT441">
        <v>5</v>
      </c>
      <c r="AU441">
        <v>5</v>
      </c>
      <c r="AV441">
        <v>0</v>
      </c>
      <c r="AW441">
        <v>0</v>
      </c>
      <c r="AX441">
        <v>2</v>
      </c>
      <c r="AY441">
        <v>2</v>
      </c>
      <c r="AZ441">
        <v>9</v>
      </c>
      <c r="BA441">
        <v>2</v>
      </c>
      <c r="BB441">
        <v>5</v>
      </c>
      <c r="BC441">
        <v>3</v>
      </c>
      <c r="BD441">
        <v>4</v>
      </c>
      <c r="BE441">
        <v>0</v>
      </c>
      <c r="BF441">
        <v>2</v>
      </c>
      <c r="BG441">
        <v>10</v>
      </c>
      <c r="BH441">
        <v>2</v>
      </c>
      <c r="BI441">
        <v>4</v>
      </c>
      <c r="BJ441">
        <v>8</v>
      </c>
      <c r="BK441">
        <v>5</v>
      </c>
      <c r="BL441">
        <v>3</v>
      </c>
      <c r="BM441">
        <v>0</v>
      </c>
      <c r="BN441">
        <v>3</v>
      </c>
      <c r="BO441">
        <v>10</v>
      </c>
      <c r="BP441">
        <v>9</v>
      </c>
      <c r="BQ441">
        <v>0</v>
      </c>
      <c r="BR441">
        <v>9</v>
      </c>
      <c r="BS441">
        <v>4</v>
      </c>
      <c r="BT441">
        <v>5</v>
      </c>
      <c r="BU441">
        <v>6</v>
      </c>
      <c r="BV441">
        <v>6</v>
      </c>
      <c r="BW441">
        <v>10</v>
      </c>
      <c r="BX441">
        <v>2</v>
      </c>
      <c r="BY441">
        <v>4</v>
      </c>
      <c r="BZ441">
        <v>10</v>
      </c>
      <c r="CA441">
        <v>8</v>
      </c>
      <c r="CB441">
        <v>3</v>
      </c>
      <c r="CC441">
        <v>6</v>
      </c>
      <c r="CD441">
        <v>9</v>
      </c>
      <c r="CE441">
        <v>9</v>
      </c>
      <c r="CF441">
        <v>4</v>
      </c>
      <c r="CG441">
        <v>4</v>
      </c>
      <c r="CH441">
        <v>2</v>
      </c>
      <c r="CI441">
        <v>2</v>
      </c>
      <c r="CJ441">
        <v>9</v>
      </c>
      <c r="CK441">
        <v>9</v>
      </c>
      <c r="CL441">
        <v>3</v>
      </c>
      <c r="CM441">
        <v>2</v>
      </c>
      <c r="CN441">
        <v>1</v>
      </c>
      <c r="CO441">
        <v>4</v>
      </c>
      <c r="CP441">
        <v>2</v>
      </c>
      <c r="CQ441">
        <v>9</v>
      </c>
      <c r="CR441">
        <v>0</v>
      </c>
      <c r="CS441">
        <v>0</v>
      </c>
      <c r="CT441">
        <v>8</v>
      </c>
      <c r="CU441">
        <v>3</v>
      </c>
      <c r="CV441">
        <v>9</v>
      </c>
      <c r="CW441">
        <v>4</v>
      </c>
      <c r="CX441">
        <v>2</v>
      </c>
      <c r="CY441">
        <v>8</v>
      </c>
      <c r="CZ441">
        <v>8</v>
      </c>
      <c r="DA441">
        <v>0</v>
      </c>
      <c r="DB441">
        <v>6</v>
      </c>
      <c r="DC441">
        <v>2</v>
      </c>
      <c r="DD441">
        <v>9</v>
      </c>
      <c r="DE441">
        <v>3</v>
      </c>
      <c r="DF441">
        <v>2</v>
      </c>
      <c r="DG441">
        <v>6</v>
      </c>
      <c r="DH441">
        <v>8</v>
      </c>
      <c r="DI441">
        <v>4</v>
      </c>
      <c r="DJ441">
        <v>10</v>
      </c>
      <c r="DK441">
        <v>3</v>
      </c>
    </row>
    <row r="442" spans="1:115">
      <c r="A442" s="173">
        <f>Calculations[[#This Row],[Sum t eCO2]]*IF(Calculations[[#This Row],[GHG Scope]]="BIOGENIC",0,1)</f>
        <v>17.024746730577597</v>
      </c>
      <c r="O442">
        <f t="shared" si="6"/>
        <v>441</v>
      </c>
      <c r="P442">
        <v>9</v>
      </c>
      <c r="Q442">
        <v>4</v>
      </c>
      <c r="R442">
        <v>3</v>
      </c>
      <c r="S442">
        <v>9</v>
      </c>
      <c r="T442">
        <v>0</v>
      </c>
      <c r="U442">
        <v>10</v>
      </c>
      <c r="V442">
        <v>6</v>
      </c>
      <c r="W442">
        <v>3</v>
      </c>
      <c r="X442">
        <v>2</v>
      </c>
      <c r="Y442">
        <v>0</v>
      </c>
      <c r="Z442">
        <v>0</v>
      </c>
      <c r="AA442">
        <v>5</v>
      </c>
      <c r="AB442">
        <v>4</v>
      </c>
      <c r="AC442">
        <v>4</v>
      </c>
      <c r="AD442">
        <v>9</v>
      </c>
      <c r="AE442">
        <v>2</v>
      </c>
      <c r="AF442">
        <v>2</v>
      </c>
      <c r="AG442">
        <v>6</v>
      </c>
      <c r="AH442">
        <v>7</v>
      </c>
      <c r="AI442">
        <v>1</v>
      </c>
      <c r="AJ442">
        <v>2</v>
      </c>
      <c r="AK442">
        <v>0</v>
      </c>
      <c r="AL442">
        <v>10</v>
      </c>
      <c r="AM442">
        <v>9</v>
      </c>
      <c r="AN442">
        <v>1</v>
      </c>
      <c r="AO442">
        <v>5</v>
      </c>
      <c r="AP442">
        <v>2</v>
      </c>
      <c r="AQ442">
        <v>10</v>
      </c>
      <c r="AR442">
        <v>7</v>
      </c>
      <c r="AS442">
        <v>6</v>
      </c>
      <c r="AT442">
        <v>9</v>
      </c>
      <c r="AU442">
        <v>8</v>
      </c>
      <c r="AV442">
        <v>2</v>
      </c>
      <c r="AW442">
        <v>0</v>
      </c>
      <c r="AX442">
        <v>6</v>
      </c>
      <c r="AY442">
        <v>6</v>
      </c>
      <c r="AZ442">
        <v>0</v>
      </c>
      <c r="BA442">
        <v>6</v>
      </c>
      <c r="BB442">
        <v>5</v>
      </c>
      <c r="BC442">
        <v>10</v>
      </c>
      <c r="BD442">
        <v>1</v>
      </c>
      <c r="BE442">
        <v>6</v>
      </c>
      <c r="BF442">
        <v>5</v>
      </c>
      <c r="BG442">
        <v>4</v>
      </c>
      <c r="BH442">
        <v>5</v>
      </c>
      <c r="BI442">
        <v>8</v>
      </c>
      <c r="BJ442">
        <v>3</v>
      </c>
      <c r="BK442">
        <v>3</v>
      </c>
      <c r="BL442">
        <v>8</v>
      </c>
      <c r="BM442">
        <v>9</v>
      </c>
      <c r="BN442">
        <v>7</v>
      </c>
      <c r="BO442">
        <v>8</v>
      </c>
      <c r="BP442">
        <v>0</v>
      </c>
      <c r="BQ442">
        <v>8</v>
      </c>
      <c r="BR442">
        <v>10</v>
      </c>
      <c r="BS442">
        <v>9</v>
      </c>
      <c r="BT442">
        <v>4</v>
      </c>
      <c r="BU442">
        <v>9</v>
      </c>
      <c r="BV442">
        <v>8</v>
      </c>
      <c r="BW442">
        <v>5</v>
      </c>
      <c r="BX442">
        <v>3</v>
      </c>
      <c r="BY442">
        <v>8</v>
      </c>
      <c r="BZ442">
        <v>4</v>
      </c>
      <c r="CA442">
        <v>1</v>
      </c>
      <c r="CB442">
        <v>10</v>
      </c>
      <c r="CC442">
        <v>10</v>
      </c>
      <c r="CD442">
        <v>6</v>
      </c>
      <c r="CE442">
        <v>7</v>
      </c>
      <c r="CF442">
        <v>1</v>
      </c>
      <c r="CG442">
        <v>7</v>
      </c>
      <c r="CH442">
        <v>4</v>
      </c>
      <c r="CI442">
        <v>1</v>
      </c>
      <c r="CJ442">
        <v>1</v>
      </c>
      <c r="CK442">
        <v>1</v>
      </c>
      <c r="CL442">
        <v>6</v>
      </c>
      <c r="CM442">
        <v>4</v>
      </c>
      <c r="CN442">
        <v>5</v>
      </c>
      <c r="CO442">
        <v>0</v>
      </c>
      <c r="CP442">
        <v>1</v>
      </c>
      <c r="CQ442">
        <v>7</v>
      </c>
      <c r="CR442">
        <v>7</v>
      </c>
      <c r="CS442">
        <v>0</v>
      </c>
      <c r="CT442">
        <v>7</v>
      </c>
      <c r="CU442">
        <v>3</v>
      </c>
      <c r="CV442">
        <v>0</v>
      </c>
      <c r="CW442">
        <v>2</v>
      </c>
      <c r="CX442">
        <v>5</v>
      </c>
      <c r="CY442">
        <v>6</v>
      </c>
      <c r="CZ442">
        <v>6</v>
      </c>
      <c r="DA442">
        <v>10</v>
      </c>
      <c r="DB442">
        <v>4</v>
      </c>
      <c r="DC442">
        <v>2</v>
      </c>
      <c r="DD442">
        <v>1</v>
      </c>
      <c r="DE442">
        <v>2</v>
      </c>
      <c r="DF442">
        <v>0</v>
      </c>
      <c r="DG442">
        <v>5</v>
      </c>
      <c r="DH442">
        <v>1</v>
      </c>
      <c r="DI442">
        <v>6</v>
      </c>
      <c r="DJ442">
        <v>2</v>
      </c>
      <c r="DK442">
        <v>6</v>
      </c>
    </row>
    <row r="443" spans="1:115">
      <c r="A443" s="173">
        <f>Calculations[[#This Row],[Sum t eCO2]]*IF(Calculations[[#This Row],[GHG Scope]]="BIOGENIC",0,1)</f>
        <v>188.09175633300001</v>
      </c>
      <c r="O443">
        <f t="shared" si="6"/>
        <v>442</v>
      </c>
      <c r="P443">
        <v>8</v>
      </c>
      <c r="Q443">
        <v>5</v>
      </c>
      <c r="R443">
        <v>7</v>
      </c>
      <c r="S443">
        <v>9</v>
      </c>
      <c r="T443">
        <v>2</v>
      </c>
      <c r="U443">
        <v>1</v>
      </c>
      <c r="V443">
        <v>1</v>
      </c>
      <c r="W443">
        <v>8</v>
      </c>
      <c r="X443">
        <v>5</v>
      </c>
      <c r="Y443">
        <v>1</v>
      </c>
      <c r="Z443">
        <v>9</v>
      </c>
      <c r="AA443">
        <v>10</v>
      </c>
      <c r="AB443">
        <v>3</v>
      </c>
      <c r="AC443">
        <v>6</v>
      </c>
      <c r="AD443">
        <v>8</v>
      </c>
      <c r="AE443">
        <v>10</v>
      </c>
      <c r="AF443">
        <v>9</v>
      </c>
      <c r="AG443">
        <v>4</v>
      </c>
      <c r="AH443">
        <v>0</v>
      </c>
      <c r="AI443">
        <v>3</v>
      </c>
      <c r="AJ443">
        <v>5</v>
      </c>
      <c r="AK443">
        <v>7</v>
      </c>
      <c r="AL443">
        <v>9</v>
      </c>
      <c r="AM443">
        <v>8</v>
      </c>
      <c r="AN443">
        <v>1</v>
      </c>
      <c r="AO443">
        <v>8</v>
      </c>
      <c r="AP443">
        <v>0</v>
      </c>
      <c r="AQ443">
        <v>1</v>
      </c>
      <c r="AR443">
        <v>10</v>
      </c>
      <c r="AS443">
        <v>2</v>
      </c>
      <c r="AT443">
        <v>2</v>
      </c>
      <c r="AU443">
        <v>5</v>
      </c>
      <c r="AV443">
        <v>3</v>
      </c>
      <c r="AW443">
        <v>1</v>
      </c>
      <c r="AX443">
        <v>2</v>
      </c>
      <c r="AY443">
        <v>10</v>
      </c>
      <c r="AZ443">
        <v>8</v>
      </c>
      <c r="BA443">
        <v>0</v>
      </c>
      <c r="BB443">
        <v>9</v>
      </c>
      <c r="BC443">
        <v>8</v>
      </c>
      <c r="BD443">
        <v>8</v>
      </c>
      <c r="BE443">
        <v>0</v>
      </c>
      <c r="BF443">
        <v>9</v>
      </c>
      <c r="BG443">
        <v>8</v>
      </c>
      <c r="BH443">
        <v>2</v>
      </c>
      <c r="BI443">
        <v>6</v>
      </c>
      <c r="BJ443">
        <v>8</v>
      </c>
      <c r="BK443">
        <v>4</v>
      </c>
      <c r="BL443">
        <v>5</v>
      </c>
      <c r="BM443">
        <v>8</v>
      </c>
      <c r="BN443">
        <v>0</v>
      </c>
      <c r="BO443">
        <v>2</v>
      </c>
      <c r="BP443">
        <v>9</v>
      </c>
      <c r="BQ443">
        <v>3</v>
      </c>
      <c r="BR443">
        <v>2</v>
      </c>
      <c r="BS443">
        <v>5</v>
      </c>
      <c r="BT443">
        <v>0</v>
      </c>
      <c r="BU443">
        <v>3</v>
      </c>
      <c r="BV443">
        <v>7</v>
      </c>
      <c r="BW443">
        <v>0</v>
      </c>
      <c r="BX443">
        <v>8</v>
      </c>
      <c r="BY443">
        <v>10</v>
      </c>
      <c r="BZ443">
        <v>10</v>
      </c>
      <c r="CA443">
        <v>2</v>
      </c>
      <c r="CB443">
        <v>5</v>
      </c>
      <c r="CC443">
        <v>10</v>
      </c>
      <c r="CD443">
        <v>4</v>
      </c>
      <c r="CE443">
        <v>5</v>
      </c>
      <c r="CF443">
        <v>4</v>
      </c>
      <c r="CG443">
        <v>10</v>
      </c>
      <c r="CH443">
        <v>9</v>
      </c>
      <c r="CI443">
        <v>4</v>
      </c>
      <c r="CJ443">
        <v>10</v>
      </c>
      <c r="CK443">
        <v>2</v>
      </c>
      <c r="CL443">
        <v>4</v>
      </c>
      <c r="CM443">
        <v>8</v>
      </c>
      <c r="CN443">
        <v>7</v>
      </c>
      <c r="CO443">
        <v>0</v>
      </c>
      <c r="CP443">
        <v>7</v>
      </c>
      <c r="CQ443">
        <v>8</v>
      </c>
      <c r="CR443">
        <v>4</v>
      </c>
      <c r="CS443">
        <v>8</v>
      </c>
      <c r="CT443">
        <v>6</v>
      </c>
      <c r="CU443">
        <v>7</v>
      </c>
      <c r="CV443">
        <v>2</v>
      </c>
      <c r="CW443">
        <v>2</v>
      </c>
      <c r="CX443">
        <v>1</v>
      </c>
      <c r="CY443">
        <v>5</v>
      </c>
      <c r="CZ443">
        <v>0</v>
      </c>
      <c r="DA443">
        <v>2</v>
      </c>
      <c r="DB443">
        <v>4</v>
      </c>
      <c r="DC443">
        <v>4</v>
      </c>
      <c r="DD443">
        <v>0</v>
      </c>
      <c r="DE443">
        <v>9</v>
      </c>
      <c r="DF443">
        <v>0</v>
      </c>
      <c r="DG443">
        <v>7</v>
      </c>
      <c r="DH443">
        <v>2</v>
      </c>
      <c r="DI443">
        <v>1</v>
      </c>
      <c r="DJ443">
        <v>8</v>
      </c>
      <c r="DK443">
        <v>8</v>
      </c>
    </row>
    <row r="444" spans="1:115">
      <c r="A444" s="173">
        <f>Calculations[[#This Row],[Sum t eCO2]]*IF(Calculations[[#This Row],[GHG Scope]]="BIOGENIC",0,1)</f>
        <v>9.8432090400000014</v>
      </c>
      <c r="O444">
        <f t="shared" si="6"/>
        <v>443</v>
      </c>
      <c r="P444">
        <v>7</v>
      </c>
      <c r="Q444">
        <v>5</v>
      </c>
      <c r="R444">
        <v>10</v>
      </c>
      <c r="S444">
        <v>8</v>
      </c>
      <c r="T444">
        <v>3</v>
      </c>
      <c r="U444">
        <v>2</v>
      </c>
      <c r="V444">
        <v>1</v>
      </c>
      <c r="W444">
        <v>2</v>
      </c>
      <c r="X444">
        <v>5</v>
      </c>
      <c r="Y444">
        <v>8</v>
      </c>
      <c r="Z444">
        <v>0</v>
      </c>
      <c r="AA444">
        <v>3</v>
      </c>
      <c r="AB444">
        <v>1</v>
      </c>
      <c r="AC444">
        <v>9</v>
      </c>
      <c r="AD444">
        <v>10</v>
      </c>
      <c r="AE444">
        <v>1</v>
      </c>
      <c r="AF444">
        <v>0</v>
      </c>
      <c r="AG444">
        <v>7</v>
      </c>
      <c r="AH444">
        <v>4</v>
      </c>
      <c r="AI444">
        <v>2</v>
      </c>
      <c r="AJ444">
        <v>5</v>
      </c>
      <c r="AK444">
        <v>6</v>
      </c>
      <c r="AL444">
        <v>6</v>
      </c>
      <c r="AM444">
        <v>10</v>
      </c>
      <c r="AN444">
        <v>9</v>
      </c>
      <c r="AO444">
        <v>3</v>
      </c>
      <c r="AP444">
        <v>0</v>
      </c>
      <c r="AQ444">
        <v>10</v>
      </c>
      <c r="AR444">
        <v>1</v>
      </c>
      <c r="AS444">
        <v>3</v>
      </c>
      <c r="AT444">
        <v>10</v>
      </c>
      <c r="AU444">
        <v>1</v>
      </c>
      <c r="AV444">
        <v>0</v>
      </c>
      <c r="AW444">
        <v>6</v>
      </c>
      <c r="AX444">
        <v>4</v>
      </c>
      <c r="AY444">
        <v>3</v>
      </c>
      <c r="AZ444">
        <v>7</v>
      </c>
      <c r="BA444">
        <v>0</v>
      </c>
      <c r="BB444">
        <v>6</v>
      </c>
      <c r="BC444">
        <v>10</v>
      </c>
      <c r="BD444">
        <v>0</v>
      </c>
      <c r="BE444">
        <v>1</v>
      </c>
      <c r="BF444">
        <v>9</v>
      </c>
      <c r="BG444">
        <v>4</v>
      </c>
      <c r="BH444">
        <v>9</v>
      </c>
      <c r="BI444">
        <v>2</v>
      </c>
      <c r="BJ444">
        <v>9</v>
      </c>
      <c r="BK444">
        <v>0</v>
      </c>
      <c r="BL444">
        <v>10</v>
      </c>
      <c r="BM444">
        <v>9</v>
      </c>
      <c r="BN444">
        <v>6</v>
      </c>
      <c r="BO444">
        <v>1</v>
      </c>
      <c r="BP444">
        <v>4</v>
      </c>
      <c r="BQ444">
        <v>7</v>
      </c>
      <c r="BR444">
        <v>1</v>
      </c>
      <c r="BS444">
        <v>1</v>
      </c>
      <c r="BT444">
        <v>0</v>
      </c>
      <c r="BU444">
        <v>4</v>
      </c>
      <c r="BV444">
        <v>9</v>
      </c>
      <c r="BW444">
        <v>3</v>
      </c>
      <c r="BX444">
        <v>8</v>
      </c>
      <c r="BY444">
        <v>6</v>
      </c>
      <c r="BZ444">
        <v>6</v>
      </c>
      <c r="CA444">
        <v>7</v>
      </c>
      <c r="CB444">
        <v>6</v>
      </c>
      <c r="CC444">
        <v>10</v>
      </c>
      <c r="CD444">
        <v>9</v>
      </c>
      <c r="CE444">
        <v>9</v>
      </c>
      <c r="CF444">
        <v>4</v>
      </c>
      <c r="CG444">
        <v>9</v>
      </c>
      <c r="CH444">
        <v>3</v>
      </c>
      <c r="CI444">
        <v>1</v>
      </c>
      <c r="CJ444">
        <v>1</v>
      </c>
      <c r="CK444">
        <v>0</v>
      </c>
      <c r="CL444">
        <v>1</v>
      </c>
      <c r="CM444">
        <v>8</v>
      </c>
      <c r="CN444">
        <v>9</v>
      </c>
      <c r="CO444">
        <v>10</v>
      </c>
      <c r="CP444">
        <v>5</v>
      </c>
      <c r="CQ444">
        <v>10</v>
      </c>
      <c r="CR444">
        <v>3</v>
      </c>
      <c r="CS444">
        <v>0</v>
      </c>
      <c r="CT444">
        <v>3</v>
      </c>
      <c r="CU444">
        <v>10</v>
      </c>
      <c r="CV444">
        <v>1</v>
      </c>
      <c r="CW444">
        <v>7</v>
      </c>
      <c r="CX444">
        <v>1</v>
      </c>
      <c r="CY444">
        <v>6</v>
      </c>
      <c r="CZ444">
        <v>9</v>
      </c>
      <c r="DA444">
        <v>10</v>
      </c>
      <c r="DB444">
        <v>10</v>
      </c>
      <c r="DC444">
        <v>7</v>
      </c>
      <c r="DD444">
        <v>10</v>
      </c>
      <c r="DE444">
        <v>5</v>
      </c>
      <c r="DF444">
        <v>0</v>
      </c>
      <c r="DG444">
        <v>6</v>
      </c>
      <c r="DH444">
        <v>10</v>
      </c>
      <c r="DI444">
        <v>8</v>
      </c>
      <c r="DJ444">
        <v>5</v>
      </c>
      <c r="DK444">
        <v>7</v>
      </c>
    </row>
    <row r="445" spans="1:115">
      <c r="A445" s="173">
        <f>Calculations[[#This Row],[Sum t eCO2]]*IF(Calculations[[#This Row],[GHG Scope]]="BIOGENIC",0,1)</f>
        <v>0.79667280000000007</v>
      </c>
      <c r="O445">
        <f t="shared" si="6"/>
        <v>444</v>
      </c>
      <c r="P445">
        <v>7</v>
      </c>
      <c r="Q445">
        <v>6</v>
      </c>
      <c r="R445">
        <v>7</v>
      </c>
      <c r="S445">
        <v>7</v>
      </c>
      <c r="T445">
        <v>7</v>
      </c>
      <c r="U445">
        <v>10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9</v>
      </c>
      <c r="AB445">
        <v>1</v>
      </c>
      <c r="AC445">
        <v>9</v>
      </c>
      <c r="AD445">
        <v>0</v>
      </c>
      <c r="AE445">
        <v>1</v>
      </c>
      <c r="AF445">
        <v>9</v>
      </c>
      <c r="AG445">
        <v>8</v>
      </c>
      <c r="AH445">
        <v>6</v>
      </c>
      <c r="AI445">
        <v>3</v>
      </c>
      <c r="AJ445">
        <v>9</v>
      </c>
      <c r="AK445">
        <v>1</v>
      </c>
      <c r="AL445">
        <v>4</v>
      </c>
      <c r="AM445">
        <v>1</v>
      </c>
      <c r="AN445">
        <v>4</v>
      </c>
      <c r="AO445">
        <v>2</v>
      </c>
      <c r="AP445">
        <v>2</v>
      </c>
      <c r="AQ445">
        <v>9</v>
      </c>
      <c r="AR445">
        <v>9</v>
      </c>
      <c r="AS445">
        <v>4</v>
      </c>
      <c r="AT445">
        <v>0</v>
      </c>
      <c r="AU445">
        <v>1</v>
      </c>
      <c r="AV445">
        <v>2</v>
      </c>
      <c r="AW445">
        <v>2</v>
      </c>
      <c r="AX445">
        <v>0</v>
      </c>
      <c r="AY445">
        <v>2</v>
      </c>
      <c r="AZ445">
        <v>1</v>
      </c>
      <c r="BA445">
        <v>9</v>
      </c>
      <c r="BB445">
        <v>8</v>
      </c>
      <c r="BC445">
        <v>5</v>
      </c>
      <c r="BD445">
        <v>8</v>
      </c>
      <c r="BE445">
        <v>4</v>
      </c>
      <c r="BF445">
        <v>9</v>
      </c>
      <c r="BG445">
        <v>6</v>
      </c>
      <c r="BH445">
        <v>8</v>
      </c>
      <c r="BI445">
        <v>7</v>
      </c>
      <c r="BJ445">
        <v>3</v>
      </c>
      <c r="BK445">
        <v>0</v>
      </c>
      <c r="BL445">
        <v>9</v>
      </c>
      <c r="BM445">
        <v>10</v>
      </c>
      <c r="BN445">
        <v>7</v>
      </c>
      <c r="BO445">
        <v>4</v>
      </c>
      <c r="BP445">
        <v>0</v>
      </c>
      <c r="BQ445">
        <v>4</v>
      </c>
      <c r="BR445">
        <v>2</v>
      </c>
      <c r="BS445">
        <v>1</v>
      </c>
      <c r="BT445">
        <v>1</v>
      </c>
      <c r="BU445">
        <v>2</v>
      </c>
      <c r="BV445">
        <v>6</v>
      </c>
      <c r="BW445">
        <v>7</v>
      </c>
      <c r="BX445">
        <v>8</v>
      </c>
      <c r="BY445">
        <v>6</v>
      </c>
      <c r="BZ445">
        <v>6</v>
      </c>
      <c r="CA445">
        <v>7</v>
      </c>
      <c r="CB445">
        <v>6</v>
      </c>
      <c r="CC445">
        <v>10</v>
      </c>
      <c r="CD445">
        <v>4</v>
      </c>
      <c r="CE445">
        <v>9</v>
      </c>
      <c r="CF445">
        <v>1</v>
      </c>
      <c r="CG445">
        <v>2</v>
      </c>
      <c r="CH445">
        <v>9</v>
      </c>
      <c r="CI445">
        <v>4</v>
      </c>
      <c r="CJ445">
        <v>5</v>
      </c>
      <c r="CK445">
        <v>3</v>
      </c>
      <c r="CL445">
        <v>8</v>
      </c>
      <c r="CM445">
        <v>6</v>
      </c>
      <c r="CN445">
        <v>6</v>
      </c>
      <c r="CO445">
        <v>9</v>
      </c>
      <c r="CP445">
        <v>2</v>
      </c>
      <c r="CQ445">
        <v>3</v>
      </c>
      <c r="CR445">
        <v>7</v>
      </c>
      <c r="CS445">
        <v>0</v>
      </c>
      <c r="CT445">
        <v>8</v>
      </c>
      <c r="CU445">
        <v>4</v>
      </c>
      <c r="CV445">
        <v>5</v>
      </c>
      <c r="CW445">
        <v>5</v>
      </c>
      <c r="CX445">
        <v>0</v>
      </c>
      <c r="CY445">
        <v>6</v>
      </c>
      <c r="CZ445">
        <v>1</v>
      </c>
      <c r="DA445">
        <v>7</v>
      </c>
      <c r="DB445">
        <v>4</v>
      </c>
      <c r="DC445">
        <v>3</v>
      </c>
      <c r="DD445">
        <v>1</v>
      </c>
      <c r="DE445">
        <v>3</v>
      </c>
      <c r="DF445">
        <v>10</v>
      </c>
      <c r="DG445">
        <v>6</v>
      </c>
      <c r="DH445">
        <v>2</v>
      </c>
      <c r="DI445">
        <v>7</v>
      </c>
      <c r="DJ445">
        <v>0</v>
      </c>
      <c r="DK445">
        <v>5</v>
      </c>
    </row>
    <row r="446" spans="1:115">
      <c r="A446" s="173">
        <f>Calculations[[#This Row],[Sum t eCO2]]*IF(Calculations[[#This Row],[GHG Scope]]="BIOGENIC",0,1)</f>
        <v>4.5703130814900002</v>
      </c>
      <c r="O446">
        <f t="shared" si="6"/>
        <v>445</v>
      </c>
      <c r="P446">
        <v>5</v>
      </c>
      <c r="Q446">
        <v>8</v>
      </c>
      <c r="R446">
        <v>10</v>
      </c>
      <c r="S446">
        <v>3</v>
      </c>
      <c r="T446">
        <v>2</v>
      </c>
      <c r="U446">
        <v>0</v>
      </c>
      <c r="V446">
        <v>7</v>
      </c>
      <c r="W446">
        <v>8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3</v>
      </c>
      <c r="AD446">
        <v>0</v>
      </c>
      <c r="AE446">
        <v>1</v>
      </c>
      <c r="AF446">
        <v>5</v>
      </c>
      <c r="AG446">
        <v>10</v>
      </c>
      <c r="AH446">
        <v>4</v>
      </c>
      <c r="AI446">
        <v>9</v>
      </c>
      <c r="AJ446">
        <v>2</v>
      </c>
      <c r="AK446">
        <v>3</v>
      </c>
      <c r="AL446">
        <v>10</v>
      </c>
      <c r="AM446">
        <v>0</v>
      </c>
      <c r="AN446">
        <v>6</v>
      </c>
      <c r="AO446">
        <v>10</v>
      </c>
      <c r="AP446">
        <v>4</v>
      </c>
      <c r="AQ446">
        <v>6</v>
      </c>
      <c r="AR446">
        <v>2</v>
      </c>
      <c r="AS446">
        <v>0</v>
      </c>
      <c r="AT446">
        <v>7</v>
      </c>
      <c r="AU446">
        <v>8</v>
      </c>
      <c r="AV446">
        <v>7</v>
      </c>
      <c r="AW446">
        <v>7</v>
      </c>
      <c r="AX446">
        <v>4</v>
      </c>
      <c r="AY446">
        <v>7</v>
      </c>
      <c r="AZ446">
        <v>1</v>
      </c>
      <c r="BA446">
        <v>9</v>
      </c>
      <c r="BB446">
        <v>1</v>
      </c>
      <c r="BC446">
        <v>2</v>
      </c>
      <c r="BD446">
        <v>7</v>
      </c>
      <c r="BE446">
        <v>4</v>
      </c>
      <c r="BF446">
        <v>8</v>
      </c>
      <c r="BG446">
        <v>10</v>
      </c>
      <c r="BH446">
        <v>7</v>
      </c>
      <c r="BI446">
        <v>3</v>
      </c>
      <c r="BJ446">
        <v>1</v>
      </c>
      <c r="BK446">
        <v>8</v>
      </c>
      <c r="BL446">
        <v>10</v>
      </c>
      <c r="BM446">
        <v>9</v>
      </c>
      <c r="BN446">
        <v>8</v>
      </c>
      <c r="BO446">
        <v>3</v>
      </c>
      <c r="BP446">
        <v>4</v>
      </c>
      <c r="BQ446">
        <v>6</v>
      </c>
      <c r="BR446">
        <v>1</v>
      </c>
      <c r="BS446">
        <v>7</v>
      </c>
      <c r="BT446">
        <v>5</v>
      </c>
      <c r="BU446">
        <v>6</v>
      </c>
      <c r="BV446">
        <v>9</v>
      </c>
      <c r="BW446">
        <v>6</v>
      </c>
      <c r="BX446">
        <v>2</v>
      </c>
      <c r="BY446">
        <v>4</v>
      </c>
      <c r="BZ446">
        <v>8</v>
      </c>
      <c r="CA446">
        <v>5</v>
      </c>
      <c r="CB446">
        <v>2</v>
      </c>
      <c r="CC446">
        <v>3</v>
      </c>
      <c r="CD446">
        <v>1</v>
      </c>
      <c r="CE446">
        <v>9</v>
      </c>
      <c r="CF446">
        <v>5</v>
      </c>
      <c r="CG446">
        <v>8</v>
      </c>
      <c r="CH446">
        <v>4</v>
      </c>
      <c r="CI446">
        <v>8</v>
      </c>
      <c r="CJ446">
        <v>2</v>
      </c>
      <c r="CK446">
        <v>1</v>
      </c>
      <c r="CL446">
        <v>0</v>
      </c>
      <c r="CM446">
        <v>1</v>
      </c>
      <c r="CN446">
        <v>2</v>
      </c>
      <c r="CO446">
        <v>7</v>
      </c>
      <c r="CP446">
        <v>5</v>
      </c>
      <c r="CQ446">
        <v>2</v>
      </c>
      <c r="CR446">
        <v>9</v>
      </c>
      <c r="CS446">
        <v>1</v>
      </c>
      <c r="CT446">
        <v>6</v>
      </c>
      <c r="CU446">
        <v>7</v>
      </c>
      <c r="CV446">
        <v>3</v>
      </c>
      <c r="CW446">
        <v>2</v>
      </c>
      <c r="CX446">
        <v>1</v>
      </c>
      <c r="CY446">
        <v>8</v>
      </c>
      <c r="CZ446">
        <v>10</v>
      </c>
      <c r="DA446">
        <v>7</v>
      </c>
      <c r="DB446">
        <v>10</v>
      </c>
      <c r="DC446">
        <v>6</v>
      </c>
      <c r="DD446">
        <v>3</v>
      </c>
      <c r="DE446">
        <v>2</v>
      </c>
      <c r="DF446">
        <v>8</v>
      </c>
      <c r="DG446">
        <v>5</v>
      </c>
      <c r="DH446">
        <v>8</v>
      </c>
      <c r="DI446">
        <v>1</v>
      </c>
      <c r="DJ446">
        <v>8</v>
      </c>
      <c r="DK446">
        <v>3</v>
      </c>
    </row>
    <row r="447" spans="1:115">
      <c r="A447" s="173">
        <f>Calculations[[#This Row],[Sum t eCO2]]*IF(Calculations[[#This Row],[GHG Scope]]="BIOGENIC",0,1)</f>
        <v>7.5053223753299996</v>
      </c>
      <c r="O447">
        <f t="shared" si="6"/>
        <v>446</v>
      </c>
      <c r="P447">
        <v>8</v>
      </c>
      <c r="Q447">
        <v>2</v>
      </c>
      <c r="R447">
        <v>2</v>
      </c>
      <c r="S447">
        <v>8</v>
      </c>
      <c r="T447">
        <v>1</v>
      </c>
      <c r="U447">
        <v>4</v>
      </c>
      <c r="V447">
        <v>5</v>
      </c>
      <c r="W447">
        <v>6</v>
      </c>
      <c r="X447">
        <v>8</v>
      </c>
      <c r="Y447">
        <v>6</v>
      </c>
      <c r="Z447">
        <v>10</v>
      </c>
      <c r="AA447">
        <v>10</v>
      </c>
      <c r="AB447">
        <v>5</v>
      </c>
      <c r="AC447">
        <v>3</v>
      </c>
      <c r="AD447">
        <v>4</v>
      </c>
      <c r="AE447">
        <v>0</v>
      </c>
      <c r="AF447">
        <v>7</v>
      </c>
      <c r="AG447">
        <v>2</v>
      </c>
      <c r="AH447">
        <v>6</v>
      </c>
      <c r="AI447">
        <v>8</v>
      </c>
      <c r="AJ447">
        <v>0</v>
      </c>
      <c r="AK447">
        <v>4</v>
      </c>
      <c r="AL447">
        <v>10</v>
      </c>
      <c r="AM447">
        <v>2</v>
      </c>
      <c r="AN447">
        <v>6</v>
      </c>
      <c r="AO447">
        <v>7</v>
      </c>
      <c r="AP447">
        <v>2</v>
      </c>
      <c r="AQ447">
        <v>0</v>
      </c>
      <c r="AR447">
        <v>9</v>
      </c>
      <c r="AS447">
        <v>1</v>
      </c>
      <c r="AT447">
        <v>9</v>
      </c>
      <c r="AU447">
        <v>7</v>
      </c>
      <c r="AV447">
        <v>3</v>
      </c>
      <c r="AW447">
        <v>1</v>
      </c>
      <c r="AX447">
        <v>9</v>
      </c>
      <c r="AY447">
        <v>4</v>
      </c>
      <c r="AZ447">
        <v>3</v>
      </c>
      <c r="BA447">
        <v>0</v>
      </c>
      <c r="BB447">
        <v>8</v>
      </c>
      <c r="BC447">
        <v>4</v>
      </c>
      <c r="BD447">
        <v>3</v>
      </c>
      <c r="BE447">
        <v>8</v>
      </c>
      <c r="BF447">
        <v>6</v>
      </c>
      <c r="BG447">
        <v>10</v>
      </c>
      <c r="BH447">
        <v>5</v>
      </c>
      <c r="BI447">
        <v>7</v>
      </c>
      <c r="BJ447">
        <v>9</v>
      </c>
      <c r="BK447">
        <v>1</v>
      </c>
      <c r="BL447">
        <v>3</v>
      </c>
      <c r="BM447">
        <v>7</v>
      </c>
      <c r="BN447">
        <v>7</v>
      </c>
      <c r="BO447">
        <v>4</v>
      </c>
      <c r="BP447">
        <v>3</v>
      </c>
      <c r="BQ447">
        <v>0</v>
      </c>
      <c r="BR447">
        <v>9</v>
      </c>
      <c r="BS447">
        <v>1</v>
      </c>
      <c r="BT447">
        <v>1</v>
      </c>
      <c r="BU447">
        <v>2</v>
      </c>
      <c r="BV447">
        <v>7</v>
      </c>
      <c r="BW447">
        <v>8</v>
      </c>
      <c r="BX447">
        <v>7</v>
      </c>
      <c r="BY447">
        <v>5</v>
      </c>
      <c r="BZ447">
        <v>2</v>
      </c>
      <c r="CA447">
        <v>6</v>
      </c>
      <c r="CB447">
        <v>7</v>
      </c>
      <c r="CC447">
        <v>10</v>
      </c>
      <c r="CD447">
        <v>0</v>
      </c>
      <c r="CE447">
        <v>1</v>
      </c>
      <c r="CF447">
        <v>9</v>
      </c>
      <c r="CG447">
        <v>3</v>
      </c>
      <c r="CH447">
        <v>10</v>
      </c>
      <c r="CI447">
        <v>2</v>
      </c>
      <c r="CJ447">
        <v>5</v>
      </c>
      <c r="CK447">
        <v>8</v>
      </c>
      <c r="CL447">
        <v>5</v>
      </c>
      <c r="CM447">
        <v>5</v>
      </c>
      <c r="CN447">
        <v>3</v>
      </c>
      <c r="CO447">
        <v>2</v>
      </c>
      <c r="CP447">
        <v>1</v>
      </c>
      <c r="CQ447">
        <v>7</v>
      </c>
      <c r="CR447">
        <v>4</v>
      </c>
      <c r="CS447">
        <v>2</v>
      </c>
      <c r="CT447">
        <v>9</v>
      </c>
      <c r="CU447">
        <v>8</v>
      </c>
      <c r="CV447">
        <v>7</v>
      </c>
      <c r="CW447">
        <v>0</v>
      </c>
      <c r="CX447">
        <v>3</v>
      </c>
      <c r="CY447">
        <v>1</v>
      </c>
      <c r="CZ447">
        <v>4</v>
      </c>
      <c r="DA447">
        <v>3</v>
      </c>
      <c r="DB447">
        <v>0</v>
      </c>
      <c r="DC447">
        <v>4</v>
      </c>
      <c r="DD447">
        <v>3</v>
      </c>
      <c r="DE447">
        <v>9</v>
      </c>
      <c r="DF447">
        <v>3</v>
      </c>
      <c r="DG447">
        <v>0</v>
      </c>
      <c r="DH447">
        <v>2</v>
      </c>
      <c r="DI447">
        <v>2</v>
      </c>
      <c r="DJ447">
        <v>3</v>
      </c>
      <c r="DK447">
        <v>1</v>
      </c>
    </row>
    <row r="448" spans="1:115">
      <c r="A448" s="173">
        <f>Calculations[[#This Row],[Sum t eCO2]]*IF(Calculations[[#This Row],[GHG Scope]]="BIOGENIC",0,1)</f>
        <v>2304.6794989400005</v>
      </c>
      <c r="O448">
        <f t="shared" si="6"/>
        <v>447</v>
      </c>
      <c r="P448">
        <v>4</v>
      </c>
      <c r="Q448">
        <v>7</v>
      </c>
      <c r="R448">
        <v>6</v>
      </c>
      <c r="S448">
        <v>9</v>
      </c>
      <c r="T448">
        <v>4</v>
      </c>
      <c r="U448">
        <v>3</v>
      </c>
      <c r="V448">
        <v>4</v>
      </c>
      <c r="W448">
        <v>6</v>
      </c>
      <c r="X448">
        <v>1</v>
      </c>
      <c r="Y448">
        <v>2</v>
      </c>
      <c r="Z448">
        <v>5</v>
      </c>
      <c r="AA448">
        <v>9</v>
      </c>
      <c r="AB448">
        <v>3</v>
      </c>
      <c r="AC448">
        <v>3</v>
      </c>
      <c r="AD448">
        <v>8</v>
      </c>
      <c r="AE448">
        <v>10</v>
      </c>
      <c r="AF448">
        <v>9</v>
      </c>
      <c r="AG448">
        <v>0</v>
      </c>
      <c r="AH448">
        <v>6</v>
      </c>
      <c r="AI448">
        <v>2</v>
      </c>
      <c r="AJ448">
        <v>10</v>
      </c>
      <c r="AK448">
        <v>7</v>
      </c>
      <c r="AL448">
        <v>0</v>
      </c>
      <c r="AM448">
        <v>0</v>
      </c>
      <c r="AN448">
        <v>7</v>
      </c>
      <c r="AO448">
        <v>3</v>
      </c>
      <c r="AP448">
        <v>5</v>
      </c>
      <c r="AQ448">
        <v>7</v>
      </c>
      <c r="AR448">
        <v>9</v>
      </c>
      <c r="AS448">
        <v>4</v>
      </c>
      <c r="AT448">
        <v>10</v>
      </c>
      <c r="AU448">
        <v>6</v>
      </c>
      <c r="AV448">
        <v>10</v>
      </c>
      <c r="AW448">
        <v>10</v>
      </c>
      <c r="AX448">
        <v>3</v>
      </c>
      <c r="AY448">
        <v>4</v>
      </c>
      <c r="AZ448">
        <v>5</v>
      </c>
      <c r="BA448">
        <v>4</v>
      </c>
      <c r="BB448">
        <v>6</v>
      </c>
      <c r="BC448">
        <v>10</v>
      </c>
      <c r="BD448">
        <v>10</v>
      </c>
      <c r="BE448">
        <v>9</v>
      </c>
      <c r="BF448">
        <v>8</v>
      </c>
      <c r="BG448">
        <v>10</v>
      </c>
      <c r="BH448">
        <v>5</v>
      </c>
      <c r="BI448">
        <v>1</v>
      </c>
      <c r="BJ448">
        <v>1</v>
      </c>
      <c r="BK448">
        <v>2</v>
      </c>
      <c r="BL448">
        <v>6</v>
      </c>
      <c r="BM448">
        <v>1</v>
      </c>
      <c r="BN448">
        <v>2</v>
      </c>
      <c r="BO448">
        <v>10</v>
      </c>
      <c r="BP448">
        <v>9</v>
      </c>
      <c r="BQ448">
        <v>9</v>
      </c>
      <c r="BR448">
        <v>7</v>
      </c>
      <c r="BS448">
        <v>7</v>
      </c>
      <c r="BT448">
        <v>5</v>
      </c>
      <c r="BU448">
        <v>1</v>
      </c>
      <c r="BV448">
        <v>4</v>
      </c>
      <c r="BW448">
        <v>10</v>
      </c>
      <c r="BX448">
        <v>9</v>
      </c>
      <c r="BY448">
        <v>4</v>
      </c>
      <c r="BZ448">
        <v>5</v>
      </c>
      <c r="CA448">
        <v>3</v>
      </c>
      <c r="CB448">
        <v>8</v>
      </c>
      <c r="CC448">
        <v>6</v>
      </c>
      <c r="CD448">
        <v>0</v>
      </c>
      <c r="CE448">
        <v>8</v>
      </c>
      <c r="CF448">
        <v>8</v>
      </c>
      <c r="CG448">
        <v>2</v>
      </c>
      <c r="CH448">
        <v>8</v>
      </c>
      <c r="CI448">
        <v>9</v>
      </c>
      <c r="CJ448">
        <v>9</v>
      </c>
      <c r="CK448">
        <v>3</v>
      </c>
      <c r="CL448">
        <v>9</v>
      </c>
      <c r="CM448">
        <v>5</v>
      </c>
      <c r="CN448">
        <v>10</v>
      </c>
      <c r="CO448">
        <v>4</v>
      </c>
      <c r="CP448">
        <v>8</v>
      </c>
      <c r="CQ448">
        <v>6</v>
      </c>
      <c r="CR448">
        <v>0</v>
      </c>
      <c r="CS448">
        <v>6</v>
      </c>
      <c r="CT448">
        <v>4</v>
      </c>
      <c r="CU448">
        <v>4</v>
      </c>
      <c r="CV448">
        <v>5</v>
      </c>
      <c r="CW448">
        <v>10</v>
      </c>
      <c r="CX448">
        <v>9</v>
      </c>
      <c r="CY448">
        <v>6</v>
      </c>
      <c r="CZ448">
        <v>6</v>
      </c>
      <c r="DA448">
        <v>2</v>
      </c>
      <c r="DB448">
        <v>4</v>
      </c>
      <c r="DC448">
        <v>2</v>
      </c>
      <c r="DD448">
        <v>7</v>
      </c>
      <c r="DE448">
        <v>9</v>
      </c>
      <c r="DF448">
        <v>6</v>
      </c>
      <c r="DG448">
        <v>6</v>
      </c>
      <c r="DH448">
        <v>10</v>
      </c>
      <c r="DI448">
        <v>0</v>
      </c>
      <c r="DJ448">
        <v>7</v>
      </c>
      <c r="DK448">
        <v>10</v>
      </c>
    </row>
    <row r="449" spans="1:115">
      <c r="A449" s="173">
        <f>Calculations[[#This Row],[Sum t eCO2]]*IF(Calculations[[#This Row],[GHG Scope]]="BIOGENIC",0,1)</f>
        <v>2.0484122513400003</v>
      </c>
      <c r="O449">
        <f t="shared" si="6"/>
        <v>448</v>
      </c>
      <c r="P449">
        <v>10</v>
      </c>
      <c r="Q449">
        <v>7</v>
      </c>
      <c r="R449">
        <v>2</v>
      </c>
      <c r="S449">
        <v>9</v>
      </c>
      <c r="T449">
        <v>4</v>
      </c>
      <c r="U449">
        <v>8</v>
      </c>
      <c r="V449">
        <v>1</v>
      </c>
      <c r="W449">
        <v>5</v>
      </c>
      <c r="X449">
        <v>5</v>
      </c>
      <c r="Y449">
        <v>3</v>
      </c>
      <c r="Z449">
        <v>7</v>
      </c>
      <c r="AA449">
        <v>5</v>
      </c>
      <c r="AB449">
        <v>7</v>
      </c>
      <c r="AC449">
        <v>7</v>
      </c>
      <c r="AD449">
        <v>10</v>
      </c>
      <c r="AE449">
        <v>2</v>
      </c>
      <c r="AF449">
        <v>4</v>
      </c>
      <c r="AG449">
        <v>8</v>
      </c>
      <c r="AH449">
        <v>8</v>
      </c>
      <c r="AI449">
        <v>0</v>
      </c>
      <c r="AJ449">
        <v>4</v>
      </c>
      <c r="AK449">
        <v>9</v>
      </c>
      <c r="AL449">
        <v>5</v>
      </c>
      <c r="AM449">
        <v>1</v>
      </c>
      <c r="AN449">
        <v>9</v>
      </c>
      <c r="AO449">
        <v>0</v>
      </c>
      <c r="AP449">
        <v>2</v>
      </c>
      <c r="AQ449">
        <v>8</v>
      </c>
      <c r="AR449">
        <v>1</v>
      </c>
      <c r="AS449">
        <v>1</v>
      </c>
      <c r="AT449">
        <v>8</v>
      </c>
      <c r="AU449">
        <v>1</v>
      </c>
      <c r="AV449">
        <v>8</v>
      </c>
      <c r="AW449">
        <v>0</v>
      </c>
      <c r="AX449">
        <v>4</v>
      </c>
      <c r="AY449">
        <v>4</v>
      </c>
      <c r="AZ449">
        <v>1</v>
      </c>
      <c r="BA449">
        <v>7</v>
      </c>
      <c r="BB449">
        <v>1</v>
      </c>
      <c r="BC449">
        <v>6</v>
      </c>
      <c r="BD449">
        <v>7</v>
      </c>
      <c r="BE449">
        <v>5</v>
      </c>
      <c r="BF449">
        <v>4</v>
      </c>
      <c r="BG449">
        <v>8</v>
      </c>
      <c r="BH449">
        <v>8</v>
      </c>
      <c r="BI449">
        <v>1</v>
      </c>
      <c r="BJ449">
        <v>6</v>
      </c>
      <c r="BK449">
        <v>3</v>
      </c>
      <c r="BL449">
        <v>3</v>
      </c>
      <c r="BM449">
        <v>9</v>
      </c>
      <c r="BN449">
        <v>3</v>
      </c>
      <c r="BO449">
        <v>0</v>
      </c>
      <c r="BP449">
        <v>5</v>
      </c>
      <c r="BQ449">
        <v>1</v>
      </c>
      <c r="BR449">
        <v>8</v>
      </c>
      <c r="BS449">
        <v>2</v>
      </c>
      <c r="BT449">
        <v>3</v>
      </c>
      <c r="BU449">
        <v>4</v>
      </c>
      <c r="BV449">
        <v>3</v>
      </c>
      <c r="BW449">
        <v>8</v>
      </c>
      <c r="BX449">
        <v>10</v>
      </c>
      <c r="BY449">
        <v>5</v>
      </c>
      <c r="BZ449">
        <v>4</v>
      </c>
      <c r="CA449">
        <v>3</v>
      </c>
      <c r="CB449">
        <v>0</v>
      </c>
      <c r="CC449">
        <v>5</v>
      </c>
      <c r="CD449">
        <v>7</v>
      </c>
      <c r="CE449">
        <v>0</v>
      </c>
      <c r="CF449">
        <v>7</v>
      </c>
      <c r="CG449">
        <v>4</v>
      </c>
      <c r="CH449">
        <v>6</v>
      </c>
      <c r="CI449">
        <v>10</v>
      </c>
      <c r="CJ449">
        <v>10</v>
      </c>
      <c r="CK449">
        <v>5</v>
      </c>
      <c r="CL449">
        <v>10</v>
      </c>
      <c r="CM449">
        <v>2</v>
      </c>
      <c r="CN449">
        <v>2</v>
      </c>
      <c r="CO449">
        <v>1</v>
      </c>
      <c r="CP449">
        <v>9</v>
      </c>
      <c r="CQ449">
        <v>4</v>
      </c>
      <c r="CR449">
        <v>10</v>
      </c>
      <c r="CS449">
        <v>5</v>
      </c>
      <c r="CT449">
        <v>10</v>
      </c>
      <c r="CU449">
        <v>10</v>
      </c>
      <c r="CV449">
        <v>2</v>
      </c>
      <c r="CW449">
        <v>2</v>
      </c>
      <c r="CX449">
        <v>6</v>
      </c>
      <c r="CY449">
        <v>3</v>
      </c>
      <c r="CZ449">
        <v>10</v>
      </c>
      <c r="DA449">
        <v>1</v>
      </c>
      <c r="DB449">
        <v>2</v>
      </c>
      <c r="DC449">
        <v>8</v>
      </c>
      <c r="DD449">
        <v>0</v>
      </c>
      <c r="DE449">
        <v>5</v>
      </c>
      <c r="DF449">
        <v>6</v>
      </c>
      <c r="DG449">
        <v>1</v>
      </c>
      <c r="DH449">
        <v>2</v>
      </c>
      <c r="DI449">
        <v>5</v>
      </c>
      <c r="DJ449">
        <v>2</v>
      </c>
      <c r="DK449">
        <v>2</v>
      </c>
    </row>
    <row r="450" spans="1:115">
      <c r="A450" s="173">
        <f>Calculations[[#This Row],[Sum t eCO2]]*IF(Calculations[[#This Row],[GHG Scope]]="BIOGENIC",0,1)</f>
        <v>8.4091695479999977</v>
      </c>
      <c r="O450">
        <f t="shared" si="6"/>
        <v>449</v>
      </c>
      <c r="P450">
        <v>7</v>
      </c>
      <c r="Q450">
        <v>5</v>
      </c>
      <c r="R450">
        <v>6</v>
      </c>
      <c r="S450">
        <v>10</v>
      </c>
      <c r="T450">
        <v>8</v>
      </c>
      <c r="U450">
        <v>0</v>
      </c>
      <c r="V450">
        <v>10</v>
      </c>
      <c r="W450">
        <v>7</v>
      </c>
      <c r="X450">
        <v>0</v>
      </c>
      <c r="Y450">
        <v>1</v>
      </c>
      <c r="Z450">
        <v>8</v>
      </c>
      <c r="AA450">
        <v>4</v>
      </c>
      <c r="AB450">
        <v>5</v>
      </c>
      <c r="AC450">
        <v>1</v>
      </c>
      <c r="AD450">
        <v>3</v>
      </c>
      <c r="AE450">
        <v>1</v>
      </c>
      <c r="AF450">
        <v>4</v>
      </c>
      <c r="AG450">
        <v>6</v>
      </c>
      <c r="AH450">
        <v>8</v>
      </c>
      <c r="AI450">
        <v>8</v>
      </c>
      <c r="AJ450">
        <v>2</v>
      </c>
      <c r="AK450">
        <v>9</v>
      </c>
      <c r="AL450">
        <v>8</v>
      </c>
      <c r="AM450">
        <v>8</v>
      </c>
      <c r="AN450">
        <v>9</v>
      </c>
      <c r="AO450">
        <v>3</v>
      </c>
      <c r="AP450">
        <v>7</v>
      </c>
      <c r="AQ450">
        <v>3</v>
      </c>
      <c r="AR450">
        <v>1</v>
      </c>
      <c r="AS450">
        <v>2</v>
      </c>
      <c r="AT450">
        <v>8</v>
      </c>
      <c r="AU450">
        <v>6</v>
      </c>
      <c r="AV450">
        <v>2</v>
      </c>
      <c r="AW450">
        <v>6</v>
      </c>
      <c r="AX450">
        <v>3</v>
      </c>
      <c r="AY450">
        <v>9</v>
      </c>
      <c r="AZ450">
        <v>0</v>
      </c>
      <c r="BA450">
        <v>4</v>
      </c>
      <c r="BB450">
        <v>0</v>
      </c>
      <c r="BC450">
        <v>3</v>
      </c>
      <c r="BD450">
        <v>7</v>
      </c>
      <c r="BE450">
        <v>10</v>
      </c>
      <c r="BF450">
        <v>4</v>
      </c>
      <c r="BG450">
        <v>0</v>
      </c>
      <c r="BH450">
        <v>1</v>
      </c>
      <c r="BI450">
        <v>7</v>
      </c>
      <c r="BJ450">
        <v>9</v>
      </c>
      <c r="BK450">
        <v>7</v>
      </c>
      <c r="BL450">
        <v>6</v>
      </c>
      <c r="BM450">
        <v>1</v>
      </c>
      <c r="BN450">
        <v>10</v>
      </c>
      <c r="BO450">
        <v>5</v>
      </c>
      <c r="BP450">
        <v>6</v>
      </c>
      <c r="BQ450">
        <v>9</v>
      </c>
      <c r="BR450">
        <v>5</v>
      </c>
      <c r="BS450">
        <v>2</v>
      </c>
      <c r="BT450">
        <v>6</v>
      </c>
      <c r="BU450">
        <v>2</v>
      </c>
      <c r="BV450">
        <v>9</v>
      </c>
      <c r="BW450">
        <v>5</v>
      </c>
      <c r="BX450">
        <v>10</v>
      </c>
      <c r="BY450">
        <v>5</v>
      </c>
      <c r="BZ450">
        <v>9</v>
      </c>
      <c r="CA450">
        <v>2</v>
      </c>
      <c r="CB450">
        <v>1</v>
      </c>
      <c r="CC450">
        <v>3</v>
      </c>
      <c r="CD450">
        <v>3</v>
      </c>
      <c r="CE450">
        <v>6</v>
      </c>
      <c r="CF450">
        <v>10</v>
      </c>
      <c r="CG450">
        <v>4</v>
      </c>
      <c r="CH450">
        <v>8</v>
      </c>
      <c r="CI450">
        <v>2</v>
      </c>
      <c r="CJ450">
        <v>1</v>
      </c>
      <c r="CK450">
        <v>9</v>
      </c>
      <c r="CL450">
        <v>9</v>
      </c>
      <c r="CM450">
        <v>4</v>
      </c>
      <c r="CN450">
        <v>5</v>
      </c>
      <c r="CO450">
        <v>10</v>
      </c>
      <c r="CP450">
        <v>3</v>
      </c>
      <c r="CQ450">
        <v>1</v>
      </c>
      <c r="CR450">
        <v>4</v>
      </c>
      <c r="CS450">
        <v>2</v>
      </c>
      <c r="CT450">
        <v>8</v>
      </c>
      <c r="CU450">
        <v>7</v>
      </c>
      <c r="CV450">
        <v>9</v>
      </c>
      <c r="CW450">
        <v>8</v>
      </c>
      <c r="CX450">
        <v>1</v>
      </c>
      <c r="CY450">
        <v>7</v>
      </c>
      <c r="CZ450">
        <v>10</v>
      </c>
      <c r="DA450">
        <v>9</v>
      </c>
      <c r="DB450">
        <v>2</v>
      </c>
      <c r="DC450">
        <v>7</v>
      </c>
      <c r="DD450">
        <v>3</v>
      </c>
      <c r="DE450">
        <v>3</v>
      </c>
      <c r="DF450">
        <v>8</v>
      </c>
      <c r="DG450">
        <v>2</v>
      </c>
      <c r="DH450">
        <v>8</v>
      </c>
      <c r="DI450">
        <v>2</v>
      </c>
      <c r="DJ450">
        <v>8</v>
      </c>
      <c r="DK450">
        <v>2</v>
      </c>
    </row>
    <row r="451" spans="1:115">
      <c r="A451" s="173">
        <f>Calculations[[#This Row],[Sum t eCO2]]*IF(Calculations[[#This Row],[GHG Scope]]="BIOGENIC",0,1)</f>
        <v>376.15190613599998</v>
      </c>
      <c r="O451">
        <f t="shared" si="6"/>
        <v>450</v>
      </c>
      <c r="P451">
        <v>10</v>
      </c>
      <c r="Q451">
        <v>6</v>
      </c>
      <c r="R451">
        <v>3</v>
      </c>
      <c r="S451">
        <v>8</v>
      </c>
      <c r="T451">
        <v>2</v>
      </c>
      <c r="U451">
        <v>8</v>
      </c>
      <c r="V451">
        <v>7</v>
      </c>
      <c r="W451">
        <v>1</v>
      </c>
      <c r="X451">
        <v>2</v>
      </c>
      <c r="Y451">
        <v>7</v>
      </c>
      <c r="Z451">
        <v>2</v>
      </c>
      <c r="AA451">
        <v>10</v>
      </c>
      <c r="AB451">
        <v>10</v>
      </c>
      <c r="AC451">
        <v>8</v>
      </c>
      <c r="AD451">
        <v>8</v>
      </c>
      <c r="AE451">
        <v>0</v>
      </c>
      <c r="AF451">
        <v>8</v>
      </c>
      <c r="AG451">
        <v>5</v>
      </c>
      <c r="AH451">
        <v>2</v>
      </c>
      <c r="AI451">
        <v>6</v>
      </c>
      <c r="AJ451">
        <v>10</v>
      </c>
      <c r="AK451">
        <v>4</v>
      </c>
      <c r="AL451">
        <v>3</v>
      </c>
      <c r="AM451">
        <v>5</v>
      </c>
      <c r="AN451">
        <v>8</v>
      </c>
      <c r="AO451">
        <v>10</v>
      </c>
      <c r="AP451">
        <v>9</v>
      </c>
      <c r="AQ451">
        <v>5</v>
      </c>
      <c r="AR451">
        <v>1</v>
      </c>
      <c r="AS451">
        <v>10</v>
      </c>
      <c r="AT451">
        <v>0</v>
      </c>
      <c r="AU451">
        <v>4</v>
      </c>
      <c r="AV451">
        <v>2</v>
      </c>
      <c r="AW451">
        <v>7</v>
      </c>
      <c r="AX451">
        <v>4</v>
      </c>
      <c r="AY451">
        <v>10</v>
      </c>
      <c r="AZ451">
        <v>0</v>
      </c>
      <c r="BA451">
        <v>3</v>
      </c>
      <c r="BB451">
        <v>1</v>
      </c>
      <c r="BC451">
        <v>6</v>
      </c>
      <c r="BD451">
        <v>10</v>
      </c>
      <c r="BE451">
        <v>1</v>
      </c>
      <c r="BF451">
        <v>10</v>
      </c>
      <c r="BG451">
        <v>6</v>
      </c>
      <c r="BH451">
        <v>3</v>
      </c>
      <c r="BI451">
        <v>2</v>
      </c>
      <c r="BJ451">
        <v>1</v>
      </c>
      <c r="BK451">
        <v>4</v>
      </c>
      <c r="BL451">
        <v>0</v>
      </c>
      <c r="BM451">
        <v>2</v>
      </c>
      <c r="BN451">
        <v>10</v>
      </c>
      <c r="BO451">
        <v>8</v>
      </c>
      <c r="BP451">
        <v>8</v>
      </c>
      <c r="BQ451">
        <v>1</v>
      </c>
      <c r="BR451">
        <v>5</v>
      </c>
      <c r="BS451">
        <v>8</v>
      </c>
      <c r="BT451">
        <v>10</v>
      </c>
      <c r="BU451">
        <v>7</v>
      </c>
      <c r="BV451">
        <v>1</v>
      </c>
      <c r="BW451">
        <v>6</v>
      </c>
      <c r="BX451">
        <v>9</v>
      </c>
      <c r="BY451">
        <v>6</v>
      </c>
      <c r="BZ451">
        <v>10</v>
      </c>
      <c r="CA451">
        <v>2</v>
      </c>
      <c r="CB451">
        <v>8</v>
      </c>
      <c r="CC451">
        <v>5</v>
      </c>
      <c r="CD451">
        <v>6</v>
      </c>
      <c r="CE451">
        <v>5</v>
      </c>
      <c r="CF451">
        <v>6</v>
      </c>
      <c r="CG451">
        <v>0</v>
      </c>
      <c r="CH451">
        <v>2</v>
      </c>
      <c r="CI451">
        <v>2</v>
      </c>
      <c r="CJ451">
        <v>9</v>
      </c>
      <c r="CK451">
        <v>10</v>
      </c>
      <c r="CL451">
        <v>10</v>
      </c>
      <c r="CM451">
        <v>5</v>
      </c>
      <c r="CN451">
        <v>0</v>
      </c>
      <c r="CO451">
        <v>7</v>
      </c>
      <c r="CP451">
        <v>1</v>
      </c>
      <c r="CQ451">
        <v>8</v>
      </c>
      <c r="CR451">
        <v>10</v>
      </c>
      <c r="CS451">
        <v>2</v>
      </c>
      <c r="CT451">
        <v>9</v>
      </c>
      <c r="CU451">
        <v>0</v>
      </c>
      <c r="CV451">
        <v>7</v>
      </c>
      <c r="CW451">
        <v>5</v>
      </c>
      <c r="CX451">
        <v>1</v>
      </c>
      <c r="CY451">
        <v>9</v>
      </c>
      <c r="CZ451">
        <v>0</v>
      </c>
      <c r="DA451">
        <v>3</v>
      </c>
      <c r="DB451">
        <v>2</v>
      </c>
      <c r="DC451">
        <v>0</v>
      </c>
      <c r="DD451">
        <v>0</v>
      </c>
      <c r="DE451">
        <v>1</v>
      </c>
      <c r="DF451">
        <v>10</v>
      </c>
      <c r="DG451">
        <v>3</v>
      </c>
      <c r="DH451">
        <v>3</v>
      </c>
      <c r="DI451">
        <v>2</v>
      </c>
      <c r="DJ451">
        <v>6</v>
      </c>
      <c r="DK451">
        <v>5</v>
      </c>
    </row>
    <row r="452" spans="1:115">
      <c r="A452" s="173">
        <f>Calculations[[#This Row],[Sum t eCO2]]*IF(Calculations[[#This Row],[GHG Scope]]="BIOGENIC",0,1)</f>
        <v>237.65654696237999</v>
      </c>
      <c r="O452">
        <f t="shared" ref="O452:O515" si="7">O451+1</f>
        <v>451</v>
      </c>
      <c r="P452">
        <v>5</v>
      </c>
      <c r="Q452">
        <v>8</v>
      </c>
      <c r="R452">
        <v>10</v>
      </c>
      <c r="S452">
        <v>0</v>
      </c>
      <c r="T452">
        <v>7</v>
      </c>
      <c r="U452">
        <v>6</v>
      </c>
      <c r="V452">
        <v>5</v>
      </c>
      <c r="W452">
        <v>0</v>
      </c>
      <c r="X452">
        <v>8</v>
      </c>
      <c r="Y452">
        <v>2</v>
      </c>
      <c r="Z452">
        <v>1</v>
      </c>
      <c r="AA452">
        <v>9</v>
      </c>
      <c r="AB452">
        <v>8</v>
      </c>
      <c r="AC452">
        <v>1</v>
      </c>
      <c r="AD452">
        <v>3</v>
      </c>
      <c r="AE452">
        <v>8</v>
      </c>
      <c r="AF452">
        <v>3</v>
      </c>
      <c r="AG452">
        <v>8</v>
      </c>
      <c r="AH452">
        <v>8</v>
      </c>
      <c r="AI452">
        <v>7</v>
      </c>
      <c r="AJ452">
        <v>6</v>
      </c>
      <c r="AK452">
        <v>4</v>
      </c>
      <c r="AL452">
        <v>0</v>
      </c>
      <c r="AM452">
        <v>8</v>
      </c>
      <c r="AN452">
        <v>8</v>
      </c>
      <c r="AO452">
        <v>4</v>
      </c>
      <c r="AP452">
        <v>2</v>
      </c>
      <c r="AQ452">
        <v>0</v>
      </c>
      <c r="AR452">
        <v>5</v>
      </c>
      <c r="AS452">
        <v>9</v>
      </c>
      <c r="AT452">
        <v>5</v>
      </c>
      <c r="AU452">
        <v>5</v>
      </c>
      <c r="AV452">
        <v>1</v>
      </c>
      <c r="AW452">
        <v>6</v>
      </c>
      <c r="AX452">
        <v>3</v>
      </c>
      <c r="AY452">
        <v>8</v>
      </c>
      <c r="AZ452">
        <v>7</v>
      </c>
      <c r="BA452">
        <v>10</v>
      </c>
      <c r="BB452">
        <v>9</v>
      </c>
      <c r="BC452">
        <v>0</v>
      </c>
      <c r="BD452">
        <v>2</v>
      </c>
      <c r="BE452">
        <v>4</v>
      </c>
      <c r="BF452">
        <v>4</v>
      </c>
      <c r="BG452">
        <v>9</v>
      </c>
      <c r="BH452">
        <v>4</v>
      </c>
      <c r="BI452">
        <v>10</v>
      </c>
      <c r="BJ452">
        <v>2</v>
      </c>
      <c r="BK452">
        <v>7</v>
      </c>
      <c r="BL452">
        <v>1</v>
      </c>
      <c r="BM452">
        <v>9</v>
      </c>
      <c r="BN452">
        <v>0</v>
      </c>
      <c r="BO452">
        <v>0</v>
      </c>
      <c r="BP452">
        <v>6</v>
      </c>
      <c r="BQ452">
        <v>8</v>
      </c>
      <c r="BR452">
        <v>1</v>
      </c>
      <c r="BS452">
        <v>10</v>
      </c>
      <c r="BT452">
        <v>3</v>
      </c>
      <c r="BU452">
        <v>5</v>
      </c>
      <c r="BV452">
        <v>8</v>
      </c>
      <c r="BW452">
        <v>5</v>
      </c>
      <c r="BX452">
        <v>8</v>
      </c>
      <c r="BY452">
        <v>4</v>
      </c>
      <c r="BZ452">
        <v>5</v>
      </c>
      <c r="CA452">
        <v>6</v>
      </c>
      <c r="CB452">
        <v>8</v>
      </c>
      <c r="CC452">
        <v>2</v>
      </c>
      <c r="CD452">
        <v>1</v>
      </c>
      <c r="CE452">
        <v>10</v>
      </c>
      <c r="CF452">
        <v>8</v>
      </c>
      <c r="CG452">
        <v>2</v>
      </c>
      <c r="CH452">
        <v>1</v>
      </c>
      <c r="CI452">
        <v>3</v>
      </c>
      <c r="CJ452">
        <v>4</v>
      </c>
      <c r="CK452">
        <v>10</v>
      </c>
      <c r="CL452">
        <v>9</v>
      </c>
      <c r="CM452">
        <v>3</v>
      </c>
      <c r="CN452">
        <v>7</v>
      </c>
      <c r="CO452">
        <v>10</v>
      </c>
      <c r="CP452">
        <v>0</v>
      </c>
      <c r="CQ452">
        <v>2</v>
      </c>
      <c r="CR452">
        <v>10</v>
      </c>
      <c r="CS452">
        <v>4</v>
      </c>
      <c r="CT452">
        <v>7</v>
      </c>
      <c r="CU452">
        <v>7</v>
      </c>
      <c r="CV452">
        <v>10</v>
      </c>
      <c r="CW452">
        <v>6</v>
      </c>
      <c r="CX452">
        <v>0</v>
      </c>
      <c r="CY452">
        <v>3</v>
      </c>
      <c r="CZ452">
        <v>0</v>
      </c>
      <c r="DA452">
        <v>1</v>
      </c>
      <c r="DB452">
        <v>2</v>
      </c>
      <c r="DC452">
        <v>2</v>
      </c>
      <c r="DD452">
        <v>6</v>
      </c>
      <c r="DE452">
        <v>9</v>
      </c>
      <c r="DF452">
        <v>7</v>
      </c>
      <c r="DG452">
        <v>5</v>
      </c>
      <c r="DH452">
        <v>10</v>
      </c>
      <c r="DI452">
        <v>8</v>
      </c>
      <c r="DJ452">
        <v>8</v>
      </c>
      <c r="DK452">
        <v>0</v>
      </c>
    </row>
    <row r="453" spans="1:115">
      <c r="A453" s="173">
        <f>Calculations[[#This Row],[Sum t eCO2]]*IF(Calculations[[#This Row],[GHG Scope]]="BIOGENIC",0,1)</f>
        <v>32.819961360000001</v>
      </c>
      <c r="O453">
        <f t="shared" si="7"/>
        <v>452</v>
      </c>
      <c r="P453">
        <v>4</v>
      </c>
      <c r="Q453">
        <v>4</v>
      </c>
      <c r="R453">
        <v>9</v>
      </c>
      <c r="S453">
        <v>6</v>
      </c>
      <c r="T453">
        <v>2</v>
      </c>
      <c r="U453">
        <v>8</v>
      </c>
      <c r="V453">
        <v>10</v>
      </c>
      <c r="W453">
        <v>5</v>
      </c>
      <c r="X453">
        <v>5</v>
      </c>
      <c r="Y453">
        <v>5</v>
      </c>
      <c r="Z453">
        <v>9</v>
      </c>
      <c r="AA453">
        <v>4</v>
      </c>
      <c r="AB453">
        <v>3</v>
      </c>
      <c r="AC453">
        <v>5</v>
      </c>
      <c r="AD453">
        <v>2</v>
      </c>
      <c r="AE453">
        <v>0</v>
      </c>
      <c r="AF453">
        <v>10</v>
      </c>
      <c r="AG453">
        <v>7</v>
      </c>
      <c r="AH453">
        <v>8</v>
      </c>
      <c r="AI453">
        <v>5</v>
      </c>
      <c r="AJ453">
        <v>0</v>
      </c>
      <c r="AK453">
        <v>7</v>
      </c>
      <c r="AL453">
        <v>5</v>
      </c>
      <c r="AM453">
        <v>10</v>
      </c>
      <c r="AN453">
        <v>6</v>
      </c>
      <c r="AO453">
        <v>10</v>
      </c>
      <c r="AP453">
        <v>9</v>
      </c>
      <c r="AQ453">
        <v>5</v>
      </c>
      <c r="AR453">
        <v>0</v>
      </c>
      <c r="AS453">
        <v>6</v>
      </c>
      <c r="AT453">
        <v>10</v>
      </c>
      <c r="AU453">
        <v>6</v>
      </c>
      <c r="AV453">
        <v>9</v>
      </c>
      <c r="AW453">
        <v>10</v>
      </c>
      <c r="AX453">
        <v>0</v>
      </c>
      <c r="AY453">
        <v>6</v>
      </c>
      <c r="AZ453">
        <v>10</v>
      </c>
      <c r="BA453">
        <v>7</v>
      </c>
      <c r="BB453">
        <v>4</v>
      </c>
      <c r="BC453">
        <v>5</v>
      </c>
      <c r="BD453">
        <v>8</v>
      </c>
      <c r="BE453">
        <v>9</v>
      </c>
      <c r="BF453">
        <v>10</v>
      </c>
      <c r="BG453">
        <v>2</v>
      </c>
      <c r="BH453">
        <v>9</v>
      </c>
      <c r="BI453">
        <v>5</v>
      </c>
      <c r="BJ453">
        <v>1</v>
      </c>
      <c r="BK453">
        <v>3</v>
      </c>
      <c r="BL453">
        <v>3</v>
      </c>
      <c r="BM453">
        <v>1</v>
      </c>
      <c r="BN453">
        <v>4</v>
      </c>
      <c r="BO453">
        <v>7</v>
      </c>
      <c r="BP453">
        <v>3</v>
      </c>
      <c r="BQ453">
        <v>5</v>
      </c>
      <c r="BR453">
        <v>7</v>
      </c>
      <c r="BS453">
        <v>1</v>
      </c>
      <c r="BT453">
        <v>1</v>
      </c>
      <c r="BU453">
        <v>5</v>
      </c>
      <c r="BV453">
        <v>3</v>
      </c>
      <c r="BW453">
        <v>3</v>
      </c>
      <c r="BX453">
        <v>3</v>
      </c>
      <c r="BY453">
        <v>1</v>
      </c>
      <c r="BZ453">
        <v>10</v>
      </c>
      <c r="CA453">
        <v>8</v>
      </c>
      <c r="CB453">
        <v>6</v>
      </c>
      <c r="CC453">
        <v>3</v>
      </c>
      <c r="CD453">
        <v>2</v>
      </c>
      <c r="CE453">
        <v>10</v>
      </c>
      <c r="CF453">
        <v>10</v>
      </c>
      <c r="CG453">
        <v>10</v>
      </c>
      <c r="CH453">
        <v>7</v>
      </c>
      <c r="CI453">
        <v>10</v>
      </c>
      <c r="CJ453">
        <v>0</v>
      </c>
      <c r="CK453">
        <v>0</v>
      </c>
      <c r="CL453">
        <v>6</v>
      </c>
      <c r="CM453">
        <v>4</v>
      </c>
      <c r="CN453">
        <v>7</v>
      </c>
      <c r="CO453">
        <v>4</v>
      </c>
      <c r="CP453">
        <v>0</v>
      </c>
      <c r="CQ453">
        <v>1</v>
      </c>
      <c r="CR453">
        <v>7</v>
      </c>
      <c r="CS453">
        <v>4</v>
      </c>
      <c r="CT453">
        <v>5</v>
      </c>
      <c r="CU453">
        <v>4</v>
      </c>
      <c r="CV453">
        <v>2</v>
      </c>
      <c r="CW453">
        <v>7</v>
      </c>
      <c r="CX453">
        <v>7</v>
      </c>
      <c r="CY453">
        <v>7</v>
      </c>
      <c r="CZ453">
        <v>8</v>
      </c>
      <c r="DA453">
        <v>4</v>
      </c>
      <c r="DB453">
        <v>5</v>
      </c>
      <c r="DC453">
        <v>4</v>
      </c>
      <c r="DD453">
        <v>5</v>
      </c>
      <c r="DE453">
        <v>2</v>
      </c>
      <c r="DF453">
        <v>3</v>
      </c>
      <c r="DG453">
        <v>8</v>
      </c>
      <c r="DH453">
        <v>5</v>
      </c>
      <c r="DI453">
        <v>4</v>
      </c>
      <c r="DJ453">
        <v>7</v>
      </c>
      <c r="DK453">
        <v>7</v>
      </c>
    </row>
    <row r="454" spans="1:115">
      <c r="A454" s="173">
        <f>Calculations[[#This Row],[Sum t eCO2]]*IF(Calculations[[#This Row],[GHG Scope]]="BIOGENIC",0,1)</f>
        <v>3.5184367972600001</v>
      </c>
      <c r="O454">
        <f t="shared" si="7"/>
        <v>453</v>
      </c>
      <c r="P454">
        <v>8</v>
      </c>
      <c r="Q454">
        <v>6</v>
      </c>
      <c r="R454">
        <v>1</v>
      </c>
      <c r="S454">
        <v>1</v>
      </c>
      <c r="T454">
        <v>9</v>
      </c>
      <c r="U454">
        <v>0</v>
      </c>
      <c r="V454">
        <v>7</v>
      </c>
      <c r="W454">
        <v>8</v>
      </c>
      <c r="X454">
        <v>1</v>
      </c>
      <c r="Y454">
        <v>7</v>
      </c>
      <c r="Z454">
        <v>8</v>
      </c>
      <c r="AA454">
        <v>1</v>
      </c>
      <c r="AB454">
        <v>7</v>
      </c>
      <c r="AC454">
        <v>1</v>
      </c>
      <c r="AD454">
        <v>5</v>
      </c>
      <c r="AE454">
        <v>4</v>
      </c>
      <c r="AF454">
        <v>7</v>
      </c>
      <c r="AG454">
        <v>6</v>
      </c>
      <c r="AH454">
        <v>3</v>
      </c>
      <c r="AI454">
        <v>2</v>
      </c>
      <c r="AJ454">
        <v>4</v>
      </c>
      <c r="AK454">
        <v>6</v>
      </c>
      <c r="AL454">
        <v>0</v>
      </c>
      <c r="AM454">
        <v>8</v>
      </c>
      <c r="AN454">
        <v>1</v>
      </c>
      <c r="AO454">
        <v>9</v>
      </c>
      <c r="AP454">
        <v>1</v>
      </c>
      <c r="AQ454">
        <v>3</v>
      </c>
      <c r="AR454">
        <v>3</v>
      </c>
      <c r="AS454">
        <v>8</v>
      </c>
      <c r="AT454">
        <v>5</v>
      </c>
      <c r="AU454">
        <v>9</v>
      </c>
      <c r="AV454">
        <v>1</v>
      </c>
      <c r="AW454">
        <v>3</v>
      </c>
      <c r="AX454">
        <v>0</v>
      </c>
      <c r="AY454">
        <v>10</v>
      </c>
      <c r="AZ454">
        <v>6</v>
      </c>
      <c r="BA454">
        <v>2</v>
      </c>
      <c r="BB454">
        <v>7</v>
      </c>
      <c r="BC454">
        <v>8</v>
      </c>
      <c r="BD454">
        <v>5</v>
      </c>
      <c r="BE454">
        <v>3</v>
      </c>
      <c r="BF454">
        <v>9</v>
      </c>
      <c r="BG454">
        <v>5</v>
      </c>
      <c r="BH454">
        <v>1</v>
      </c>
      <c r="BI454">
        <v>9</v>
      </c>
      <c r="BJ454">
        <v>5</v>
      </c>
      <c r="BK454">
        <v>2</v>
      </c>
      <c r="BL454">
        <v>3</v>
      </c>
      <c r="BM454">
        <v>7</v>
      </c>
      <c r="BN454">
        <v>8</v>
      </c>
      <c r="BO454">
        <v>3</v>
      </c>
      <c r="BP454">
        <v>4</v>
      </c>
      <c r="BQ454">
        <v>5</v>
      </c>
      <c r="BR454">
        <v>1</v>
      </c>
      <c r="BS454">
        <v>2</v>
      </c>
      <c r="BT454">
        <v>2</v>
      </c>
      <c r="BU454">
        <v>2</v>
      </c>
      <c r="BV454">
        <v>2</v>
      </c>
      <c r="BW454">
        <v>7</v>
      </c>
      <c r="BX454">
        <v>6</v>
      </c>
      <c r="BY454">
        <v>9</v>
      </c>
      <c r="BZ454">
        <v>1</v>
      </c>
      <c r="CA454">
        <v>6</v>
      </c>
      <c r="CB454">
        <v>0</v>
      </c>
      <c r="CC454">
        <v>6</v>
      </c>
      <c r="CD454">
        <v>4</v>
      </c>
      <c r="CE454">
        <v>4</v>
      </c>
      <c r="CF454">
        <v>10</v>
      </c>
      <c r="CG454">
        <v>6</v>
      </c>
      <c r="CH454">
        <v>2</v>
      </c>
      <c r="CI454">
        <v>7</v>
      </c>
      <c r="CJ454">
        <v>5</v>
      </c>
      <c r="CK454">
        <v>5</v>
      </c>
      <c r="CL454">
        <v>4</v>
      </c>
      <c r="CM454">
        <v>5</v>
      </c>
      <c r="CN454">
        <v>9</v>
      </c>
      <c r="CO454">
        <v>4</v>
      </c>
      <c r="CP454">
        <v>7</v>
      </c>
      <c r="CQ454">
        <v>6</v>
      </c>
      <c r="CR454">
        <v>6</v>
      </c>
      <c r="CS454">
        <v>2</v>
      </c>
      <c r="CT454">
        <v>2</v>
      </c>
      <c r="CU454">
        <v>3</v>
      </c>
      <c r="CV454">
        <v>6</v>
      </c>
      <c r="CW454">
        <v>5</v>
      </c>
      <c r="CX454">
        <v>4</v>
      </c>
      <c r="CY454">
        <v>6</v>
      </c>
      <c r="CZ454">
        <v>6</v>
      </c>
      <c r="DA454">
        <v>3</v>
      </c>
      <c r="DB454">
        <v>3</v>
      </c>
      <c r="DC454">
        <v>5</v>
      </c>
      <c r="DD454">
        <v>8</v>
      </c>
      <c r="DE454">
        <v>0</v>
      </c>
      <c r="DF454">
        <v>7</v>
      </c>
      <c r="DG454">
        <v>6</v>
      </c>
      <c r="DH454">
        <v>10</v>
      </c>
      <c r="DI454">
        <v>9</v>
      </c>
      <c r="DJ454">
        <v>3</v>
      </c>
      <c r="DK454">
        <v>8</v>
      </c>
    </row>
    <row r="455" spans="1:115">
      <c r="A455" s="173">
        <f>Calculations[[#This Row],[Sum t eCO2]]*IF(Calculations[[#This Row],[GHG Scope]]="BIOGENIC",0,1)</f>
        <v>46.929451982399996</v>
      </c>
      <c r="O455">
        <f t="shared" si="7"/>
        <v>454</v>
      </c>
      <c r="P455">
        <v>7</v>
      </c>
      <c r="Q455">
        <v>4</v>
      </c>
      <c r="R455">
        <v>5</v>
      </c>
      <c r="S455">
        <v>5</v>
      </c>
      <c r="T455">
        <v>3</v>
      </c>
      <c r="U455">
        <v>1</v>
      </c>
      <c r="V455">
        <v>10</v>
      </c>
      <c r="W455">
        <v>1</v>
      </c>
      <c r="X455">
        <v>4</v>
      </c>
      <c r="Y455">
        <v>9</v>
      </c>
      <c r="Z455">
        <v>3</v>
      </c>
      <c r="AA455">
        <v>3</v>
      </c>
      <c r="AB455">
        <v>8</v>
      </c>
      <c r="AC455">
        <v>7</v>
      </c>
      <c r="AD455">
        <v>10</v>
      </c>
      <c r="AE455">
        <v>4</v>
      </c>
      <c r="AF455">
        <v>2</v>
      </c>
      <c r="AG455">
        <v>3</v>
      </c>
      <c r="AH455">
        <v>7</v>
      </c>
      <c r="AI455">
        <v>6</v>
      </c>
      <c r="AJ455">
        <v>7</v>
      </c>
      <c r="AK455">
        <v>4</v>
      </c>
      <c r="AL455">
        <v>10</v>
      </c>
      <c r="AM455">
        <v>0</v>
      </c>
      <c r="AN455">
        <v>7</v>
      </c>
      <c r="AO455">
        <v>2</v>
      </c>
      <c r="AP455">
        <v>0</v>
      </c>
      <c r="AQ455">
        <v>8</v>
      </c>
      <c r="AR455">
        <v>9</v>
      </c>
      <c r="AS455">
        <v>0</v>
      </c>
      <c r="AT455">
        <v>6</v>
      </c>
      <c r="AU455">
        <v>9</v>
      </c>
      <c r="AV455">
        <v>3</v>
      </c>
      <c r="AW455">
        <v>3</v>
      </c>
      <c r="AX455">
        <v>2</v>
      </c>
      <c r="AY455">
        <v>6</v>
      </c>
      <c r="AZ455">
        <v>10</v>
      </c>
      <c r="BA455">
        <v>5</v>
      </c>
      <c r="BB455">
        <v>10</v>
      </c>
      <c r="BC455">
        <v>2</v>
      </c>
      <c r="BD455">
        <v>8</v>
      </c>
      <c r="BE455">
        <v>7</v>
      </c>
      <c r="BF455">
        <v>4</v>
      </c>
      <c r="BG455">
        <v>2</v>
      </c>
      <c r="BH455">
        <v>6</v>
      </c>
      <c r="BI455">
        <v>1</v>
      </c>
      <c r="BJ455">
        <v>5</v>
      </c>
      <c r="BK455">
        <v>5</v>
      </c>
      <c r="BL455">
        <v>6</v>
      </c>
      <c r="BM455">
        <v>0</v>
      </c>
      <c r="BN455">
        <v>5</v>
      </c>
      <c r="BO455">
        <v>7</v>
      </c>
      <c r="BP455">
        <v>1</v>
      </c>
      <c r="BQ455">
        <v>7</v>
      </c>
      <c r="BR455">
        <v>0</v>
      </c>
      <c r="BS455">
        <v>4</v>
      </c>
      <c r="BT455">
        <v>2</v>
      </c>
      <c r="BU455">
        <v>2</v>
      </c>
      <c r="BV455">
        <v>1</v>
      </c>
      <c r="BW455">
        <v>2</v>
      </c>
      <c r="BX455">
        <v>2</v>
      </c>
      <c r="BY455">
        <v>2</v>
      </c>
      <c r="BZ455">
        <v>10</v>
      </c>
      <c r="CA455">
        <v>10</v>
      </c>
      <c r="CB455">
        <v>6</v>
      </c>
      <c r="CC455">
        <v>0</v>
      </c>
      <c r="CD455">
        <v>10</v>
      </c>
      <c r="CE455">
        <v>3</v>
      </c>
      <c r="CF455">
        <v>0</v>
      </c>
      <c r="CG455">
        <v>2</v>
      </c>
      <c r="CH455">
        <v>5</v>
      </c>
      <c r="CI455">
        <v>3</v>
      </c>
      <c r="CJ455">
        <v>8</v>
      </c>
      <c r="CK455">
        <v>4</v>
      </c>
      <c r="CL455">
        <v>1</v>
      </c>
      <c r="CM455">
        <v>6</v>
      </c>
      <c r="CN455">
        <v>0</v>
      </c>
      <c r="CO455">
        <v>1</v>
      </c>
      <c r="CP455">
        <v>5</v>
      </c>
      <c r="CQ455">
        <v>10</v>
      </c>
      <c r="CR455">
        <v>5</v>
      </c>
      <c r="CS455">
        <v>0</v>
      </c>
      <c r="CT455">
        <v>8</v>
      </c>
      <c r="CU455">
        <v>0</v>
      </c>
      <c r="CV455">
        <v>1</v>
      </c>
      <c r="CW455">
        <v>2</v>
      </c>
      <c r="CX455">
        <v>3</v>
      </c>
      <c r="CY455">
        <v>3</v>
      </c>
      <c r="CZ455">
        <v>0</v>
      </c>
      <c r="DA455">
        <v>6</v>
      </c>
      <c r="DB455">
        <v>8</v>
      </c>
      <c r="DC455">
        <v>4</v>
      </c>
      <c r="DD455">
        <v>6</v>
      </c>
      <c r="DE455">
        <v>0</v>
      </c>
      <c r="DF455">
        <v>1</v>
      </c>
      <c r="DG455">
        <v>9</v>
      </c>
      <c r="DH455">
        <v>4</v>
      </c>
      <c r="DI455">
        <v>8</v>
      </c>
      <c r="DJ455">
        <v>10</v>
      </c>
      <c r="DK455">
        <v>1</v>
      </c>
    </row>
    <row r="456" spans="1:115">
      <c r="A456" s="173">
        <f>Calculations[[#This Row],[Sum t eCO2]]*IF(Calculations[[#This Row],[GHG Scope]]="BIOGENIC",0,1)</f>
        <v>4.9376048599999995</v>
      </c>
      <c r="O456">
        <f t="shared" si="7"/>
        <v>455</v>
      </c>
      <c r="P456">
        <v>10</v>
      </c>
      <c r="Q456">
        <v>8</v>
      </c>
      <c r="R456">
        <v>3</v>
      </c>
      <c r="S456">
        <v>3</v>
      </c>
      <c r="T456">
        <v>10</v>
      </c>
      <c r="U456">
        <v>9</v>
      </c>
      <c r="V456">
        <v>5</v>
      </c>
      <c r="W456">
        <v>3</v>
      </c>
      <c r="X456">
        <v>9</v>
      </c>
      <c r="Y456">
        <v>0</v>
      </c>
      <c r="Z456">
        <v>7</v>
      </c>
      <c r="AA456">
        <v>0</v>
      </c>
      <c r="AB456">
        <v>4</v>
      </c>
      <c r="AC456">
        <v>0</v>
      </c>
      <c r="AD456">
        <v>10</v>
      </c>
      <c r="AE456">
        <v>3</v>
      </c>
      <c r="AF456">
        <v>9</v>
      </c>
      <c r="AG456">
        <v>5</v>
      </c>
      <c r="AH456">
        <v>9</v>
      </c>
      <c r="AI456">
        <v>2</v>
      </c>
      <c r="AJ456">
        <v>3</v>
      </c>
      <c r="AK456">
        <v>5</v>
      </c>
      <c r="AL456">
        <v>10</v>
      </c>
      <c r="AM456">
        <v>4</v>
      </c>
      <c r="AN456">
        <v>3</v>
      </c>
      <c r="AO456">
        <v>1</v>
      </c>
      <c r="AP456">
        <v>6</v>
      </c>
      <c r="AQ456">
        <v>2</v>
      </c>
      <c r="AR456">
        <v>0</v>
      </c>
      <c r="AS456">
        <v>0</v>
      </c>
      <c r="AT456">
        <v>0</v>
      </c>
      <c r="AU456">
        <v>8</v>
      </c>
      <c r="AV456">
        <v>8</v>
      </c>
      <c r="AW456">
        <v>9</v>
      </c>
      <c r="AX456">
        <v>7</v>
      </c>
      <c r="AY456">
        <v>3</v>
      </c>
      <c r="AZ456">
        <v>6</v>
      </c>
      <c r="BA456">
        <v>9</v>
      </c>
      <c r="BB456">
        <v>9</v>
      </c>
      <c r="BC456">
        <v>8</v>
      </c>
      <c r="BD456">
        <v>1</v>
      </c>
      <c r="BE456">
        <v>6</v>
      </c>
      <c r="BF456">
        <v>7</v>
      </c>
      <c r="BG456">
        <v>0</v>
      </c>
      <c r="BH456">
        <v>8</v>
      </c>
      <c r="BI456">
        <v>0</v>
      </c>
      <c r="BJ456">
        <v>1</v>
      </c>
      <c r="BK456">
        <v>5</v>
      </c>
      <c r="BL456">
        <v>0</v>
      </c>
      <c r="BM456">
        <v>10</v>
      </c>
      <c r="BN456">
        <v>1</v>
      </c>
      <c r="BO456">
        <v>9</v>
      </c>
      <c r="BP456">
        <v>8</v>
      </c>
      <c r="BQ456">
        <v>10</v>
      </c>
      <c r="BR456">
        <v>0</v>
      </c>
      <c r="BS456">
        <v>2</v>
      </c>
      <c r="BT456">
        <v>0</v>
      </c>
      <c r="BU456">
        <v>9</v>
      </c>
      <c r="BV456">
        <v>2</v>
      </c>
      <c r="BW456">
        <v>8</v>
      </c>
      <c r="BX456">
        <v>7</v>
      </c>
      <c r="BY456">
        <v>5</v>
      </c>
      <c r="BZ456">
        <v>8</v>
      </c>
      <c r="CA456">
        <v>10</v>
      </c>
      <c r="CB456">
        <v>1</v>
      </c>
      <c r="CC456">
        <v>2</v>
      </c>
      <c r="CD456">
        <v>7</v>
      </c>
      <c r="CE456">
        <v>3</v>
      </c>
      <c r="CF456">
        <v>1</v>
      </c>
      <c r="CG456">
        <v>3</v>
      </c>
      <c r="CH456">
        <v>2</v>
      </c>
      <c r="CI456">
        <v>8</v>
      </c>
      <c r="CJ456">
        <v>2</v>
      </c>
      <c r="CK456">
        <v>4</v>
      </c>
      <c r="CL456">
        <v>0</v>
      </c>
      <c r="CM456">
        <v>10</v>
      </c>
      <c r="CN456">
        <v>1</v>
      </c>
      <c r="CO456">
        <v>8</v>
      </c>
      <c r="CP456">
        <v>10</v>
      </c>
      <c r="CQ456">
        <v>9</v>
      </c>
      <c r="CR456">
        <v>9</v>
      </c>
      <c r="CS456">
        <v>4</v>
      </c>
      <c r="CT456">
        <v>7</v>
      </c>
      <c r="CU456">
        <v>7</v>
      </c>
      <c r="CV456">
        <v>7</v>
      </c>
      <c r="CW456">
        <v>9</v>
      </c>
      <c r="CX456">
        <v>5</v>
      </c>
      <c r="CY456">
        <v>3</v>
      </c>
      <c r="CZ456">
        <v>3</v>
      </c>
      <c r="DA456">
        <v>9</v>
      </c>
      <c r="DB456">
        <v>7</v>
      </c>
      <c r="DC456">
        <v>9</v>
      </c>
      <c r="DD456">
        <v>9</v>
      </c>
      <c r="DE456">
        <v>5</v>
      </c>
      <c r="DF456">
        <v>8</v>
      </c>
      <c r="DG456">
        <v>6</v>
      </c>
      <c r="DH456">
        <v>1</v>
      </c>
      <c r="DI456">
        <v>5</v>
      </c>
      <c r="DJ456">
        <v>9</v>
      </c>
      <c r="DK456">
        <v>8</v>
      </c>
    </row>
    <row r="457" spans="1:115">
      <c r="A457" s="173">
        <f>Calculations[[#This Row],[Sum t eCO2]]*IF(Calculations[[#This Row],[GHG Scope]]="BIOGENIC",0,1)</f>
        <v>37.384817160600001</v>
      </c>
      <c r="O457">
        <f t="shared" si="7"/>
        <v>456</v>
      </c>
      <c r="P457">
        <v>10</v>
      </c>
      <c r="Q457">
        <v>8</v>
      </c>
      <c r="R457">
        <v>6</v>
      </c>
      <c r="S457">
        <v>5</v>
      </c>
      <c r="T457">
        <v>10</v>
      </c>
      <c r="U457">
        <v>8</v>
      </c>
      <c r="V457">
        <v>8</v>
      </c>
      <c r="W457">
        <v>7</v>
      </c>
      <c r="X457">
        <v>10</v>
      </c>
      <c r="Y457">
        <v>8</v>
      </c>
      <c r="Z457">
        <v>5</v>
      </c>
      <c r="AA457">
        <v>7</v>
      </c>
      <c r="AB457">
        <v>0</v>
      </c>
      <c r="AC457">
        <v>4</v>
      </c>
      <c r="AD457">
        <v>3</v>
      </c>
      <c r="AE457">
        <v>4</v>
      </c>
      <c r="AF457">
        <v>2</v>
      </c>
      <c r="AG457">
        <v>2</v>
      </c>
      <c r="AH457">
        <v>8</v>
      </c>
      <c r="AI457">
        <v>10</v>
      </c>
      <c r="AJ457">
        <v>7</v>
      </c>
      <c r="AK457">
        <v>6</v>
      </c>
      <c r="AL457">
        <v>8</v>
      </c>
      <c r="AM457">
        <v>1</v>
      </c>
      <c r="AN457">
        <v>0</v>
      </c>
      <c r="AO457">
        <v>5</v>
      </c>
      <c r="AP457">
        <v>10</v>
      </c>
      <c r="AQ457">
        <v>5</v>
      </c>
      <c r="AR457">
        <v>0</v>
      </c>
      <c r="AS457">
        <v>6</v>
      </c>
      <c r="AT457">
        <v>6</v>
      </c>
      <c r="AU457">
        <v>7</v>
      </c>
      <c r="AV457">
        <v>10</v>
      </c>
      <c r="AW457">
        <v>10</v>
      </c>
      <c r="AX457">
        <v>9</v>
      </c>
      <c r="AY457">
        <v>3</v>
      </c>
      <c r="AZ457">
        <v>1</v>
      </c>
      <c r="BA457">
        <v>8</v>
      </c>
      <c r="BB457">
        <v>0</v>
      </c>
      <c r="BC457">
        <v>3</v>
      </c>
      <c r="BD457">
        <v>3</v>
      </c>
      <c r="BE457">
        <v>8</v>
      </c>
      <c r="BF457">
        <v>6</v>
      </c>
      <c r="BG457">
        <v>8</v>
      </c>
      <c r="BH457">
        <v>5</v>
      </c>
      <c r="BI457">
        <v>3</v>
      </c>
      <c r="BJ457">
        <v>3</v>
      </c>
      <c r="BK457">
        <v>0</v>
      </c>
      <c r="BL457">
        <v>0</v>
      </c>
      <c r="BM457">
        <v>4</v>
      </c>
      <c r="BN457">
        <v>1</v>
      </c>
      <c r="BO457">
        <v>1</v>
      </c>
      <c r="BP457">
        <v>7</v>
      </c>
      <c r="BQ457">
        <v>5</v>
      </c>
      <c r="BR457">
        <v>8</v>
      </c>
      <c r="BS457">
        <v>1</v>
      </c>
      <c r="BT457">
        <v>10</v>
      </c>
      <c r="BU457">
        <v>2</v>
      </c>
      <c r="BV457">
        <v>0</v>
      </c>
      <c r="BW457">
        <v>8</v>
      </c>
      <c r="BX457">
        <v>0</v>
      </c>
      <c r="BY457">
        <v>6</v>
      </c>
      <c r="BZ457">
        <v>10</v>
      </c>
      <c r="CA457">
        <v>0</v>
      </c>
      <c r="CB457">
        <v>5</v>
      </c>
      <c r="CC457">
        <v>8</v>
      </c>
      <c r="CD457">
        <v>5</v>
      </c>
      <c r="CE457">
        <v>2</v>
      </c>
      <c r="CF457">
        <v>4</v>
      </c>
      <c r="CG457">
        <v>2</v>
      </c>
      <c r="CH457">
        <v>2</v>
      </c>
      <c r="CI457">
        <v>0</v>
      </c>
      <c r="CJ457">
        <v>1</v>
      </c>
      <c r="CK457">
        <v>10</v>
      </c>
      <c r="CL457">
        <v>5</v>
      </c>
      <c r="CM457">
        <v>6</v>
      </c>
      <c r="CN457">
        <v>5</v>
      </c>
      <c r="CO457">
        <v>0</v>
      </c>
      <c r="CP457">
        <v>7</v>
      </c>
      <c r="CQ457">
        <v>4</v>
      </c>
      <c r="CR457">
        <v>4</v>
      </c>
      <c r="CS457">
        <v>2</v>
      </c>
      <c r="CT457">
        <v>4</v>
      </c>
      <c r="CU457">
        <v>1</v>
      </c>
      <c r="CV457">
        <v>9</v>
      </c>
      <c r="CW457">
        <v>7</v>
      </c>
      <c r="CX457">
        <v>9</v>
      </c>
      <c r="CY457">
        <v>2</v>
      </c>
      <c r="CZ457">
        <v>6</v>
      </c>
      <c r="DA457">
        <v>9</v>
      </c>
      <c r="DB457">
        <v>1</v>
      </c>
      <c r="DC457">
        <v>7</v>
      </c>
      <c r="DD457">
        <v>2</v>
      </c>
      <c r="DE457">
        <v>7</v>
      </c>
      <c r="DF457">
        <v>5</v>
      </c>
      <c r="DG457">
        <v>1</v>
      </c>
      <c r="DH457">
        <v>8</v>
      </c>
      <c r="DI457">
        <v>6</v>
      </c>
      <c r="DJ457">
        <v>5</v>
      </c>
      <c r="DK457">
        <v>8</v>
      </c>
    </row>
    <row r="458" spans="1:115">
      <c r="A458" s="173">
        <f>Calculations[[#This Row],[Sum t eCO2]]*IF(Calculations[[#This Row],[GHG Scope]]="BIOGENIC",0,1)</f>
        <v>210.72430254184002</v>
      </c>
      <c r="O458">
        <f t="shared" si="7"/>
        <v>457</v>
      </c>
      <c r="P458">
        <v>2</v>
      </c>
      <c r="Q458">
        <v>1</v>
      </c>
      <c r="R458">
        <v>5</v>
      </c>
      <c r="S458">
        <v>1</v>
      </c>
      <c r="T458">
        <v>10</v>
      </c>
      <c r="U458">
        <v>6</v>
      </c>
      <c r="V458">
        <v>9</v>
      </c>
      <c r="W458">
        <v>9</v>
      </c>
      <c r="X458">
        <v>3</v>
      </c>
      <c r="Y458">
        <v>2</v>
      </c>
      <c r="Z458">
        <v>2</v>
      </c>
      <c r="AA458">
        <v>9</v>
      </c>
      <c r="AB458">
        <v>4</v>
      </c>
      <c r="AC458">
        <v>8</v>
      </c>
      <c r="AD458">
        <v>3</v>
      </c>
      <c r="AE458">
        <v>9</v>
      </c>
      <c r="AF458">
        <v>9</v>
      </c>
      <c r="AG458">
        <v>9</v>
      </c>
      <c r="AH458">
        <v>8</v>
      </c>
      <c r="AI458">
        <v>10</v>
      </c>
      <c r="AJ458">
        <v>7</v>
      </c>
      <c r="AK458">
        <v>3</v>
      </c>
      <c r="AL458">
        <v>3</v>
      </c>
      <c r="AM458">
        <v>0</v>
      </c>
      <c r="AN458">
        <v>9</v>
      </c>
      <c r="AO458">
        <v>9</v>
      </c>
      <c r="AP458">
        <v>2</v>
      </c>
      <c r="AQ458">
        <v>6</v>
      </c>
      <c r="AR458">
        <v>0</v>
      </c>
      <c r="AS458">
        <v>3</v>
      </c>
      <c r="AT458">
        <v>6</v>
      </c>
      <c r="AU458">
        <v>2</v>
      </c>
      <c r="AV458">
        <v>8</v>
      </c>
      <c r="AW458">
        <v>2</v>
      </c>
      <c r="AX458">
        <v>6</v>
      </c>
      <c r="AY458">
        <v>3</v>
      </c>
      <c r="AZ458">
        <v>1</v>
      </c>
      <c r="BA458">
        <v>9</v>
      </c>
      <c r="BB458">
        <v>8</v>
      </c>
      <c r="BC458">
        <v>4</v>
      </c>
      <c r="BD458">
        <v>2</v>
      </c>
      <c r="BE458">
        <v>9</v>
      </c>
      <c r="BF458">
        <v>6</v>
      </c>
      <c r="BG458">
        <v>2</v>
      </c>
      <c r="BH458">
        <v>9</v>
      </c>
      <c r="BI458">
        <v>7</v>
      </c>
      <c r="BJ458">
        <v>1</v>
      </c>
      <c r="BK458">
        <v>10</v>
      </c>
      <c r="BL458">
        <v>9</v>
      </c>
      <c r="BM458">
        <v>0</v>
      </c>
      <c r="BN458">
        <v>0</v>
      </c>
      <c r="BO458">
        <v>10</v>
      </c>
      <c r="BP458">
        <v>4</v>
      </c>
      <c r="BQ458">
        <v>7</v>
      </c>
      <c r="BR458">
        <v>7</v>
      </c>
      <c r="BS458">
        <v>9</v>
      </c>
      <c r="BT458">
        <v>5</v>
      </c>
      <c r="BU458">
        <v>9</v>
      </c>
      <c r="BV458">
        <v>1</v>
      </c>
      <c r="BW458">
        <v>6</v>
      </c>
      <c r="BX458">
        <v>5</v>
      </c>
      <c r="BY458">
        <v>5</v>
      </c>
      <c r="BZ458">
        <v>10</v>
      </c>
      <c r="CA458">
        <v>8</v>
      </c>
      <c r="CB458">
        <v>5</v>
      </c>
      <c r="CC458">
        <v>5</v>
      </c>
      <c r="CD458">
        <v>7</v>
      </c>
      <c r="CE458">
        <v>9</v>
      </c>
      <c r="CF458">
        <v>10</v>
      </c>
      <c r="CG458">
        <v>5</v>
      </c>
      <c r="CH458">
        <v>0</v>
      </c>
      <c r="CI458">
        <v>2</v>
      </c>
      <c r="CJ458">
        <v>9</v>
      </c>
      <c r="CK458">
        <v>3</v>
      </c>
      <c r="CL458">
        <v>10</v>
      </c>
      <c r="CM458">
        <v>2</v>
      </c>
      <c r="CN458">
        <v>6</v>
      </c>
      <c r="CO458">
        <v>5</v>
      </c>
      <c r="CP458">
        <v>6</v>
      </c>
      <c r="CQ458">
        <v>5</v>
      </c>
      <c r="CR458">
        <v>3</v>
      </c>
      <c r="CS458">
        <v>0</v>
      </c>
      <c r="CT458">
        <v>5</v>
      </c>
      <c r="CU458">
        <v>5</v>
      </c>
      <c r="CV458">
        <v>2</v>
      </c>
      <c r="CW458">
        <v>0</v>
      </c>
      <c r="CX458">
        <v>1</v>
      </c>
      <c r="CY458">
        <v>5</v>
      </c>
      <c r="CZ458">
        <v>2</v>
      </c>
      <c r="DA458">
        <v>10</v>
      </c>
      <c r="DB458">
        <v>3</v>
      </c>
      <c r="DC458">
        <v>3</v>
      </c>
      <c r="DD458">
        <v>2</v>
      </c>
      <c r="DE458">
        <v>10</v>
      </c>
      <c r="DF458">
        <v>5</v>
      </c>
      <c r="DG458">
        <v>6</v>
      </c>
      <c r="DH458">
        <v>1</v>
      </c>
      <c r="DI458">
        <v>1</v>
      </c>
      <c r="DJ458">
        <v>7</v>
      </c>
      <c r="DK458">
        <v>5</v>
      </c>
    </row>
    <row r="459" spans="1:115">
      <c r="A459" s="173">
        <f>Calculations[[#This Row],[Sum t eCO2]]*IF(Calculations[[#This Row],[GHG Scope]]="BIOGENIC",0,1)</f>
        <v>45.1291103991</v>
      </c>
      <c r="O459">
        <f t="shared" si="7"/>
        <v>458</v>
      </c>
      <c r="P459">
        <v>2</v>
      </c>
      <c r="Q459">
        <v>6</v>
      </c>
      <c r="R459">
        <v>2</v>
      </c>
      <c r="S459">
        <v>2</v>
      </c>
      <c r="T459">
        <v>2</v>
      </c>
      <c r="U459">
        <v>1</v>
      </c>
      <c r="V459">
        <v>8</v>
      </c>
      <c r="W459">
        <v>1</v>
      </c>
      <c r="X459">
        <v>10</v>
      </c>
      <c r="Y459">
        <v>1</v>
      </c>
      <c r="Z459">
        <v>3</v>
      </c>
      <c r="AA459">
        <v>0</v>
      </c>
      <c r="AB459">
        <v>8</v>
      </c>
      <c r="AC459">
        <v>4</v>
      </c>
      <c r="AD459">
        <v>8</v>
      </c>
      <c r="AE459">
        <v>9</v>
      </c>
      <c r="AF459">
        <v>3</v>
      </c>
      <c r="AG459">
        <v>10</v>
      </c>
      <c r="AH459">
        <v>7</v>
      </c>
      <c r="AI459">
        <v>5</v>
      </c>
      <c r="AJ459">
        <v>0</v>
      </c>
      <c r="AK459">
        <v>9</v>
      </c>
      <c r="AL459">
        <v>3</v>
      </c>
      <c r="AM459">
        <v>1</v>
      </c>
      <c r="AN459">
        <v>4</v>
      </c>
      <c r="AO459">
        <v>5</v>
      </c>
      <c r="AP459">
        <v>6</v>
      </c>
      <c r="AQ459">
        <v>5</v>
      </c>
      <c r="AR459">
        <v>8</v>
      </c>
      <c r="AS459">
        <v>1</v>
      </c>
      <c r="AT459">
        <v>5</v>
      </c>
      <c r="AU459">
        <v>7</v>
      </c>
      <c r="AV459">
        <v>10</v>
      </c>
      <c r="AW459">
        <v>8</v>
      </c>
      <c r="AX459">
        <v>2</v>
      </c>
      <c r="AY459">
        <v>9</v>
      </c>
      <c r="AZ459">
        <v>1</v>
      </c>
      <c r="BA459">
        <v>2</v>
      </c>
      <c r="BB459">
        <v>9</v>
      </c>
      <c r="BC459">
        <v>7</v>
      </c>
      <c r="BD459">
        <v>5</v>
      </c>
      <c r="BE459">
        <v>10</v>
      </c>
      <c r="BF459">
        <v>8</v>
      </c>
      <c r="BG459">
        <v>9</v>
      </c>
      <c r="BH459">
        <v>10</v>
      </c>
      <c r="BI459">
        <v>2</v>
      </c>
      <c r="BJ459">
        <v>3</v>
      </c>
      <c r="BK459">
        <v>4</v>
      </c>
      <c r="BL459">
        <v>4</v>
      </c>
      <c r="BM459">
        <v>4</v>
      </c>
      <c r="BN459">
        <v>8</v>
      </c>
      <c r="BO459">
        <v>4</v>
      </c>
      <c r="BP459">
        <v>4</v>
      </c>
      <c r="BQ459">
        <v>0</v>
      </c>
      <c r="BR459">
        <v>2</v>
      </c>
      <c r="BS459">
        <v>6</v>
      </c>
      <c r="BT459">
        <v>7</v>
      </c>
      <c r="BU459">
        <v>10</v>
      </c>
      <c r="BV459">
        <v>9</v>
      </c>
      <c r="BW459">
        <v>8</v>
      </c>
      <c r="BX459">
        <v>10</v>
      </c>
      <c r="BY459">
        <v>3</v>
      </c>
      <c r="BZ459">
        <v>0</v>
      </c>
      <c r="CA459">
        <v>3</v>
      </c>
      <c r="CB459">
        <v>10</v>
      </c>
      <c r="CC459">
        <v>2</v>
      </c>
      <c r="CD459">
        <v>1</v>
      </c>
      <c r="CE459">
        <v>10</v>
      </c>
      <c r="CF459">
        <v>7</v>
      </c>
      <c r="CG459">
        <v>8</v>
      </c>
      <c r="CH459">
        <v>8</v>
      </c>
      <c r="CI459">
        <v>10</v>
      </c>
      <c r="CJ459">
        <v>7</v>
      </c>
      <c r="CK459">
        <v>7</v>
      </c>
      <c r="CL459">
        <v>1</v>
      </c>
      <c r="CM459">
        <v>7</v>
      </c>
      <c r="CN459">
        <v>1</v>
      </c>
      <c r="CO459">
        <v>8</v>
      </c>
      <c r="CP459">
        <v>1</v>
      </c>
      <c r="CQ459">
        <v>3</v>
      </c>
      <c r="CR459">
        <v>7</v>
      </c>
      <c r="CS459">
        <v>1</v>
      </c>
      <c r="CT459">
        <v>4</v>
      </c>
      <c r="CU459">
        <v>5</v>
      </c>
      <c r="CV459">
        <v>7</v>
      </c>
      <c r="CW459">
        <v>3</v>
      </c>
      <c r="CX459">
        <v>5</v>
      </c>
      <c r="CY459">
        <v>10</v>
      </c>
      <c r="CZ459">
        <v>5</v>
      </c>
      <c r="DA459">
        <v>1</v>
      </c>
      <c r="DB459">
        <v>8</v>
      </c>
      <c r="DC459">
        <v>10</v>
      </c>
      <c r="DD459">
        <v>6</v>
      </c>
      <c r="DE459">
        <v>0</v>
      </c>
      <c r="DF459">
        <v>9</v>
      </c>
      <c r="DG459">
        <v>7</v>
      </c>
      <c r="DH459">
        <v>7</v>
      </c>
      <c r="DI459">
        <v>3</v>
      </c>
      <c r="DJ459">
        <v>7</v>
      </c>
      <c r="DK459">
        <v>7</v>
      </c>
    </row>
    <row r="460" spans="1:115">
      <c r="A460" s="173">
        <f>Calculations[[#This Row],[Sum t eCO2]]*IF(Calculations[[#This Row],[GHG Scope]]="BIOGENIC",0,1)</f>
        <v>21.742801033590002</v>
      </c>
      <c r="O460">
        <f t="shared" si="7"/>
        <v>459</v>
      </c>
      <c r="P460">
        <v>6</v>
      </c>
      <c r="Q460">
        <v>4</v>
      </c>
      <c r="R460">
        <v>2</v>
      </c>
      <c r="S460">
        <v>0</v>
      </c>
      <c r="T460">
        <v>8</v>
      </c>
      <c r="U460">
        <v>0</v>
      </c>
      <c r="V460">
        <v>9</v>
      </c>
      <c r="W460">
        <v>10</v>
      </c>
      <c r="X460">
        <v>10</v>
      </c>
      <c r="Y460">
        <v>7</v>
      </c>
      <c r="Z460">
        <v>4</v>
      </c>
      <c r="AA460">
        <v>2</v>
      </c>
      <c r="AB460">
        <v>3</v>
      </c>
      <c r="AC460">
        <v>8</v>
      </c>
      <c r="AD460">
        <v>4</v>
      </c>
      <c r="AE460">
        <v>2</v>
      </c>
      <c r="AF460">
        <v>4</v>
      </c>
      <c r="AG460">
        <v>9</v>
      </c>
      <c r="AH460">
        <v>3</v>
      </c>
      <c r="AI460">
        <v>5</v>
      </c>
      <c r="AJ460">
        <v>9</v>
      </c>
      <c r="AK460">
        <v>7</v>
      </c>
      <c r="AL460">
        <v>4</v>
      </c>
      <c r="AM460">
        <v>6</v>
      </c>
      <c r="AN460">
        <v>9</v>
      </c>
      <c r="AO460">
        <v>6</v>
      </c>
      <c r="AP460">
        <v>10</v>
      </c>
      <c r="AQ460">
        <v>0</v>
      </c>
      <c r="AR460">
        <v>4</v>
      </c>
      <c r="AS460">
        <v>6</v>
      </c>
      <c r="AT460">
        <v>10</v>
      </c>
      <c r="AU460">
        <v>7</v>
      </c>
      <c r="AV460">
        <v>6</v>
      </c>
      <c r="AW460">
        <v>8</v>
      </c>
      <c r="AX460">
        <v>7</v>
      </c>
      <c r="AY460">
        <v>8</v>
      </c>
      <c r="AZ460">
        <v>4</v>
      </c>
      <c r="BA460">
        <v>3</v>
      </c>
      <c r="BB460">
        <v>9</v>
      </c>
      <c r="BC460">
        <v>4</v>
      </c>
      <c r="BD460">
        <v>1</v>
      </c>
      <c r="BE460">
        <v>6</v>
      </c>
      <c r="BF460">
        <v>8</v>
      </c>
      <c r="BG460">
        <v>0</v>
      </c>
      <c r="BH460">
        <v>7</v>
      </c>
      <c r="BI460">
        <v>2</v>
      </c>
      <c r="BJ460">
        <v>5</v>
      </c>
      <c r="BK460">
        <v>9</v>
      </c>
      <c r="BL460">
        <v>6</v>
      </c>
      <c r="BM460">
        <v>2</v>
      </c>
      <c r="BN460">
        <v>0</v>
      </c>
      <c r="BO460">
        <v>7</v>
      </c>
      <c r="BP460">
        <v>7</v>
      </c>
      <c r="BQ460">
        <v>6</v>
      </c>
      <c r="BR460">
        <v>9</v>
      </c>
      <c r="BS460">
        <v>5</v>
      </c>
      <c r="BT460">
        <v>1</v>
      </c>
      <c r="BU460">
        <v>6</v>
      </c>
      <c r="BV460">
        <v>6</v>
      </c>
      <c r="BW460">
        <v>5</v>
      </c>
      <c r="BX460">
        <v>6</v>
      </c>
      <c r="BY460">
        <v>2</v>
      </c>
      <c r="BZ460">
        <v>1</v>
      </c>
      <c r="CA460">
        <v>9</v>
      </c>
      <c r="CB460">
        <v>7</v>
      </c>
      <c r="CC460">
        <v>1</v>
      </c>
      <c r="CD460">
        <v>2</v>
      </c>
      <c r="CE460">
        <v>3</v>
      </c>
      <c r="CF460">
        <v>1</v>
      </c>
      <c r="CG460">
        <v>3</v>
      </c>
      <c r="CH460">
        <v>3</v>
      </c>
      <c r="CI460">
        <v>8</v>
      </c>
      <c r="CJ460">
        <v>1</v>
      </c>
      <c r="CK460">
        <v>5</v>
      </c>
      <c r="CL460">
        <v>0</v>
      </c>
      <c r="CM460">
        <v>3</v>
      </c>
      <c r="CN460">
        <v>9</v>
      </c>
      <c r="CO460">
        <v>6</v>
      </c>
      <c r="CP460">
        <v>8</v>
      </c>
      <c r="CQ460">
        <v>6</v>
      </c>
      <c r="CR460">
        <v>6</v>
      </c>
      <c r="CS460">
        <v>1</v>
      </c>
      <c r="CT460">
        <v>3</v>
      </c>
      <c r="CU460">
        <v>6</v>
      </c>
      <c r="CV460">
        <v>10</v>
      </c>
      <c r="CW460">
        <v>9</v>
      </c>
      <c r="CX460">
        <v>1</v>
      </c>
      <c r="CY460">
        <v>6</v>
      </c>
      <c r="CZ460">
        <v>3</v>
      </c>
      <c r="DA460">
        <v>6</v>
      </c>
      <c r="DB460">
        <v>0</v>
      </c>
      <c r="DC460">
        <v>0</v>
      </c>
      <c r="DD460">
        <v>4</v>
      </c>
      <c r="DE460">
        <v>9</v>
      </c>
      <c r="DF460">
        <v>2</v>
      </c>
      <c r="DG460">
        <v>1</v>
      </c>
      <c r="DH460">
        <v>1</v>
      </c>
      <c r="DI460">
        <v>2</v>
      </c>
      <c r="DJ460">
        <v>3</v>
      </c>
      <c r="DK460">
        <v>2</v>
      </c>
    </row>
    <row r="461" spans="1:115">
      <c r="A461" s="173">
        <f>Calculations[[#This Row],[Sum t eCO2]]*IF(Calculations[[#This Row],[GHG Scope]]="BIOGENIC",0,1)</f>
        <v>13.493857166009997</v>
      </c>
      <c r="O461">
        <f t="shared" si="7"/>
        <v>460</v>
      </c>
      <c r="P461">
        <v>6</v>
      </c>
      <c r="Q461">
        <v>9</v>
      </c>
      <c r="R461">
        <v>7</v>
      </c>
      <c r="S461">
        <v>3</v>
      </c>
      <c r="T461">
        <v>2</v>
      </c>
      <c r="U461">
        <v>1</v>
      </c>
      <c r="V461">
        <v>3</v>
      </c>
      <c r="W461">
        <v>0</v>
      </c>
      <c r="X461">
        <v>10</v>
      </c>
      <c r="Y461">
        <v>1</v>
      </c>
      <c r="Z461">
        <v>3</v>
      </c>
      <c r="AA461">
        <v>6</v>
      </c>
      <c r="AB461">
        <v>6</v>
      </c>
      <c r="AC461">
        <v>1</v>
      </c>
      <c r="AD461">
        <v>8</v>
      </c>
      <c r="AE461">
        <v>7</v>
      </c>
      <c r="AF461">
        <v>5</v>
      </c>
      <c r="AG461">
        <v>1</v>
      </c>
      <c r="AH461">
        <v>9</v>
      </c>
      <c r="AI461">
        <v>1</v>
      </c>
      <c r="AJ461">
        <v>8</v>
      </c>
      <c r="AK461">
        <v>6</v>
      </c>
      <c r="AL461">
        <v>6</v>
      </c>
      <c r="AM461">
        <v>1</v>
      </c>
      <c r="AN461">
        <v>1</v>
      </c>
      <c r="AO461">
        <v>9</v>
      </c>
      <c r="AP461">
        <v>9</v>
      </c>
      <c r="AQ461">
        <v>10</v>
      </c>
      <c r="AR461">
        <v>0</v>
      </c>
      <c r="AS461">
        <v>1</v>
      </c>
      <c r="AT461">
        <v>1</v>
      </c>
      <c r="AU461">
        <v>7</v>
      </c>
      <c r="AV461">
        <v>7</v>
      </c>
      <c r="AW461">
        <v>1</v>
      </c>
      <c r="AX461">
        <v>3</v>
      </c>
      <c r="AY461">
        <v>10</v>
      </c>
      <c r="AZ461">
        <v>5</v>
      </c>
      <c r="BA461">
        <v>4</v>
      </c>
      <c r="BB461">
        <v>8</v>
      </c>
      <c r="BC461">
        <v>9</v>
      </c>
      <c r="BD461">
        <v>2</v>
      </c>
      <c r="BE461">
        <v>8</v>
      </c>
      <c r="BF461">
        <v>2</v>
      </c>
      <c r="BG461">
        <v>3</v>
      </c>
      <c r="BH461">
        <v>4</v>
      </c>
      <c r="BI461">
        <v>8</v>
      </c>
      <c r="BJ461">
        <v>4</v>
      </c>
      <c r="BK461">
        <v>10</v>
      </c>
      <c r="BL461">
        <v>3</v>
      </c>
      <c r="BM461">
        <v>5</v>
      </c>
      <c r="BN461">
        <v>6</v>
      </c>
      <c r="BO461">
        <v>8</v>
      </c>
      <c r="BP461">
        <v>2</v>
      </c>
      <c r="BQ461">
        <v>1</v>
      </c>
      <c r="BR461">
        <v>2</v>
      </c>
      <c r="BS461">
        <v>1</v>
      </c>
      <c r="BT461">
        <v>5</v>
      </c>
      <c r="BU461">
        <v>3</v>
      </c>
      <c r="BV461">
        <v>2</v>
      </c>
      <c r="BW461">
        <v>8</v>
      </c>
      <c r="BX461">
        <v>4</v>
      </c>
      <c r="BY461">
        <v>2</v>
      </c>
      <c r="BZ461">
        <v>7</v>
      </c>
      <c r="CA461">
        <v>5</v>
      </c>
      <c r="CB461">
        <v>0</v>
      </c>
      <c r="CC461">
        <v>7</v>
      </c>
      <c r="CD461">
        <v>2</v>
      </c>
      <c r="CE461">
        <v>8</v>
      </c>
      <c r="CF461">
        <v>1</v>
      </c>
      <c r="CG461">
        <v>10</v>
      </c>
      <c r="CH461">
        <v>8</v>
      </c>
      <c r="CI461">
        <v>5</v>
      </c>
      <c r="CJ461">
        <v>7</v>
      </c>
      <c r="CK461">
        <v>2</v>
      </c>
      <c r="CL461">
        <v>7</v>
      </c>
      <c r="CM461">
        <v>4</v>
      </c>
      <c r="CN461">
        <v>5</v>
      </c>
      <c r="CO461">
        <v>5</v>
      </c>
      <c r="CP461">
        <v>1</v>
      </c>
      <c r="CQ461">
        <v>8</v>
      </c>
      <c r="CR461">
        <v>10</v>
      </c>
      <c r="CS461">
        <v>0</v>
      </c>
      <c r="CT461">
        <v>8</v>
      </c>
      <c r="CU461">
        <v>5</v>
      </c>
      <c r="CV461">
        <v>3</v>
      </c>
      <c r="CW461">
        <v>10</v>
      </c>
      <c r="CX461">
        <v>0</v>
      </c>
      <c r="CY461">
        <v>4</v>
      </c>
      <c r="CZ461">
        <v>5</v>
      </c>
      <c r="DA461">
        <v>6</v>
      </c>
      <c r="DB461">
        <v>8</v>
      </c>
      <c r="DC461">
        <v>5</v>
      </c>
      <c r="DD461">
        <v>6</v>
      </c>
      <c r="DE461">
        <v>0</v>
      </c>
      <c r="DF461">
        <v>10</v>
      </c>
      <c r="DG461">
        <v>7</v>
      </c>
      <c r="DH461">
        <v>9</v>
      </c>
      <c r="DI461">
        <v>7</v>
      </c>
      <c r="DJ461">
        <v>7</v>
      </c>
      <c r="DK461">
        <v>0</v>
      </c>
    </row>
    <row r="462" spans="1:115">
      <c r="A462" s="173">
        <f>Calculations[[#This Row],[Sum t eCO2]]*IF(Calculations[[#This Row],[GHG Scope]]="BIOGENIC",0,1)</f>
        <v>8.9929575496800016</v>
      </c>
      <c r="O462">
        <f t="shared" si="7"/>
        <v>461</v>
      </c>
      <c r="P462">
        <v>5</v>
      </c>
      <c r="Q462">
        <v>0</v>
      </c>
      <c r="R462">
        <v>3</v>
      </c>
      <c r="S462">
        <v>3</v>
      </c>
      <c r="T462">
        <v>8</v>
      </c>
      <c r="U462">
        <v>2</v>
      </c>
      <c r="V462">
        <v>2</v>
      </c>
      <c r="W462">
        <v>3</v>
      </c>
      <c r="X462">
        <v>1</v>
      </c>
      <c r="Y462">
        <v>3</v>
      </c>
      <c r="Z462">
        <v>3</v>
      </c>
      <c r="AA462">
        <v>2</v>
      </c>
      <c r="AB462">
        <v>4</v>
      </c>
      <c r="AC462">
        <v>6</v>
      </c>
      <c r="AD462">
        <v>6</v>
      </c>
      <c r="AE462">
        <v>3</v>
      </c>
      <c r="AF462">
        <v>7</v>
      </c>
      <c r="AG462">
        <v>2</v>
      </c>
      <c r="AH462">
        <v>1</v>
      </c>
      <c r="AI462">
        <v>7</v>
      </c>
      <c r="AJ462">
        <v>6</v>
      </c>
      <c r="AK462">
        <v>5</v>
      </c>
      <c r="AL462">
        <v>1</v>
      </c>
      <c r="AM462">
        <v>4</v>
      </c>
      <c r="AN462">
        <v>8</v>
      </c>
      <c r="AO462">
        <v>8</v>
      </c>
      <c r="AP462">
        <v>0</v>
      </c>
      <c r="AQ462">
        <v>0</v>
      </c>
      <c r="AR462">
        <v>10</v>
      </c>
      <c r="AS462">
        <v>2</v>
      </c>
      <c r="AT462">
        <v>1</v>
      </c>
      <c r="AU462">
        <v>5</v>
      </c>
      <c r="AV462">
        <v>9</v>
      </c>
      <c r="AW462">
        <v>2</v>
      </c>
      <c r="AX462">
        <v>6</v>
      </c>
      <c r="AY462">
        <v>10</v>
      </c>
      <c r="AZ462">
        <v>9</v>
      </c>
      <c r="BA462">
        <v>6</v>
      </c>
      <c r="BB462">
        <v>3</v>
      </c>
      <c r="BC462">
        <v>2</v>
      </c>
      <c r="BD462">
        <v>5</v>
      </c>
      <c r="BE462">
        <v>7</v>
      </c>
      <c r="BF462">
        <v>2</v>
      </c>
      <c r="BG462">
        <v>8</v>
      </c>
      <c r="BH462">
        <v>8</v>
      </c>
      <c r="BI462">
        <v>5</v>
      </c>
      <c r="BJ462">
        <v>4</v>
      </c>
      <c r="BK462">
        <v>8</v>
      </c>
      <c r="BL462">
        <v>6</v>
      </c>
      <c r="BM462">
        <v>7</v>
      </c>
      <c r="BN462">
        <v>3</v>
      </c>
      <c r="BO462">
        <v>6</v>
      </c>
      <c r="BP462">
        <v>8</v>
      </c>
      <c r="BQ462">
        <v>6</v>
      </c>
      <c r="BR462">
        <v>9</v>
      </c>
      <c r="BS462">
        <v>8</v>
      </c>
      <c r="BT462">
        <v>2</v>
      </c>
      <c r="BU462">
        <v>3</v>
      </c>
      <c r="BV462">
        <v>3</v>
      </c>
      <c r="BW462">
        <v>9</v>
      </c>
      <c r="BX462">
        <v>3</v>
      </c>
      <c r="BY462">
        <v>9</v>
      </c>
      <c r="BZ462">
        <v>9</v>
      </c>
      <c r="CA462">
        <v>8</v>
      </c>
      <c r="CB462">
        <v>4</v>
      </c>
      <c r="CC462">
        <v>0</v>
      </c>
      <c r="CD462">
        <v>4</v>
      </c>
      <c r="CE462">
        <v>2</v>
      </c>
      <c r="CF462">
        <v>10</v>
      </c>
      <c r="CG462">
        <v>7</v>
      </c>
      <c r="CH462">
        <v>6</v>
      </c>
      <c r="CI462">
        <v>6</v>
      </c>
      <c r="CJ462">
        <v>3</v>
      </c>
      <c r="CK462">
        <v>4</v>
      </c>
      <c r="CL462">
        <v>3</v>
      </c>
      <c r="CM462">
        <v>0</v>
      </c>
      <c r="CN462">
        <v>3</v>
      </c>
      <c r="CO462">
        <v>5</v>
      </c>
      <c r="CP462">
        <v>7</v>
      </c>
      <c r="CQ462">
        <v>2</v>
      </c>
      <c r="CR462">
        <v>6</v>
      </c>
      <c r="CS462">
        <v>10</v>
      </c>
      <c r="CT462">
        <v>10</v>
      </c>
      <c r="CU462">
        <v>0</v>
      </c>
      <c r="CV462">
        <v>3</v>
      </c>
      <c r="CW462">
        <v>1</v>
      </c>
      <c r="CX462">
        <v>3</v>
      </c>
      <c r="CY462">
        <v>3</v>
      </c>
      <c r="CZ462">
        <v>4</v>
      </c>
      <c r="DA462">
        <v>10</v>
      </c>
      <c r="DB462">
        <v>2</v>
      </c>
      <c r="DC462">
        <v>9</v>
      </c>
      <c r="DD462">
        <v>7</v>
      </c>
      <c r="DE462">
        <v>6</v>
      </c>
      <c r="DF462">
        <v>8</v>
      </c>
      <c r="DG462">
        <v>7</v>
      </c>
      <c r="DH462">
        <v>4</v>
      </c>
      <c r="DI462">
        <v>7</v>
      </c>
      <c r="DJ462">
        <v>0</v>
      </c>
      <c r="DK462">
        <v>10</v>
      </c>
    </row>
    <row r="463" spans="1:115">
      <c r="A463" s="173">
        <f>Calculations[[#This Row],[Sum t eCO2]]*IF(Calculations[[#This Row],[GHG Scope]]="BIOGENIC",0,1)</f>
        <v>0.4044252888</v>
      </c>
      <c r="O463">
        <f t="shared" si="7"/>
        <v>462</v>
      </c>
      <c r="P463">
        <v>9</v>
      </c>
      <c r="Q463">
        <v>8</v>
      </c>
      <c r="R463">
        <v>8</v>
      </c>
      <c r="S463">
        <v>6</v>
      </c>
      <c r="T463">
        <v>9</v>
      </c>
      <c r="U463">
        <v>10</v>
      </c>
      <c r="V463">
        <v>8</v>
      </c>
      <c r="W463">
        <v>9</v>
      </c>
      <c r="X463">
        <v>1</v>
      </c>
      <c r="Y463">
        <v>6</v>
      </c>
      <c r="Z463">
        <v>2</v>
      </c>
      <c r="AA463">
        <v>9</v>
      </c>
      <c r="AB463">
        <v>6</v>
      </c>
      <c r="AC463">
        <v>1</v>
      </c>
      <c r="AD463">
        <v>1</v>
      </c>
      <c r="AE463">
        <v>5</v>
      </c>
      <c r="AF463">
        <v>5</v>
      </c>
      <c r="AG463">
        <v>7</v>
      </c>
      <c r="AH463">
        <v>2</v>
      </c>
      <c r="AI463">
        <v>9</v>
      </c>
      <c r="AJ463">
        <v>0</v>
      </c>
      <c r="AK463">
        <v>4</v>
      </c>
      <c r="AL463">
        <v>5</v>
      </c>
      <c r="AM463">
        <v>4</v>
      </c>
      <c r="AN463">
        <v>2</v>
      </c>
      <c r="AO463">
        <v>4</v>
      </c>
      <c r="AP463">
        <v>1</v>
      </c>
      <c r="AQ463">
        <v>9</v>
      </c>
      <c r="AR463">
        <v>7</v>
      </c>
      <c r="AS463">
        <v>7</v>
      </c>
      <c r="AT463">
        <v>6</v>
      </c>
      <c r="AU463">
        <v>5</v>
      </c>
      <c r="AV463">
        <v>1</v>
      </c>
      <c r="AW463">
        <v>8</v>
      </c>
      <c r="AX463">
        <v>9</v>
      </c>
      <c r="AY463">
        <v>9</v>
      </c>
      <c r="AZ463">
        <v>5</v>
      </c>
      <c r="BA463">
        <v>8</v>
      </c>
      <c r="BB463">
        <v>5</v>
      </c>
      <c r="BC463">
        <v>0</v>
      </c>
      <c r="BD463">
        <v>5</v>
      </c>
      <c r="BE463">
        <v>9</v>
      </c>
      <c r="BF463">
        <v>10</v>
      </c>
      <c r="BG463">
        <v>3</v>
      </c>
      <c r="BH463">
        <v>5</v>
      </c>
      <c r="BI463">
        <v>10</v>
      </c>
      <c r="BJ463">
        <v>8</v>
      </c>
      <c r="BK463">
        <v>1</v>
      </c>
      <c r="BL463">
        <v>6</v>
      </c>
      <c r="BM463">
        <v>2</v>
      </c>
      <c r="BN463">
        <v>0</v>
      </c>
      <c r="BO463">
        <v>6</v>
      </c>
      <c r="BP463">
        <v>3</v>
      </c>
      <c r="BQ463">
        <v>3</v>
      </c>
      <c r="BR463">
        <v>0</v>
      </c>
      <c r="BS463">
        <v>8</v>
      </c>
      <c r="BT463">
        <v>6</v>
      </c>
      <c r="BU463">
        <v>8</v>
      </c>
      <c r="BV463">
        <v>0</v>
      </c>
      <c r="BW463">
        <v>7</v>
      </c>
      <c r="BX463">
        <v>10</v>
      </c>
      <c r="BY463">
        <v>9</v>
      </c>
      <c r="BZ463">
        <v>7</v>
      </c>
      <c r="CA463">
        <v>0</v>
      </c>
      <c r="CB463">
        <v>1</v>
      </c>
      <c r="CC463">
        <v>0</v>
      </c>
      <c r="CD463">
        <v>1</v>
      </c>
      <c r="CE463">
        <v>0</v>
      </c>
      <c r="CF463">
        <v>6</v>
      </c>
      <c r="CG463">
        <v>0</v>
      </c>
      <c r="CH463">
        <v>2</v>
      </c>
      <c r="CI463">
        <v>9</v>
      </c>
      <c r="CJ463">
        <v>2</v>
      </c>
      <c r="CK463">
        <v>5</v>
      </c>
      <c r="CL463">
        <v>8</v>
      </c>
      <c r="CM463">
        <v>10</v>
      </c>
      <c r="CN463">
        <v>5</v>
      </c>
      <c r="CO463">
        <v>1</v>
      </c>
      <c r="CP463">
        <v>4</v>
      </c>
      <c r="CQ463">
        <v>2</v>
      </c>
      <c r="CR463">
        <v>10</v>
      </c>
      <c r="CS463">
        <v>1</v>
      </c>
      <c r="CT463">
        <v>3</v>
      </c>
      <c r="CU463">
        <v>5</v>
      </c>
      <c r="CV463">
        <v>3</v>
      </c>
      <c r="CW463">
        <v>10</v>
      </c>
      <c r="CX463">
        <v>10</v>
      </c>
      <c r="CY463">
        <v>0</v>
      </c>
      <c r="CZ463">
        <v>0</v>
      </c>
      <c r="DA463">
        <v>1</v>
      </c>
      <c r="DB463">
        <v>0</v>
      </c>
      <c r="DC463">
        <v>5</v>
      </c>
      <c r="DD463">
        <v>8</v>
      </c>
      <c r="DE463">
        <v>4</v>
      </c>
      <c r="DF463">
        <v>8</v>
      </c>
      <c r="DG463">
        <v>1</v>
      </c>
      <c r="DH463">
        <v>5</v>
      </c>
      <c r="DI463">
        <v>0</v>
      </c>
      <c r="DJ463">
        <v>5</v>
      </c>
      <c r="DK463">
        <v>5</v>
      </c>
    </row>
    <row r="464" spans="1:115">
      <c r="A464" s="173">
        <f>Calculations[[#This Row],[Sum t eCO2]]*IF(Calculations[[#This Row],[GHG Scope]]="BIOGENIC",0,1)</f>
        <v>260.92142758</v>
      </c>
      <c r="O464">
        <f t="shared" si="7"/>
        <v>463</v>
      </c>
      <c r="P464">
        <v>1</v>
      </c>
      <c r="Q464">
        <v>6</v>
      </c>
      <c r="R464">
        <v>8</v>
      </c>
      <c r="S464">
        <v>7</v>
      </c>
      <c r="T464">
        <v>8</v>
      </c>
      <c r="U464">
        <v>2</v>
      </c>
      <c r="V464">
        <v>8</v>
      </c>
      <c r="W464">
        <v>3</v>
      </c>
      <c r="X464">
        <v>2</v>
      </c>
      <c r="Y464">
        <v>9</v>
      </c>
      <c r="Z464">
        <v>10</v>
      </c>
      <c r="AA464">
        <v>5</v>
      </c>
      <c r="AB464">
        <v>0</v>
      </c>
      <c r="AC464">
        <v>0</v>
      </c>
      <c r="AD464">
        <v>9</v>
      </c>
      <c r="AE464">
        <v>10</v>
      </c>
      <c r="AF464">
        <v>9</v>
      </c>
      <c r="AG464">
        <v>8</v>
      </c>
      <c r="AH464">
        <v>6</v>
      </c>
      <c r="AI464">
        <v>5</v>
      </c>
      <c r="AJ464">
        <v>0</v>
      </c>
      <c r="AK464">
        <v>10</v>
      </c>
      <c r="AL464">
        <v>7</v>
      </c>
      <c r="AM464">
        <v>3</v>
      </c>
      <c r="AN464">
        <v>6</v>
      </c>
      <c r="AO464">
        <v>8</v>
      </c>
      <c r="AP464">
        <v>9</v>
      </c>
      <c r="AQ464">
        <v>6</v>
      </c>
      <c r="AR464">
        <v>7</v>
      </c>
      <c r="AS464">
        <v>7</v>
      </c>
      <c r="AT464">
        <v>9</v>
      </c>
      <c r="AU464">
        <v>1</v>
      </c>
      <c r="AV464">
        <v>8</v>
      </c>
      <c r="AW464">
        <v>9</v>
      </c>
      <c r="AX464">
        <v>0</v>
      </c>
      <c r="AY464">
        <v>9</v>
      </c>
      <c r="AZ464">
        <v>9</v>
      </c>
      <c r="BA464">
        <v>10</v>
      </c>
      <c r="BB464">
        <v>4</v>
      </c>
      <c r="BC464">
        <v>6</v>
      </c>
      <c r="BD464">
        <v>2</v>
      </c>
      <c r="BE464">
        <v>1</v>
      </c>
      <c r="BF464">
        <v>1</v>
      </c>
      <c r="BG464">
        <v>6</v>
      </c>
      <c r="BH464">
        <v>8</v>
      </c>
      <c r="BI464">
        <v>4</v>
      </c>
      <c r="BJ464">
        <v>8</v>
      </c>
      <c r="BK464">
        <v>3</v>
      </c>
      <c r="BL464">
        <v>9</v>
      </c>
      <c r="BM464">
        <v>3</v>
      </c>
      <c r="BN464">
        <v>0</v>
      </c>
      <c r="BO464">
        <v>1</v>
      </c>
      <c r="BP464">
        <v>7</v>
      </c>
      <c r="BQ464">
        <v>2</v>
      </c>
      <c r="BR464">
        <v>1</v>
      </c>
      <c r="BS464">
        <v>5</v>
      </c>
      <c r="BT464">
        <v>5</v>
      </c>
      <c r="BU464">
        <v>4</v>
      </c>
      <c r="BV464">
        <v>5</v>
      </c>
      <c r="BW464">
        <v>2</v>
      </c>
      <c r="BX464">
        <v>1</v>
      </c>
      <c r="BY464">
        <v>10</v>
      </c>
      <c r="BZ464">
        <v>4</v>
      </c>
      <c r="CA464">
        <v>6</v>
      </c>
      <c r="CB464">
        <v>9</v>
      </c>
      <c r="CC464">
        <v>6</v>
      </c>
      <c r="CD464">
        <v>5</v>
      </c>
      <c r="CE464">
        <v>0</v>
      </c>
      <c r="CF464">
        <v>8</v>
      </c>
      <c r="CG464">
        <v>5</v>
      </c>
      <c r="CH464">
        <v>2</v>
      </c>
      <c r="CI464">
        <v>0</v>
      </c>
      <c r="CJ464">
        <v>0</v>
      </c>
      <c r="CK464">
        <v>7</v>
      </c>
      <c r="CL464">
        <v>10</v>
      </c>
      <c r="CM464">
        <v>8</v>
      </c>
      <c r="CN464">
        <v>8</v>
      </c>
      <c r="CO464">
        <v>8</v>
      </c>
      <c r="CP464">
        <v>4</v>
      </c>
      <c r="CQ464">
        <v>2</v>
      </c>
      <c r="CR464">
        <v>5</v>
      </c>
      <c r="CS464">
        <v>0</v>
      </c>
      <c r="CT464">
        <v>8</v>
      </c>
      <c r="CU464">
        <v>4</v>
      </c>
      <c r="CV464">
        <v>7</v>
      </c>
      <c r="CW464">
        <v>0</v>
      </c>
      <c r="CX464">
        <v>0</v>
      </c>
      <c r="CY464">
        <v>6</v>
      </c>
      <c r="CZ464">
        <v>4</v>
      </c>
      <c r="DA464">
        <v>3</v>
      </c>
      <c r="DB464">
        <v>1</v>
      </c>
      <c r="DC464">
        <v>2</v>
      </c>
      <c r="DD464">
        <v>10</v>
      </c>
      <c r="DE464">
        <v>0</v>
      </c>
      <c r="DF464">
        <v>6</v>
      </c>
      <c r="DG464">
        <v>3</v>
      </c>
      <c r="DH464">
        <v>10</v>
      </c>
      <c r="DI464">
        <v>8</v>
      </c>
      <c r="DJ464">
        <v>9</v>
      </c>
      <c r="DK464">
        <v>1</v>
      </c>
    </row>
    <row r="465" spans="1:115">
      <c r="A465" s="173">
        <f>Calculations[[#This Row],[Sum t eCO2]]*IF(Calculations[[#This Row],[GHG Scope]]="BIOGENIC",0,1)</f>
        <v>2699.2206600480008</v>
      </c>
      <c r="O465">
        <f t="shared" si="7"/>
        <v>464</v>
      </c>
      <c r="P465">
        <v>5</v>
      </c>
      <c r="Q465">
        <v>7</v>
      </c>
      <c r="R465">
        <v>2</v>
      </c>
      <c r="S465">
        <v>0</v>
      </c>
      <c r="T465">
        <v>9</v>
      </c>
      <c r="U465">
        <v>10</v>
      </c>
      <c r="V465">
        <v>6</v>
      </c>
      <c r="W465">
        <v>1</v>
      </c>
      <c r="X465">
        <v>2</v>
      </c>
      <c r="Y465">
        <v>1</v>
      </c>
      <c r="Z465">
        <v>5</v>
      </c>
      <c r="AA465">
        <v>10</v>
      </c>
      <c r="AB465">
        <v>3</v>
      </c>
      <c r="AC465">
        <v>0</v>
      </c>
      <c r="AD465">
        <v>4</v>
      </c>
      <c r="AE465">
        <v>5</v>
      </c>
      <c r="AF465">
        <v>3</v>
      </c>
      <c r="AG465">
        <v>10</v>
      </c>
      <c r="AH465">
        <v>8</v>
      </c>
      <c r="AI465">
        <v>6</v>
      </c>
      <c r="AJ465">
        <v>0</v>
      </c>
      <c r="AK465">
        <v>10</v>
      </c>
      <c r="AL465">
        <v>8</v>
      </c>
      <c r="AM465">
        <v>9</v>
      </c>
      <c r="AN465">
        <v>2</v>
      </c>
      <c r="AO465">
        <v>6</v>
      </c>
      <c r="AP465">
        <v>1</v>
      </c>
      <c r="AQ465">
        <v>8</v>
      </c>
      <c r="AR465">
        <v>2</v>
      </c>
      <c r="AS465">
        <v>8</v>
      </c>
      <c r="AT465">
        <v>9</v>
      </c>
      <c r="AU465">
        <v>10</v>
      </c>
      <c r="AV465">
        <v>0</v>
      </c>
      <c r="AW465">
        <v>3</v>
      </c>
      <c r="AX465">
        <v>0</v>
      </c>
      <c r="AY465">
        <v>2</v>
      </c>
      <c r="AZ465">
        <v>0</v>
      </c>
      <c r="BA465">
        <v>2</v>
      </c>
      <c r="BB465">
        <v>9</v>
      </c>
      <c r="BC465">
        <v>0</v>
      </c>
      <c r="BD465">
        <v>10</v>
      </c>
      <c r="BE465">
        <v>3</v>
      </c>
      <c r="BF465">
        <v>5</v>
      </c>
      <c r="BG465">
        <v>7</v>
      </c>
      <c r="BH465">
        <v>5</v>
      </c>
      <c r="BI465">
        <v>4</v>
      </c>
      <c r="BJ465">
        <v>4</v>
      </c>
      <c r="BK465">
        <v>0</v>
      </c>
      <c r="BL465">
        <v>2</v>
      </c>
      <c r="BM465">
        <v>5</v>
      </c>
      <c r="BN465">
        <v>3</v>
      </c>
      <c r="BO465">
        <v>10</v>
      </c>
      <c r="BP465">
        <v>9</v>
      </c>
      <c r="BQ465">
        <v>5</v>
      </c>
      <c r="BR465">
        <v>3</v>
      </c>
      <c r="BS465">
        <v>9</v>
      </c>
      <c r="BT465">
        <v>4</v>
      </c>
      <c r="BU465">
        <v>10</v>
      </c>
      <c r="BV465">
        <v>7</v>
      </c>
      <c r="BW465">
        <v>2</v>
      </c>
      <c r="BX465">
        <v>1</v>
      </c>
      <c r="BY465">
        <v>4</v>
      </c>
      <c r="BZ465">
        <v>9</v>
      </c>
      <c r="CA465">
        <v>3</v>
      </c>
      <c r="CB465">
        <v>7</v>
      </c>
      <c r="CC465">
        <v>9</v>
      </c>
      <c r="CD465">
        <v>10</v>
      </c>
      <c r="CE465">
        <v>5</v>
      </c>
      <c r="CF465">
        <v>9</v>
      </c>
      <c r="CG465">
        <v>5</v>
      </c>
      <c r="CH465">
        <v>5</v>
      </c>
      <c r="CI465">
        <v>0</v>
      </c>
      <c r="CJ465">
        <v>1</v>
      </c>
      <c r="CK465">
        <v>8</v>
      </c>
      <c r="CL465">
        <v>4</v>
      </c>
      <c r="CM465">
        <v>6</v>
      </c>
      <c r="CN465">
        <v>6</v>
      </c>
      <c r="CO465">
        <v>0</v>
      </c>
      <c r="CP465">
        <v>3</v>
      </c>
      <c r="CQ465">
        <v>7</v>
      </c>
      <c r="CR465">
        <v>2</v>
      </c>
      <c r="CS465">
        <v>10</v>
      </c>
      <c r="CT465">
        <v>1</v>
      </c>
      <c r="CU465">
        <v>1</v>
      </c>
      <c r="CV465">
        <v>3</v>
      </c>
      <c r="CW465">
        <v>7</v>
      </c>
      <c r="CX465">
        <v>1</v>
      </c>
      <c r="CY465">
        <v>2</v>
      </c>
      <c r="CZ465">
        <v>5</v>
      </c>
      <c r="DA465">
        <v>6</v>
      </c>
      <c r="DB465">
        <v>2</v>
      </c>
      <c r="DC465">
        <v>9</v>
      </c>
      <c r="DD465">
        <v>2</v>
      </c>
      <c r="DE465">
        <v>7</v>
      </c>
      <c r="DF465">
        <v>8</v>
      </c>
      <c r="DG465">
        <v>2</v>
      </c>
      <c r="DH465">
        <v>1</v>
      </c>
      <c r="DI465">
        <v>7</v>
      </c>
      <c r="DJ465">
        <v>8</v>
      </c>
      <c r="DK465">
        <v>5</v>
      </c>
    </row>
    <row r="466" spans="1:115">
      <c r="A466" s="173">
        <f>Calculations[[#This Row],[Sum t eCO2]]*IF(Calculations[[#This Row],[GHG Scope]]="BIOGENIC",0,1)</f>
        <v>0.72536233535999994</v>
      </c>
      <c r="O466">
        <f t="shared" si="7"/>
        <v>465</v>
      </c>
      <c r="P466">
        <v>3</v>
      </c>
      <c r="Q466">
        <v>1</v>
      </c>
      <c r="R466">
        <v>8</v>
      </c>
      <c r="S466">
        <v>6</v>
      </c>
      <c r="T466">
        <v>1</v>
      </c>
      <c r="U466">
        <v>4</v>
      </c>
      <c r="V466">
        <v>2</v>
      </c>
      <c r="W466">
        <v>9</v>
      </c>
      <c r="X466">
        <v>4</v>
      </c>
      <c r="Y466">
        <v>6</v>
      </c>
      <c r="Z466">
        <v>10</v>
      </c>
      <c r="AA466">
        <v>1</v>
      </c>
      <c r="AB466">
        <v>2</v>
      </c>
      <c r="AC466">
        <v>8</v>
      </c>
      <c r="AD466">
        <v>6</v>
      </c>
      <c r="AE466">
        <v>3</v>
      </c>
      <c r="AF466">
        <v>0</v>
      </c>
      <c r="AG466">
        <v>9</v>
      </c>
      <c r="AH466">
        <v>3</v>
      </c>
      <c r="AI466">
        <v>1</v>
      </c>
      <c r="AJ466">
        <v>10</v>
      </c>
      <c r="AK466">
        <v>8</v>
      </c>
      <c r="AL466">
        <v>7</v>
      </c>
      <c r="AM466">
        <v>5</v>
      </c>
      <c r="AN466">
        <v>6</v>
      </c>
      <c r="AO466">
        <v>10</v>
      </c>
      <c r="AP466">
        <v>3</v>
      </c>
      <c r="AQ466">
        <v>9</v>
      </c>
      <c r="AR466">
        <v>8</v>
      </c>
      <c r="AS466">
        <v>8</v>
      </c>
      <c r="AT466">
        <v>6</v>
      </c>
      <c r="AU466">
        <v>7</v>
      </c>
      <c r="AV466">
        <v>4</v>
      </c>
      <c r="AW466">
        <v>8</v>
      </c>
      <c r="AX466">
        <v>0</v>
      </c>
      <c r="AY466">
        <v>8</v>
      </c>
      <c r="AZ466">
        <v>7</v>
      </c>
      <c r="BA466">
        <v>3</v>
      </c>
      <c r="BB466">
        <v>2</v>
      </c>
      <c r="BC466">
        <v>2</v>
      </c>
      <c r="BD466">
        <v>3</v>
      </c>
      <c r="BE466">
        <v>2</v>
      </c>
      <c r="BF466">
        <v>5</v>
      </c>
      <c r="BG466">
        <v>3</v>
      </c>
      <c r="BH466">
        <v>2</v>
      </c>
      <c r="BI466">
        <v>1</v>
      </c>
      <c r="BJ466">
        <v>7</v>
      </c>
      <c r="BK466">
        <v>0</v>
      </c>
      <c r="BL466">
        <v>0</v>
      </c>
      <c r="BM466">
        <v>7</v>
      </c>
      <c r="BN466">
        <v>10</v>
      </c>
      <c r="BO466">
        <v>8</v>
      </c>
      <c r="BP466">
        <v>0</v>
      </c>
      <c r="BQ466">
        <v>7</v>
      </c>
      <c r="BR466">
        <v>8</v>
      </c>
      <c r="BS466">
        <v>8</v>
      </c>
      <c r="BT466">
        <v>8</v>
      </c>
      <c r="BU466">
        <v>2</v>
      </c>
      <c r="BV466">
        <v>0</v>
      </c>
      <c r="BW466">
        <v>9</v>
      </c>
      <c r="BX466">
        <v>6</v>
      </c>
      <c r="BY466">
        <v>7</v>
      </c>
      <c r="BZ466">
        <v>10</v>
      </c>
      <c r="CA466">
        <v>0</v>
      </c>
      <c r="CB466">
        <v>5</v>
      </c>
      <c r="CC466">
        <v>10</v>
      </c>
      <c r="CD466">
        <v>6</v>
      </c>
      <c r="CE466">
        <v>9</v>
      </c>
      <c r="CF466">
        <v>4</v>
      </c>
      <c r="CG466">
        <v>7</v>
      </c>
      <c r="CH466">
        <v>1</v>
      </c>
      <c r="CI466">
        <v>9</v>
      </c>
      <c r="CJ466">
        <v>3</v>
      </c>
      <c r="CK466">
        <v>6</v>
      </c>
      <c r="CL466">
        <v>10</v>
      </c>
      <c r="CM466">
        <v>8</v>
      </c>
      <c r="CN466">
        <v>9</v>
      </c>
      <c r="CO466">
        <v>8</v>
      </c>
      <c r="CP466">
        <v>7</v>
      </c>
      <c r="CQ466">
        <v>0</v>
      </c>
      <c r="CR466">
        <v>5</v>
      </c>
      <c r="CS466">
        <v>10</v>
      </c>
      <c r="CT466">
        <v>4</v>
      </c>
      <c r="CU466">
        <v>6</v>
      </c>
      <c r="CV466">
        <v>1</v>
      </c>
      <c r="CW466">
        <v>8</v>
      </c>
      <c r="CX466">
        <v>10</v>
      </c>
      <c r="CY466">
        <v>0</v>
      </c>
      <c r="CZ466">
        <v>6</v>
      </c>
      <c r="DA466">
        <v>9</v>
      </c>
      <c r="DB466">
        <v>5</v>
      </c>
      <c r="DC466">
        <v>0</v>
      </c>
      <c r="DD466">
        <v>10</v>
      </c>
      <c r="DE466">
        <v>9</v>
      </c>
      <c r="DF466">
        <v>6</v>
      </c>
      <c r="DG466">
        <v>7</v>
      </c>
      <c r="DH466">
        <v>6</v>
      </c>
      <c r="DI466">
        <v>7</v>
      </c>
      <c r="DJ466">
        <v>10</v>
      </c>
      <c r="DK466">
        <v>6</v>
      </c>
    </row>
    <row r="467" spans="1:115">
      <c r="A467" s="173">
        <f>Calculations[[#This Row],[Sum t eCO2]]*IF(Calculations[[#This Row],[GHG Scope]]="BIOGENIC",0,1)</f>
        <v>8.8839723655799983</v>
      </c>
      <c r="O467">
        <f t="shared" si="7"/>
        <v>466</v>
      </c>
      <c r="P467">
        <v>9</v>
      </c>
      <c r="Q467">
        <v>4</v>
      </c>
      <c r="R467">
        <v>8</v>
      </c>
      <c r="S467">
        <v>0</v>
      </c>
      <c r="T467">
        <v>8</v>
      </c>
      <c r="U467">
        <v>0</v>
      </c>
      <c r="V467">
        <v>10</v>
      </c>
      <c r="W467">
        <v>7</v>
      </c>
      <c r="X467">
        <v>10</v>
      </c>
      <c r="Y467">
        <v>9</v>
      </c>
      <c r="Z467">
        <v>7</v>
      </c>
      <c r="AA467">
        <v>10</v>
      </c>
      <c r="AB467">
        <v>10</v>
      </c>
      <c r="AC467">
        <v>0</v>
      </c>
      <c r="AD467">
        <v>2</v>
      </c>
      <c r="AE467">
        <v>0</v>
      </c>
      <c r="AF467">
        <v>1</v>
      </c>
      <c r="AG467">
        <v>5</v>
      </c>
      <c r="AH467">
        <v>10</v>
      </c>
      <c r="AI467">
        <v>7</v>
      </c>
      <c r="AJ467">
        <v>2</v>
      </c>
      <c r="AK467">
        <v>1</v>
      </c>
      <c r="AL467">
        <v>5</v>
      </c>
      <c r="AM467">
        <v>7</v>
      </c>
      <c r="AN467">
        <v>1</v>
      </c>
      <c r="AO467">
        <v>0</v>
      </c>
      <c r="AP467">
        <v>4</v>
      </c>
      <c r="AQ467">
        <v>3</v>
      </c>
      <c r="AR467">
        <v>3</v>
      </c>
      <c r="AS467">
        <v>4</v>
      </c>
      <c r="AT467">
        <v>3</v>
      </c>
      <c r="AU467">
        <v>1</v>
      </c>
      <c r="AV467">
        <v>8</v>
      </c>
      <c r="AW467">
        <v>10</v>
      </c>
      <c r="AX467">
        <v>8</v>
      </c>
      <c r="AY467">
        <v>3</v>
      </c>
      <c r="AZ467">
        <v>10</v>
      </c>
      <c r="BA467">
        <v>0</v>
      </c>
      <c r="BB467">
        <v>4</v>
      </c>
      <c r="BC467">
        <v>7</v>
      </c>
      <c r="BD467">
        <v>0</v>
      </c>
      <c r="BE467">
        <v>3</v>
      </c>
      <c r="BF467">
        <v>10</v>
      </c>
      <c r="BG467">
        <v>1</v>
      </c>
      <c r="BH467">
        <v>10</v>
      </c>
      <c r="BI467">
        <v>2</v>
      </c>
      <c r="BJ467">
        <v>7</v>
      </c>
      <c r="BK467">
        <v>0</v>
      </c>
      <c r="BL467">
        <v>7</v>
      </c>
      <c r="BM467">
        <v>8</v>
      </c>
      <c r="BN467">
        <v>4</v>
      </c>
      <c r="BO467">
        <v>4</v>
      </c>
      <c r="BP467">
        <v>9</v>
      </c>
      <c r="BQ467">
        <v>8</v>
      </c>
      <c r="BR467">
        <v>4</v>
      </c>
      <c r="BS467">
        <v>5</v>
      </c>
      <c r="BT467">
        <v>4</v>
      </c>
      <c r="BU467">
        <v>7</v>
      </c>
      <c r="BV467">
        <v>1</v>
      </c>
      <c r="BW467">
        <v>9</v>
      </c>
      <c r="BX467">
        <v>1</v>
      </c>
      <c r="BY467">
        <v>5</v>
      </c>
      <c r="BZ467">
        <v>0</v>
      </c>
      <c r="CA467">
        <v>2</v>
      </c>
      <c r="CB467">
        <v>4</v>
      </c>
      <c r="CC467">
        <v>5</v>
      </c>
      <c r="CD467">
        <v>8</v>
      </c>
      <c r="CE467">
        <v>10</v>
      </c>
      <c r="CF467">
        <v>4</v>
      </c>
      <c r="CG467">
        <v>0</v>
      </c>
      <c r="CH467">
        <v>3</v>
      </c>
      <c r="CI467">
        <v>1</v>
      </c>
      <c r="CJ467">
        <v>6</v>
      </c>
      <c r="CK467">
        <v>3</v>
      </c>
      <c r="CL467">
        <v>9</v>
      </c>
      <c r="CM467">
        <v>8</v>
      </c>
      <c r="CN467">
        <v>5</v>
      </c>
      <c r="CO467">
        <v>0</v>
      </c>
      <c r="CP467">
        <v>3</v>
      </c>
      <c r="CQ467">
        <v>4</v>
      </c>
      <c r="CR467">
        <v>6</v>
      </c>
      <c r="CS467">
        <v>4</v>
      </c>
      <c r="CT467">
        <v>2</v>
      </c>
      <c r="CU467">
        <v>0</v>
      </c>
      <c r="CV467">
        <v>7</v>
      </c>
      <c r="CW467">
        <v>2</v>
      </c>
      <c r="CX467">
        <v>3</v>
      </c>
      <c r="CY467">
        <v>0</v>
      </c>
      <c r="CZ467">
        <v>0</v>
      </c>
      <c r="DA467">
        <v>3</v>
      </c>
      <c r="DB467">
        <v>3</v>
      </c>
      <c r="DC467">
        <v>1</v>
      </c>
      <c r="DD467">
        <v>8</v>
      </c>
      <c r="DE467">
        <v>8</v>
      </c>
      <c r="DF467">
        <v>0</v>
      </c>
      <c r="DG467">
        <v>8</v>
      </c>
      <c r="DH467">
        <v>6</v>
      </c>
      <c r="DI467">
        <v>9</v>
      </c>
      <c r="DJ467">
        <v>5</v>
      </c>
      <c r="DK467">
        <v>10</v>
      </c>
    </row>
    <row r="468" spans="1:115">
      <c r="A468" s="173">
        <f>Calculations[[#This Row],[Sum t eCO2]]*IF(Calculations[[#This Row],[GHG Scope]]="BIOGENIC",0,1)</f>
        <v>7181.3022615755399</v>
      </c>
      <c r="O468">
        <f t="shared" si="7"/>
        <v>467</v>
      </c>
      <c r="P468">
        <v>2</v>
      </c>
      <c r="Q468">
        <v>2</v>
      </c>
      <c r="R468">
        <v>9</v>
      </c>
      <c r="S468">
        <v>1</v>
      </c>
      <c r="T468">
        <v>0</v>
      </c>
      <c r="U468">
        <v>3</v>
      </c>
      <c r="V468">
        <v>10</v>
      </c>
      <c r="W468">
        <v>0</v>
      </c>
      <c r="X468">
        <v>10</v>
      </c>
      <c r="Y468">
        <v>3</v>
      </c>
      <c r="Z468">
        <v>10</v>
      </c>
      <c r="AA468">
        <v>8</v>
      </c>
      <c r="AB468">
        <v>8</v>
      </c>
      <c r="AC468">
        <v>8</v>
      </c>
      <c r="AD468">
        <v>8</v>
      </c>
      <c r="AE468">
        <v>8</v>
      </c>
      <c r="AF468">
        <v>7</v>
      </c>
      <c r="AG468">
        <v>7</v>
      </c>
      <c r="AH468">
        <v>2</v>
      </c>
      <c r="AI468">
        <v>6</v>
      </c>
      <c r="AJ468">
        <v>2</v>
      </c>
      <c r="AK468">
        <v>8</v>
      </c>
      <c r="AL468">
        <v>9</v>
      </c>
      <c r="AM468">
        <v>5</v>
      </c>
      <c r="AN468">
        <v>9</v>
      </c>
      <c r="AO468">
        <v>3</v>
      </c>
      <c r="AP468">
        <v>7</v>
      </c>
      <c r="AQ468">
        <v>7</v>
      </c>
      <c r="AR468">
        <v>2</v>
      </c>
      <c r="AS468">
        <v>1</v>
      </c>
      <c r="AT468">
        <v>2</v>
      </c>
      <c r="AU468">
        <v>3</v>
      </c>
      <c r="AV468">
        <v>10</v>
      </c>
      <c r="AW468">
        <v>10</v>
      </c>
      <c r="AX468">
        <v>10</v>
      </c>
      <c r="AY468">
        <v>10</v>
      </c>
      <c r="AZ468">
        <v>10</v>
      </c>
      <c r="BA468">
        <v>9</v>
      </c>
      <c r="BB468">
        <v>10</v>
      </c>
      <c r="BC468">
        <v>10</v>
      </c>
      <c r="BD468">
        <v>0</v>
      </c>
      <c r="BE468">
        <v>7</v>
      </c>
      <c r="BF468">
        <v>10</v>
      </c>
      <c r="BG468">
        <v>7</v>
      </c>
      <c r="BH468">
        <v>9</v>
      </c>
      <c r="BI468">
        <v>3</v>
      </c>
      <c r="BJ468">
        <v>4</v>
      </c>
      <c r="BK468">
        <v>2</v>
      </c>
      <c r="BL468">
        <v>2</v>
      </c>
      <c r="BM468">
        <v>7</v>
      </c>
      <c r="BN468">
        <v>5</v>
      </c>
      <c r="BO468">
        <v>5</v>
      </c>
      <c r="BP468">
        <v>6</v>
      </c>
      <c r="BQ468">
        <v>10</v>
      </c>
      <c r="BR468">
        <v>5</v>
      </c>
      <c r="BS468">
        <v>8</v>
      </c>
      <c r="BT468">
        <v>4</v>
      </c>
      <c r="BU468">
        <v>3</v>
      </c>
      <c r="BV468">
        <v>9</v>
      </c>
      <c r="BW468">
        <v>5</v>
      </c>
      <c r="BX468">
        <v>4</v>
      </c>
      <c r="BY468">
        <v>3</v>
      </c>
      <c r="BZ468">
        <v>1</v>
      </c>
      <c r="CA468">
        <v>7</v>
      </c>
      <c r="CB468">
        <v>7</v>
      </c>
      <c r="CC468">
        <v>7</v>
      </c>
      <c r="CD468">
        <v>10</v>
      </c>
      <c r="CE468">
        <v>7</v>
      </c>
      <c r="CF468">
        <v>8</v>
      </c>
      <c r="CG468">
        <v>4</v>
      </c>
      <c r="CH468">
        <v>6</v>
      </c>
      <c r="CI468">
        <v>5</v>
      </c>
      <c r="CJ468">
        <v>5</v>
      </c>
      <c r="CK468">
        <v>6</v>
      </c>
      <c r="CL468">
        <v>0</v>
      </c>
      <c r="CM468">
        <v>4</v>
      </c>
      <c r="CN468">
        <v>0</v>
      </c>
      <c r="CO468">
        <v>5</v>
      </c>
      <c r="CP468">
        <v>10</v>
      </c>
      <c r="CQ468">
        <v>6</v>
      </c>
      <c r="CR468">
        <v>8</v>
      </c>
      <c r="CS468">
        <v>4</v>
      </c>
      <c r="CT468">
        <v>8</v>
      </c>
      <c r="CU468">
        <v>8</v>
      </c>
      <c r="CV468">
        <v>6</v>
      </c>
      <c r="CW468">
        <v>7</v>
      </c>
      <c r="CX468">
        <v>4</v>
      </c>
      <c r="CY468">
        <v>0</v>
      </c>
      <c r="CZ468">
        <v>1</v>
      </c>
      <c r="DA468">
        <v>3</v>
      </c>
      <c r="DB468">
        <v>4</v>
      </c>
      <c r="DC468">
        <v>0</v>
      </c>
      <c r="DD468">
        <v>8</v>
      </c>
      <c r="DE468">
        <v>4</v>
      </c>
      <c r="DF468">
        <v>7</v>
      </c>
      <c r="DG468">
        <v>8</v>
      </c>
      <c r="DH468">
        <v>5</v>
      </c>
      <c r="DI468">
        <v>9</v>
      </c>
      <c r="DJ468">
        <v>3</v>
      </c>
      <c r="DK468">
        <v>5</v>
      </c>
    </row>
    <row r="469" spans="1:115">
      <c r="A469" s="173">
        <f>Calculations[[#This Row],[Sum t eCO2]]*IF(Calculations[[#This Row],[GHG Scope]]="BIOGENIC",0,1)</f>
        <v>130.20384114300001</v>
      </c>
      <c r="O469">
        <f t="shared" si="7"/>
        <v>468</v>
      </c>
      <c r="P469">
        <v>10</v>
      </c>
      <c r="Q469">
        <v>8</v>
      </c>
      <c r="R469">
        <v>1</v>
      </c>
      <c r="S469">
        <v>8</v>
      </c>
      <c r="T469">
        <v>10</v>
      </c>
      <c r="U469">
        <v>10</v>
      </c>
      <c r="V469">
        <v>0</v>
      </c>
      <c r="W469">
        <v>4</v>
      </c>
      <c r="X469">
        <v>3</v>
      </c>
      <c r="Y469">
        <v>7</v>
      </c>
      <c r="Z469">
        <v>5</v>
      </c>
      <c r="AA469">
        <v>4</v>
      </c>
      <c r="AB469">
        <v>6</v>
      </c>
      <c r="AC469">
        <v>4</v>
      </c>
      <c r="AD469">
        <v>5</v>
      </c>
      <c r="AE469">
        <v>10</v>
      </c>
      <c r="AF469">
        <v>3</v>
      </c>
      <c r="AG469">
        <v>5</v>
      </c>
      <c r="AH469">
        <v>0</v>
      </c>
      <c r="AI469">
        <v>2</v>
      </c>
      <c r="AJ469">
        <v>7</v>
      </c>
      <c r="AK469">
        <v>1</v>
      </c>
      <c r="AL469">
        <v>2</v>
      </c>
      <c r="AM469">
        <v>4</v>
      </c>
      <c r="AN469">
        <v>10</v>
      </c>
      <c r="AO469">
        <v>7</v>
      </c>
      <c r="AP469">
        <v>2</v>
      </c>
      <c r="AQ469">
        <v>6</v>
      </c>
      <c r="AR469">
        <v>5</v>
      </c>
      <c r="AS469">
        <v>2</v>
      </c>
      <c r="AT469">
        <v>2</v>
      </c>
      <c r="AU469">
        <v>0</v>
      </c>
      <c r="AV469">
        <v>3</v>
      </c>
      <c r="AW469">
        <v>7</v>
      </c>
      <c r="AX469">
        <v>6</v>
      </c>
      <c r="AY469">
        <v>8</v>
      </c>
      <c r="AZ469">
        <v>3</v>
      </c>
      <c r="BA469">
        <v>10</v>
      </c>
      <c r="BB469">
        <v>1</v>
      </c>
      <c r="BC469">
        <v>7</v>
      </c>
      <c r="BD469">
        <v>0</v>
      </c>
      <c r="BE469">
        <v>3</v>
      </c>
      <c r="BF469">
        <v>8</v>
      </c>
      <c r="BG469">
        <v>7</v>
      </c>
      <c r="BH469">
        <v>8</v>
      </c>
      <c r="BI469">
        <v>2</v>
      </c>
      <c r="BJ469">
        <v>0</v>
      </c>
      <c r="BK469">
        <v>0</v>
      </c>
      <c r="BL469">
        <v>8</v>
      </c>
      <c r="BM469">
        <v>2</v>
      </c>
      <c r="BN469">
        <v>9</v>
      </c>
      <c r="BO469">
        <v>0</v>
      </c>
      <c r="BP469">
        <v>6</v>
      </c>
      <c r="BQ469">
        <v>3</v>
      </c>
      <c r="BR469">
        <v>9</v>
      </c>
      <c r="BS469">
        <v>4</v>
      </c>
      <c r="BT469">
        <v>4</v>
      </c>
      <c r="BU469">
        <v>5</v>
      </c>
      <c r="BV469">
        <v>9</v>
      </c>
      <c r="BW469">
        <v>1</v>
      </c>
      <c r="BX469">
        <v>3</v>
      </c>
      <c r="BY469">
        <v>8</v>
      </c>
      <c r="BZ469">
        <v>7</v>
      </c>
      <c r="CA469">
        <v>7</v>
      </c>
      <c r="CB469">
        <v>3</v>
      </c>
      <c r="CC469">
        <v>8</v>
      </c>
      <c r="CD469">
        <v>0</v>
      </c>
      <c r="CE469">
        <v>10</v>
      </c>
      <c r="CF469">
        <v>8</v>
      </c>
      <c r="CG469">
        <v>2</v>
      </c>
      <c r="CH469">
        <v>3</v>
      </c>
      <c r="CI469">
        <v>5</v>
      </c>
      <c r="CJ469">
        <v>8</v>
      </c>
      <c r="CK469">
        <v>2</v>
      </c>
      <c r="CL469">
        <v>2</v>
      </c>
      <c r="CM469">
        <v>1</v>
      </c>
      <c r="CN469">
        <v>8</v>
      </c>
      <c r="CO469">
        <v>1</v>
      </c>
      <c r="CP469">
        <v>3</v>
      </c>
      <c r="CQ469">
        <v>4</v>
      </c>
      <c r="CR469">
        <v>7</v>
      </c>
      <c r="CS469">
        <v>0</v>
      </c>
      <c r="CT469">
        <v>9</v>
      </c>
      <c r="CU469">
        <v>6</v>
      </c>
      <c r="CV469">
        <v>9</v>
      </c>
      <c r="CW469">
        <v>8</v>
      </c>
      <c r="CX469">
        <v>0</v>
      </c>
      <c r="CY469">
        <v>8</v>
      </c>
      <c r="CZ469">
        <v>10</v>
      </c>
      <c r="DA469">
        <v>3</v>
      </c>
      <c r="DB469">
        <v>8</v>
      </c>
      <c r="DC469">
        <v>7</v>
      </c>
      <c r="DD469">
        <v>4</v>
      </c>
      <c r="DE469">
        <v>6</v>
      </c>
      <c r="DF469">
        <v>7</v>
      </c>
      <c r="DG469">
        <v>8</v>
      </c>
      <c r="DH469">
        <v>7</v>
      </c>
      <c r="DI469">
        <v>7</v>
      </c>
      <c r="DJ469">
        <v>3</v>
      </c>
      <c r="DK469">
        <v>6</v>
      </c>
    </row>
    <row r="470" spans="1:115">
      <c r="A470" s="173">
        <f>Calculations[[#This Row],[Sum t eCO2]]*IF(Calculations[[#This Row],[GHG Scope]]="BIOGENIC",0,1)</f>
        <v>341.49296113999998</v>
      </c>
      <c r="O470">
        <f t="shared" si="7"/>
        <v>469</v>
      </c>
      <c r="P470">
        <v>1</v>
      </c>
      <c r="Q470">
        <v>2</v>
      </c>
      <c r="R470">
        <v>7</v>
      </c>
      <c r="S470">
        <v>8</v>
      </c>
      <c r="T470">
        <v>1</v>
      </c>
      <c r="U470">
        <v>5</v>
      </c>
      <c r="V470">
        <v>6</v>
      </c>
      <c r="W470">
        <v>9</v>
      </c>
      <c r="X470">
        <v>1</v>
      </c>
      <c r="Y470">
        <v>2</v>
      </c>
      <c r="Z470">
        <v>3</v>
      </c>
      <c r="AA470">
        <v>1</v>
      </c>
      <c r="AB470">
        <v>2</v>
      </c>
      <c r="AC470">
        <v>10</v>
      </c>
      <c r="AD470">
        <v>6</v>
      </c>
      <c r="AE470">
        <v>2</v>
      </c>
      <c r="AF470">
        <v>5</v>
      </c>
      <c r="AG470">
        <v>0</v>
      </c>
      <c r="AH470">
        <v>9</v>
      </c>
      <c r="AI470">
        <v>9</v>
      </c>
      <c r="AJ470">
        <v>0</v>
      </c>
      <c r="AK470">
        <v>0</v>
      </c>
      <c r="AL470">
        <v>3</v>
      </c>
      <c r="AM470">
        <v>2</v>
      </c>
      <c r="AN470">
        <v>8</v>
      </c>
      <c r="AO470">
        <v>6</v>
      </c>
      <c r="AP470">
        <v>2</v>
      </c>
      <c r="AQ470">
        <v>9</v>
      </c>
      <c r="AR470">
        <v>9</v>
      </c>
      <c r="AS470">
        <v>0</v>
      </c>
      <c r="AT470">
        <v>9</v>
      </c>
      <c r="AU470">
        <v>8</v>
      </c>
      <c r="AV470">
        <v>5</v>
      </c>
      <c r="AW470">
        <v>8</v>
      </c>
      <c r="AX470">
        <v>8</v>
      </c>
      <c r="AY470">
        <v>7</v>
      </c>
      <c r="AZ470">
        <v>10</v>
      </c>
      <c r="BA470">
        <v>5</v>
      </c>
      <c r="BB470">
        <v>5</v>
      </c>
      <c r="BC470">
        <v>7</v>
      </c>
      <c r="BD470">
        <v>10</v>
      </c>
      <c r="BE470">
        <v>1</v>
      </c>
      <c r="BF470">
        <v>9</v>
      </c>
      <c r="BG470">
        <v>8</v>
      </c>
      <c r="BH470">
        <v>6</v>
      </c>
      <c r="BI470">
        <v>1</v>
      </c>
      <c r="BJ470">
        <v>4</v>
      </c>
      <c r="BK470">
        <v>8</v>
      </c>
      <c r="BL470">
        <v>10</v>
      </c>
      <c r="BM470">
        <v>3</v>
      </c>
      <c r="BN470">
        <v>4</v>
      </c>
      <c r="BO470">
        <v>7</v>
      </c>
      <c r="BP470">
        <v>1</v>
      </c>
      <c r="BQ470">
        <v>0</v>
      </c>
      <c r="BR470">
        <v>1</v>
      </c>
      <c r="BS470">
        <v>8</v>
      </c>
      <c r="BT470">
        <v>10</v>
      </c>
      <c r="BU470">
        <v>7</v>
      </c>
      <c r="BV470">
        <v>4</v>
      </c>
      <c r="BW470">
        <v>1</v>
      </c>
      <c r="BX470">
        <v>10</v>
      </c>
      <c r="BY470">
        <v>5</v>
      </c>
      <c r="BZ470">
        <v>10</v>
      </c>
      <c r="CA470">
        <v>9</v>
      </c>
      <c r="CB470">
        <v>5</v>
      </c>
      <c r="CC470">
        <v>2</v>
      </c>
      <c r="CD470">
        <v>4</v>
      </c>
      <c r="CE470">
        <v>2</v>
      </c>
      <c r="CF470">
        <v>7</v>
      </c>
      <c r="CG470">
        <v>0</v>
      </c>
      <c r="CH470">
        <v>3</v>
      </c>
      <c r="CI470">
        <v>0</v>
      </c>
      <c r="CJ470">
        <v>2</v>
      </c>
      <c r="CK470">
        <v>2</v>
      </c>
      <c r="CL470">
        <v>7</v>
      </c>
      <c r="CM470">
        <v>3</v>
      </c>
      <c r="CN470">
        <v>1</v>
      </c>
      <c r="CO470">
        <v>8</v>
      </c>
      <c r="CP470">
        <v>4</v>
      </c>
      <c r="CQ470">
        <v>8</v>
      </c>
      <c r="CR470">
        <v>2</v>
      </c>
      <c r="CS470">
        <v>6</v>
      </c>
      <c r="CT470">
        <v>0</v>
      </c>
      <c r="CU470">
        <v>3</v>
      </c>
      <c r="CV470">
        <v>9</v>
      </c>
      <c r="CW470">
        <v>9</v>
      </c>
      <c r="CX470">
        <v>9</v>
      </c>
      <c r="CY470">
        <v>5</v>
      </c>
      <c r="CZ470">
        <v>3</v>
      </c>
      <c r="DA470">
        <v>9</v>
      </c>
      <c r="DB470">
        <v>4</v>
      </c>
      <c r="DC470">
        <v>3</v>
      </c>
      <c r="DD470">
        <v>4</v>
      </c>
      <c r="DE470">
        <v>10</v>
      </c>
      <c r="DF470">
        <v>3</v>
      </c>
      <c r="DG470">
        <v>0</v>
      </c>
      <c r="DH470">
        <v>0</v>
      </c>
      <c r="DI470">
        <v>0</v>
      </c>
      <c r="DJ470">
        <v>2</v>
      </c>
      <c r="DK470">
        <v>2</v>
      </c>
    </row>
    <row r="471" spans="1:115">
      <c r="A471" s="173">
        <f>Calculations[[#This Row],[Sum t eCO2]]*IF(Calculations[[#This Row],[GHG Scope]]="BIOGENIC",0,1)</f>
        <v>71.665549911999989</v>
      </c>
      <c r="O471">
        <f t="shared" si="7"/>
        <v>470</v>
      </c>
      <c r="P471">
        <v>2</v>
      </c>
      <c r="Q471">
        <v>6</v>
      </c>
      <c r="R471">
        <v>5</v>
      </c>
      <c r="S471">
        <v>2</v>
      </c>
      <c r="T471">
        <v>3</v>
      </c>
      <c r="U471">
        <v>0</v>
      </c>
      <c r="V471">
        <v>2</v>
      </c>
      <c r="W471">
        <v>10</v>
      </c>
      <c r="X471">
        <v>5</v>
      </c>
      <c r="Y471">
        <v>4</v>
      </c>
      <c r="Z471">
        <v>8</v>
      </c>
      <c r="AA471">
        <v>9</v>
      </c>
      <c r="AB471">
        <v>8</v>
      </c>
      <c r="AC471">
        <v>0</v>
      </c>
      <c r="AD471">
        <v>4</v>
      </c>
      <c r="AE471">
        <v>1</v>
      </c>
      <c r="AF471">
        <v>0</v>
      </c>
      <c r="AG471">
        <v>9</v>
      </c>
      <c r="AH471">
        <v>6</v>
      </c>
      <c r="AI471">
        <v>6</v>
      </c>
      <c r="AJ471">
        <v>8</v>
      </c>
      <c r="AK471">
        <v>1</v>
      </c>
      <c r="AL471">
        <v>10</v>
      </c>
      <c r="AM471">
        <v>7</v>
      </c>
      <c r="AN471">
        <v>3</v>
      </c>
      <c r="AO471">
        <v>5</v>
      </c>
      <c r="AP471">
        <v>8</v>
      </c>
      <c r="AQ471">
        <v>7</v>
      </c>
      <c r="AR471">
        <v>2</v>
      </c>
      <c r="AS471">
        <v>1</v>
      </c>
      <c r="AT471">
        <v>0</v>
      </c>
      <c r="AU471">
        <v>3</v>
      </c>
      <c r="AV471">
        <v>5</v>
      </c>
      <c r="AW471">
        <v>10</v>
      </c>
      <c r="AX471">
        <v>2</v>
      </c>
      <c r="AY471">
        <v>4</v>
      </c>
      <c r="AZ471">
        <v>10</v>
      </c>
      <c r="BA471">
        <v>9</v>
      </c>
      <c r="BB471">
        <v>1</v>
      </c>
      <c r="BC471">
        <v>2</v>
      </c>
      <c r="BD471">
        <v>7</v>
      </c>
      <c r="BE471">
        <v>4</v>
      </c>
      <c r="BF471">
        <v>3</v>
      </c>
      <c r="BG471">
        <v>8</v>
      </c>
      <c r="BH471">
        <v>9</v>
      </c>
      <c r="BI471">
        <v>2</v>
      </c>
      <c r="BJ471">
        <v>3</v>
      </c>
      <c r="BK471">
        <v>5</v>
      </c>
      <c r="BL471">
        <v>8</v>
      </c>
      <c r="BM471">
        <v>0</v>
      </c>
      <c r="BN471">
        <v>1</v>
      </c>
      <c r="BO471">
        <v>10</v>
      </c>
      <c r="BP471">
        <v>7</v>
      </c>
      <c r="BQ471">
        <v>0</v>
      </c>
      <c r="BR471">
        <v>5</v>
      </c>
      <c r="BS471">
        <v>5</v>
      </c>
      <c r="BT471">
        <v>9</v>
      </c>
      <c r="BU471">
        <v>7</v>
      </c>
      <c r="BV471">
        <v>5</v>
      </c>
      <c r="BW471">
        <v>8</v>
      </c>
      <c r="BX471">
        <v>7</v>
      </c>
      <c r="BY471">
        <v>8</v>
      </c>
      <c r="BZ471">
        <v>1</v>
      </c>
      <c r="CA471">
        <v>9</v>
      </c>
      <c r="CB471">
        <v>7</v>
      </c>
      <c r="CC471">
        <v>2</v>
      </c>
      <c r="CD471">
        <v>9</v>
      </c>
      <c r="CE471">
        <v>3</v>
      </c>
      <c r="CF471">
        <v>3</v>
      </c>
      <c r="CG471">
        <v>8</v>
      </c>
      <c r="CH471">
        <v>2</v>
      </c>
      <c r="CI471">
        <v>10</v>
      </c>
      <c r="CJ471">
        <v>1</v>
      </c>
      <c r="CK471">
        <v>5</v>
      </c>
      <c r="CL471">
        <v>8</v>
      </c>
      <c r="CM471">
        <v>10</v>
      </c>
      <c r="CN471">
        <v>10</v>
      </c>
      <c r="CO471">
        <v>5</v>
      </c>
      <c r="CP471">
        <v>0</v>
      </c>
      <c r="CQ471">
        <v>4</v>
      </c>
      <c r="CR471">
        <v>5</v>
      </c>
      <c r="CS471">
        <v>0</v>
      </c>
      <c r="CT471">
        <v>8</v>
      </c>
      <c r="CU471">
        <v>1</v>
      </c>
      <c r="CV471">
        <v>7</v>
      </c>
      <c r="CW471">
        <v>6</v>
      </c>
      <c r="CX471">
        <v>2</v>
      </c>
      <c r="CY471">
        <v>3</v>
      </c>
      <c r="CZ471">
        <v>0</v>
      </c>
      <c r="DA471">
        <v>10</v>
      </c>
      <c r="DB471">
        <v>8</v>
      </c>
      <c r="DC471">
        <v>7</v>
      </c>
      <c r="DD471">
        <v>4</v>
      </c>
      <c r="DE471">
        <v>3</v>
      </c>
      <c r="DF471">
        <v>8</v>
      </c>
      <c r="DG471">
        <v>2</v>
      </c>
      <c r="DH471">
        <v>10</v>
      </c>
      <c r="DI471">
        <v>4</v>
      </c>
      <c r="DJ471">
        <v>0</v>
      </c>
      <c r="DK471">
        <v>8</v>
      </c>
    </row>
    <row r="472" spans="1:115">
      <c r="A472" s="173">
        <f>Calculations[[#This Row],[Sum t eCO2]]*IF(Calculations[[#This Row],[GHG Scope]]="BIOGENIC",0,1)</f>
        <v>0.53407232307000019</v>
      </c>
      <c r="O472">
        <f t="shared" si="7"/>
        <v>471</v>
      </c>
      <c r="P472">
        <v>8</v>
      </c>
      <c r="Q472">
        <v>7</v>
      </c>
      <c r="R472">
        <v>3</v>
      </c>
      <c r="S472">
        <v>3</v>
      </c>
      <c r="T472">
        <v>5</v>
      </c>
      <c r="U472">
        <v>8</v>
      </c>
      <c r="V472">
        <v>8</v>
      </c>
      <c r="W472">
        <v>1</v>
      </c>
      <c r="X472">
        <v>3</v>
      </c>
      <c r="Y472">
        <v>9</v>
      </c>
      <c r="Z472">
        <v>3</v>
      </c>
      <c r="AA472">
        <v>5</v>
      </c>
      <c r="AB472">
        <v>10</v>
      </c>
      <c r="AC472">
        <v>7</v>
      </c>
      <c r="AD472">
        <v>5</v>
      </c>
      <c r="AE472">
        <v>8</v>
      </c>
      <c r="AF472">
        <v>7</v>
      </c>
      <c r="AG472">
        <v>1</v>
      </c>
      <c r="AH472">
        <v>2</v>
      </c>
      <c r="AI472">
        <v>1</v>
      </c>
      <c r="AJ472">
        <v>5</v>
      </c>
      <c r="AK472">
        <v>0</v>
      </c>
      <c r="AL472">
        <v>8</v>
      </c>
      <c r="AM472">
        <v>8</v>
      </c>
      <c r="AN472">
        <v>6</v>
      </c>
      <c r="AO472">
        <v>7</v>
      </c>
      <c r="AP472">
        <v>1</v>
      </c>
      <c r="AQ472">
        <v>0</v>
      </c>
      <c r="AR472">
        <v>2</v>
      </c>
      <c r="AS472">
        <v>1</v>
      </c>
      <c r="AT472">
        <v>4</v>
      </c>
      <c r="AU472">
        <v>8</v>
      </c>
      <c r="AV472">
        <v>2</v>
      </c>
      <c r="AW472">
        <v>9</v>
      </c>
      <c r="AX472">
        <v>6</v>
      </c>
      <c r="AY472">
        <v>0</v>
      </c>
      <c r="AZ472">
        <v>7</v>
      </c>
      <c r="BA472">
        <v>8</v>
      </c>
      <c r="BB472">
        <v>4</v>
      </c>
      <c r="BC472">
        <v>6</v>
      </c>
      <c r="BD472">
        <v>5</v>
      </c>
      <c r="BE472">
        <v>4</v>
      </c>
      <c r="BF472">
        <v>4</v>
      </c>
      <c r="BG472">
        <v>8</v>
      </c>
      <c r="BH472">
        <v>7</v>
      </c>
      <c r="BI472">
        <v>4</v>
      </c>
      <c r="BJ472">
        <v>7</v>
      </c>
      <c r="BK472">
        <v>4</v>
      </c>
      <c r="BL472">
        <v>7</v>
      </c>
      <c r="BM472">
        <v>7</v>
      </c>
      <c r="BN472">
        <v>5</v>
      </c>
      <c r="BO472">
        <v>7</v>
      </c>
      <c r="BP472">
        <v>9</v>
      </c>
      <c r="BQ472">
        <v>2</v>
      </c>
      <c r="BR472">
        <v>6</v>
      </c>
      <c r="BS472">
        <v>8</v>
      </c>
      <c r="BT472">
        <v>7</v>
      </c>
      <c r="BU472">
        <v>4</v>
      </c>
      <c r="BV472">
        <v>6</v>
      </c>
      <c r="BW472">
        <v>6</v>
      </c>
      <c r="BX472">
        <v>1</v>
      </c>
      <c r="BY472">
        <v>0</v>
      </c>
      <c r="BZ472">
        <v>1</v>
      </c>
      <c r="CA472">
        <v>3</v>
      </c>
      <c r="CB472">
        <v>1</v>
      </c>
      <c r="CC472">
        <v>3</v>
      </c>
      <c r="CD472">
        <v>2</v>
      </c>
      <c r="CE472">
        <v>3</v>
      </c>
      <c r="CF472">
        <v>5</v>
      </c>
      <c r="CG472">
        <v>4</v>
      </c>
      <c r="CH472">
        <v>2</v>
      </c>
      <c r="CI472">
        <v>2</v>
      </c>
      <c r="CJ472">
        <v>8</v>
      </c>
      <c r="CK472">
        <v>5</v>
      </c>
      <c r="CL472">
        <v>5</v>
      </c>
      <c r="CM472">
        <v>4</v>
      </c>
      <c r="CN472">
        <v>10</v>
      </c>
      <c r="CO472">
        <v>2</v>
      </c>
      <c r="CP472">
        <v>5</v>
      </c>
      <c r="CQ472">
        <v>6</v>
      </c>
      <c r="CR472">
        <v>5</v>
      </c>
      <c r="CS472">
        <v>7</v>
      </c>
      <c r="CT472">
        <v>0</v>
      </c>
      <c r="CU472">
        <v>6</v>
      </c>
      <c r="CV472">
        <v>3</v>
      </c>
      <c r="CW472">
        <v>2</v>
      </c>
      <c r="CX472">
        <v>8</v>
      </c>
      <c r="CY472">
        <v>1</v>
      </c>
      <c r="CZ472">
        <v>6</v>
      </c>
      <c r="DA472">
        <v>8</v>
      </c>
      <c r="DB472">
        <v>4</v>
      </c>
      <c r="DC472">
        <v>6</v>
      </c>
      <c r="DD472">
        <v>4</v>
      </c>
      <c r="DE472">
        <v>10</v>
      </c>
      <c r="DF472">
        <v>9</v>
      </c>
      <c r="DG472">
        <v>0</v>
      </c>
      <c r="DH472">
        <v>7</v>
      </c>
      <c r="DI472">
        <v>0</v>
      </c>
      <c r="DJ472">
        <v>8</v>
      </c>
      <c r="DK472">
        <v>10</v>
      </c>
    </row>
    <row r="473" spans="1:115">
      <c r="A473" s="173">
        <f>Calculations[[#This Row],[Sum t eCO2]]*IF(Calculations[[#This Row],[GHG Scope]]="BIOGENIC",0,1)</f>
        <v>3.270682233</v>
      </c>
      <c r="O473">
        <f t="shared" si="7"/>
        <v>472</v>
      </c>
      <c r="P473">
        <v>10</v>
      </c>
      <c r="Q473">
        <v>5</v>
      </c>
      <c r="R473">
        <v>8</v>
      </c>
      <c r="S473">
        <v>4</v>
      </c>
      <c r="T473">
        <v>1</v>
      </c>
      <c r="U473">
        <v>7</v>
      </c>
      <c r="V473">
        <v>2</v>
      </c>
      <c r="W473">
        <v>9</v>
      </c>
      <c r="X473">
        <v>2</v>
      </c>
      <c r="Y473">
        <v>2</v>
      </c>
      <c r="Z473">
        <v>2</v>
      </c>
      <c r="AA473">
        <v>7</v>
      </c>
      <c r="AB473">
        <v>1</v>
      </c>
      <c r="AC473">
        <v>0</v>
      </c>
      <c r="AD473">
        <v>10</v>
      </c>
      <c r="AE473">
        <v>7</v>
      </c>
      <c r="AF473">
        <v>5</v>
      </c>
      <c r="AG473">
        <v>5</v>
      </c>
      <c r="AH473">
        <v>5</v>
      </c>
      <c r="AI473">
        <v>3</v>
      </c>
      <c r="AJ473">
        <v>10</v>
      </c>
      <c r="AK473">
        <v>3</v>
      </c>
      <c r="AL473">
        <v>6</v>
      </c>
      <c r="AM473">
        <v>2</v>
      </c>
      <c r="AN473">
        <v>7</v>
      </c>
      <c r="AO473">
        <v>0</v>
      </c>
      <c r="AP473">
        <v>4</v>
      </c>
      <c r="AQ473">
        <v>8</v>
      </c>
      <c r="AR473">
        <v>7</v>
      </c>
      <c r="AS473">
        <v>8</v>
      </c>
      <c r="AT473">
        <v>0</v>
      </c>
      <c r="AU473">
        <v>0</v>
      </c>
      <c r="AV473">
        <v>2</v>
      </c>
      <c r="AW473">
        <v>0</v>
      </c>
      <c r="AX473">
        <v>4</v>
      </c>
      <c r="AY473">
        <v>6</v>
      </c>
      <c r="AZ473">
        <v>9</v>
      </c>
      <c r="BA473">
        <v>9</v>
      </c>
      <c r="BB473">
        <v>0</v>
      </c>
      <c r="BC473">
        <v>6</v>
      </c>
      <c r="BD473">
        <v>2</v>
      </c>
      <c r="BE473">
        <v>9</v>
      </c>
      <c r="BF473">
        <v>3</v>
      </c>
      <c r="BG473">
        <v>3</v>
      </c>
      <c r="BH473">
        <v>5</v>
      </c>
      <c r="BI473">
        <v>8</v>
      </c>
      <c r="BJ473">
        <v>6</v>
      </c>
      <c r="BK473">
        <v>2</v>
      </c>
      <c r="BL473">
        <v>9</v>
      </c>
      <c r="BM473">
        <v>5</v>
      </c>
      <c r="BN473">
        <v>8</v>
      </c>
      <c r="BO473">
        <v>6</v>
      </c>
      <c r="BP473">
        <v>1</v>
      </c>
      <c r="BQ473">
        <v>5</v>
      </c>
      <c r="BR473">
        <v>1</v>
      </c>
      <c r="BS473">
        <v>7</v>
      </c>
      <c r="BT473">
        <v>2</v>
      </c>
      <c r="BU473">
        <v>4</v>
      </c>
      <c r="BV473">
        <v>6</v>
      </c>
      <c r="BW473">
        <v>3</v>
      </c>
      <c r="BX473">
        <v>7</v>
      </c>
      <c r="BY473">
        <v>9</v>
      </c>
      <c r="BZ473">
        <v>4</v>
      </c>
      <c r="CA473">
        <v>8</v>
      </c>
      <c r="CB473">
        <v>1</v>
      </c>
      <c r="CC473">
        <v>8</v>
      </c>
      <c r="CD473">
        <v>10</v>
      </c>
      <c r="CE473">
        <v>4</v>
      </c>
      <c r="CF473">
        <v>9</v>
      </c>
      <c r="CG473">
        <v>3</v>
      </c>
      <c r="CH473">
        <v>7</v>
      </c>
      <c r="CI473">
        <v>1</v>
      </c>
      <c r="CJ473">
        <v>7</v>
      </c>
      <c r="CK473">
        <v>9</v>
      </c>
      <c r="CL473">
        <v>0</v>
      </c>
      <c r="CM473">
        <v>9</v>
      </c>
      <c r="CN473">
        <v>3</v>
      </c>
      <c r="CO473">
        <v>10</v>
      </c>
      <c r="CP473">
        <v>4</v>
      </c>
      <c r="CQ473">
        <v>0</v>
      </c>
      <c r="CR473">
        <v>1</v>
      </c>
      <c r="CS473">
        <v>6</v>
      </c>
      <c r="CT473">
        <v>4</v>
      </c>
      <c r="CU473">
        <v>1</v>
      </c>
      <c r="CV473">
        <v>8</v>
      </c>
      <c r="CW473">
        <v>5</v>
      </c>
      <c r="CX473">
        <v>3</v>
      </c>
      <c r="CY473">
        <v>10</v>
      </c>
      <c r="CZ473">
        <v>4</v>
      </c>
      <c r="DA473">
        <v>3</v>
      </c>
      <c r="DB473">
        <v>5</v>
      </c>
      <c r="DC473">
        <v>5</v>
      </c>
      <c r="DD473">
        <v>8</v>
      </c>
      <c r="DE473">
        <v>2</v>
      </c>
      <c r="DF473">
        <v>2</v>
      </c>
      <c r="DG473">
        <v>7</v>
      </c>
      <c r="DH473">
        <v>3</v>
      </c>
      <c r="DI473">
        <v>7</v>
      </c>
      <c r="DJ473">
        <v>0</v>
      </c>
      <c r="DK473">
        <v>0</v>
      </c>
    </row>
    <row r="474" spans="1:115">
      <c r="A474" s="173">
        <f>Calculations[[#This Row],[Sum t eCO2]]*IF(Calculations[[#This Row],[GHG Scope]]="BIOGENIC",0,1)</f>
        <v>105.12469723999995</v>
      </c>
      <c r="O474">
        <f t="shared" si="7"/>
        <v>473</v>
      </c>
      <c r="P474">
        <v>7</v>
      </c>
      <c r="Q474">
        <v>1</v>
      </c>
      <c r="R474">
        <v>1</v>
      </c>
      <c r="S474">
        <v>5</v>
      </c>
      <c r="T474">
        <v>10</v>
      </c>
      <c r="U474">
        <v>5</v>
      </c>
      <c r="V474">
        <v>4</v>
      </c>
      <c r="W474">
        <v>0</v>
      </c>
      <c r="X474">
        <v>2</v>
      </c>
      <c r="Y474">
        <v>3</v>
      </c>
      <c r="Z474">
        <v>4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5</v>
      </c>
      <c r="AG474">
        <v>3</v>
      </c>
      <c r="AH474">
        <v>8</v>
      </c>
      <c r="AI474">
        <v>7</v>
      </c>
      <c r="AJ474">
        <v>5</v>
      </c>
      <c r="AK474">
        <v>3</v>
      </c>
      <c r="AL474">
        <v>10</v>
      </c>
      <c r="AM474">
        <v>3</v>
      </c>
      <c r="AN474">
        <v>6</v>
      </c>
      <c r="AO474">
        <v>6</v>
      </c>
      <c r="AP474">
        <v>3</v>
      </c>
      <c r="AQ474">
        <v>1</v>
      </c>
      <c r="AR474">
        <v>8</v>
      </c>
      <c r="AS474">
        <v>6</v>
      </c>
      <c r="AT474">
        <v>10</v>
      </c>
      <c r="AU474">
        <v>0</v>
      </c>
      <c r="AV474">
        <v>9</v>
      </c>
      <c r="AW474">
        <v>5</v>
      </c>
      <c r="AX474">
        <v>9</v>
      </c>
      <c r="AY474">
        <v>10</v>
      </c>
      <c r="AZ474">
        <v>9</v>
      </c>
      <c r="BA474">
        <v>3</v>
      </c>
      <c r="BB474">
        <v>0</v>
      </c>
      <c r="BC474">
        <v>3</v>
      </c>
      <c r="BD474">
        <v>9</v>
      </c>
      <c r="BE474">
        <v>4</v>
      </c>
      <c r="BF474">
        <v>4</v>
      </c>
      <c r="BG474">
        <v>4</v>
      </c>
      <c r="BH474">
        <v>9</v>
      </c>
      <c r="BI474">
        <v>7</v>
      </c>
      <c r="BJ474">
        <v>10</v>
      </c>
      <c r="BK474">
        <v>0</v>
      </c>
      <c r="BL474">
        <v>8</v>
      </c>
      <c r="BM474">
        <v>5</v>
      </c>
      <c r="BN474">
        <v>4</v>
      </c>
      <c r="BO474">
        <v>10</v>
      </c>
      <c r="BP474">
        <v>1</v>
      </c>
      <c r="BQ474">
        <v>10</v>
      </c>
      <c r="BR474">
        <v>1</v>
      </c>
      <c r="BS474">
        <v>9</v>
      </c>
      <c r="BT474">
        <v>10</v>
      </c>
      <c r="BU474">
        <v>9</v>
      </c>
      <c r="BV474">
        <v>8</v>
      </c>
      <c r="BW474">
        <v>6</v>
      </c>
      <c r="BX474">
        <v>10</v>
      </c>
      <c r="BY474">
        <v>4</v>
      </c>
      <c r="BZ474">
        <v>1</v>
      </c>
      <c r="CA474">
        <v>8</v>
      </c>
      <c r="CB474">
        <v>4</v>
      </c>
      <c r="CC474">
        <v>4</v>
      </c>
      <c r="CD474">
        <v>1</v>
      </c>
      <c r="CE474">
        <v>10</v>
      </c>
      <c r="CF474">
        <v>1</v>
      </c>
      <c r="CG474">
        <v>6</v>
      </c>
      <c r="CH474">
        <v>2</v>
      </c>
      <c r="CI474">
        <v>10</v>
      </c>
      <c r="CJ474">
        <v>5</v>
      </c>
      <c r="CK474">
        <v>0</v>
      </c>
      <c r="CL474">
        <v>8</v>
      </c>
      <c r="CM474">
        <v>7</v>
      </c>
      <c r="CN474">
        <v>9</v>
      </c>
      <c r="CO474">
        <v>5</v>
      </c>
      <c r="CP474">
        <v>3</v>
      </c>
      <c r="CQ474">
        <v>5</v>
      </c>
      <c r="CR474">
        <v>0</v>
      </c>
      <c r="CS474">
        <v>9</v>
      </c>
      <c r="CT474">
        <v>7</v>
      </c>
      <c r="CU474">
        <v>3</v>
      </c>
      <c r="CV474">
        <v>6</v>
      </c>
      <c r="CW474">
        <v>9</v>
      </c>
      <c r="CX474">
        <v>7</v>
      </c>
      <c r="CY474">
        <v>7</v>
      </c>
      <c r="CZ474">
        <v>7</v>
      </c>
      <c r="DA474">
        <v>8</v>
      </c>
      <c r="DB474">
        <v>9</v>
      </c>
      <c r="DC474">
        <v>5</v>
      </c>
      <c r="DD474">
        <v>1</v>
      </c>
      <c r="DE474">
        <v>10</v>
      </c>
      <c r="DF474">
        <v>4</v>
      </c>
      <c r="DG474">
        <v>2</v>
      </c>
      <c r="DH474">
        <v>4</v>
      </c>
      <c r="DI474">
        <v>6</v>
      </c>
      <c r="DJ474">
        <v>5</v>
      </c>
      <c r="DK474">
        <v>0</v>
      </c>
    </row>
    <row r="475" spans="1:115">
      <c r="A475" s="173">
        <f>Calculations[[#This Row],[Sum t eCO2]]*IF(Calculations[[#This Row],[GHG Scope]]="BIOGENIC",0,1)</f>
        <v>75.761527151699994</v>
      </c>
      <c r="O475">
        <f t="shared" si="7"/>
        <v>474</v>
      </c>
      <c r="P475">
        <v>7</v>
      </c>
      <c r="Q475">
        <v>7</v>
      </c>
      <c r="R475">
        <v>1</v>
      </c>
      <c r="S475">
        <v>6</v>
      </c>
      <c r="T475">
        <v>3</v>
      </c>
      <c r="U475">
        <v>9</v>
      </c>
      <c r="V475">
        <v>3</v>
      </c>
      <c r="W475">
        <v>4</v>
      </c>
      <c r="X475">
        <v>5</v>
      </c>
      <c r="Y475">
        <v>2</v>
      </c>
      <c r="Z475">
        <v>7</v>
      </c>
      <c r="AA475">
        <v>5</v>
      </c>
      <c r="AB475">
        <v>6</v>
      </c>
      <c r="AC475">
        <v>3</v>
      </c>
      <c r="AD475">
        <v>6</v>
      </c>
      <c r="AE475">
        <v>8</v>
      </c>
      <c r="AF475">
        <v>7</v>
      </c>
      <c r="AG475">
        <v>8</v>
      </c>
      <c r="AH475">
        <v>6</v>
      </c>
      <c r="AI475">
        <v>9</v>
      </c>
      <c r="AJ475">
        <v>8</v>
      </c>
      <c r="AK475">
        <v>2</v>
      </c>
      <c r="AL475">
        <v>8</v>
      </c>
      <c r="AM475">
        <v>5</v>
      </c>
      <c r="AN475">
        <v>7</v>
      </c>
      <c r="AO475">
        <v>5</v>
      </c>
      <c r="AP475">
        <v>5</v>
      </c>
      <c r="AQ475">
        <v>6</v>
      </c>
      <c r="AR475">
        <v>4</v>
      </c>
      <c r="AS475">
        <v>6</v>
      </c>
      <c r="AT475">
        <v>10</v>
      </c>
      <c r="AU475">
        <v>6</v>
      </c>
      <c r="AV475">
        <v>1</v>
      </c>
      <c r="AW475">
        <v>1</v>
      </c>
      <c r="AX475">
        <v>0</v>
      </c>
      <c r="AY475">
        <v>10</v>
      </c>
      <c r="AZ475">
        <v>3</v>
      </c>
      <c r="BA475">
        <v>9</v>
      </c>
      <c r="BB475">
        <v>2</v>
      </c>
      <c r="BC475">
        <v>1</v>
      </c>
      <c r="BD475">
        <v>9</v>
      </c>
      <c r="BE475">
        <v>9</v>
      </c>
      <c r="BF475">
        <v>5</v>
      </c>
      <c r="BG475">
        <v>1</v>
      </c>
      <c r="BH475">
        <v>5</v>
      </c>
      <c r="BI475">
        <v>7</v>
      </c>
      <c r="BJ475">
        <v>3</v>
      </c>
      <c r="BK475">
        <v>3</v>
      </c>
      <c r="BL475">
        <v>5</v>
      </c>
      <c r="BM475">
        <v>8</v>
      </c>
      <c r="BN475">
        <v>9</v>
      </c>
      <c r="BO475">
        <v>0</v>
      </c>
      <c r="BP475">
        <v>10</v>
      </c>
      <c r="BQ475">
        <v>1</v>
      </c>
      <c r="BR475">
        <v>7</v>
      </c>
      <c r="BS475">
        <v>3</v>
      </c>
      <c r="BT475">
        <v>0</v>
      </c>
      <c r="BU475">
        <v>1</v>
      </c>
      <c r="BV475">
        <v>2</v>
      </c>
      <c r="BW475">
        <v>9</v>
      </c>
      <c r="BX475">
        <v>6</v>
      </c>
      <c r="BY475">
        <v>10</v>
      </c>
      <c r="BZ475">
        <v>5</v>
      </c>
      <c r="CA475">
        <v>4</v>
      </c>
      <c r="CB475">
        <v>0</v>
      </c>
      <c r="CC475">
        <v>10</v>
      </c>
      <c r="CD475">
        <v>6</v>
      </c>
      <c r="CE475">
        <v>4</v>
      </c>
      <c r="CF475">
        <v>9</v>
      </c>
      <c r="CG475">
        <v>5</v>
      </c>
      <c r="CH475">
        <v>10</v>
      </c>
      <c r="CI475">
        <v>1</v>
      </c>
      <c r="CJ475">
        <v>0</v>
      </c>
      <c r="CK475">
        <v>3</v>
      </c>
      <c r="CL475">
        <v>2</v>
      </c>
      <c r="CM475">
        <v>4</v>
      </c>
      <c r="CN475">
        <v>6</v>
      </c>
      <c r="CO475">
        <v>1</v>
      </c>
      <c r="CP475">
        <v>6</v>
      </c>
      <c r="CQ475">
        <v>3</v>
      </c>
      <c r="CR475">
        <v>8</v>
      </c>
      <c r="CS475">
        <v>8</v>
      </c>
      <c r="CT475">
        <v>7</v>
      </c>
      <c r="CU475">
        <v>8</v>
      </c>
      <c r="CV475">
        <v>10</v>
      </c>
      <c r="CW475">
        <v>0</v>
      </c>
      <c r="CX475">
        <v>3</v>
      </c>
      <c r="CY475">
        <v>6</v>
      </c>
      <c r="CZ475">
        <v>6</v>
      </c>
      <c r="DA475">
        <v>5</v>
      </c>
      <c r="DB475">
        <v>1</v>
      </c>
      <c r="DC475">
        <v>4</v>
      </c>
      <c r="DD475">
        <v>2</v>
      </c>
      <c r="DE475">
        <v>9</v>
      </c>
      <c r="DF475">
        <v>4</v>
      </c>
      <c r="DG475">
        <v>0</v>
      </c>
      <c r="DH475">
        <v>6</v>
      </c>
      <c r="DI475">
        <v>2</v>
      </c>
      <c r="DJ475">
        <v>7</v>
      </c>
      <c r="DK475">
        <v>6</v>
      </c>
    </row>
    <row r="476" spans="1:115">
      <c r="A476" s="173">
        <f>Calculations[[#This Row],[Sum t eCO2]]*IF(Calculations[[#This Row],[GHG Scope]]="BIOGENIC",0,1)</f>
        <v>124.33258869299999</v>
      </c>
      <c r="O476">
        <f t="shared" si="7"/>
        <v>475</v>
      </c>
      <c r="P476">
        <v>0</v>
      </c>
      <c r="Q476">
        <v>6</v>
      </c>
      <c r="R476">
        <v>1</v>
      </c>
      <c r="S476">
        <v>1</v>
      </c>
      <c r="T476">
        <v>1</v>
      </c>
      <c r="U476">
        <v>2</v>
      </c>
      <c r="V476">
        <v>4</v>
      </c>
      <c r="W476">
        <v>2</v>
      </c>
      <c r="X476">
        <v>1</v>
      </c>
      <c r="Y476">
        <v>5</v>
      </c>
      <c r="Z476">
        <v>5</v>
      </c>
      <c r="AA476">
        <v>2</v>
      </c>
      <c r="AB476">
        <v>0</v>
      </c>
      <c r="AC476">
        <v>6</v>
      </c>
      <c r="AD476">
        <v>5</v>
      </c>
      <c r="AE476">
        <v>0</v>
      </c>
      <c r="AF476">
        <v>0</v>
      </c>
      <c r="AG476">
        <v>10</v>
      </c>
      <c r="AH476">
        <v>8</v>
      </c>
      <c r="AI476">
        <v>1</v>
      </c>
      <c r="AJ476">
        <v>8</v>
      </c>
      <c r="AK476">
        <v>10</v>
      </c>
      <c r="AL476">
        <v>8</v>
      </c>
      <c r="AM476">
        <v>8</v>
      </c>
      <c r="AN476">
        <v>4</v>
      </c>
      <c r="AO476">
        <v>5</v>
      </c>
      <c r="AP476">
        <v>3</v>
      </c>
      <c r="AQ476">
        <v>10</v>
      </c>
      <c r="AR476">
        <v>6</v>
      </c>
      <c r="AS476">
        <v>4</v>
      </c>
      <c r="AT476">
        <v>10</v>
      </c>
      <c r="AU476">
        <v>8</v>
      </c>
      <c r="AV476">
        <v>1</v>
      </c>
      <c r="AW476">
        <v>4</v>
      </c>
      <c r="AX476">
        <v>4</v>
      </c>
      <c r="AY476">
        <v>6</v>
      </c>
      <c r="AZ476">
        <v>8</v>
      </c>
      <c r="BA476">
        <v>10</v>
      </c>
      <c r="BB476">
        <v>6</v>
      </c>
      <c r="BC476">
        <v>8</v>
      </c>
      <c r="BD476">
        <v>2</v>
      </c>
      <c r="BE476">
        <v>10</v>
      </c>
      <c r="BF476">
        <v>9</v>
      </c>
      <c r="BG476">
        <v>9</v>
      </c>
      <c r="BH476">
        <v>5</v>
      </c>
      <c r="BI476">
        <v>6</v>
      </c>
      <c r="BJ476">
        <v>8</v>
      </c>
      <c r="BK476">
        <v>1</v>
      </c>
      <c r="BL476">
        <v>0</v>
      </c>
      <c r="BM476">
        <v>3</v>
      </c>
      <c r="BN476">
        <v>5</v>
      </c>
      <c r="BO476">
        <v>6</v>
      </c>
      <c r="BP476">
        <v>2</v>
      </c>
      <c r="BQ476">
        <v>6</v>
      </c>
      <c r="BR476">
        <v>0</v>
      </c>
      <c r="BS476">
        <v>10</v>
      </c>
      <c r="BT476">
        <v>0</v>
      </c>
      <c r="BU476">
        <v>3</v>
      </c>
      <c r="BV476">
        <v>10</v>
      </c>
      <c r="BW476">
        <v>10</v>
      </c>
      <c r="BX476">
        <v>9</v>
      </c>
      <c r="BY476">
        <v>2</v>
      </c>
      <c r="BZ476">
        <v>5</v>
      </c>
      <c r="CA476">
        <v>5</v>
      </c>
      <c r="CB476">
        <v>10</v>
      </c>
      <c r="CC476">
        <v>4</v>
      </c>
      <c r="CD476">
        <v>6</v>
      </c>
      <c r="CE476">
        <v>8</v>
      </c>
      <c r="CF476">
        <v>0</v>
      </c>
      <c r="CG476">
        <v>3</v>
      </c>
      <c r="CH476">
        <v>1</v>
      </c>
      <c r="CI476">
        <v>1</v>
      </c>
      <c r="CJ476">
        <v>9</v>
      </c>
      <c r="CK476">
        <v>2</v>
      </c>
      <c r="CL476">
        <v>8</v>
      </c>
      <c r="CM476">
        <v>7</v>
      </c>
      <c r="CN476">
        <v>3</v>
      </c>
      <c r="CO476">
        <v>2</v>
      </c>
      <c r="CP476">
        <v>2</v>
      </c>
      <c r="CQ476">
        <v>5</v>
      </c>
      <c r="CR476">
        <v>9</v>
      </c>
      <c r="CS476">
        <v>0</v>
      </c>
      <c r="CT476">
        <v>10</v>
      </c>
      <c r="CU476">
        <v>2</v>
      </c>
      <c r="CV476">
        <v>9</v>
      </c>
      <c r="CW476">
        <v>5</v>
      </c>
      <c r="CX476">
        <v>7</v>
      </c>
      <c r="CY476">
        <v>3</v>
      </c>
      <c r="CZ476">
        <v>7</v>
      </c>
      <c r="DA476">
        <v>2</v>
      </c>
      <c r="DB476">
        <v>3</v>
      </c>
      <c r="DC476">
        <v>9</v>
      </c>
      <c r="DD476">
        <v>9</v>
      </c>
      <c r="DE476">
        <v>9</v>
      </c>
      <c r="DF476">
        <v>5</v>
      </c>
      <c r="DG476">
        <v>9</v>
      </c>
      <c r="DH476">
        <v>5</v>
      </c>
      <c r="DI476">
        <v>1</v>
      </c>
      <c r="DJ476">
        <v>3</v>
      </c>
      <c r="DK476">
        <v>6</v>
      </c>
    </row>
    <row r="477" spans="1:115">
      <c r="A477" s="173">
        <f>Calculations[[#This Row],[Sum t eCO2]]*IF(Calculations[[#This Row],[GHG Scope]]="BIOGENIC",0,1)</f>
        <v>0.72663317999999999</v>
      </c>
      <c r="O477">
        <f t="shared" si="7"/>
        <v>476</v>
      </c>
      <c r="P477">
        <v>1</v>
      </c>
      <c r="Q477">
        <v>4</v>
      </c>
      <c r="R477">
        <v>8</v>
      </c>
      <c r="S477">
        <v>1</v>
      </c>
      <c r="T477">
        <v>2</v>
      </c>
      <c r="U477">
        <v>1</v>
      </c>
      <c r="V477">
        <v>6</v>
      </c>
      <c r="W477">
        <v>10</v>
      </c>
      <c r="X477">
        <v>0</v>
      </c>
      <c r="Y477">
        <v>5</v>
      </c>
      <c r="Z477">
        <v>4</v>
      </c>
      <c r="AA477">
        <v>9</v>
      </c>
      <c r="AB477">
        <v>1</v>
      </c>
      <c r="AC477">
        <v>7</v>
      </c>
      <c r="AD477">
        <v>10</v>
      </c>
      <c r="AE477">
        <v>1</v>
      </c>
      <c r="AF477">
        <v>10</v>
      </c>
      <c r="AG477">
        <v>3</v>
      </c>
      <c r="AH477">
        <v>6</v>
      </c>
      <c r="AI477">
        <v>1</v>
      </c>
      <c r="AJ477">
        <v>5</v>
      </c>
      <c r="AK477">
        <v>3</v>
      </c>
      <c r="AL477">
        <v>7</v>
      </c>
      <c r="AM477">
        <v>8</v>
      </c>
      <c r="AN477">
        <v>5</v>
      </c>
      <c r="AO477">
        <v>2</v>
      </c>
      <c r="AP477">
        <v>6</v>
      </c>
      <c r="AQ477">
        <v>9</v>
      </c>
      <c r="AR477">
        <v>5</v>
      </c>
      <c r="AS477">
        <v>1</v>
      </c>
      <c r="AT477">
        <v>7</v>
      </c>
      <c r="AU477">
        <v>6</v>
      </c>
      <c r="AV477">
        <v>0</v>
      </c>
      <c r="AW477">
        <v>10</v>
      </c>
      <c r="AX477">
        <v>3</v>
      </c>
      <c r="AY477">
        <v>2</v>
      </c>
      <c r="AZ477">
        <v>7</v>
      </c>
      <c r="BA477">
        <v>10</v>
      </c>
      <c r="BB477">
        <v>3</v>
      </c>
      <c r="BC477">
        <v>0</v>
      </c>
      <c r="BD477">
        <v>9</v>
      </c>
      <c r="BE477">
        <v>10</v>
      </c>
      <c r="BF477">
        <v>3</v>
      </c>
      <c r="BG477">
        <v>0</v>
      </c>
      <c r="BH477">
        <v>7</v>
      </c>
      <c r="BI477">
        <v>1</v>
      </c>
      <c r="BJ477">
        <v>1</v>
      </c>
      <c r="BK477">
        <v>1</v>
      </c>
      <c r="BL477">
        <v>0</v>
      </c>
      <c r="BM477">
        <v>6</v>
      </c>
      <c r="BN477">
        <v>0</v>
      </c>
      <c r="BO477">
        <v>5</v>
      </c>
      <c r="BP477">
        <v>5</v>
      </c>
      <c r="BQ477">
        <v>3</v>
      </c>
      <c r="BR477">
        <v>2</v>
      </c>
      <c r="BS477">
        <v>4</v>
      </c>
      <c r="BT477">
        <v>3</v>
      </c>
      <c r="BU477">
        <v>5</v>
      </c>
      <c r="BV477">
        <v>0</v>
      </c>
      <c r="BW477">
        <v>0</v>
      </c>
      <c r="BX477">
        <v>4</v>
      </c>
      <c r="BY477">
        <v>9</v>
      </c>
      <c r="BZ477">
        <v>8</v>
      </c>
      <c r="CA477">
        <v>10</v>
      </c>
      <c r="CB477">
        <v>3</v>
      </c>
      <c r="CC477">
        <v>8</v>
      </c>
      <c r="CD477">
        <v>8</v>
      </c>
      <c r="CE477">
        <v>8</v>
      </c>
      <c r="CF477">
        <v>8</v>
      </c>
      <c r="CG477">
        <v>3</v>
      </c>
      <c r="CH477">
        <v>3</v>
      </c>
      <c r="CI477">
        <v>9</v>
      </c>
      <c r="CJ477">
        <v>0</v>
      </c>
      <c r="CK477">
        <v>2</v>
      </c>
      <c r="CL477">
        <v>4</v>
      </c>
      <c r="CM477">
        <v>4</v>
      </c>
      <c r="CN477">
        <v>4</v>
      </c>
      <c r="CO477">
        <v>2</v>
      </c>
      <c r="CP477">
        <v>0</v>
      </c>
      <c r="CQ477">
        <v>7</v>
      </c>
      <c r="CR477">
        <v>9</v>
      </c>
      <c r="CS477">
        <v>7</v>
      </c>
      <c r="CT477">
        <v>1</v>
      </c>
      <c r="CU477">
        <v>8</v>
      </c>
      <c r="CV477">
        <v>3</v>
      </c>
      <c r="CW477">
        <v>8</v>
      </c>
      <c r="CX477">
        <v>10</v>
      </c>
      <c r="CY477">
        <v>5</v>
      </c>
      <c r="CZ477">
        <v>6</v>
      </c>
      <c r="DA477">
        <v>0</v>
      </c>
      <c r="DB477">
        <v>1</v>
      </c>
      <c r="DC477">
        <v>5</v>
      </c>
      <c r="DD477">
        <v>8</v>
      </c>
      <c r="DE477">
        <v>7</v>
      </c>
      <c r="DF477">
        <v>9</v>
      </c>
      <c r="DG477">
        <v>9</v>
      </c>
      <c r="DH477">
        <v>4</v>
      </c>
      <c r="DI477">
        <v>9</v>
      </c>
      <c r="DJ477">
        <v>1</v>
      </c>
      <c r="DK477">
        <v>10</v>
      </c>
    </row>
    <row r="478" spans="1:115">
      <c r="A478" s="173">
        <f>Calculations[[#This Row],[Sum t eCO2]]*IF(Calculations[[#This Row],[GHG Scope]]="BIOGENIC",0,1)</f>
        <v>233.45601788745572</v>
      </c>
      <c r="O478">
        <f t="shared" si="7"/>
        <v>477</v>
      </c>
      <c r="P478">
        <v>5</v>
      </c>
      <c r="Q478">
        <v>1</v>
      </c>
      <c r="R478">
        <v>2</v>
      </c>
      <c r="S478">
        <v>7</v>
      </c>
      <c r="T478">
        <v>1</v>
      </c>
      <c r="U478">
        <v>5</v>
      </c>
      <c r="V478">
        <v>10</v>
      </c>
      <c r="W478">
        <v>2</v>
      </c>
      <c r="X478">
        <v>6</v>
      </c>
      <c r="Y478">
        <v>1</v>
      </c>
      <c r="Z478">
        <v>8</v>
      </c>
      <c r="AA478">
        <v>7</v>
      </c>
      <c r="AB478">
        <v>5</v>
      </c>
      <c r="AC478">
        <v>6</v>
      </c>
      <c r="AD478">
        <v>5</v>
      </c>
      <c r="AE478">
        <v>3</v>
      </c>
      <c r="AF478">
        <v>6</v>
      </c>
      <c r="AG478">
        <v>9</v>
      </c>
      <c r="AH478">
        <v>5</v>
      </c>
      <c r="AI478">
        <v>0</v>
      </c>
      <c r="AJ478">
        <v>9</v>
      </c>
      <c r="AK478">
        <v>4</v>
      </c>
      <c r="AL478">
        <v>8</v>
      </c>
      <c r="AM478">
        <v>10</v>
      </c>
      <c r="AN478">
        <v>2</v>
      </c>
      <c r="AO478">
        <v>8</v>
      </c>
      <c r="AP478">
        <v>6</v>
      </c>
      <c r="AQ478">
        <v>0</v>
      </c>
      <c r="AR478">
        <v>0</v>
      </c>
      <c r="AS478">
        <v>8</v>
      </c>
      <c r="AT478">
        <v>1</v>
      </c>
      <c r="AU478">
        <v>5</v>
      </c>
      <c r="AV478">
        <v>7</v>
      </c>
      <c r="AW478">
        <v>8</v>
      </c>
      <c r="AX478">
        <v>0</v>
      </c>
      <c r="AY478">
        <v>3</v>
      </c>
      <c r="AZ478">
        <v>1</v>
      </c>
      <c r="BA478">
        <v>2</v>
      </c>
      <c r="BB478">
        <v>7</v>
      </c>
      <c r="BC478">
        <v>8</v>
      </c>
      <c r="BD478">
        <v>1</v>
      </c>
      <c r="BE478">
        <v>8</v>
      </c>
      <c r="BF478">
        <v>4</v>
      </c>
      <c r="BG478">
        <v>9</v>
      </c>
      <c r="BH478">
        <v>0</v>
      </c>
      <c r="BI478">
        <v>0</v>
      </c>
      <c r="BJ478">
        <v>10</v>
      </c>
      <c r="BK478">
        <v>10</v>
      </c>
      <c r="BL478">
        <v>0</v>
      </c>
      <c r="BM478">
        <v>4</v>
      </c>
      <c r="BN478">
        <v>1</v>
      </c>
      <c r="BO478">
        <v>10</v>
      </c>
      <c r="BP478">
        <v>4</v>
      </c>
      <c r="BQ478">
        <v>6</v>
      </c>
      <c r="BR478">
        <v>1</v>
      </c>
      <c r="BS478">
        <v>3</v>
      </c>
      <c r="BT478">
        <v>8</v>
      </c>
      <c r="BU478">
        <v>8</v>
      </c>
      <c r="BV478">
        <v>5</v>
      </c>
      <c r="BW478">
        <v>6</v>
      </c>
      <c r="BX478">
        <v>0</v>
      </c>
      <c r="BY478">
        <v>2</v>
      </c>
      <c r="BZ478">
        <v>7</v>
      </c>
      <c r="CA478">
        <v>1</v>
      </c>
      <c r="CB478">
        <v>9</v>
      </c>
      <c r="CC478">
        <v>10</v>
      </c>
      <c r="CD478">
        <v>7</v>
      </c>
      <c r="CE478">
        <v>8</v>
      </c>
      <c r="CF478">
        <v>5</v>
      </c>
      <c r="CG478">
        <v>7</v>
      </c>
      <c r="CH478">
        <v>10</v>
      </c>
      <c r="CI478">
        <v>4</v>
      </c>
      <c r="CJ478">
        <v>8</v>
      </c>
      <c r="CK478">
        <v>7</v>
      </c>
      <c r="CL478">
        <v>3</v>
      </c>
      <c r="CM478">
        <v>6</v>
      </c>
      <c r="CN478">
        <v>2</v>
      </c>
      <c r="CO478">
        <v>3</v>
      </c>
      <c r="CP478">
        <v>6</v>
      </c>
      <c r="CQ478">
        <v>6</v>
      </c>
      <c r="CR478">
        <v>9</v>
      </c>
      <c r="CS478">
        <v>10</v>
      </c>
      <c r="CT478">
        <v>4</v>
      </c>
      <c r="CU478">
        <v>1</v>
      </c>
      <c r="CV478">
        <v>8</v>
      </c>
      <c r="CW478">
        <v>6</v>
      </c>
      <c r="CX478">
        <v>4</v>
      </c>
      <c r="CY478">
        <v>0</v>
      </c>
      <c r="CZ478">
        <v>4</v>
      </c>
      <c r="DA478">
        <v>0</v>
      </c>
      <c r="DB478">
        <v>2</v>
      </c>
      <c r="DC478">
        <v>2</v>
      </c>
      <c r="DD478">
        <v>0</v>
      </c>
      <c r="DE478">
        <v>1</v>
      </c>
      <c r="DF478">
        <v>4</v>
      </c>
      <c r="DG478">
        <v>7</v>
      </c>
      <c r="DH478">
        <v>5</v>
      </c>
      <c r="DI478">
        <v>2</v>
      </c>
      <c r="DJ478">
        <v>1</v>
      </c>
      <c r="DK478">
        <v>6</v>
      </c>
    </row>
    <row r="479" spans="1:115">
      <c r="A479" s="173">
        <f>Calculations[[#This Row],[Sum t eCO2]]*IF(Calculations[[#This Row],[GHG Scope]]="BIOGENIC",0,1)</f>
        <v>0.85237401599999996</v>
      </c>
      <c r="O479">
        <f t="shared" si="7"/>
        <v>478</v>
      </c>
      <c r="P479">
        <v>10</v>
      </c>
      <c r="Q479">
        <v>8</v>
      </c>
      <c r="R479">
        <v>7</v>
      </c>
      <c r="S479">
        <v>4</v>
      </c>
      <c r="T479">
        <v>10</v>
      </c>
      <c r="U479">
        <v>9</v>
      </c>
      <c r="V479">
        <v>4</v>
      </c>
      <c r="W479">
        <v>4</v>
      </c>
      <c r="X479">
        <v>10</v>
      </c>
      <c r="Y479">
        <v>10</v>
      </c>
      <c r="Z479">
        <v>8</v>
      </c>
      <c r="AA479">
        <v>10</v>
      </c>
      <c r="AB479">
        <v>2</v>
      </c>
      <c r="AC479">
        <v>3</v>
      </c>
      <c r="AD479">
        <v>8</v>
      </c>
      <c r="AE479">
        <v>4</v>
      </c>
      <c r="AF479">
        <v>9</v>
      </c>
      <c r="AG479">
        <v>4</v>
      </c>
      <c r="AH479">
        <v>10</v>
      </c>
      <c r="AI479">
        <v>7</v>
      </c>
      <c r="AJ479">
        <v>4</v>
      </c>
      <c r="AK479">
        <v>6</v>
      </c>
      <c r="AL479">
        <v>9</v>
      </c>
      <c r="AM479">
        <v>1</v>
      </c>
      <c r="AN479">
        <v>6</v>
      </c>
      <c r="AO479">
        <v>1</v>
      </c>
      <c r="AP479">
        <v>2</v>
      </c>
      <c r="AQ479">
        <v>7</v>
      </c>
      <c r="AR479">
        <v>1</v>
      </c>
      <c r="AS479">
        <v>10</v>
      </c>
      <c r="AT479">
        <v>6</v>
      </c>
      <c r="AU479">
        <v>3</v>
      </c>
      <c r="AV479">
        <v>3</v>
      </c>
      <c r="AW479">
        <v>7</v>
      </c>
      <c r="AX479">
        <v>10</v>
      </c>
      <c r="AY479">
        <v>10</v>
      </c>
      <c r="AZ479">
        <v>10</v>
      </c>
      <c r="BA479">
        <v>0</v>
      </c>
      <c r="BB479">
        <v>0</v>
      </c>
      <c r="BC479">
        <v>6</v>
      </c>
      <c r="BD479">
        <v>0</v>
      </c>
      <c r="BE479">
        <v>3</v>
      </c>
      <c r="BF479">
        <v>10</v>
      </c>
      <c r="BG479">
        <v>3</v>
      </c>
      <c r="BH479">
        <v>4</v>
      </c>
      <c r="BI479">
        <v>10</v>
      </c>
      <c r="BJ479">
        <v>10</v>
      </c>
      <c r="BK479">
        <v>1</v>
      </c>
      <c r="BL479">
        <v>8</v>
      </c>
      <c r="BM479">
        <v>6</v>
      </c>
      <c r="BN479">
        <v>9</v>
      </c>
      <c r="BO479">
        <v>1</v>
      </c>
      <c r="BP479">
        <v>8</v>
      </c>
      <c r="BQ479">
        <v>6</v>
      </c>
      <c r="BR479">
        <v>2</v>
      </c>
      <c r="BS479">
        <v>5</v>
      </c>
      <c r="BT479">
        <v>2</v>
      </c>
      <c r="BU479">
        <v>1</v>
      </c>
      <c r="BV479">
        <v>1</v>
      </c>
      <c r="BW479">
        <v>4</v>
      </c>
      <c r="BX479">
        <v>4</v>
      </c>
      <c r="BY479">
        <v>7</v>
      </c>
      <c r="BZ479">
        <v>0</v>
      </c>
      <c r="CA479">
        <v>3</v>
      </c>
      <c r="CB479">
        <v>3</v>
      </c>
      <c r="CC479">
        <v>1</v>
      </c>
      <c r="CD479">
        <v>4</v>
      </c>
      <c r="CE479">
        <v>1</v>
      </c>
      <c r="CF479">
        <v>5</v>
      </c>
      <c r="CG479">
        <v>4</v>
      </c>
      <c r="CH479">
        <v>5</v>
      </c>
      <c r="CI479">
        <v>0</v>
      </c>
      <c r="CJ479">
        <v>0</v>
      </c>
      <c r="CK479">
        <v>6</v>
      </c>
      <c r="CL479">
        <v>1</v>
      </c>
      <c r="CM479">
        <v>2</v>
      </c>
      <c r="CN479">
        <v>6</v>
      </c>
      <c r="CO479">
        <v>9</v>
      </c>
      <c r="CP479">
        <v>3</v>
      </c>
      <c r="CQ479">
        <v>8</v>
      </c>
      <c r="CR479">
        <v>9</v>
      </c>
      <c r="CS479">
        <v>6</v>
      </c>
      <c r="CT479">
        <v>8</v>
      </c>
      <c r="CU479">
        <v>6</v>
      </c>
      <c r="CV479">
        <v>8</v>
      </c>
      <c r="CW479">
        <v>6</v>
      </c>
      <c r="CX479">
        <v>2</v>
      </c>
      <c r="CY479">
        <v>3</v>
      </c>
      <c r="CZ479">
        <v>3</v>
      </c>
      <c r="DA479">
        <v>9</v>
      </c>
      <c r="DB479">
        <v>6</v>
      </c>
      <c r="DC479">
        <v>9</v>
      </c>
      <c r="DD479">
        <v>6</v>
      </c>
      <c r="DE479">
        <v>6</v>
      </c>
      <c r="DF479">
        <v>1</v>
      </c>
      <c r="DG479">
        <v>4</v>
      </c>
      <c r="DH479">
        <v>5</v>
      </c>
      <c r="DI479">
        <v>10</v>
      </c>
      <c r="DJ479">
        <v>1</v>
      </c>
      <c r="DK479">
        <v>7</v>
      </c>
    </row>
    <row r="480" spans="1:115">
      <c r="A480" s="173">
        <f>Calculations[[#This Row],[Sum t eCO2]]*IF(Calculations[[#This Row],[GHG Scope]]="BIOGENIC",0,1)</f>
        <v>0.72574714367999993</v>
      </c>
      <c r="O480">
        <f t="shared" si="7"/>
        <v>479</v>
      </c>
      <c r="P480">
        <v>7</v>
      </c>
      <c r="Q480">
        <v>2</v>
      </c>
      <c r="R480">
        <v>6</v>
      </c>
      <c r="S480">
        <v>9</v>
      </c>
      <c r="T480">
        <v>2</v>
      </c>
      <c r="U480">
        <v>3</v>
      </c>
      <c r="V480">
        <v>6</v>
      </c>
      <c r="W480">
        <v>0</v>
      </c>
      <c r="X480">
        <v>5</v>
      </c>
      <c r="Y480">
        <v>5</v>
      </c>
      <c r="Z480">
        <v>7</v>
      </c>
      <c r="AA480">
        <v>8</v>
      </c>
      <c r="AB480">
        <v>10</v>
      </c>
      <c r="AC480">
        <v>8</v>
      </c>
      <c r="AD480">
        <v>5</v>
      </c>
      <c r="AE480">
        <v>7</v>
      </c>
      <c r="AF480">
        <v>1</v>
      </c>
      <c r="AG480">
        <v>7</v>
      </c>
      <c r="AH480">
        <v>2</v>
      </c>
      <c r="AI480">
        <v>1</v>
      </c>
      <c r="AJ480">
        <v>5</v>
      </c>
      <c r="AK480">
        <v>8</v>
      </c>
      <c r="AL480">
        <v>7</v>
      </c>
      <c r="AM480">
        <v>2</v>
      </c>
      <c r="AN480">
        <v>2</v>
      </c>
      <c r="AO480">
        <v>8</v>
      </c>
      <c r="AP480">
        <v>1</v>
      </c>
      <c r="AQ480">
        <v>1</v>
      </c>
      <c r="AR480">
        <v>10</v>
      </c>
      <c r="AS480">
        <v>8</v>
      </c>
      <c r="AT480">
        <v>8</v>
      </c>
      <c r="AU480">
        <v>8</v>
      </c>
      <c r="AV480">
        <v>0</v>
      </c>
      <c r="AW480">
        <v>7</v>
      </c>
      <c r="AX480">
        <v>8</v>
      </c>
      <c r="AY480">
        <v>3</v>
      </c>
      <c r="AZ480">
        <v>1</v>
      </c>
      <c r="BA480">
        <v>1</v>
      </c>
      <c r="BB480">
        <v>9</v>
      </c>
      <c r="BC480">
        <v>4</v>
      </c>
      <c r="BD480">
        <v>7</v>
      </c>
      <c r="BE480">
        <v>5</v>
      </c>
      <c r="BF480">
        <v>1</v>
      </c>
      <c r="BG480">
        <v>8</v>
      </c>
      <c r="BH480">
        <v>4</v>
      </c>
      <c r="BI480">
        <v>0</v>
      </c>
      <c r="BJ480">
        <v>0</v>
      </c>
      <c r="BK480">
        <v>9</v>
      </c>
      <c r="BL480">
        <v>1</v>
      </c>
      <c r="BM480">
        <v>1</v>
      </c>
      <c r="BN480">
        <v>4</v>
      </c>
      <c r="BO480">
        <v>3</v>
      </c>
      <c r="BP480">
        <v>1</v>
      </c>
      <c r="BQ480">
        <v>2</v>
      </c>
      <c r="BR480">
        <v>2</v>
      </c>
      <c r="BS480">
        <v>3</v>
      </c>
      <c r="BT480">
        <v>5</v>
      </c>
      <c r="BU480">
        <v>1</v>
      </c>
      <c r="BV480">
        <v>9</v>
      </c>
      <c r="BW480">
        <v>6</v>
      </c>
      <c r="BX480">
        <v>1</v>
      </c>
      <c r="BY480">
        <v>4</v>
      </c>
      <c r="BZ480">
        <v>6</v>
      </c>
      <c r="CA480">
        <v>8</v>
      </c>
      <c r="CB480">
        <v>6</v>
      </c>
      <c r="CC480">
        <v>1</v>
      </c>
      <c r="CD480">
        <v>9</v>
      </c>
      <c r="CE480">
        <v>0</v>
      </c>
      <c r="CF480">
        <v>9</v>
      </c>
      <c r="CG480">
        <v>1</v>
      </c>
      <c r="CH480">
        <v>1</v>
      </c>
      <c r="CI480">
        <v>0</v>
      </c>
      <c r="CJ480">
        <v>6</v>
      </c>
      <c r="CK480">
        <v>0</v>
      </c>
      <c r="CL480">
        <v>4</v>
      </c>
      <c r="CM480">
        <v>3</v>
      </c>
      <c r="CN480">
        <v>1</v>
      </c>
      <c r="CO480">
        <v>1</v>
      </c>
      <c r="CP480">
        <v>10</v>
      </c>
      <c r="CQ480">
        <v>3</v>
      </c>
      <c r="CR480">
        <v>6</v>
      </c>
      <c r="CS480">
        <v>4</v>
      </c>
      <c r="CT480">
        <v>1</v>
      </c>
      <c r="CU480">
        <v>1</v>
      </c>
      <c r="CV480">
        <v>3</v>
      </c>
      <c r="CW480">
        <v>1</v>
      </c>
      <c r="CX480">
        <v>5</v>
      </c>
      <c r="CY480">
        <v>8</v>
      </c>
      <c r="CZ480">
        <v>8</v>
      </c>
      <c r="DA480">
        <v>5</v>
      </c>
      <c r="DB480">
        <v>9</v>
      </c>
      <c r="DC480">
        <v>10</v>
      </c>
      <c r="DD480">
        <v>4</v>
      </c>
      <c r="DE480">
        <v>0</v>
      </c>
      <c r="DF480">
        <v>5</v>
      </c>
      <c r="DG480">
        <v>8</v>
      </c>
      <c r="DH480">
        <v>4</v>
      </c>
      <c r="DI480">
        <v>10</v>
      </c>
      <c r="DJ480">
        <v>5</v>
      </c>
      <c r="DK480">
        <v>2</v>
      </c>
    </row>
    <row r="481" spans="1:115">
      <c r="A481" s="173">
        <f>Calculations[[#This Row],[Sum t eCO2]]*IF(Calculations[[#This Row],[GHG Scope]]="BIOGENIC",0,1)</f>
        <v>188.90149576999997</v>
      </c>
      <c r="O481">
        <f t="shared" si="7"/>
        <v>480</v>
      </c>
      <c r="P481">
        <v>1</v>
      </c>
      <c r="Q481">
        <v>7</v>
      </c>
      <c r="R481">
        <v>1</v>
      </c>
      <c r="S481">
        <v>8</v>
      </c>
      <c r="T481">
        <v>4</v>
      </c>
      <c r="U481">
        <v>0</v>
      </c>
      <c r="V481">
        <v>10</v>
      </c>
      <c r="W481">
        <v>8</v>
      </c>
      <c r="X481">
        <v>2</v>
      </c>
      <c r="Y481">
        <v>3</v>
      </c>
      <c r="Z481">
        <v>1</v>
      </c>
      <c r="AA481">
        <v>5</v>
      </c>
      <c r="AB481">
        <v>4</v>
      </c>
      <c r="AC481">
        <v>3</v>
      </c>
      <c r="AD481">
        <v>3</v>
      </c>
      <c r="AE481">
        <v>6</v>
      </c>
      <c r="AF481">
        <v>8</v>
      </c>
      <c r="AG481">
        <v>1</v>
      </c>
      <c r="AH481">
        <v>10</v>
      </c>
      <c r="AI481">
        <v>5</v>
      </c>
      <c r="AJ481">
        <v>1</v>
      </c>
      <c r="AK481">
        <v>5</v>
      </c>
      <c r="AL481">
        <v>0</v>
      </c>
      <c r="AM481">
        <v>3</v>
      </c>
      <c r="AN481">
        <v>4</v>
      </c>
      <c r="AO481">
        <v>9</v>
      </c>
      <c r="AP481">
        <v>0</v>
      </c>
      <c r="AQ481">
        <v>2</v>
      </c>
      <c r="AR481">
        <v>10</v>
      </c>
      <c r="AS481">
        <v>8</v>
      </c>
      <c r="AT481">
        <v>7</v>
      </c>
      <c r="AU481">
        <v>5</v>
      </c>
      <c r="AV481">
        <v>1</v>
      </c>
      <c r="AW481">
        <v>0</v>
      </c>
      <c r="AX481">
        <v>4</v>
      </c>
      <c r="AY481">
        <v>7</v>
      </c>
      <c r="AZ481">
        <v>4</v>
      </c>
      <c r="BA481">
        <v>3</v>
      </c>
      <c r="BB481">
        <v>2</v>
      </c>
      <c r="BC481">
        <v>2</v>
      </c>
      <c r="BD481">
        <v>2</v>
      </c>
      <c r="BE481">
        <v>3</v>
      </c>
      <c r="BF481">
        <v>0</v>
      </c>
      <c r="BG481">
        <v>1</v>
      </c>
      <c r="BH481">
        <v>6</v>
      </c>
      <c r="BI481">
        <v>7</v>
      </c>
      <c r="BJ481">
        <v>2</v>
      </c>
      <c r="BK481">
        <v>5</v>
      </c>
      <c r="BL481">
        <v>8</v>
      </c>
      <c r="BM481">
        <v>8</v>
      </c>
      <c r="BN481">
        <v>1</v>
      </c>
      <c r="BO481">
        <v>5</v>
      </c>
      <c r="BP481">
        <v>6</v>
      </c>
      <c r="BQ481">
        <v>8</v>
      </c>
      <c r="BR481">
        <v>7</v>
      </c>
      <c r="BS481">
        <v>7</v>
      </c>
      <c r="BT481">
        <v>7</v>
      </c>
      <c r="BU481">
        <v>4</v>
      </c>
      <c r="BV481">
        <v>10</v>
      </c>
      <c r="BW481">
        <v>1</v>
      </c>
      <c r="BX481">
        <v>10</v>
      </c>
      <c r="BY481">
        <v>9</v>
      </c>
      <c r="BZ481">
        <v>6</v>
      </c>
      <c r="CA481">
        <v>7</v>
      </c>
      <c r="CB481">
        <v>3</v>
      </c>
      <c r="CC481">
        <v>3</v>
      </c>
      <c r="CD481">
        <v>7</v>
      </c>
      <c r="CE481">
        <v>8</v>
      </c>
      <c r="CF481">
        <v>3</v>
      </c>
      <c r="CG481">
        <v>2</v>
      </c>
      <c r="CH481">
        <v>1</v>
      </c>
      <c r="CI481">
        <v>6</v>
      </c>
      <c r="CJ481">
        <v>8</v>
      </c>
      <c r="CK481">
        <v>5</v>
      </c>
      <c r="CL481">
        <v>0</v>
      </c>
      <c r="CM481">
        <v>9</v>
      </c>
      <c r="CN481">
        <v>2</v>
      </c>
      <c r="CO481">
        <v>6</v>
      </c>
      <c r="CP481">
        <v>8</v>
      </c>
      <c r="CQ481">
        <v>6</v>
      </c>
      <c r="CR481">
        <v>7</v>
      </c>
      <c r="CS481">
        <v>5</v>
      </c>
      <c r="CT481">
        <v>4</v>
      </c>
      <c r="CU481">
        <v>10</v>
      </c>
      <c r="CV481">
        <v>0</v>
      </c>
      <c r="CW481">
        <v>1</v>
      </c>
      <c r="CX481">
        <v>5</v>
      </c>
      <c r="CY481">
        <v>10</v>
      </c>
      <c r="CZ481">
        <v>9</v>
      </c>
      <c r="DA481">
        <v>5</v>
      </c>
      <c r="DB481">
        <v>10</v>
      </c>
      <c r="DC481">
        <v>9</v>
      </c>
      <c r="DD481">
        <v>0</v>
      </c>
      <c r="DE481">
        <v>2</v>
      </c>
      <c r="DF481">
        <v>7</v>
      </c>
      <c r="DG481">
        <v>6</v>
      </c>
      <c r="DH481">
        <v>0</v>
      </c>
      <c r="DI481">
        <v>1</v>
      </c>
      <c r="DJ481">
        <v>10</v>
      </c>
      <c r="DK481">
        <v>0</v>
      </c>
    </row>
    <row r="482" spans="1:115">
      <c r="A482" s="173">
        <f>Calculations[[#This Row],[Sum t eCO2]]*IF(Calculations[[#This Row],[GHG Scope]]="BIOGENIC",0,1)</f>
        <v>6.851515612500001</v>
      </c>
      <c r="O482">
        <f t="shared" si="7"/>
        <v>481</v>
      </c>
      <c r="P482">
        <v>2</v>
      </c>
      <c r="Q482">
        <v>4</v>
      </c>
      <c r="R482">
        <v>4</v>
      </c>
      <c r="S482">
        <v>1</v>
      </c>
      <c r="T482">
        <v>2</v>
      </c>
      <c r="U482">
        <v>1</v>
      </c>
      <c r="V482">
        <v>9</v>
      </c>
      <c r="W482">
        <v>1</v>
      </c>
      <c r="X482">
        <v>7</v>
      </c>
      <c r="Y482">
        <v>3</v>
      </c>
      <c r="Z482">
        <v>2</v>
      </c>
      <c r="AA482">
        <v>9</v>
      </c>
      <c r="AB482">
        <v>4</v>
      </c>
      <c r="AC482">
        <v>2</v>
      </c>
      <c r="AD482">
        <v>1</v>
      </c>
      <c r="AE482">
        <v>1</v>
      </c>
      <c r="AF482">
        <v>5</v>
      </c>
      <c r="AG482">
        <v>10</v>
      </c>
      <c r="AH482">
        <v>7</v>
      </c>
      <c r="AI482">
        <v>9</v>
      </c>
      <c r="AJ482">
        <v>10</v>
      </c>
      <c r="AK482">
        <v>8</v>
      </c>
      <c r="AL482">
        <v>8</v>
      </c>
      <c r="AM482">
        <v>8</v>
      </c>
      <c r="AN482">
        <v>8</v>
      </c>
      <c r="AO482">
        <v>6</v>
      </c>
      <c r="AP482">
        <v>10</v>
      </c>
      <c r="AQ482">
        <v>1</v>
      </c>
      <c r="AR482">
        <v>4</v>
      </c>
      <c r="AS482">
        <v>6</v>
      </c>
      <c r="AT482">
        <v>10</v>
      </c>
      <c r="AU482">
        <v>5</v>
      </c>
      <c r="AV482">
        <v>1</v>
      </c>
      <c r="AW482">
        <v>9</v>
      </c>
      <c r="AX482">
        <v>3</v>
      </c>
      <c r="AY482">
        <v>5</v>
      </c>
      <c r="AZ482">
        <v>9</v>
      </c>
      <c r="BA482">
        <v>3</v>
      </c>
      <c r="BB482">
        <v>4</v>
      </c>
      <c r="BC482">
        <v>2</v>
      </c>
      <c r="BD482">
        <v>2</v>
      </c>
      <c r="BE482">
        <v>4</v>
      </c>
      <c r="BF482">
        <v>10</v>
      </c>
      <c r="BG482">
        <v>1</v>
      </c>
      <c r="BH482">
        <v>3</v>
      </c>
      <c r="BI482">
        <v>9</v>
      </c>
      <c r="BJ482">
        <v>6</v>
      </c>
      <c r="BK482">
        <v>9</v>
      </c>
      <c r="BL482">
        <v>9</v>
      </c>
      <c r="BM482">
        <v>3</v>
      </c>
      <c r="BN482">
        <v>8</v>
      </c>
      <c r="BO482">
        <v>10</v>
      </c>
      <c r="BP482">
        <v>3</v>
      </c>
      <c r="BQ482">
        <v>8</v>
      </c>
      <c r="BR482">
        <v>1</v>
      </c>
      <c r="BS482">
        <v>6</v>
      </c>
      <c r="BT482">
        <v>3</v>
      </c>
      <c r="BU482">
        <v>8</v>
      </c>
      <c r="BV482">
        <v>10</v>
      </c>
      <c r="BW482">
        <v>5</v>
      </c>
      <c r="BX482">
        <v>2</v>
      </c>
      <c r="BY482">
        <v>8</v>
      </c>
      <c r="BZ482">
        <v>4</v>
      </c>
      <c r="CA482">
        <v>9</v>
      </c>
      <c r="CB482">
        <v>4</v>
      </c>
      <c r="CC482">
        <v>2</v>
      </c>
      <c r="CD482">
        <v>1</v>
      </c>
      <c r="CE482">
        <v>8</v>
      </c>
      <c r="CF482">
        <v>10</v>
      </c>
      <c r="CG482">
        <v>3</v>
      </c>
      <c r="CH482">
        <v>0</v>
      </c>
      <c r="CI482">
        <v>6</v>
      </c>
      <c r="CJ482">
        <v>3</v>
      </c>
      <c r="CK482">
        <v>10</v>
      </c>
      <c r="CL482">
        <v>1</v>
      </c>
      <c r="CM482">
        <v>6</v>
      </c>
      <c r="CN482">
        <v>5</v>
      </c>
      <c r="CO482">
        <v>1</v>
      </c>
      <c r="CP482">
        <v>0</v>
      </c>
      <c r="CQ482">
        <v>10</v>
      </c>
      <c r="CR482">
        <v>3</v>
      </c>
      <c r="CS482">
        <v>10</v>
      </c>
      <c r="CT482">
        <v>8</v>
      </c>
      <c r="CU482">
        <v>7</v>
      </c>
      <c r="CV482">
        <v>3</v>
      </c>
      <c r="CW482">
        <v>8</v>
      </c>
      <c r="CX482">
        <v>0</v>
      </c>
      <c r="CY482">
        <v>6</v>
      </c>
      <c r="CZ482">
        <v>8</v>
      </c>
      <c r="DA482">
        <v>7</v>
      </c>
      <c r="DB482">
        <v>5</v>
      </c>
      <c r="DC482">
        <v>10</v>
      </c>
      <c r="DD482">
        <v>10</v>
      </c>
      <c r="DE482">
        <v>4</v>
      </c>
      <c r="DF482">
        <v>9</v>
      </c>
      <c r="DG482">
        <v>9</v>
      </c>
      <c r="DH482">
        <v>2</v>
      </c>
      <c r="DI482">
        <v>4</v>
      </c>
      <c r="DJ482">
        <v>8</v>
      </c>
      <c r="DK482">
        <v>3</v>
      </c>
    </row>
    <row r="483" spans="1:115">
      <c r="A483" s="173">
        <f>Calculations[[#This Row],[Sum t eCO2]]*IF(Calculations[[#This Row],[GHG Scope]]="BIOGENIC",0,1)</f>
        <v>67.878243388800016</v>
      </c>
      <c r="O483">
        <f t="shared" si="7"/>
        <v>482</v>
      </c>
      <c r="P483">
        <v>5</v>
      </c>
      <c r="Q483">
        <v>10</v>
      </c>
      <c r="R483">
        <v>8</v>
      </c>
      <c r="S483">
        <v>1</v>
      </c>
      <c r="T483">
        <v>8</v>
      </c>
      <c r="U483">
        <v>1</v>
      </c>
      <c r="V483">
        <v>1</v>
      </c>
      <c r="W483">
        <v>10</v>
      </c>
      <c r="X483">
        <v>3</v>
      </c>
      <c r="Y483">
        <v>10</v>
      </c>
      <c r="Z483">
        <v>0</v>
      </c>
      <c r="AA483">
        <v>0</v>
      </c>
      <c r="AB483">
        <v>9</v>
      </c>
      <c r="AC483">
        <v>5</v>
      </c>
      <c r="AD483">
        <v>0</v>
      </c>
      <c r="AE483">
        <v>5</v>
      </c>
      <c r="AF483">
        <v>5</v>
      </c>
      <c r="AG483">
        <v>4</v>
      </c>
      <c r="AH483">
        <v>6</v>
      </c>
      <c r="AI483">
        <v>7</v>
      </c>
      <c r="AJ483">
        <v>6</v>
      </c>
      <c r="AK483">
        <v>4</v>
      </c>
      <c r="AL483">
        <v>3</v>
      </c>
      <c r="AM483">
        <v>1</v>
      </c>
      <c r="AN483">
        <v>6</v>
      </c>
      <c r="AO483">
        <v>5</v>
      </c>
      <c r="AP483">
        <v>3</v>
      </c>
      <c r="AQ483">
        <v>1</v>
      </c>
      <c r="AR483">
        <v>9</v>
      </c>
      <c r="AS483">
        <v>9</v>
      </c>
      <c r="AT483">
        <v>0</v>
      </c>
      <c r="AU483">
        <v>4</v>
      </c>
      <c r="AV483">
        <v>5</v>
      </c>
      <c r="AW483">
        <v>9</v>
      </c>
      <c r="AX483">
        <v>7</v>
      </c>
      <c r="AY483">
        <v>5</v>
      </c>
      <c r="AZ483">
        <v>0</v>
      </c>
      <c r="BA483">
        <v>6</v>
      </c>
      <c r="BB483">
        <v>0</v>
      </c>
      <c r="BC483">
        <v>6</v>
      </c>
      <c r="BD483">
        <v>10</v>
      </c>
      <c r="BE483">
        <v>6</v>
      </c>
      <c r="BF483">
        <v>1</v>
      </c>
      <c r="BG483">
        <v>5</v>
      </c>
      <c r="BH483">
        <v>5</v>
      </c>
      <c r="BI483">
        <v>5</v>
      </c>
      <c r="BJ483">
        <v>3</v>
      </c>
      <c r="BK483">
        <v>4</v>
      </c>
      <c r="BL483">
        <v>1</v>
      </c>
      <c r="BM483">
        <v>6</v>
      </c>
      <c r="BN483">
        <v>2</v>
      </c>
      <c r="BO483">
        <v>6</v>
      </c>
      <c r="BP483">
        <v>7</v>
      </c>
      <c r="BQ483">
        <v>8</v>
      </c>
      <c r="BR483">
        <v>0</v>
      </c>
      <c r="BS483">
        <v>3</v>
      </c>
      <c r="BT483">
        <v>5</v>
      </c>
      <c r="BU483">
        <v>10</v>
      </c>
      <c r="BV483">
        <v>9</v>
      </c>
      <c r="BW483">
        <v>6</v>
      </c>
      <c r="BX483">
        <v>7</v>
      </c>
      <c r="BY483">
        <v>6</v>
      </c>
      <c r="BZ483">
        <v>5</v>
      </c>
      <c r="CA483">
        <v>7</v>
      </c>
      <c r="CB483">
        <v>5</v>
      </c>
      <c r="CC483">
        <v>7</v>
      </c>
      <c r="CD483">
        <v>9</v>
      </c>
      <c r="CE483">
        <v>6</v>
      </c>
      <c r="CF483">
        <v>6</v>
      </c>
      <c r="CG483">
        <v>2</v>
      </c>
      <c r="CH483">
        <v>0</v>
      </c>
      <c r="CI483">
        <v>0</v>
      </c>
      <c r="CJ483">
        <v>10</v>
      </c>
      <c r="CK483">
        <v>9</v>
      </c>
      <c r="CL483">
        <v>10</v>
      </c>
      <c r="CM483">
        <v>10</v>
      </c>
      <c r="CN483">
        <v>0</v>
      </c>
      <c r="CO483">
        <v>4</v>
      </c>
      <c r="CP483">
        <v>9</v>
      </c>
      <c r="CQ483">
        <v>7</v>
      </c>
      <c r="CR483">
        <v>1</v>
      </c>
      <c r="CS483">
        <v>8</v>
      </c>
      <c r="CT483">
        <v>5</v>
      </c>
      <c r="CU483">
        <v>10</v>
      </c>
      <c r="CV483">
        <v>6</v>
      </c>
      <c r="CW483">
        <v>0</v>
      </c>
      <c r="CX483">
        <v>3</v>
      </c>
      <c r="CY483">
        <v>1</v>
      </c>
      <c r="CZ483">
        <v>0</v>
      </c>
      <c r="DA483">
        <v>3</v>
      </c>
      <c r="DB483">
        <v>10</v>
      </c>
      <c r="DC483">
        <v>1</v>
      </c>
      <c r="DD483">
        <v>7</v>
      </c>
      <c r="DE483">
        <v>4</v>
      </c>
      <c r="DF483">
        <v>3</v>
      </c>
      <c r="DG483">
        <v>6</v>
      </c>
      <c r="DH483">
        <v>4</v>
      </c>
      <c r="DI483">
        <v>7</v>
      </c>
      <c r="DJ483">
        <v>10</v>
      </c>
      <c r="DK483">
        <v>2</v>
      </c>
    </row>
    <row r="484" spans="1:115">
      <c r="A484" s="173">
        <f>Calculations[[#This Row],[Sum t eCO2]]*IF(Calculations[[#This Row],[GHG Scope]]="BIOGENIC",0,1)</f>
        <v>0.2883307752</v>
      </c>
      <c r="O484">
        <f t="shared" si="7"/>
        <v>483</v>
      </c>
      <c r="P484">
        <v>3</v>
      </c>
      <c r="Q484">
        <v>3</v>
      </c>
      <c r="R484">
        <v>0</v>
      </c>
      <c r="S484">
        <v>5</v>
      </c>
      <c r="T484">
        <v>8</v>
      </c>
      <c r="U484">
        <v>5</v>
      </c>
      <c r="V484">
        <v>10</v>
      </c>
      <c r="W484">
        <v>7</v>
      </c>
      <c r="X484">
        <v>6</v>
      </c>
      <c r="Y484">
        <v>10</v>
      </c>
      <c r="Z484">
        <v>4</v>
      </c>
      <c r="AA484">
        <v>2</v>
      </c>
      <c r="AB484">
        <v>10</v>
      </c>
      <c r="AC484">
        <v>3</v>
      </c>
      <c r="AD484">
        <v>7</v>
      </c>
      <c r="AE484">
        <v>6</v>
      </c>
      <c r="AF484">
        <v>6</v>
      </c>
      <c r="AG484">
        <v>8</v>
      </c>
      <c r="AH484">
        <v>1</v>
      </c>
      <c r="AI484">
        <v>1</v>
      </c>
      <c r="AJ484">
        <v>4</v>
      </c>
      <c r="AK484">
        <v>7</v>
      </c>
      <c r="AL484">
        <v>8</v>
      </c>
      <c r="AM484">
        <v>3</v>
      </c>
      <c r="AN484">
        <v>3</v>
      </c>
      <c r="AO484">
        <v>3</v>
      </c>
      <c r="AP484">
        <v>7</v>
      </c>
      <c r="AQ484">
        <v>1</v>
      </c>
      <c r="AR484">
        <v>5</v>
      </c>
      <c r="AS484">
        <v>6</v>
      </c>
      <c r="AT484">
        <v>5</v>
      </c>
      <c r="AU484">
        <v>7</v>
      </c>
      <c r="AV484">
        <v>4</v>
      </c>
      <c r="AW484">
        <v>5</v>
      </c>
      <c r="AX484">
        <v>5</v>
      </c>
      <c r="AY484">
        <v>0</v>
      </c>
      <c r="AZ484">
        <v>8</v>
      </c>
      <c r="BA484">
        <v>0</v>
      </c>
      <c r="BB484">
        <v>6</v>
      </c>
      <c r="BC484">
        <v>7</v>
      </c>
      <c r="BD484">
        <v>1</v>
      </c>
      <c r="BE484">
        <v>8</v>
      </c>
      <c r="BF484">
        <v>5</v>
      </c>
      <c r="BG484">
        <v>5</v>
      </c>
      <c r="BH484">
        <v>8</v>
      </c>
      <c r="BI484">
        <v>0</v>
      </c>
      <c r="BJ484">
        <v>1</v>
      </c>
      <c r="BK484">
        <v>8</v>
      </c>
      <c r="BL484">
        <v>10</v>
      </c>
      <c r="BM484">
        <v>3</v>
      </c>
      <c r="BN484">
        <v>9</v>
      </c>
      <c r="BO484">
        <v>10</v>
      </c>
      <c r="BP484">
        <v>0</v>
      </c>
      <c r="BQ484">
        <v>10</v>
      </c>
      <c r="BR484">
        <v>6</v>
      </c>
      <c r="BS484">
        <v>0</v>
      </c>
      <c r="BT484">
        <v>7</v>
      </c>
      <c r="BU484">
        <v>1</v>
      </c>
      <c r="BV484">
        <v>7</v>
      </c>
      <c r="BW484">
        <v>6</v>
      </c>
      <c r="BX484">
        <v>2</v>
      </c>
      <c r="BY484">
        <v>1</v>
      </c>
      <c r="BZ484">
        <v>6</v>
      </c>
      <c r="CA484">
        <v>5</v>
      </c>
      <c r="CB484">
        <v>5</v>
      </c>
      <c r="CC484">
        <v>5</v>
      </c>
      <c r="CD484">
        <v>8</v>
      </c>
      <c r="CE484">
        <v>8</v>
      </c>
      <c r="CF484">
        <v>1</v>
      </c>
      <c r="CG484">
        <v>10</v>
      </c>
      <c r="CH484">
        <v>0</v>
      </c>
      <c r="CI484">
        <v>7</v>
      </c>
      <c r="CJ484">
        <v>2</v>
      </c>
      <c r="CK484">
        <v>5</v>
      </c>
      <c r="CL484">
        <v>1</v>
      </c>
      <c r="CM484">
        <v>3</v>
      </c>
      <c r="CN484">
        <v>1</v>
      </c>
      <c r="CO484">
        <v>7</v>
      </c>
      <c r="CP484">
        <v>4</v>
      </c>
      <c r="CQ484">
        <v>0</v>
      </c>
      <c r="CR484">
        <v>6</v>
      </c>
      <c r="CS484">
        <v>3</v>
      </c>
      <c r="CT484">
        <v>1</v>
      </c>
      <c r="CU484">
        <v>3</v>
      </c>
      <c r="CV484">
        <v>10</v>
      </c>
      <c r="CW484">
        <v>5</v>
      </c>
      <c r="CX484">
        <v>5</v>
      </c>
      <c r="CY484">
        <v>4</v>
      </c>
      <c r="CZ484">
        <v>0</v>
      </c>
      <c r="DA484">
        <v>2</v>
      </c>
      <c r="DB484">
        <v>8</v>
      </c>
      <c r="DC484">
        <v>10</v>
      </c>
      <c r="DD484">
        <v>7</v>
      </c>
      <c r="DE484">
        <v>6</v>
      </c>
      <c r="DF484">
        <v>9</v>
      </c>
      <c r="DG484">
        <v>7</v>
      </c>
      <c r="DH484">
        <v>5</v>
      </c>
      <c r="DI484">
        <v>9</v>
      </c>
      <c r="DJ484">
        <v>1</v>
      </c>
      <c r="DK484">
        <v>7</v>
      </c>
    </row>
    <row r="485" spans="1:115">
      <c r="A485" s="173">
        <f>Calculations[[#This Row],[Sum t eCO2]]*IF(Calculations[[#This Row],[GHG Scope]]="BIOGENIC",0,1)</f>
        <v>1.6249651080000003</v>
      </c>
      <c r="O485">
        <f t="shared" si="7"/>
        <v>484</v>
      </c>
      <c r="P485">
        <v>4</v>
      </c>
      <c r="Q485">
        <v>2</v>
      </c>
      <c r="R485">
        <v>1</v>
      </c>
      <c r="S485">
        <v>9</v>
      </c>
      <c r="T485">
        <v>3</v>
      </c>
      <c r="U485">
        <v>1</v>
      </c>
      <c r="V485">
        <v>3</v>
      </c>
      <c r="W485">
        <v>5</v>
      </c>
      <c r="X485">
        <v>5</v>
      </c>
      <c r="Y485">
        <v>4</v>
      </c>
      <c r="Z485">
        <v>7</v>
      </c>
      <c r="AA485">
        <v>1</v>
      </c>
      <c r="AB485">
        <v>3</v>
      </c>
      <c r="AC485">
        <v>1</v>
      </c>
      <c r="AD485">
        <v>9</v>
      </c>
      <c r="AE485">
        <v>4</v>
      </c>
      <c r="AF485">
        <v>10</v>
      </c>
      <c r="AG485">
        <v>1</v>
      </c>
      <c r="AH485">
        <v>10</v>
      </c>
      <c r="AI485">
        <v>10</v>
      </c>
      <c r="AJ485">
        <v>1</v>
      </c>
      <c r="AK485">
        <v>8</v>
      </c>
      <c r="AL485">
        <v>9</v>
      </c>
      <c r="AM485">
        <v>1</v>
      </c>
      <c r="AN485">
        <v>4</v>
      </c>
      <c r="AO485">
        <v>6</v>
      </c>
      <c r="AP485">
        <v>0</v>
      </c>
      <c r="AQ485">
        <v>6</v>
      </c>
      <c r="AR485">
        <v>4</v>
      </c>
      <c r="AS485">
        <v>0</v>
      </c>
      <c r="AT485">
        <v>1</v>
      </c>
      <c r="AU485">
        <v>2</v>
      </c>
      <c r="AV485">
        <v>8</v>
      </c>
      <c r="AW485">
        <v>0</v>
      </c>
      <c r="AX485">
        <v>7</v>
      </c>
      <c r="AY485">
        <v>3</v>
      </c>
      <c r="AZ485">
        <v>4</v>
      </c>
      <c r="BA485">
        <v>6</v>
      </c>
      <c r="BB485">
        <v>0</v>
      </c>
      <c r="BC485">
        <v>2</v>
      </c>
      <c r="BD485">
        <v>5</v>
      </c>
      <c r="BE485">
        <v>3</v>
      </c>
      <c r="BF485">
        <v>4</v>
      </c>
      <c r="BG485">
        <v>6</v>
      </c>
      <c r="BH485">
        <v>0</v>
      </c>
      <c r="BI485">
        <v>0</v>
      </c>
      <c r="BJ485">
        <v>6</v>
      </c>
      <c r="BK485">
        <v>1</v>
      </c>
      <c r="BL485">
        <v>3</v>
      </c>
      <c r="BM485">
        <v>8</v>
      </c>
      <c r="BN485">
        <v>8</v>
      </c>
      <c r="BO485">
        <v>8</v>
      </c>
      <c r="BP485">
        <v>6</v>
      </c>
      <c r="BQ485">
        <v>1</v>
      </c>
      <c r="BR485">
        <v>8</v>
      </c>
      <c r="BS485">
        <v>9</v>
      </c>
      <c r="BT485">
        <v>1</v>
      </c>
      <c r="BU485">
        <v>0</v>
      </c>
      <c r="BV485">
        <v>8</v>
      </c>
      <c r="BW485">
        <v>9</v>
      </c>
      <c r="BX485">
        <v>7</v>
      </c>
      <c r="BY485">
        <v>7</v>
      </c>
      <c r="BZ485">
        <v>5</v>
      </c>
      <c r="CA485">
        <v>8</v>
      </c>
      <c r="CB485">
        <v>2</v>
      </c>
      <c r="CC485">
        <v>4</v>
      </c>
      <c r="CD485">
        <v>6</v>
      </c>
      <c r="CE485">
        <v>4</v>
      </c>
      <c r="CF485">
        <v>5</v>
      </c>
      <c r="CG485">
        <v>1</v>
      </c>
      <c r="CH485">
        <v>1</v>
      </c>
      <c r="CI485">
        <v>10</v>
      </c>
      <c r="CJ485">
        <v>5</v>
      </c>
      <c r="CK485">
        <v>1</v>
      </c>
      <c r="CL485">
        <v>3</v>
      </c>
      <c r="CM485">
        <v>8</v>
      </c>
      <c r="CN485">
        <v>3</v>
      </c>
      <c r="CO485">
        <v>7</v>
      </c>
      <c r="CP485">
        <v>7</v>
      </c>
      <c r="CQ485">
        <v>8</v>
      </c>
      <c r="CR485">
        <v>4</v>
      </c>
      <c r="CS485">
        <v>4</v>
      </c>
      <c r="CT485">
        <v>3</v>
      </c>
      <c r="CU485">
        <v>7</v>
      </c>
      <c r="CV485">
        <v>9</v>
      </c>
      <c r="CW485">
        <v>2</v>
      </c>
      <c r="CX485">
        <v>0</v>
      </c>
      <c r="CY485">
        <v>8</v>
      </c>
      <c r="CZ485">
        <v>2</v>
      </c>
      <c r="DA485">
        <v>1</v>
      </c>
      <c r="DB485">
        <v>8</v>
      </c>
      <c r="DC485">
        <v>0</v>
      </c>
      <c r="DD485">
        <v>4</v>
      </c>
      <c r="DE485">
        <v>9</v>
      </c>
      <c r="DF485">
        <v>5</v>
      </c>
      <c r="DG485">
        <v>2</v>
      </c>
      <c r="DH485">
        <v>1</v>
      </c>
      <c r="DI485">
        <v>4</v>
      </c>
      <c r="DJ485">
        <v>9</v>
      </c>
      <c r="DK485">
        <v>5</v>
      </c>
    </row>
    <row r="486" spans="1:115">
      <c r="A486" s="173">
        <f>Calculations[[#This Row],[Sum t eCO2]]*IF(Calculations[[#This Row],[GHG Scope]]="BIOGENIC",0,1)</f>
        <v>16.227258753419999</v>
      </c>
      <c r="O486">
        <f t="shared" si="7"/>
        <v>485</v>
      </c>
      <c r="P486">
        <v>6</v>
      </c>
      <c r="Q486">
        <v>4</v>
      </c>
      <c r="R486">
        <v>1</v>
      </c>
      <c r="S486">
        <v>5</v>
      </c>
      <c r="T486">
        <v>4</v>
      </c>
      <c r="U486">
        <v>9</v>
      </c>
      <c r="V486">
        <v>4</v>
      </c>
      <c r="W486">
        <v>9</v>
      </c>
      <c r="X486">
        <v>3</v>
      </c>
      <c r="Y486">
        <v>10</v>
      </c>
      <c r="Z486">
        <v>2</v>
      </c>
      <c r="AA486">
        <v>1</v>
      </c>
      <c r="AB486">
        <v>5</v>
      </c>
      <c r="AC486">
        <v>6</v>
      </c>
      <c r="AD486">
        <v>0</v>
      </c>
      <c r="AE486">
        <v>10</v>
      </c>
      <c r="AF486">
        <v>1</v>
      </c>
      <c r="AG486">
        <v>3</v>
      </c>
      <c r="AH486">
        <v>7</v>
      </c>
      <c r="AI486">
        <v>4</v>
      </c>
      <c r="AJ486">
        <v>1</v>
      </c>
      <c r="AK486">
        <v>5</v>
      </c>
      <c r="AL486">
        <v>3</v>
      </c>
      <c r="AM486">
        <v>0</v>
      </c>
      <c r="AN486">
        <v>8</v>
      </c>
      <c r="AO486">
        <v>9</v>
      </c>
      <c r="AP486">
        <v>10</v>
      </c>
      <c r="AQ486">
        <v>5</v>
      </c>
      <c r="AR486">
        <v>6</v>
      </c>
      <c r="AS486">
        <v>2</v>
      </c>
      <c r="AT486">
        <v>0</v>
      </c>
      <c r="AU486">
        <v>5</v>
      </c>
      <c r="AV486">
        <v>1</v>
      </c>
      <c r="AW486">
        <v>3</v>
      </c>
      <c r="AX486">
        <v>3</v>
      </c>
      <c r="AY486">
        <v>4</v>
      </c>
      <c r="AZ486">
        <v>1</v>
      </c>
      <c r="BA486">
        <v>1</v>
      </c>
      <c r="BB486">
        <v>2</v>
      </c>
      <c r="BC486">
        <v>9</v>
      </c>
      <c r="BD486">
        <v>2</v>
      </c>
      <c r="BE486">
        <v>0</v>
      </c>
      <c r="BF486">
        <v>1</v>
      </c>
      <c r="BG486">
        <v>1</v>
      </c>
      <c r="BH486">
        <v>10</v>
      </c>
      <c r="BI486">
        <v>10</v>
      </c>
      <c r="BJ486">
        <v>5</v>
      </c>
      <c r="BK486">
        <v>9</v>
      </c>
      <c r="BL486">
        <v>2</v>
      </c>
      <c r="BM486">
        <v>9</v>
      </c>
      <c r="BN486">
        <v>3</v>
      </c>
      <c r="BO486">
        <v>8</v>
      </c>
      <c r="BP486">
        <v>0</v>
      </c>
      <c r="BQ486">
        <v>0</v>
      </c>
      <c r="BR486">
        <v>0</v>
      </c>
      <c r="BS486">
        <v>6</v>
      </c>
      <c r="BT486">
        <v>3</v>
      </c>
      <c r="BU486">
        <v>0</v>
      </c>
      <c r="BV486">
        <v>3</v>
      </c>
      <c r="BW486">
        <v>3</v>
      </c>
      <c r="BX486">
        <v>5</v>
      </c>
      <c r="BY486">
        <v>9</v>
      </c>
      <c r="BZ486">
        <v>0</v>
      </c>
      <c r="CA486">
        <v>7</v>
      </c>
      <c r="CB486">
        <v>5</v>
      </c>
      <c r="CC486">
        <v>1</v>
      </c>
      <c r="CD486">
        <v>6</v>
      </c>
      <c r="CE486">
        <v>7</v>
      </c>
      <c r="CF486">
        <v>10</v>
      </c>
      <c r="CG486">
        <v>8</v>
      </c>
      <c r="CH486">
        <v>0</v>
      </c>
      <c r="CI486">
        <v>6</v>
      </c>
      <c r="CJ486">
        <v>10</v>
      </c>
      <c r="CK486">
        <v>6</v>
      </c>
      <c r="CL486">
        <v>3</v>
      </c>
      <c r="CM486">
        <v>0</v>
      </c>
      <c r="CN486">
        <v>4</v>
      </c>
      <c r="CO486">
        <v>0</v>
      </c>
      <c r="CP486">
        <v>5</v>
      </c>
      <c r="CQ486">
        <v>7</v>
      </c>
      <c r="CR486">
        <v>8</v>
      </c>
      <c r="CS486">
        <v>4</v>
      </c>
      <c r="CT486">
        <v>0</v>
      </c>
      <c r="CU486">
        <v>4</v>
      </c>
      <c r="CV486">
        <v>2</v>
      </c>
      <c r="CW486">
        <v>0</v>
      </c>
      <c r="CX486">
        <v>4</v>
      </c>
      <c r="CY486">
        <v>7</v>
      </c>
      <c r="CZ486">
        <v>1</v>
      </c>
      <c r="DA486">
        <v>0</v>
      </c>
      <c r="DB486">
        <v>8</v>
      </c>
      <c r="DC486">
        <v>3</v>
      </c>
      <c r="DD486">
        <v>4</v>
      </c>
      <c r="DE486">
        <v>8</v>
      </c>
      <c r="DF486">
        <v>0</v>
      </c>
      <c r="DG486">
        <v>6</v>
      </c>
      <c r="DH486">
        <v>8</v>
      </c>
      <c r="DI486">
        <v>1</v>
      </c>
      <c r="DJ486">
        <v>10</v>
      </c>
      <c r="DK486">
        <v>0</v>
      </c>
    </row>
    <row r="487" spans="1:115">
      <c r="A487" s="173">
        <f>Calculations[[#This Row],[Sum t eCO2]]*IF(Calculations[[#This Row],[GHG Scope]]="BIOGENIC",0,1)</f>
        <v>0.59260043232000015</v>
      </c>
      <c r="O487">
        <f t="shared" si="7"/>
        <v>486</v>
      </c>
      <c r="P487">
        <v>3</v>
      </c>
      <c r="Q487">
        <v>9</v>
      </c>
      <c r="R487">
        <v>1</v>
      </c>
      <c r="S487">
        <v>9</v>
      </c>
      <c r="T487">
        <v>8</v>
      </c>
      <c r="U487">
        <v>0</v>
      </c>
      <c r="V487">
        <v>7</v>
      </c>
      <c r="W487">
        <v>3</v>
      </c>
      <c r="X487">
        <v>6</v>
      </c>
      <c r="Y487">
        <v>2</v>
      </c>
      <c r="Z487">
        <v>7</v>
      </c>
      <c r="AA487">
        <v>4</v>
      </c>
      <c r="AB487">
        <v>8</v>
      </c>
      <c r="AC487">
        <v>6</v>
      </c>
      <c r="AD487">
        <v>8</v>
      </c>
      <c r="AE487">
        <v>1</v>
      </c>
      <c r="AF487">
        <v>4</v>
      </c>
      <c r="AG487">
        <v>4</v>
      </c>
      <c r="AH487">
        <v>9</v>
      </c>
      <c r="AI487">
        <v>5</v>
      </c>
      <c r="AJ487">
        <v>9</v>
      </c>
      <c r="AK487">
        <v>9</v>
      </c>
      <c r="AL487">
        <v>9</v>
      </c>
      <c r="AM487">
        <v>2</v>
      </c>
      <c r="AN487">
        <v>1</v>
      </c>
      <c r="AO487">
        <v>0</v>
      </c>
      <c r="AP487">
        <v>0</v>
      </c>
      <c r="AQ487">
        <v>3</v>
      </c>
      <c r="AR487">
        <v>7</v>
      </c>
      <c r="AS487">
        <v>6</v>
      </c>
      <c r="AT487">
        <v>5</v>
      </c>
      <c r="AU487">
        <v>5</v>
      </c>
      <c r="AV487">
        <v>0</v>
      </c>
      <c r="AW487">
        <v>4</v>
      </c>
      <c r="AX487">
        <v>5</v>
      </c>
      <c r="AY487">
        <v>10</v>
      </c>
      <c r="AZ487">
        <v>2</v>
      </c>
      <c r="BA487">
        <v>3</v>
      </c>
      <c r="BB487">
        <v>10</v>
      </c>
      <c r="BC487">
        <v>3</v>
      </c>
      <c r="BD487">
        <v>2</v>
      </c>
      <c r="BE487">
        <v>8</v>
      </c>
      <c r="BF487">
        <v>5</v>
      </c>
      <c r="BG487">
        <v>2</v>
      </c>
      <c r="BH487">
        <v>2</v>
      </c>
      <c r="BI487">
        <v>4</v>
      </c>
      <c r="BJ487">
        <v>9</v>
      </c>
      <c r="BK487">
        <v>3</v>
      </c>
      <c r="BL487">
        <v>10</v>
      </c>
      <c r="BM487">
        <v>6</v>
      </c>
      <c r="BN487">
        <v>6</v>
      </c>
      <c r="BO487">
        <v>4</v>
      </c>
      <c r="BP487">
        <v>8</v>
      </c>
      <c r="BQ487">
        <v>5</v>
      </c>
      <c r="BR487">
        <v>7</v>
      </c>
      <c r="BS487">
        <v>2</v>
      </c>
      <c r="BT487">
        <v>4</v>
      </c>
      <c r="BU487">
        <v>3</v>
      </c>
      <c r="BV487">
        <v>2</v>
      </c>
      <c r="BW487">
        <v>9</v>
      </c>
      <c r="BX487">
        <v>6</v>
      </c>
      <c r="BY487">
        <v>1</v>
      </c>
      <c r="BZ487">
        <v>1</v>
      </c>
      <c r="CA487">
        <v>3</v>
      </c>
      <c r="CB487">
        <v>7</v>
      </c>
      <c r="CC487">
        <v>7</v>
      </c>
      <c r="CD487">
        <v>5</v>
      </c>
      <c r="CE487">
        <v>6</v>
      </c>
      <c r="CF487">
        <v>3</v>
      </c>
      <c r="CG487">
        <v>6</v>
      </c>
      <c r="CH487">
        <v>2</v>
      </c>
      <c r="CI487">
        <v>3</v>
      </c>
      <c r="CJ487">
        <v>7</v>
      </c>
      <c r="CK487">
        <v>7</v>
      </c>
      <c r="CL487">
        <v>0</v>
      </c>
      <c r="CM487">
        <v>0</v>
      </c>
      <c r="CN487">
        <v>8</v>
      </c>
      <c r="CO487">
        <v>3</v>
      </c>
      <c r="CP487">
        <v>4</v>
      </c>
      <c r="CQ487">
        <v>2</v>
      </c>
      <c r="CR487">
        <v>5</v>
      </c>
      <c r="CS487">
        <v>7</v>
      </c>
      <c r="CT487">
        <v>0</v>
      </c>
      <c r="CU487">
        <v>7</v>
      </c>
      <c r="CV487">
        <v>5</v>
      </c>
      <c r="CW487">
        <v>1</v>
      </c>
      <c r="CX487">
        <v>3</v>
      </c>
      <c r="CY487">
        <v>3</v>
      </c>
      <c r="CZ487">
        <v>10</v>
      </c>
      <c r="DA487">
        <v>3</v>
      </c>
      <c r="DB487">
        <v>4</v>
      </c>
      <c r="DC487">
        <v>3</v>
      </c>
      <c r="DD487">
        <v>6</v>
      </c>
      <c r="DE487">
        <v>8</v>
      </c>
      <c r="DF487">
        <v>6</v>
      </c>
      <c r="DG487">
        <v>9</v>
      </c>
      <c r="DH487">
        <v>5</v>
      </c>
      <c r="DI487">
        <v>5</v>
      </c>
      <c r="DJ487">
        <v>1</v>
      </c>
      <c r="DK487">
        <v>3</v>
      </c>
    </row>
    <row r="488" spans="1:115">
      <c r="A488" s="173">
        <f>Calculations[[#This Row],[Sum t eCO2]]*IF(Calculations[[#This Row],[GHG Scope]]="BIOGENIC",0,1)</f>
        <v>0.48799891199999995</v>
      </c>
      <c r="O488">
        <f t="shared" si="7"/>
        <v>487</v>
      </c>
      <c r="P488">
        <v>8</v>
      </c>
      <c r="Q488">
        <v>4</v>
      </c>
      <c r="R488">
        <v>9</v>
      </c>
      <c r="S488">
        <v>1</v>
      </c>
      <c r="T488">
        <v>7</v>
      </c>
      <c r="U488">
        <v>2</v>
      </c>
      <c r="V488">
        <v>6</v>
      </c>
      <c r="W488">
        <v>6</v>
      </c>
      <c r="X488">
        <v>4</v>
      </c>
      <c r="Y488">
        <v>7</v>
      </c>
      <c r="Z488">
        <v>4</v>
      </c>
      <c r="AA488">
        <v>0</v>
      </c>
      <c r="AB488">
        <v>1</v>
      </c>
      <c r="AC488">
        <v>7</v>
      </c>
      <c r="AD488">
        <v>0</v>
      </c>
      <c r="AE488">
        <v>7</v>
      </c>
      <c r="AF488">
        <v>7</v>
      </c>
      <c r="AG488">
        <v>1</v>
      </c>
      <c r="AH488">
        <v>2</v>
      </c>
      <c r="AI488">
        <v>0</v>
      </c>
      <c r="AJ488">
        <v>8</v>
      </c>
      <c r="AK488">
        <v>4</v>
      </c>
      <c r="AL488">
        <v>0</v>
      </c>
      <c r="AM488">
        <v>6</v>
      </c>
      <c r="AN488">
        <v>3</v>
      </c>
      <c r="AO488">
        <v>9</v>
      </c>
      <c r="AP488">
        <v>7</v>
      </c>
      <c r="AQ488">
        <v>5</v>
      </c>
      <c r="AR488">
        <v>8</v>
      </c>
      <c r="AS488">
        <v>5</v>
      </c>
      <c r="AT488">
        <v>7</v>
      </c>
      <c r="AU488">
        <v>4</v>
      </c>
      <c r="AV488">
        <v>10</v>
      </c>
      <c r="AW488">
        <v>9</v>
      </c>
      <c r="AX488">
        <v>6</v>
      </c>
      <c r="AY488">
        <v>7</v>
      </c>
      <c r="AZ488">
        <v>0</v>
      </c>
      <c r="BA488">
        <v>6</v>
      </c>
      <c r="BB488">
        <v>8</v>
      </c>
      <c r="BC488">
        <v>7</v>
      </c>
      <c r="BD488">
        <v>0</v>
      </c>
      <c r="BE488">
        <v>8</v>
      </c>
      <c r="BF488">
        <v>3</v>
      </c>
      <c r="BG488">
        <v>9</v>
      </c>
      <c r="BH488">
        <v>8</v>
      </c>
      <c r="BI488">
        <v>0</v>
      </c>
      <c r="BJ488">
        <v>6</v>
      </c>
      <c r="BK488">
        <v>8</v>
      </c>
      <c r="BL488">
        <v>8</v>
      </c>
      <c r="BM488">
        <v>9</v>
      </c>
      <c r="BN488">
        <v>9</v>
      </c>
      <c r="BO488">
        <v>2</v>
      </c>
      <c r="BP488">
        <v>2</v>
      </c>
      <c r="BQ488">
        <v>10</v>
      </c>
      <c r="BR488">
        <v>3</v>
      </c>
      <c r="BS488">
        <v>2</v>
      </c>
      <c r="BT488">
        <v>1</v>
      </c>
      <c r="BU488">
        <v>9</v>
      </c>
      <c r="BV488">
        <v>10</v>
      </c>
      <c r="BW488">
        <v>2</v>
      </c>
      <c r="BX488">
        <v>4</v>
      </c>
      <c r="BY488">
        <v>0</v>
      </c>
      <c r="BZ488">
        <v>2</v>
      </c>
      <c r="CA488">
        <v>8</v>
      </c>
      <c r="CB488">
        <v>7</v>
      </c>
      <c r="CC488">
        <v>9</v>
      </c>
      <c r="CD488">
        <v>1</v>
      </c>
      <c r="CE488">
        <v>3</v>
      </c>
      <c r="CF488">
        <v>2</v>
      </c>
      <c r="CG488">
        <v>1</v>
      </c>
      <c r="CH488">
        <v>2</v>
      </c>
      <c r="CI488">
        <v>4</v>
      </c>
      <c r="CJ488">
        <v>1</v>
      </c>
      <c r="CK488">
        <v>3</v>
      </c>
      <c r="CL488">
        <v>5</v>
      </c>
      <c r="CM488">
        <v>5</v>
      </c>
      <c r="CN488">
        <v>5</v>
      </c>
      <c r="CO488">
        <v>4</v>
      </c>
      <c r="CP488">
        <v>10</v>
      </c>
      <c r="CQ488">
        <v>3</v>
      </c>
      <c r="CR488">
        <v>5</v>
      </c>
      <c r="CS488">
        <v>10</v>
      </c>
      <c r="CT488">
        <v>8</v>
      </c>
      <c r="CU488">
        <v>10</v>
      </c>
      <c r="CV488">
        <v>3</v>
      </c>
      <c r="CW488">
        <v>10</v>
      </c>
      <c r="CX488">
        <v>10</v>
      </c>
      <c r="CY488">
        <v>7</v>
      </c>
      <c r="CZ488">
        <v>7</v>
      </c>
      <c r="DA488">
        <v>6</v>
      </c>
      <c r="DB488">
        <v>8</v>
      </c>
      <c r="DC488">
        <v>3</v>
      </c>
      <c r="DD488">
        <v>10</v>
      </c>
      <c r="DE488">
        <v>7</v>
      </c>
      <c r="DF488">
        <v>1</v>
      </c>
      <c r="DG488">
        <v>8</v>
      </c>
      <c r="DH488">
        <v>4</v>
      </c>
      <c r="DI488">
        <v>4</v>
      </c>
      <c r="DJ488">
        <v>1</v>
      </c>
      <c r="DK488">
        <v>6</v>
      </c>
    </row>
    <row r="489" spans="1:115">
      <c r="A489" s="173">
        <f>Calculations[[#This Row],[Sum t eCO2]]*IF(Calculations[[#This Row],[GHG Scope]]="BIOGENIC",0,1)</f>
        <v>4.29909407226</v>
      </c>
      <c r="O489">
        <f t="shared" si="7"/>
        <v>488</v>
      </c>
      <c r="P489">
        <v>5</v>
      </c>
      <c r="Q489">
        <v>7</v>
      </c>
      <c r="R489">
        <v>4</v>
      </c>
      <c r="S489">
        <v>2</v>
      </c>
      <c r="T489">
        <v>2</v>
      </c>
      <c r="U489">
        <v>5</v>
      </c>
      <c r="V489">
        <v>1</v>
      </c>
      <c r="W489">
        <v>1</v>
      </c>
      <c r="X489">
        <v>5</v>
      </c>
      <c r="Y489">
        <v>3</v>
      </c>
      <c r="Z489">
        <v>6</v>
      </c>
      <c r="AA489">
        <v>5</v>
      </c>
      <c r="AB489">
        <v>0</v>
      </c>
      <c r="AC489">
        <v>5</v>
      </c>
      <c r="AD489">
        <v>5</v>
      </c>
      <c r="AE489">
        <v>1</v>
      </c>
      <c r="AF489">
        <v>1</v>
      </c>
      <c r="AG489">
        <v>5</v>
      </c>
      <c r="AH489">
        <v>7</v>
      </c>
      <c r="AI489">
        <v>9</v>
      </c>
      <c r="AJ489">
        <v>6</v>
      </c>
      <c r="AK489">
        <v>1</v>
      </c>
      <c r="AL489">
        <v>3</v>
      </c>
      <c r="AM489">
        <v>7</v>
      </c>
      <c r="AN489">
        <v>1</v>
      </c>
      <c r="AO489">
        <v>4</v>
      </c>
      <c r="AP489">
        <v>1</v>
      </c>
      <c r="AQ489">
        <v>10</v>
      </c>
      <c r="AR489">
        <v>8</v>
      </c>
      <c r="AS489">
        <v>9</v>
      </c>
      <c r="AT489">
        <v>8</v>
      </c>
      <c r="AU489">
        <v>7</v>
      </c>
      <c r="AV489">
        <v>7</v>
      </c>
      <c r="AW489">
        <v>2</v>
      </c>
      <c r="AX489">
        <v>4</v>
      </c>
      <c r="AY489">
        <v>4</v>
      </c>
      <c r="AZ489">
        <v>9</v>
      </c>
      <c r="BA489">
        <v>7</v>
      </c>
      <c r="BB489">
        <v>0</v>
      </c>
      <c r="BC489">
        <v>6</v>
      </c>
      <c r="BD489">
        <v>4</v>
      </c>
      <c r="BE489">
        <v>6</v>
      </c>
      <c r="BF489">
        <v>10</v>
      </c>
      <c r="BG489">
        <v>3</v>
      </c>
      <c r="BH489">
        <v>7</v>
      </c>
      <c r="BI489">
        <v>8</v>
      </c>
      <c r="BJ489">
        <v>10</v>
      </c>
      <c r="BK489">
        <v>9</v>
      </c>
      <c r="BL489">
        <v>10</v>
      </c>
      <c r="BM489">
        <v>8</v>
      </c>
      <c r="BN489">
        <v>6</v>
      </c>
      <c r="BO489">
        <v>3</v>
      </c>
      <c r="BP489">
        <v>9</v>
      </c>
      <c r="BQ489">
        <v>7</v>
      </c>
      <c r="BR489">
        <v>3</v>
      </c>
      <c r="BS489">
        <v>6</v>
      </c>
      <c r="BT489">
        <v>1</v>
      </c>
      <c r="BU489">
        <v>8</v>
      </c>
      <c r="BV489">
        <v>5</v>
      </c>
      <c r="BW489">
        <v>10</v>
      </c>
      <c r="BX489">
        <v>0</v>
      </c>
      <c r="BY489">
        <v>1</v>
      </c>
      <c r="BZ489">
        <v>5</v>
      </c>
      <c r="CA489">
        <v>10</v>
      </c>
      <c r="CB489">
        <v>2</v>
      </c>
      <c r="CC489">
        <v>2</v>
      </c>
      <c r="CD489">
        <v>10</v>
      </c>
      <c r="CE489">
        <v>4</v>
      </c>
      <c r="CF489">
        <v>2</v>
      </c>
      <c r="CG489">
        <v>0</v>
      </c>
      <c r="CH489">
        <v>9</v>
      </c>
      <c r="CI489">
        <v>2</v>
      </c>
      <c r="CJ489">
        <v>5</v>
      </c>
      <c r="CK489">
        <v>10</v>
      </c>
      <c r="CL489">
        <v>6</v>
      </c>
      <c r="CM489">
        <v>2</v>
      </c>
      <c r="CN489">
        <v>0</v>
      </c>
      <c r="CO489">
        <v>3</v>
      </c>
      <c r="CP489">
        <v>5</v>
      </c>
      <c r="CQ489">
        <v>2</v>
      </c>
      <c r="CR489">
        <v>7</v>
      </c>
      <c r="CS489">
        <v>0</v>
      </c>
      <c r="CT489">
        <v>3</v>
      </c>
      <c r="CU489">
        <v>1</v>
      </c>
      <c r="CV489">
        <v>4</v>
      </c>
      <c r="CW489">
        <v>0</v>
      </c>
      <c r="CX489">
        <v>9</v>
      </c>
      <c r="CY489">
        <v>9</v>
      </c>
      <c r="CZ489">
        <v>9</v>
      </c>
      <c r="DA489">
        <v>6</v>
      </c>
      <c r="DB489">
        <v>3</v>
      </c>
      <c r="DC489">
        <v>10</v>
      </c>
      <c r="DD489">
        <v>7</v>
      </c>
      <c r="DE489">
        <v>3</v>
      </c>
      <c r="DF489">
        <v>5</v>
      </c>
      <c r="DG489">
        <v>9</v>
      </c>
      <c r="DH489">
        <v>2</v>
      </c>
      <c r="DI489">
        <v>5</v>
      </c>
      <c r="DJ489">
        <v>5</v>
      </c>
      <c r="DK489">
        <v>7</v>
      </c>
    </row>
    <row r="490" spans="1:115">
      <c r="A490" s="173">
        <f>Calculations[[#This Row],[Sum t eCO2]]*IF(Calculations[[#This Row],[GHG Scope]]="BIOGENIC",0,1)</f>
        <v>0.212510696</v>
      </c>
      <c r="O490">
        <f t="shared" si="7"/>
        <v>489</v>
      </c>
      <c r="P490">
        <v>4</v>
      </c>
      <c r="Q490">
        <v>0</v>
      </c>
      <c r="R490">
        <v>7</v>
      </c>
      <c r="S490">
        <v>5</v>
      </c>
      <c r="T490">
        <v>9</v>
      </c>
      <c r="U490">
        <v>10</v>
      </c>
      <c r="V490">
        <v>1</v>
      </c>
      <c r="W490">
        <v>9</v>
      </c>
      <c r="X490">
        <v>4</v>
      </c>
      <c r="Y490">
        <v>0</v>
      </c>
      <c r="Z490">
        <v>7</v>
      </c>
      <c r="AA490">
        <v>10</v>
      </c>
      <c r="AB490">
        <v>3</v>
      </c>
      <c r="AC490">
        <v>0</v>
      </c>
      <c r="AD490">
        <v>1</v>
      </c>
      <c r="AE490">
        <v>3</v>
      </c>
      <c r="AF490">
        <v>6</v>
      </c>
      <c r="AG490">
        <v>8</v>
      </c>
      <c r="AH490">
        <v>1</v>
      </c>
      <c r="AI490">
        <v>10</v>
      </c>
      <c r="AJ490">
        <v>7</v>
      </c>
      <c r="AK490">
        <v>10</v>
      </c>
      <c r="AL490">
        <v>7</v>
      </c>
      <c r="AM490">
        <v>4</v>
      </c>
      <c r="AN490">
        <v>9</v>
      </c>
      <c r="AO490">
        <v>7</v>
      </c>
      <c r="AP490">
        <v>0</v>
      </c>
      <c r="AQ490">
        <v>4</v>
      </c>
      <c r="AR490">
        <v>8</v>
      </c>
      <c r="AS490">
        <v>1</v>
      </c>
      <c r="AT490">
        <v>7</v>
      </c>
      <c r="AU490">
        <v>8</v>
      </c>
      <c r="AV490">
        <v>10</v>
      </c>
      <c r="AW490">
        <v>5</v>
      </c>
      <c r="AX490">
        <v>3</v>
      </c>
      <c r="AY490">
        <v>10</v>
      </c>
      <c r="AZ490">
        <v>3</v>
      </c>
      <c r="BA490">
        <v>8</v>
      </c>
      <c r="BB490">
        <v>2</v>
      </c>
      <c r="BC490">
        <v>3</v>
      </c>
      <c r="BD490">
        <v>4</v>
      </c>
      <c r="BE490">
        <v>4</v>
      </c>
      <c r="BF490">
        <v>5</v>
      </c>
      <c r="BG490">
        <v>5</v>
      </c>
      <c r="BH490">
        <v>0</v>
      </c>
      <c r="BI490">
        <v>10</v>
      </c>
      <c r="BJ490">
        <v>4</v>
      </c>
      <c r="BK490">
        <v>0</v>
      </c>
      <c r="BL490">
        <v>5</v>
      </c>
      <c r="BM490">
        <v>9</v>
      </c>
      <c r="BN490">
        <v>7</v>
      </c>
      <c r="BO490">
        <v>2</v>
      </c>
      <c r="BP490">
        <v>8</v>
      </c>
      <c r="BQ490">
        <v>2</v>
      </c>
      <c r="BR490">
        <v>5</v>
      </c>
      <c r="BS490">
        <v>5</v>
      </c>
      <c r="BT490">
        <v>2</v>
      </c>
      <c r="BU490">
        <v>8</v>
      </c>
      <c r="BV490">
        <v>7</v>
      </c>
      <c r="BW490">
        <v>10</v>
      </c>
      <c r="BX490">
        <v>8</v>
      </c>
      <c r="BY490">
        <v>8</v>
      </c>
      <c r="BZ490">
        <v>0</v>
      </c>
      <c r="CA490">
        <v>2</v>
      </c>
      <c r="CB490">
        <v>2</v>
      </c>
      <c r="CC490">
        <v>10</v>
      </c>
      <c r="CD490">
        <v>8</v>
      </c>
      <c r="CE490">
        <v>3</v>
      </c>
      <c r="CF490">
        <v>9</v>
      </c>
      <c r="CG490">
        <v>9</v>
      </c>
      <c r="CH490">
        <v>3</v>
      </c>
      <c r="CI490">
        <v>0</v>
      </c>
      <c r="CJ490">
        <v>5</v>
      </c>
      <c r="CK490">
        <v>5</v>
      </c>
      <c r="CL490">
        <v>7</v>
      </c>
      <c r="CM490">
        <v>7</v>
      </c>
      <c r="CN490">
        <v>5</v>
      </c>
      <c r="CO490">
        <v>4</v>
      </c>
      <c r="CP490">
        <v>9</v>
      </c>
      <c r="CQ490">
        <v>6</v>
      </c>
      <c r="CR490">
        <v>0</v>
      </c>
      <c r="CS490">
        <v>2</v>
      </c>
      <c r="CT490">
        <v>6</v>
      </c>
      <c r="CU490">
        <v>1</v>
      </c>
      <c r="CV490">
        <v>3</v>
      </c>
      <c r="CW490">
        <v>2</v>
      </c>
      <c r="CX490">
        <v>3</v>
      </c>
      <c r="CY490">
        <v>8</v>
      </c>
      <c r="CZ490">
        <v>7</v>
      </c>
      <c r="DA490">
        <v>2</v>
      </c>
      <c r="DB490">
        <v>1</v>
      </c>
      <c r="DC490">
        <v>3</v>
      </c>
      <c r="DD490">
        <v>1</v>
      </c>
      <c r="DE490">
        <v>3</v>
      </c>
      <c r="DF490">
        <v>1</v>
      </c>
      <c r="DG490">
        <v>2</v>
      </c>
      <c r="DH490">
        <v>2</v>
      </c>
      <c r="DI490">
        <v>7</v>
      </c>
      <c r="DJ490">
        <v>3</v>
      </c>
      <c r="DK490">
        <v>7</v>
      </c>
    </row>
    <row r="491" spans="1:115">
      <c r="A491" s="173">
        <f>Calculations[[#This Row],[Sum t eCO2]]*IF(Calculations[[#This Row],[GHG Scope]]="BIOGENIC",0,1)</f>
        <v>19.911387764000001</v>
      </c>
      <c r="O491">
        <f t="shared" si="7"/>
        <v>490</v>
      </c>
      <c r="P491">
        <v>10</v>
      </c>
      <c r="Q491">
        <v>2</v>
      </c>
      <c r="R491">
        <v>5</v>
      </c>
      <c r="S491">
        <v>10</v>
      </c>
      <c r="T491">
        <v>9</v>
      </c>
      <c r="U491">
        <v>0</v>
      </c>
      <c r="V491">
        <v>2</v>
      </c>
      <c r="W491">
        <v>10</v>
      </c>
      <c r="X491">
        <v>9</v>
      </c>
      <c r="Y491">
        <v>10</v>
      </c>
      <c r="Z491">
        <v>3</v>
      </c>
      <c r="AA491">
        <v>6</v>
      </c>
      <c r="AB491">
        <v>7</v>
      </c>
      <c r="AC491">
        <v>5</v>
      </c>
      <c r="AD491">
        <v>1</v>
      </c>
      <c r="AE491">
        <v>7</v>
      </c>
      <c r="AF491">
        <v>5</v>
      </c>
      <c r="AG491">
        <v>0</v>
      </c>
      <c r="AH491">
        <v>4</v>
      </c>
      <c r="AI491">
        <v>3</v>
      </c>
      <c r="AJ491">
        <v>5</v>
      </c>
      <c r="AK491">
        <v>2</v>
      </c>
      <c r="AL491">
        <v>7</v>
      </c>
      <c r="AM491">
        <v>9</v>
      </c>
      <c r="AN491">
        <v>1</v>
      </c>
      <c r="AO491">
        <v>2</v>
      </c>
      <c r="AP491">
        <v>4</v>
      </c>
      <c r="AQ491">
        <v>9</v>
      </c>
      <c r="AR491">
        <v>1</v>
      </c>
      <c r="AS491">
        <v>7</v>
      </c>
      <c r="AT491">
        <v>5</v>
      </c>
      <c r="AU491">
        <v>5</v>
      </c>
      <c r="AV491">
        <v>10</v>
      </c>
      <c r="AW491">
        <v>8</v>
      </c>
      <c r="AX491">
        <v>2</v>
      </c>
      <c r="AY491">
        <v>9</v>
      </c>
      <c r="AZ491">
        <v>4</v>
      </c>
      <c r="BA491">
        <v>6</v>
      </c>
      <c r="BB491">
        <v>4</v>
      </c>
      <c r="BC491">
        <v>0</v>
      </c>
      <c r="BD491">
        <v>3</v>
      </c>
      <c r="BE491">
        <v>10</v>
      </c>
      <c r="BF491">
        <v>1</v>
      </c>
      <c r="BG491">
        <v>4</v>
      </c>
      <c r="BH491">
        <v>5</v>
      </c>
      <c r="BI491">
        <v>7</v>
      </c>
      <c r="BJ491">
        <v>0</v>
      </c>
      <c r="BK491">
        <v>0</v>
      </c>
      <c r="BL491">
        <v>2</v>
      </c>
      <c r="BM491">
        <v>9</v>
      </c>
      <c r="BN491">
        <v>6</v>
      </c>
      <c r="BO491">
        <v>9</v>
      </c>
      <c r="BP491">
        <v>6</v>
      </c>
      <c r="BQ491">
        <v>10</v>
      </c>
      <c r="BR491">
        <v>8</v>
      </c>
      <c r="BS491">
        <v>0</v>
      </c>
      <c r="BT491">
        <v>6</v>
      </c>
      <c r="BU491">
        <v>5</v>
      </c>
      <c r="BV491">
        <v>10</v>
      </c>
      <c r="BW491">
        <v>1</v>
      </c>
      <c r="BX491">
        <v>6</v>
      </c>
      <c r="BY491">
        <v>7</v>
      </c>
      <c r="BZ491">
        <v>3</v>
      </c>
      <c r="CA491">
        <v>1</v>
      </c>
      <c r="CB491">
        <v>1</v>
      </c>
      <c r="CC491">
        <v>8</v>
      </c>
      <c r="CD491">
        <v>4</v>
      </c>
      <c r="CE491">
        <v>1</v>
      </c>
      <c r="CF491">
        <v>8</v>
      </c>
      <c r="CG491">
        <v>0</v>
      </c>
      <c r="CH491">
        <v>10</v>
      </c>
      <c r="CI491">
        <v>0</v>
      </c>
      <c r="CJ491">
        <v>10</v>
      </c>
      <c r="CK491">
        <v>0</v>
      </c>
      <c r="CL491">
        <v>2</v>
      </c>
      <c r="CM491">
        <v>8</v>
      </c>
      <c r="CN491">
        <v>9</v>
      </c>
      <c r="CO491">
        <v>5</v>
      </c>
      <c r="CP491">
        <v>3</v>
      </c>
      <c r="CQ491">
        <v>4</v>
      </c>
      <c r="CR491">
        <v>7</v>
      </c>
      <c r="CS491">
        <v>8</v>
      </c>
      <c r="CT491">
        <v>8</v>
      </c>
      <c r="CU491">
        <v>7</v>
      </c>
      <c r="CV491">
        <v>7</v>
      </c>
      <c r="CW491">
        <v>0</v>
      </c>
      <c r="CX491">
        <v>6</v>
      </c>
      <c r="CY491">
        <v>5</v>
      </c>
      <c r="CZ491">
        <v>8</v>
      </c>
      <c r="DA491">
        <v>0</v>
      </c>
      <c r="DB491">
        <v>1</v>
      </c>
      <c r="DC491">
        <v>4</v>
      </c>
      <c r="DD491">
        <v>9</v>
      </c>
      <c r="DE491">
        <v>0</v>
      </c>
      <c r="DF491">
        <v>6</v>
      </c>
      <c r="DG491">
        <v>8</v>
      </c>
      <c r="DH491">
        <v>5</v>
      </c>
      <c r="DI491">
        <v>5</v>
      </c>
      <c r="DJ491">
        <v>2</v>
      </c>
      <c r="DK491">
        <v>10</v>
      </c>
    </row>
    <row r="492" spans="1:115">
      <c r="A492" s="173">
        <f>Calculations[[#This Row],[Sum t eCO2]]*IF(Calculations[[#This Row],[GHG Scope]]="BIOGENIC",0,1)</f>
        <v>0.80032101434999992</v>
      </c>
      <c r="O492">
        <f t="shared" si="7"/>
        <v>491</v>
      </c>
      <c r="P492">
        <v>8</v>
      </c>
      <c r="Q492">
        <v>7</v>
      </c>
      <c r="R492">
        <v>1</v>
      </c>
      <c r="S492">
        <v>9</v>
      </c>
      <c r="T492">
        <v>1</v>
      </c>
      <c r="U492">
        <v>5</v>
      </c>
      <c r="V492">
        <v>5</v>
      </c>
      <c r="W492">
        <v>1</v>
      </c>
      <c r="X492">
        <v>2</v>
      </c>
      <c r="Y492">
        <v>0</v>
      </c>
      <c r="Z492">
        <v>2</v>
      </c>
      <c r="AA492">
        <v>1</v>
      </c>
      <c r="AB492">
        <v>8</v>
      </c>
      <c r="AC492">
        <v>2</v>
      </c>
      <c r="AD492">
        <v>2</v>
      </c>
      <c r="AE492">
        <v>8</v>
      </c>
      <c r="AF492">
        <v>8</v>
      </c>
      <c r="AG492">
        <v>8</v>
      </c>
      <c r="AH492">
        <v>10</v>
      </c>
      <c r="AI492">
        <v>8</v>
      </c>
      <c r="AJ492">
        <v>7</v>
      </c>
      <c r="AK492">
        <v>0</v>
      </c>
      <c r="AL492">
        <v>8</v>
      </c>
      <c r="AM492">
        <v>1</v>
      </c>
      <c r="AN492">
        <v>8</v>
      </c>
      <c r="AO492">
        <v>4</v>
      </c>
      <c r="AP492">
        <v>1</v>
      </c>
      <c r="AQ492">
        <v>2</v>
      </c>
      <c r="AR492">
        <v>3</v>
      </c>
      <c r="AS492">
        <v>7</v>
      </c>
      <c r="AT492">
        <v>7</v>
      </c>
      <c r="AU492">
        <v>1</v>
      </c>
      <c r="AV492">
        <v>1</v>
      </c>
      <c r="AW492">
        <v>10</v>
      </c>
      <c r="AX492">
        <v>2</v>
      </c>
      <c r="AY492">
        <v>3</v>
      </c>
      <c r="AZ492">
        <v>4</v>
      </c>
      <c r="BA492">
        <v>5</v>
      </c>
      <c r="BB492">
        <v>0</v>
      </c>
      <c r="BC492">
        <v>3</v>
      </c>
      <c r="BD492">
        <v>1</v>
      </c>
      <c r="BE492">
        <v>8</v>
      </c>
      <c r="BF492">
        <v>2</v>
      </c>
      <c r="BG492">
        <v>8</v>
      </c>
      <c r="BH492">
        <v>4</v>
      </c>
      <c r="BI492">
        <v>0</v>
      </c>
      <c r="BJ492">
        <v>5</v>
      </c>
      <c r="BK492">
        <v>8</v>
      </c>
      <c r="BL492">
        <v>9</v>
      </c>
      <c r="BM492">
        <v>10</v>
      </c>
      <c r="BN492">
        <v>2</v>
      </c>
      <c r="BO492">
        <v>0</v>
      </c>
      <c r="BP492">
        <v>4</v>
      </c>
      <c r="BQ492">
        <v>10</v>
      </c>
      <c r="BR492">
        <v>6</v>
      </c>
      <c r="BS492">
        <v>5</v>
      </c>
      <c r="BT492">
        <v>7</v>
      </c>
      <c r="BU492">
        <v>0</v>
      </c>
      <c r="BV492">
        <v>4</v>
      </c>
      <c r="BW492">
        <v>4</v>
      </c>
      <c r="BX492">
        <v>1</v>
      </c>
      <c r="BY492">
        <v>2</v>
      </c>
      <c r="BZ492">
        <v>6</v>
      </c>
      <c r="CA492">
        <v>9</v>
      </c>
      <c r="CB492">
        <v>0</v>
      </c>
      <c r="CC492">
        <v>2</v>
      </c>
      <c r="CD492">
        <v>2</v>
      </c>
      <c r="CE492">
        <v>6</v>
      </c>
      <c r="CF492">
        <v>2</v>
      </c>
      <c r="CG492">
        <v>7</v>
      </c>
      <c r="CH492">
        <v>0</v>
      </c>
      <c r="CI492">
        <v>9</v>
      </c>
      <c r="CJ492">
        <v>5</v>
      </c>
      <c r="CK492">
        <v>3</v>
      </c>
      <c r="CL492">
        <v>2</v>
      </c>
      <c r="CM492">
        <v>0</v>
      </c>
      <c r="CN492">
        <v>10</v>
      </c>
      <c r="CO492">
        <v>7</v>
      </c>
      <c r="CP492">
        <v>2</v>
      </c>
      <c r="CQ492">
        <v>10</v>
      </c>
      <c r="CR492">
        <v>1</v>
      </c>
      <c r="CS492">
        <v>2</v>
      </c>
      <c r="CT492">
        <v>10</v>
      </c>
      <c r="CU492">
        <v>2</v>
      </c>
      <c r="CV492">
        <v>6</v>
      </c>
      <c r="CW492">
        <v>7</v>
      </c>
      <c r="CX492">
        <v>0</v>
      </c>
      <c r="CY492">
        <v>4</v>
      </c>
      <c r="CZ492">
        <v>4</v>
      </c>
      <c r="DA492">
        <v>8</v>
      </c>
      <c r="DB492">
        <v>3</v>
      </c>
      <c r="DC492">
        <v>7</v>
      </c>
      <c r="DD492">
        <v>1</v>
      </c>
      <c r="DE492">
        <v>10</v>
      </c>
      <c r="DF492">
        <v>1</v>
      </c>
      <c r="DG492">
        <v>6</v>
      </c>
      <c r="DH492">
        <v>3</v>
      </c>
      <c r="DI492">
        <v>4</v>
      </c>
      <c r="DJ492">
        <v>0</v>
      </c>
      <c r="DK492">
        <v>8</v>
      </c>
    </row>
    <row r="493" spans="1:115">
      <c r="A493" s="173">
        <f>Calculations[[#This Row],[Sum t eCO2]]*IF(Calculations[[#This Row],[GHG Scope]]="BIOGENIC",0,1)</f>
        <v>21.48288096708</v>
      </c>
      <c r="O493">
        <f t="shared" si="7"/>
        <v>492</v>
      </c>
      <c r="P493">
        <v>6</v>
      </c>
      <c r="Q493">
        <v>10</v>
      </c>
      <c r="R493">
        <v>0</v>
      </c>
      <c r="S493">
        <v>6</v>
      </c>
      <c r="T493">
        <v>8</v>
      </c>
      <c r="U493">
        <v>10</v>
      </c>
      <c r="V493">
        <v>3</v>
      </c>
      <c r="W493">
        <v>5</v>
      </c>
      <c r="X493">
        <v>9</v>
      </c>
      <c r="Y493">
        <v>6</v>
      </c>
      <c r="Z493">
        <v>4</v>
      </c>
      <c r="AA493">
        <v>3</v>
      </c>
      <c r="AB493">
        <v>3</v>
      </c>
      <c r="AC493">
        <v>8</v>
      </c>
      <c r="AD493">
        <v>0</v>
      </c>
      <c r="AE493">
        <v>7</v>
      </c>
      <c r="AF493">
        <v>2</v>
      </c>
      <c r="AG493">
        <v>3</v>
      </c>
      <c r="AH493">
        <v>2</v>
      </c>
      <c r="AI493">
        <v>8</v>
      </c>
      <c r="AJ493">
        <v>9</v>
      </c>
      <c r="AK493">
        <v>5</v>
      </c>
      <c r="AL493">
        <v>10</v>
      </c>
      <c r="AM493">
        <v>8</v>
      </c>
      <c r="AN493">
        <v>4</v>
      </c>
      <c r="AO493">
        <v>5</v>
      </c>
      <c r="AP493">
        <v>10</v>
      </c>
      <c r="AQ493">
        <v>6</v>
      </c>
      <c r="AR493">
        <v>1</v>
      </c>
      <c r="AS493">
        <v>7</v>
      </c>
      <c r="AT493">
        <v>2</v>
      </c>
      <c r="AU493">
        <v>10</v>
      </c>
      <c r="AV493">
        <v>5</v>
      </c>
      <c r="AW493">
        <v>4</v>
      </c>
      <c r="AX493">
        <v>8</v>
      </c>
      <c r="AY493">
        <v>1</v>
      </c>
      <c r="AZ493">
        <v>9</v>
      </c>
      <c r="BA493">
        <v>4</v>
      </c>
      <c r="BB493">
        <v>2</v>
      </c>
      <c r="BC493">
        <v>2</v>
      </c>
      <c r="BD493">
        <v>2</v>
      </c>
      <c r="BE493">
        <v>9</v>
      </c>
      <c r="BF493">
        <v>7</v>
      </c>
      <c r="BG493">
        <v>1</v>
      </c>
      <c r="BH493">
        <v>8</v>
      </c>
      <c r="BI493">
        <v>3</v>
      </c>
      <c r="BJ493">
        <v>8</v>
      </c>
      <c r="BK493">
        <v>2</v>
      </c>
      <c r="BL493">
        <v>9</v>
      </c>
      <c r="BM493">
        <v>5</v>
      </c>
      <c r="BN493">
        <v>7</v>
      </c>
      <c r="BO493">
        <v>5</v>
      </c>
      <c r="BP493">
        <v>6</v>
      </c>
      <c r="BQ493">
        <v>6</v>
      </c>
      <c r="BR493">
        <v>4</v>
      </c>
      <c r="BS493">
        <v>7</v>
      </c>
      <c r="BT493">
        <v>2</v>
      </c>
      <c r="BU493">
        <v>2</v>
      </c>
      <c r="BV493">
        <v>3</v>
      </c>
      <c r="BW493">
        <v>7</v>
      </c>
      <c r="BX493">
        <v>5</v>
      </c>
      <c r="BY493">
        <v>6</v>
      </c>
      <c r="BZ493">
        <v>10</v>
      </c>
      <c r="CA493">
        <v>2</v>
      </c>
      <c r="CB493">
        <v>0</v>
      </c>
      <c r="CC493">
        <v>3</v>
      </c>
      <c r="CD493">
        <v>10</v>
      </c>
      <c r="CE493">
        <v>7</v>
      </c>
      <c r="CF493">
        <v>6</v>
      </c>
      <c r="CG493">
        <v>10</v>
      </c>
      <c r="CH493">
        <v>9</v>
      </c>
      <c r="CI493">
        <v>2</v>
      </c>
      <c r="CJ493">
        <v>0</v>
      </c>
      <c r="CK493">
        <v>0</v>
      </c>
      <c r="CL493">
        <v>8</v>
      </c>
      <c r="CM493">
        <v>2</v>
      </c>
      <c r="CN493">
        <v>8</v>
      </c>
      <c r="CO493">
        <v>4</v>
      </c>
      <c r="CP493">
        <v>1</v>
      </c>
      <c r="CQ493">
        <v>4</v>
      </c>
      <c r="CR493">
        <v>10</v>
      </c>
      <c r="CS493">
        <v>8</v>
      </c>
      <c r="CT493">
        <v>4</v>
      </c>
      <c r="CU493">
        <v>5</v>
      </c>
      <c r="CV493">
        <v>0</v>
      </c>
      <c r="CW493">
        <v>10</v>
      </c>
      <c r="CX493">
        <v>2</v>
      </c>
      <c r="CY493">
        <v>10</v>
      </c>
      <c r="CZ493">
        <v>5</v>
      </c>
      <c r="DA493">
        <v>7</v>
      </c>
      <c r="DB493">
        <v>5</v>
      </c>
      <c r="DC493">
        <v>3</v>
      </c>
      <c r="DD493">
        <v>7</v>
      </c>
      <c r="DE493">
        <v>8</v>
      </c>
      <c r="DF493">
        <v>6</v>
      </c>
      <c r="DG493">
        <v>1</v>
      </c>
      <c r="DH493">
        <v>4</v>
      </c>
      <c r="DI493">
        <v>2</v>
      </c>
      <c r="DJ493">
        <v>9</v>
      </c>
      <c r="DK493">
        <v>3</v>
      </c>
    </row>
    <row r="494" spans="1:115">
      <c r="A494" s="173">
        <f>Calculations[[#This Row],[Sum t eCO2]]*IF(Calculations[[#This Row],[GHG Scope]]="BIOGENIC",0,1)</f>
        <v>0.80429934311999995</v>
      </c>
      <c r="O494">
        <f t="shared" si="7"/>
        <v>493</v>
      </c>
      <c r="P494">
        <v>9</v>
      </c>
      <c r="Q494">
        <v>7</v>
      </c>
      <c r="R494">
        <v>0</v>
      </c>
      <c r="S494">
        <v>3</v>
      </c>
      <c r="T494">
        <v>7</v>
      </c>
      <c r="U494">
        <v>8</v>
      </c>
      <c r="V494">
        <v>6</v>
      </c>
      <c r="W494">
        <v>6</v>
      </c>
      <c r="X494">
        <v>2</v>
      </c>
      <c r="Y494">
        <v>2</v>
      </c>
      <c r="Z494">
        <v>5</v>
      </c>
      <c r="AA494">
        <v>4</v>
      </c>
      <c r="AB494">
        <v>4</v>
      </c>
      <c r="AC494">
        <v>7</v>
      </c>
      <c r="AD494">
        <v>7</v>
      </c>
      <c r="AE494">
        <v>0</v>
      </c>
      <c r="AF494">
        <v>10</v>
      </c>
      <c r="AG494">
        <v>2</v>
      </c>
      <c r="AH494">
        <v>2</v>
      </c>
      <c r="AI494">
        <v>10</v>
      </c>
      <c r="AJ494">
        <v>3</v>
      </c>
      <c r="AK494">
        <v>3</v>
      </c>
      <c r="AL494">
        <v>5</v>
      </c>
      <c r="AM494">
        <v>8</v>
      </c>
      <c r="AN494">
        <v>7</v>
      </c>
      <c r="AO494">
        <v>3</v>
      </c>
      <c r="AP494">
        <v>7</v>
      </c>
      <c r="AQ494">
        <v>8</v>
      </c>
      <c r="AR494">
        <v>7</v>
      </c>
      <c r="AS494">
        <v>9</v>
      </c>
      <c r="AT494">
        <v>0</v>
      </c>
      <c r="AU494">
        <v>10</v>
      </c>
      <c r="AV494">
        <v>9</v>
      </c>
      <c r="AW494">
        <v>4</v>
      </c>
      <c r="AX494">
        <v>4</v>
      </c>
      <c r="AY494">
        <v>4</v>
      </c>
      <c r="AZ494">
        <v>8</v>
      </c>
      <c r="BA494">
        <v>2</v>
      </c>
      <c r="BB494">
        <v>4</v>
      </c>
      <c r="BC494">
        <v>1</v>
      </c>
      <c r="BD494">
        <v>9</v>
      </c>
      <c r="BE494">
        <v>2</v>
      </c>
      <c r="BF494">
        <v>10</v>
      </c>
      <c r="BG494">
        <v>10</v>
      </c>
      <c r="BH494">
        <v>5</v>
      </c>
      <c r="BI494">
        <v>3</v>
      </c>
      <c r="BJ494">
        <v>9</v>
      </c>
      <c r="BK494">
        <v>8</v>
      </c>
      <c r="BL494">
        <v>6</v>
      </c>
      <c r="BM494">
        <v>3</v>
      </c>
      <c r="BN494">
        <v>3</v>
      </c>
      <c r="BO494">
        <v>2</v>
      </c>
      <c r="BP494">
        <v>0</v>
      </c>
      <c r="BQ494">
        <v>8</v>
      </c>
      <c r="BR494">
        <v>6</v>
      </c>
      <c r="BS494">
        <v>5</v>
      </c>
      <c r="BT494">
        <v>7</v>
      </c>
      <c r="BU494">
        <v>0</v>
      </c>
      <c r="BV494">
        <v>6</v>
      </c>
      <c r="BW494">
        <v>1</v>
      </c>
      <c r="BX494">
        <v>10</v>
      </c>
      <c r="BY494">
        <v>3</v>
      </c>
      <c r="BZ494">
        <v>9</v>
      </c>
      <c r="CA494">
        <v>2</v>
      </c>
      <c r="CB494">
        <v>7</v>
      </c>
      <c r="CC494">
        <v>5</v>
      </c>
      <c r="CD494">
        <v>5</v>
      </c>
      <c r="CE494">
        <v>6</v>
      </c>
      <c r="CF494">
        <v>5</v>
      </c>
      <c r="CG494">
        <v>2</v>
      </c>
      <c r="CH494">
        <v>5</v>
      </c>
      <c r="CI494">
        <v>8</v>
      </c>
      <c r="CJ494">
        <v>10</v>
      </c>
      <c r="CK494">
        <v>4</v>
      </c>
      <c r="CL494">
        <v>10</v>
      </c>
      <c r="CM494">
        <v>0</v>
      </c>
      <c r="CN494">
        <v>6</v>
      </c>
      <c r="CO494">
        <v>7</v>
      </c>
      <c r="CP494">
        <v>1</v>
      </c>
      <c r="CQ494">
        <v>7</v>
      </c>
      <c r="CR494">
        <v>4</v>
      </c>
      <c r="CS494">
        <v>7</v>
      </c>
      <c r="CT494">
        <v>8</v>
      </c>
      <c r="CU494">
        <v>7</v>
      </c>
      <c r="CV494">
        <v>4</v>
      </c>
      <c r="CW494">
        <v>3</v>
      </c>
      <c r="CX494">
        <v>4</v>
      </c>
      <c r="CY494">
        <v>0</v>
      </c>
      <c r="CZ494">
        <v>4</v>
      </c>
      <c r="DA494">
        <v>1</v>
      </c>
      <c r="DB494">
        <v>8</v>
      </c>
      <c r="DC494">
        <v>10</v>
      </c>
      <c r="DD494">
        <v>10</v>
      </c>
      <c r="DE494">
        <v>0</v>
      </c>
      <c r="DF494">
        <v>10</v>
      </c>
      <c r="DG494">
        <v>8</v>
      </c>
      <c r="DH494">
        <v>0</v>
      </c>
      <c r="DI494">
        <v>8</v>
      </c>
      <c r="DJ494">
        <v>9</v>
      </c>
      <c r="DK494">
        <v>1</v>
      </c>
    </row>
    <row r="495" spans="1:115">
      <c r="A495" s="173">
        <f>Calculations[[#This Row],[Sum t eCO2]]*IF(Calculations[[#This Row],[GHG Scope]]="BIOGENIC",0,1)</f>
        <v>484.75645434000006</v>
      </c>
      <c r="O495">
        <f t="shared" si="7"/>
        <v>494</v>
      </c>
      <c r="P495">
        <v>1</v>
      </c>
      <c r="Q495">
        <v>5</v>
      </c>
      <c r="R495">
        <v>9</v>
      </c>
      <c r="S495">
        <v>10</v>
      </c>
      <c r="T495">
        <v>8</v>
      </c>
      <c r="U495">
        <v>6</v>
      </c>
      <c r="V495">
        <v>3</v>
      </c>
      <c r="W495">
        <v>4</v>
      </c>
      <c r="X495">
        <v>0</v>
      </c>
      <c r="Y495">
        <v>4</v>
      </c>
      <c r="Z495">
        <v>7</v>
      </c>
      <c r="AA495">
        <v>4</v>
      </c>
      <c r="AB495">
        <v>8</v>
      </c>
      <c r="AC495">
        <v>1</v>
      </c>
      <c r="AD495">
        <v>1</v>
      </c>
      <c r="AE495">
        <v>6</v>
      </c>
      <c r="AF495">
        <v>4</v>
      </c>
      <c r="AG495">
        <v>10</v>
      </c>
      <c r="AH495">
        <v>3</v>
      </c>
      <c r="AI495">
        <v>8</v>
      </c>
      <c r="AJ495">
        <v>9</v>
      </c>
      <c r="AK495">
        <v>4</v>
      </c>
      <c r="AL495">
        <v>8</v>
      </c>
      <c r="AM495">
        <v>2</v>
      </c>
      <c r="AN495">
        <v>0</v>
      </c>
      <c r="AO495">
        <v>10</v>
      </c>
      <c r="AP495">
        <v>2</v>
      </c>
      <c r="AQ495">
        <v>5</v>
      </c>
      <c r="AR495">
        <v>9</v>
      </c>
      <c r="AS495">
        <v>5</v>
      </c>
      <c r="AT495">
        <v>3</v>
      </c>
      <c r="AU495">
        <v>2</v>
      </c>
      <c r="AV495">
        <v>2</v>
      </c>
      <c r="AW495">
        <v>3</v>
      </c>
      <c r="AX495">
        <v>8</v>
      </c>
      <c r="AY495">
        <v>6</v>
      </c>
      <c r="AZ495">
        <v>7</v>
      </c>
      <c r="BA495">
        <v>3</v>
      </c>
      <c r="BB495">
        <v>7</v>
      </c>
      <c r="BC495">
        <v>9</v>
      </c>
      <c r="BD495">
        <v>1</v>
      </c>
      <c r="BE495">
        <v>10</v>
      </c>
      <c r="BF495">
        <v>10</v>
      </c>
      <c r="BG495">
        <v>4</v>
      </c>
      <c r="BH495">
        <v>5</v>
      </c>
      <c r="BI495">
        <v>6</v>
      </c>
      <c r="BJ495">
        <v>3</v>
      </c>
      <c r="BK495">
        <v>7</v>
      </c>
      <c r="BL495">
        <v>4</v>
      </c>
      <c r="BM495">
        <v>2</v>
      </c>
      <c r="BN495">
        <v>6</v>
      </c>
      <c r="BO495">
        <v>0</v>
      </c>
      <c r="BP495">
        <v>9</v>
      </c>
      <c r="BQ495">
        <v>2</v>
      </c>
      <c r="BR495">
        <v>7</v>
      </c>
      <c r="BS495">
        <v>2</v>
      </c>
      <c r="BT495">
        <v>9</v>
      </c>
      <c r="BU495">
        <v>4</v>
      </c>
      <c r="BV495">
        <v>9</v>
      </c>
      <c r="BW495">
        <v>1</v>
      </c>
      <c r="BX495">
        <v>0</v>
      </c>
      <c r="BY495">
        <v>9</v>
      </c>
      <c r="BZ495">
        <v>4</v>
      </c>
      <c r="CA495">
        <v>3</v>
      </c>
      <c r="CB495">
        <v>1</v>
      </c>
      <c r="CC495">
        <v>6</v>
      </c>
      <c r="CD495">
        <v>8</v>
      </c>
      <c r="CE495">
        <v>10</v>
      </c>
      <c r="CF495">
        <v>9</v>
      </c>
      <c r="CG495">
        <v>2</v>
      </c>
      <c r="CH495">
        <v>0</v>
      </c>
      <c r="CI495">
        <v>4</v>
      </c>
      <c r="CJ495">
        <v>5</v>
      </c>
      <c r="CK495">
        <v>8</v>
      </c>
      <c r="CL495">
        <v>4</v>
      </c>
      <c r="CM495">
        <v>4</v>
      </c>
      <c r="CN495">
        <v>10</v>
      </c>
      <c r="CO495">
        <v>1</v>
      </c>
      <c r="CP495">
        <v>4</v>
      </c>
      <c r="CQ495">
        <v>3</v>
      </c>
      <c r="CR495">
        <v>1</v>
      </c>
      <c r="CS495">
        <v>1</v>
      </c>
      <c r="CT495">
        <v>2</v>
      </c>
      <c r="CU495">
        <v>1</v>
      </c>
      <c r="CV495">
        <v>10</v>
      </c>
      <c r="CW495">
        <v>5</v>
      </c>
      <c r="CX495">
        <v>9</v>
      </c>
      <c r="CY495">
        <v>10</v>
      </c>
      <c r="CZ495">
        <v>5</v>
      </c>
      <c r="DA495">
        <v>9</v>
      </c>
      <c r="DB495">
        <v>4</v>
      </c>
      <c r="DC495">
        <v>5</v>
      </c>
      <c r="DD495">
        <v>2</v>
      </c>
      <c r="DE495">
        <v>0</v>
      </c>
      <c r="DF495">
        <v>4</v>
      </c>
      <c r="DG495">
        <v>8</v>
      </c>
      <c r="DH495">
        <v>4</v>
      </c>
      <c r="DI495">
        <v>2</v>
      </c>
      <c r="DJ495">
        <v>9</v>
      </c>
      <c r="DK495">
        <v>1</v>
      </c>
    </row>
    <row r="496" spans="1:115">
      <c r="A496" s="173">
        <f>Calculations[[#This Row],[Sum t eCO2]]*IF(Calculations[[#This Row],[GHG Scope]]="BIOGENIC",0,1)</f>
        <v>72.11983482638999</v>
      </c>
      <c r="O496">
        <f t="shared" si="7"/>
        <v>495</v>
      </c>
      <c r="P496">
        <v>7</v>
      </c>
      <c r="Q496">
        <v>5</v>
      </c>
      <c r="R496">
        <v>2</v>
      </c>
      <c r="S496">
        <v>8</v>
      </c>
      <c r="T496">
        <v>8</v>
      </c>
      <c r="U496">
        <v>8</v>
      </c>
      <c r="V496">
        <v>9</v>
      </c>
      <c r="W496">
        <v>1</v>
      </c>
      <c r="X496">
        <v>10</v>
      </c>
      <c r="Y496">
        <v>9</v>
      </c>
      <c r="Z496">
        <v>3</v>
      </c>
      <c r="AA496">
        <v>4</v>
      </c>
      <c r="AB496">
        <v>0</v>
      </c>
      <c r="AC496">
        <v>3</v>
      </c>
      <c r="AD496">
        <v>0</v>
      </c>
      <c r="AE496">
        <v>0</v>
      </c>
      <c r="AF496">
        <v>2</v>
      </c>
      <c r="AG496">
        <v>10</v>
      </c>
      <c r="AH496">
        <v>6</v>
      </c>
      <c r="AI496">
        <v>0</v>
      </c>
      <c r="AJ496">
        <v>10</v>
      </c>
      <c r="AK496">
        <v>6</v>
      </c>
      <c r="AL496">
        <v>1</v>
      </c>
      <c r="AM496">
        <v>3</v>
      </c>
      <c r="AN496">
        <v>4</v>
      </c>
      <c r="AO496">
        <v>3</v>
      </c>
      <c r="AP496">
        <v>10</v>
      </c>
      <c r="AQ496">
        <v>0</v>
      </c>
      <c r="AR496">
        <v>2</v>
      </c>
      <c r="AS496">
        <v>3</v>
      </c>
      <c r="AT496">
        <v>1</v>
      </c>
      <c r="AU496">
        <v>4</v>
      </c>
      <c r="AV496">
        <v>8</v>
      </c>
      <c r="AW496">
        <v>3</v>
      </c>
      <c r="AX496">
        <v>9</v>
      </c>
      <c r="AY496">
        <v>1</v>
      </c>
      <c r="AZ496">
        <v>5</v>
      </c>
      <c r="BA496">
        <v>7</v>
      </c>
      <c r="BB496">
        <v>3</v>
      </c>
      <c r="BC496">
        <v>9</v>
      </c>
      <c r="BD496">
        <v>0</v>
      </c>
      <c r="BE496">
        <v>4</v>
      </c>
      <c r="BF496">
        <v>6</v>
      </c>
      <c r="BG496">
        <v>6</v>
      </c>
      <c r="BH496">
        <v>3</v>
      </c>
      <c r="BI496">
        <v>8</v>
      </c>
      <c r="BJ496">
        <v>10</v>
      </c>
      <c r="BK496">
        <v>1</v>
      </c>
      <c r="BL496">
        <v>2</v>
      </c>
      <c r="BM496">
        <v>5</v>
      </c>
      <c r="BN496">
        <v>4</v>
      </c>
      <c r="BO496">
        <v>1</v>
      </c>
      <c r="BP496">
        <v>8</v>
      </c>
      <c r="BQ496">
        <v>1</v>
      </c>
      <c r="BR496">
        <v>3</v>
      </c>
      <c r="BS496">
        <v>0</v>
      </c>
      <c r="BT496">
        <v>6</v>
      </c>
      <c r="BU496">
        <v>4</v>
      </c>
      <c r="BV496">
        <v>6</v>
      </c>
      <c r="BW496">
        <v>2</v>
      </c>
      <c r="BX496">
        <v>2</v>
      </c>
      <c r="BY496">
        <v>3</v>
      </c>
      <c r="BZ496">
        <v>2</v>
      </c>
      <c r="CA496">
        <v>9</v>
      </c>
      <c r="CB496">
        <v>0</v>
      </c>
      <c r="CC496">
        <v>0</v>
      </c>
      <c r="CD496">
        <v>2</v>
      </c>
      <c r="CE496">
        <v>5</v>
      </c>
      <c r="CF496">
        <v>4</v>
      </c>
      <c r="CG496">
        <v>2</v>
      </c>
      <c r="CH496">
        <v>8</v>
      </c>
      <c r="CI496">
        <v>2</v>
      </c>
      <c r="CJ496">
        <v>2</v>
      </c>
      <c r="CK496">
        <v>8</v>
      </c>
      <c r="CL496">
        <v>10</v>
      </c>
      <c r="CM496">
        <v>2</v>
      </c>
      <c r="CN496">
        <v>4</v>
      </c>
      <c r="CO496">
        <v>7</v>
      </c>
      <c r="CP496">
        <v>3</v>
      </c>
      <c r="CQ496">
        <v>1</v>
      </c>
      <c r="CR496">
        <v>1</v>
      </c>
      <c r="CS496">
        <v>6</v>
      </c>
      <c r="CT496">
        <v>3</v>
      </c>
      <c r="CU496">
        <v>7</v>
      </c>
      <c r="CV496">
        <v>9</v>
      </c>
      <c r="CW496">
        <v>8</v>
      </c>
      <c r="CX496">
        <v>9</v>
      </c>
      <c r="CY496">
        <v>6</v>
      </c>
      <c r="CZ496">
        <v>1</v>
      </c>
      <c r="DA496">
        <v>3</v>
      </c>
      <c r="DB496">
        <v>6</v>
      </c>
      <c r="DC496">
        <v>0</v>
      </c>
      <c r="DD496">
        <v>4</v>
      </c>
      <c r="DE496">
        <v>7</v>
      </c>
      <c r="DF496">
        <v>2</v>
      </c>
      <c r="DG496">
        <v>8</v>
      </c>
      <c r="DH496">
        <v>1</v>
      </c>
      <c r="DI496">
        <v>10</v>
      </c>
      <c r="DJ496">
        <v>10</v>
      </c>
      <c r="DK496">
        <v>7</v>
      </c>
    </row>
    <row r="497" spans="1:115">
      <c r="A497" s="173">
        <f>Calculations[[#This Row],[Sum t eCO2]]*IF(Calculations[[#This Row],[GHG Scope]]="BIOGENIC",0,1)</f>
        <v>63.448706464000033</v>
      </c>
      <c r="O497">
        <f t="shared" si="7"/>
        <v>496</v>
      </c>
      <c r="P497">
        <v>3</v>
      </c>
      <c r="Q497">
        <v>1</v>
      </c>
      <c r="R497">
        <v>4</v>
      </c>
      <c r="S497">
        <v>6</v>
      </c>
      <c r="T497">
        <v>10</v>
      </c>
      <c r="U497">
        <v>10</v>
      </c>
      <c r="V497">
        <v>8</v>
      </c>
      <c r="W497">
        <v>8</v>
      </c>
      <c r="X497">
        <v>8</v>
      </c>
      <c r="Y497">
        <v>4</v>
      </c>
      <c r="Z497">
        <v>7</v>
      </c>
      <c r="AA497">
        <v>9</v>
      </c>
      <c r="AB497">
        <v>7</v>
      </c>
      <c r="AC497">
        <v>8</v>
      </c>
      <c r="AD497">
        <v>0</v>
      </c>
      <c r="AE497">
        <v>5</v>
      </c>
      <c r="AF497">
        <v>6</v>
      </c>
      <c r="AG497">
        <v>8</v>
      </c>
      <c r="AH497">
        <v>0</v>
      </c>
      <c r="AI497">
        <v>6</v>
      </c>
      <c r="AJ497">
        <v>6</v>
      </c>
      <c r="AK497">
        <v>8</v>
      </c>
      <c r="AL497">
        <v>8</v>
      </c>
      <c r="AM497">
        <v>4</v>
      </c>
      <c r="AN497">
        <v>6</v>
      </c>
      <c r="AO497">
        <v>1</v>
      </c>
      <c r="AP497">
        <v>1</v>
      </c>
      <c r="AQ497">
        <v>6</v>
      </c>
      <c r="AR497">
        <v>6</v>
      </c>
      <c r="AS497">
        <v>10</v>
      </c>
      <c r="AT497">
        <v>7</v>
      </c>
      <c r="AU497">
        <v>7</v>
      </c>
      <c r="AV497">
        <v>2</v>
      </c>
      <c r="AW497">
        <v>5</v>
      </c>
      <c r="AX497">
        <v>2</v>
      </c>
      <c r="AY497">
        <v>9</v>
      </c>
      <c r="AZ497">
        <v>10</v>
      </c>
      <c r="BA497">
        <v>2</v>
      </c>
      <c r="BB497">
        <v>9</v>
      </c>
      <c r="BC497">
        <v>1</v>
      </c>
      <c r="BD497">
        <v>6</v>
      </c>
      <c r="BE497">
        <v>8</v>
      </c>
      <c r="BF497">
        <v>5</v>
      </c>
      <c r="BG497">
        <v>1</v>
      </c>
      <c r="BH497">
        <v>7</v>
      </c>
      <c r="BI497">
        <v>6</v>
      </c>
      <c r="BJ497">
        <v>10</v>
      </c>
      <c r="BK497">
        <v>7</v>
      </c>
      <c r="BL497">
        <v>3</v>
      </c>
      <c r="BM497">
        <v>10</v>
      </c>
      <c r="BN497">
        <v>1</v>
      </c>
      <c r="BO497">
        <v>4</v>
      </c>
      <c r="BP497">
        <v>2</v>
      </c>
      <c r="BQ497">
        <v>0</v>
      </c>
      <c r="BR497">
        <v>4</v>
      </c>
      <c r="BS497">
        <v>1</v>
      </c>
      <c r="BT497">
        <v>7</v>
      </c>
      <c r="BU497">
        <v>0</v>
      </c>
      <c r="BV497">
        <v>0</v>
      </c>
      <c r="BW497">
        <v>2</v>
      </c>
      <c r="BX497">
        <v>9</v>
      </c>
      <c r="BY497">
        <v>9</v>
      </c>
      <c r="BZ497">
        <v>0</v>
      </c>
      <c r="CA497">
        <v>5</v>
      </c>
      <c r="CB497">
        <v>6</v>
      </c>
      <c r="CC497">
        <v>2</v>
      </c>
      <c r="CD497">
        <v>2</v>
      </c>
      <c r="CE497">
        <v>1</v>
      </c>
      <c r="CF497">
        <v>0</v>
      </c>
      <c r="CG497">
        <v>8</v>
      </c>
      <c r="CH497">
        <v>0</v>
      </c>
      <c r="CI497">
        <v>8</v>
      </c>
      <c r="CJ497">
        <v>5</v>
      </c>
      <c r="CK497">
        <v>10</v>
      </c>
      <c r="CL497">
        <v>6</v>
      </c>
      <c r="CM497">
        <v>4</v>
      </c>
      <c r="CN497">
        <v>7</v>
      </c>
      <c r="CO497">
        <v>4</v>
      </c>
      <c r="CP497">
        <v>4</v>
      </c>
      <c r="CQ497">
        <v>8</v>
      </c>
      <c r="CR497">
        <v>10</v>
      </c>
      <c r="CS497">
        <v>5</v>
      </c>
      <c r="CT497">
        <v>6</v>
      </c>
      <c r="CU497">
        <v>8</v>
      </c>
      <c r="CV497">
        <v>5</v>
      </c>
      <c r="CW497">
        <v>10</v>
      </c>
      <c r="CX497">
        <v>9</v>
      </c>
      <c r="CY497">
        <v>6</v>
      </c>
      <c r="CZ497">
        <v>9</v>
      </c>
      <c r="DA497">
        <v>0</v>
      </c>
      <c r="DB497">
        <v>6</v>
      </c>
      <c r="DC497">
        <v>1</v>
      </c>
      <c r="DD497">
        <v>8</v>
      </c>
      <c r="DE497">
        <v>0</v>
      </c>
      <c r="DF497">
        <v>10</v>
      </c>
      <c r="DG497">
        <v>3</v>
      </c>
      <c r="DH497">
        <v>3</v>
      </c>
      <c r="DI497">
        <v>0</v>
      </c>
      <c r="DJ497">
        <v>0</v>
      </c>
      <c r="DK497">
        <v>0</v>
      </c>
    </row>
    <row r="498" spans="1:115">
      <c r="A498" s="173">
        <f>Calculations[[#This Row],[Sum t eCO2]]*IF(Calculations[[#This Row],[GHG Scope]]="BIOGENIC",0,1)</f>
        <v>334.51620782999998</v>
      </c>
      <c r="O498">
        <f t="shared" si="7"/>
        <v>497</v>
      </c>
      <c r="P498">
        <v>1</v>
      </c>
      <c r="Q498">
        <v>4</v>
      </c>
      <c r="R498">
        <v>1</v>
      </c>
      <c r="S498">
        <v>5</v>
      </c>
      <c r="T498">
        <v>6</v>
      </c>
      <c r="U498">
        <v>10</v>
      </c>
      <c r="V498">
        <v>0</v>
      </c>
      <c r="W498">
        <v>9</v>
      </c>
      <c r="X498">
        <v>7</v>
      </c>
      <c r="Y498">
        <v>1</v>
      </c>
      <c r="Z498">
        <v>2</v>
      </c>
      <c r="AA498">
        <v>10</v>
      </c>
      <c r="AB498">
        <v>2</v>
      </c>
      <c r="AC498">
        <v>6</v>
      </c>
      <c r="AD498">
        <v>4</v>
      </c>
      <c r="AE498">
        <v>10</v>
      </c>
      <c r="AF498">
        <v>8</v>
      </c>
      <c r="AG498">
        <v>8</v>
      </c>
      <c r="AH498">
        <v>9</v>
      </c>
      <c r="AI498">
        <v>2</v>
      </c>
      <c r="AJ498">
        <v>6</v>
      </c>
      <c r="AK498">
        <v>0</v>
      </c>
      <c r="AL498">
        <v>5</v>
      </c>
      <c r="AM498">
        <v>1</v>
      </c>
      <c r="AN498">
        <v>7</v>
      </c>
      <c r="AO498">
        <v>7</v>
      </c>
      <c r="AP498">
        <v>2</v>
      </c>
      <c r="AQ498">
        <v>8</v>
      </c>
      <c r="AR498">
        <v>3</v>
      </c>
      <c r="AS498">
        <v>0</v>
      </c>
      <c r="AT498">
        <v>2</v>
      </c>
      <c r="AU498">
        <v>2</v>
      </c>
      <c r="AV498">
        <v>1</v>
      </c>
      <c r="AW498">
        <v>8</v>
      </c>
      <c r="AX498">
        <v>4</v>
      </c>
      <c r="AY498">
        <v>3</v>
      </c>
      <c r="AZ498">
        <v>8</v>
      </c>
      <c r="BA498">
        <v>2</v>
      </c>
      <c r="BB498">
        <v>4</v>
      </c>
      <c r="BC498">
        <v>6</v>
      </c>
      <c r="BD498">
        <v>3</v>
      </c>
      <c r="BE498">
        <v>9</v>
      </c>
      <c r="BF498">
        <v>7</v>
      </c>
      <c r="BG498">
        <v>4</v>
      </c>
      <c r="BH498">
        <v>4</v>
      </c>
      <c r="BI498">
        <v>7</v>
      </c>
      <c r="BJ498">
        <v>4</v>
      </c>
      <c r="BK498">
        <v>4</v>
      </c>
      <c r="BL498">
        <v>7</v>
      </c>
      <c r="BM498">
        <v>1</v>
      </c>
      <c r="BN498">
        <v>0</v>
      </c>
      <c r="BO498">
        <v>4</v>
      </c>
      <c r="BP498">
        <v>7</v>
      </c>
      <c r="BQ498">
        <v>7</v>
      </c>
      <c r="BR498">
        <v>0</v>
      </c>
      <c r="BS498">
        <v>3</v>
      </c>
      <c r="BT498">
        <v>9</v>
      </c>
      <c r="BU498">
        <v>10</v>
      </c>
      <c r="BV498">
        <v>4</v>
      </c>
      <c r="BW498">
        <v>10</v>
      </c>
      <c r="BX498">
        <v>9</v>
      </c>
      <c r="BY498">
        <v>9</v>
      </c>
      <c r="BZ498">
        <v>0</v>
      </c>
      <c r="CA498">
        <v>3</v>
      </c>
      <c r="CB498">
        <v>6</v>
      </c>
      <c r="CC498">
        <v>0</v>
      </c>
      <c r="CD498">
        <v>9</v>
      </c>
      <c r="CE498">
        <v>5</v>
      </c>
      <c r="CF498">
        <v>2</v>
      </c>
      <c r="CG498">
        <v>2</v>
      </c>
      <c r="CH498">
        <v>5</v>
      </c>
      <c r="CI498">
        <v>2</v>
      </c>
      <c r="CJ498">
        <v>6</v>
      </c>
      <c r="CK498">
        <v>0</v>
      </c>
      <c r="CL498">
        <v>8</v>
      </c>
      <c r="CM498">
        <v>3</v>
      </c>
      <c r="CN498">
        <v>1</v>
      </c>
      <c r="CO498">
        <v>0</v>
      </c>
      <c r="CP498">
        <v>9</v>
      </c>
      <c r="CQ498">
        <v>1</v>
      </c>
      <c r="CR498">
        <v>9</v>
      </c>
      <c r="CS498">
        <v>1</v>
      </c>
      <c r="CT498">
        <v>8</v>
      </c>
      <c r="CU498">
        <v>0</v>
      </c>
      <c r="CV498">
        <v>8</v>
      </c>
      <c r="CW498">
        <v>6</v>
      </c>
      <c r="CX498">
        <v>4</v>
      </c>
      <c r="CY498">
        <v>0</v>
      </c>
      <c r="CZ498">
        <v>7</v>
      </c>
      <c r="DA498">
        <v>9</v>
      </c>
      <c r="DB498">
        <v>3</v>
      </c>
      <c r="DC498">
        <v>8</v>
      </c>
      <c r="DD498">
        <v>8</v>
      </c>
      <c r="DE498">
        <v>8</v>
      </c>
      <c r="DF498">
        <v>3</v>
      </c>
      <c r="DG498">
        <v>8</v>
      </c>
      <c r="DH498">
        <v>2</v>
      </c>
      <c r="DI498">
        <v>7</v>
      </c>
      <c r="DJ498">
        <v>2</v>
      </c>
      <c r="DK498">
        <v>5</v>
      </c>
    </row>
    <row r="499" spans="1:115">
      <c r="A499" s="173">
        <f>Calculations[[#This Row],[Sum t eCO2]]*IF(Calculations[[#This Row],[GHG Scope]]="BIOGENIC",0,1)</f>
        <v>1.90332433044</v>
      </c>
      <c r="O499">
        <f t="shared" si="7"/>
        <v>498</v>
      </c>
      <c r="P499">
        <v>1</v>
      </c>
      <c r="Q499">
        <v>1</v>
      </c>
      <c r="R499">
        <v>0</v>
      </c>
      <c r="S499">
        <v>8</v>
      </c>
      <c r="T499">
        <v>2</v>
      </c>
      <c r="U499">
        <v>4</v>
      </c>
      <c r="V499">
        <v>1</v>
      </c>
      <c r="W499">
        <v>1</v>
      </c>
      <c r="X499">
        <v>5</v>
      </c>
      <c r="Y499">
        <v>2</v>
      </c>
      <c r="Z499">
        <v>10</v>
      </c>
      <c r="AA499">
        <v>7</v>
      </c>
      <c r="AB499">
        <v>7</v>
      </c>
      <c r="AC499">
        <v>10</v>
      </c>
      <c r="AD499">
        <v>5</v>
      </c>
      <c r="AE499">
        <v>3</v>
      </c>
      <c r="AF499">
        <v>4</v>
      </c>
      <c r="AG499">
        <v>7</v>
      </c>
      <c r="AH499">
        <v>6</v>
      </c>
      <c r="AI499">
        <v>9</v>
      </c>
      <c r="AJ499">
        <v>6</v>
      </c>
      <c r="AK499">
        <v>5</v>
      </c>
      <c r="AL499">
        <v>5</v>
      </c>
      <c r="AM499">
        <v>5</v>
      </c>
      <c r="AN499">
        <v>10</v>
      </c>
      <c r="AO499">
        <v>4</v>
      </c>
      <c r="AP499">
        <v>0</v>
      </c>
      <c r="AQ499">
        <v>10</v>
      </c>
      <c r="AR499">
        <v>5</v>
      </c>
      <c r="AS499">
        <v>0</v>
      </c>
      <c r="AT499">
        <v>6</v>
      </c>
      <c r="AU499">
        <v>7</v>
      </c>
      <c r="AV499">
        <v>3</v>
      </c>
      <c r="AW499">
        <v>8</v>
      </c>
      <c r="AX499">
        <v>8</v>
      </c>
      <c r="AY499">
        <v>3</v>
      </c>
      <c r="AZ499">
        <v>0</v>
      </c>
      <c r="BA499">
        <v>2</v>
      </c>
      <c r="BB499">
        <v>7</v>
      </c>
      <c r="BC499">
        <v>4</v>
      </c>
      <c r="BD499">
        <v>0</v>
      </c>
      <c r="BE499">
        <v>7</v>
      </c>
      <c r="BF499">
        <v>4</v>
      </c>
      <c r="BG499">
        <v>3</v>
      </c>
      <c r="BH499">
        <v>3</v>
      </c>
      <c r="BI499">
        <v>6</v>
      </c>
      <c r="BJ499">
        <v>10</v>
      </c>
      <c r="BK499">
        <v>7</v>
      </c>
      <c r="BL499">
        <v>0</v>
      </c>
      <c r="BM499">
        <v>5</v>
      </c>
      <c r="BN499">
        <v>4</v>
      </c>
      <c r="BO499">
        <v>7</v>
      </c>
      <c r="BP499">
        <v>1</v>
      </c>
      <c r="BQ499">
        <v>5</v>
      </c>
      <c r="BR499">
        <v>4</v>
      </c>
      <c r="BS499">
        <v>6</v>
      </c>
      <c r="BT499">
        <v>2</v>
      </c>
      <c r="BU499">
        <v>1</v>
      </c>
      <c r="BV499">
        <v>1</v>
      </c>
      <c r="BW499">
        <v>5</v>
      </c>
      <c r="BX499">
        <v>8</v>
      </c>
      <c r="BY499">
        <v>8</v>
      </c>
      <c r="BZ499">
        <v>2</v>
      </c>
      <c r="CA499">
        <v>5</v>
      </c>
      <c r="CB499">
        <v>4</v>
      </c>
      <c r="CC499">
        <v>10</v>
      </c>
      <c r="CD499">
        <v>1</v>
      </c>
      <c r="CE499">
        <v>8</v>
      </c>
      <c r="CF499">
        <v>4</v>
      </c>
      <c r="CG499">
        <v>4</v>
      </c>
      <c r="CH499">
        <v>4</v>
      </c>
      <c r="CI499">
        <v>7</v>
      </c>
      <c r="CJ499">
        <v>9</v>
      </c>
      <c r="CK499">
        <v>9</v>
      </c>
      <c r="CL499">
        <v>2</v>
      </c>
      <c r="CM499">
        <v>4</v>
      </c>
      <c r="CN499">
        <v>0</v>
      </c>
      <c r="CO499">
        <v>0</v>
      </c>
      <c r="CP499">
        <v>4</v>
      </c>
      <c r="CQ499">
        <v>6</v>
      </c>
      <c r="CR499">
        <v>5</v>
      </c>
      <c r="CS499">
        <v>10</v>
      </c>
      <c r="CT499">
        <v>5</v>
      </c>
      <c r="CU499">
        <v>7</v>
      </c>
      <c r="CV499">
        <v>7</v>
      </c>
      <c r="CW499">
        <v>5</v>
      </c>
      <c r="CX499">
        <v>8</v>
      </c>
      <c r="CY499">
        <v>9</v>
      </c>
      <c r="CZ499">
        <v>5</v>
      </c>
      <c r="DA499">
        <v>1</v>
      </c>
      <c r="DB499">
        <v>1</v>
      </c>
      <c r="DC499">
        <v>7</v>
      </c>
      <c r="DD499">
        <v>9</v>
      </c>
      <c r="DE499">
        <v>2</v>
      </c>
      <c r="DF499">
        <v>1</v>
      </c>
      <c r="DG499">
        <v>6</v>
      </c>
      <c r="DH499">
        <v>4</v>
      </c>
      <c r="DI499">
        <v>3</v>
      </c>
      <c r="DJ499">
        <v>9</v>
      </c>
      <c r="DK499">
        <v>2</v>
      </c>
    </row>
    <row r="500" spans="1:115">
      <c r="A500" s="173">
        <f>Calculations[[#This Row],[Sum t eCO2]]*IF(Calculations[[#This Row],[GHG Scope]]="BIOGENIC",0,1)</f>
        <v>247.56917889599995</v>
      </c>
      <c r="O500">
        <f t="shared" si="7"/>
        <v>499</v>
      </c>
      <c r="P500">
        <v>0</v>
      </c>
      <c r="Q500">
        <v>8</v>
      </c>
      <c r="R500">
        <v>2</v>
      </c>
      <c r="S500">
        <v>8</v>
      </c>
      <c r="T500">
        <v>5</v>
      </c>
      <c r="U500">
        <v>4</v>
      </c>
      <c r="V500">
        <v>9</v>
      </c>
      <c r="W500">
        <v>10</v>
      </c>
      <c r="X500">
        <v>6</v>
      </c>
      <c r="Y500">
        <v>6</v>
      </c>
      <c r="Z500">
        <v>4</v>
      </c>
      <c r="AA500">
        <v>5</v>
      </c>
      <c r="AB500">
        <v>8</v>
      </c>
      <c r="AC500">
        <v>8</v>
      </c>
      <c r="AD500">
        <v>6</v>
      </c>
      <c r="AE500">
        <v>1</v>
      </c>
      <c r="AF500">
        <v>7</v>
      </c>
      <c r="AG500">
        <v>6</v>
      </c>
      <c r="AH500">
        <v>1</v>
      </c>
      <c r="AI500">
        <v>0</v>
      </c>
      <c r="AJ500">
        <v>3</v>
      </c>
      <c r="AK500">
        <v>7</v>
      </c>
      <c r="AL500">
        <v>9</v>
      </c>
      <c r="AM500">
        <v>1</v>
      </c>
      <c r="AN500">
        <v>7</v>
      </c>
      <c r="AO500">
        <v>10</v>
      </c>
      <c r="AP500">
        <v>7</v>
      </c>
      <c r="AQ500">
        <v>10</v>
      </c>
      <c r="AR500">
        <v>7</v>
      </c>
      <c r="AS500">
        <v>6</v>
      </c>
      <c r="AT500">
        <v>5</v>
      </c>
      <c r="AU500">
        <v>4</v>
      </c>
      <c r="AV500">
        <v>8</v>
      </c>
      <c r="AW500">
        <v>2</v>
      </c>
      <c r="AX500">
        <v>1</v>
      </c>
      <c r="AY500">
        <v>3</v>
      </c>
      <c r="AZ500">
        <v>6</v>
      </c>
      <c r="BA500">
        <v>1</v>
      </c>
      <c r="BB500">
        <v>4</v>
      </c>
      <c r="BC500">
        <v>9</v>
      </c>
      <c r="BD500">
        <v>4</v>
      </c>
      <c r="BE500">
        <v>10</v>
      </c>
      <c r="BF500">
        <v>3</v>
      </c>
      <c r="BG500">
        <v>4</v>
      </c>
      <c r="BH500">
        <v>1</v>
      </c>
      <c r="BI500">
        <v>2</v>
      </c>
      <c r="BJ500">
        <v>1</v>
      </c>
      <c r="BK500">
        <v>5</v>
      </c>
      <c r="BL500">
        <v>8</v>
      </c>
      <c r="BM500">
        <v>10</v>
      </c>
      <c r="BN500">
        <v>2</v>
      </c>
      <c r="BO500">
        <v>4</v>
      </c>
      <c r="BP500">
        <v>0</v>
      </c>
      <c r="BQ500">
        <v>10</v>
      </c>
      <c r="BR500">
        <v>2</v>
      </c>
      <c r="BS500">
        <v>0</v>
      </c>
      <c r="BT500">
        <v>8</v>
      </c>
      <c r="BU500">
        <v>1</v>
      </c>
      <c r="BV500">
        <v>5</v>
      </c>
      <c r="BW500">
        <v>2</v>
      </c>
      <c r="BX500">
        <v>9</v>
      </c>
      <c r="BY500">
        <v>9</v>
      </c>
      <c r="BZ500">
        <v>3</v>
      </c>
      <c r="CA500">
        <v>1</v>
      </c>
      <c r="CB500">
        <v>6</v>
      </c>
      <c r="CC500">
        <v>7</v>
      </c>
      <c r="CD500">
        <v>8</v>
      </c>
      <c r="CE500">
        <v>8</v>
      </c>
      <c r="CF500">
        <v>10</v>
      </c>
      <c r="CG500">
        <v>7</v>
      </c>
      <c r="CH500">
        <v>0</v>
      </c>
      <c r="CI500">
        <v>4</v>
      </c>
      <c r="CJ500">
        <v>5</v>
      </c>
      <c r="CK500">
        <v>2</v>
      </c>
      <c r="CL500">
        <v>4</v>
      </c>
      <c r="CM500">
        <v>6</v>
      </c>
      <c r="CN500">
        <v>6</v>
      </c>
      <c r="CO500">
        <v>6</v>
      </c>
      <c r="CP500">
        <v>8</v>
      </c>
      <c r="CQ500">
        <v>9</v>
      </c>
      <c r="CR500">
        <v>3</v>
      </c>
      <c r="CS500">
        <v>2</v>
      </c>
      <c r="CT500">
        <v>8</v>
      </c>
      <c r="CU500">
        <v>9</v>
      </c>
      <c r="CV500">
        <v>4</v>
      </c>
      <c r="CW500">
        <v>1</v>
      </c>
      <c r="CX500">
        <v>1</v>
      </c>
      <c r="CY500">
        <v>4</v>
      </c>
      <c r="CZ500">
        <v>7</v>
      </c>
      <c r="DA500">
        <v>0</v>
      </c>
      <c r="DB500">
        <v>1</v>
      </c>
      <c r="DC500">
        <v>3</v>
      </c>
      <c r="DD500">
        <v>10</v>
      </c>
      <c r="DE500">
        <v>3</v>
      </c>
      <c r="DF500">
        <v>3</v>
      </c>
      <c r="DG500">
        <v>5</v>
      </c>
      <c r="DH500">
        <v>3</v>
      </c>
      <c r="DI500">
        <v>5</v>
      </c>
      <c r="DJ500">
        <v>9</v>
      </c>
      <c r="DK500">
        <v>6</v>
      </c>
    </row>
    <row r="501" spans="1:115">
      <c r="A501" s="173">
        <f>Calculations[[#This Row],[Sum t eCO2]]*IF(Calculations[[#This Row],[GHG Scope]]="BIOGENIC",0,1)</f>
        <v>15.785080739999998</v>
      </c>
      <c r="O501">
        <f t="shared" si="7"/>
        <v>500</v>
      </c>
      <c r="P501">
        <v>7</v>
      </c>
      <c r="Q501">
        <v>6</v>
      </c>
      <c r="R501">
        <v>7</v>
      </c>
      <c r="S501">
        <v>7</v>
      </c>
      <c r="T501">
        <v>10</v>
      </c>
      <c r="U501">
        <v>0</v>
      </c>
      <c r="V501">
        <v>10</v>
      </c>
      <c r="W501">
        <v>7</v>
      </c>
      <c r="X501">
        <v>4</v>
      </c>
      <c r="Y501">
        <v>6</v>
      </c>
      <c r="Z501">
        <v>3</v>
      </c>
      <c r="AA501">
        <v>1</v>
      </c>
      <c r="AB501">
        <v>2</v>
      </c>
      <c r="AC501">
        <v>9</v>
      </c>
      <c r="AD501">
        <v>9</v>
      </c>
      <c r="AE501">
        <v>3</v>
      </c>
      <c r="AF501">
        <v>2</v>
      </c>
      <c r="AG501">
        <v>1</v>
      </c>
      <c r="AH501">
        <v>3</v>
      </c>
      <c r="AI501">
        <v>6</v>
      </c>
      <c r="AJ501">
        <v>4</v>
      </c>
      <c r="AK501">
        <v>8</v>
      </c>
      <c r="AL501">
        <v>1</v>
      </c>
      <c r="AM501">
        <v>9</v>
      </c>
      <c r="AN501">
        <v>2</v>
      </c>
      <c r="AO501">
        <v>8</v>
      </c>
      <c r="AP501">
        <v>10</v>
      </c>
      <c r="AQ501">
        <v>6</v>
      </c>
      <c r="AR501">
        <v>2</v>
      </c>
      <c r="AS501">
        <v>2</v>
      </c>
      <c r="AT501">
        <v>10</v>
      </c>
      <c r="AU501">
        <v>2</v>
      </c>
      <c r="AV501">
        <v>9</v>
      </c>
      <c r="AW501">
        <v>4</v>
      </c>
      <c r="AX501">
        <v>4</v>
      </c>
      <c r="AY501">
        <v>5</v>
      </c>
      <c r="AZ501">
        <v>5</v>
      </c>
      <c r="BA501">
        <v>10</v>
      </c>
      <c r="BB501">
        <v>8</v>
      </c>
      <c r="BC501">
        <v>9</v>
      </c>
      <c r="BD501">
        <v>8</v>
      </c>
      <c r="BE501">
        <v>2</v>
      </c>
      <c r="BF501">
        <v>10</v>
      </c>
      <c r="BG501">
        <v>2</v>
      </c>
      <c r="BH501">
        <v>1</v>
      </c>
      <c r="BI501">
        <v>8</v>
      </c>
      <c r="BJ501">
        <v>6</v>
      </c>
      <c r="BK501">
        <v>8</v>
      </c>
      <c r="BL501">
        <v>9</v>
      </c>
      <c r="BM501">
        <v>7</v>
      </c>
      <c r="BN501">
        <v>5</v>
      </c>
      <c r="BO501">
        <v>7</v>
      </c>
      <c r="BP501">
        <v>1</v>
      </c>
      <c r="BQ501">
        <v>9</v>
      </c>
      <c r="BR501">
        <v>4</v>
      </c>
      <c r="BS501">
        <v>8</v>
      </c>
      <c r="BT501">
        <v>4</v>
      </c>
      <c r="BU501">
        <v>7</v>
      </c>
      <c r="BV501">
        <v>9</v>
      </c>
      <c r="BW501">
        <v>5</v>
      </c>
      <c r="BX501">
        <v>6</v>
      </c>
      <c r="BY501">
        <v>5</v>
      </c>
      <c r="BZ501">
        <v>9</v>
      </c>
      <c r="CA501">
        <v>10</v>
      </c>
      <c r="CB501">
        <v>0</v>
      </c>
      <c r="CC501">
        <v>1</v>
      </c>
      <c r="CD501">
        <v>6</v>
      </c>
      <c r="CE501">
        <v>1</v>
      </c>
      <c r="CF501">
        <v>0</v>
      </c>
      <c r="CG501">
        <v>6</v>
      </c>
      <c r="CH501">
        <v>2</v>
      </c>
      <c r="CI501">
        <v>6</v>
      </c>
      <c r="CJ501">
        <v>10</v>
      </c>
      <c r="CK501">
        <v>5</v>
      </c>
      <c r="CL501">
        <v>3</v>
      </c>
      <c r="CM501">
        <v>8</v>
      </c>
      <c r="CN501">
        <v>5</v>
      </c>
      <c r="CO501">
        <v>8</v>
      </c>
      <c r="CP501">
        <v>4</v>
      </c>
      <c r="CQ501">
        <v>0</v>
      </c>
      <c r="CR501">
        <v>8</v>
      </c>
      <c r="CS501">
        <v>5</v>
      </c>
      <c r="CT501">
        <v>0</v>
      </c>
      <c r="CU501">
        <v>8</v>
      </c>
      <c r="CV501">
        <v>7</v>
      </c>
      <c r="CW501">
        <v>6</v>
      </c>
      <c r="CX501">
        <v>4</v>
      </c>
      <c r="CY501">
        <v>7</v>
      </c>
      <c r="CZ501">
        <v>7</v>
      </c>
      <c r="DA501">
        <v>2</v>
      </c>
      <c r="DB501">
        <v>6</v>
      </c>
      <c r="DC501">
        <v>1</v>
      </c>
      <c r="DD501">
        <v>8</v>
      </c>
      <c r="DE501">
        <v>3</v>
      </c>
      <c r="DF501">
        <v>7</v>
      </c>
      <c r="DG501">
        <v>3</v>
      </c>
      <c r="DH501">
        <v>1</v>
      </c>
      <c r="DI501">
        <v>8</v>
      </c>
      <c r="DJ501">
        <v>5</v>
      </c>
      <c r="DK501">
        <v>8</v>
      </c>
    </row>
    <row r="502" spans="1:115">
      <c r="A502" s="173">
        <f>Calculations[[#This Row],[Sum t eCO2]]*IF(Calculations[[#This Row],[GHG Scope]]="BIOGENIC",0,1)</f>
        <v>21.899522819955202</v>
      </c>
      <c r="O502">
        <f t="shared" si="7"/>
        <v>501</v>
      </c>
      <c r="P502">
        <v>10</v>
      </c>
      <c r="Q502">
        <v>0</v>
      </c>
      <c r="R502">
        <v>9</v>
      </c>
      <c r="S502">
        <v>8</v>
      </c>
      <c r="T502">
        <v>10</v>
      </c>
      <c r="U502">
        <v>7</v>
      </c>
      <c r="V502">
        <v>10</v>
      </c>
      <c r="W502">
        <v>10</v>
      </c>
      <c r="X502">
        <v>9</v>
      </c>
      <c r="Y502">
        <v>9</v>
      </c>
      <c r="Z502">
        <v>6</v>
      </c>
      <c r="AA502">
        <v>5</v>
      </c>
      <c r="AB502">
        <v>8</v>
      </c>
      <c r="AC502">
        <v>0</v>
      </c>
      <c r="AD502">
        <v>5</v>
      </c>
      <c r="AE502">
        <v>5</v>
      </c>
      <c r="AF502">
        <v>0</v>
      </c>
      <c r="AG502">
        <v>0</v>
      </c>
      <c r="AH502">
        <v>2</v>
      </c>
      <c r="AI502">
        <v>7</v>
      </c>
      <c r="AJ502">
        <v>1</v>
      </c>
      <c r="AK502">
        <v>3</v>
      </c>
      <c r="AL502">
        <v>7</v>
      </c>
      <c r="AM502">
        <v>6</v>
      </c>
      <c r="AN502">
        <v>0</v>
      </c>
      <c r="AO502">
        <v>1</v>
      </c>
      <c r="AP502">
        <v>0</v>
      </c>
      <c r="AQ502">
        <v>0</v>
      </c>
      <c r="AR502">
        <v>6</v>
      </c>
      <c r="AS502">
        <v>4</v>
      </c>
      <c r="AT502">
        <v>4</v>
      </c>
      <c r="AU502">
        <v>9</v>
      </c>
      <c r="AV502">
        <v>10</v>
      </c>
      <c r="AW502">
        <v>2</v>
      </c>
      <c r="AX502">
        <v>4</v>
      </c>
      <c r="AY502">
        <v>4</v>
      </c>
      <c r="AZ502">
        <v>4</v>
      </c>
      <c r="BA502">
        <v>5</v>
      </c>
      <c r="BB502">
        <v>7</v>
      </c>
      <c r="BC502">
        <v>8</v>
      </c>
      <c r="BD502">
        <v>4</v>
      </c>
      <c r="BE502">
        <v>6</v>
      </c>
      <c r="BF502">
        <v>8</v>
      </c>
      <c r="BG502">
        <v>9</v>
      </c>
      <c r="BH502">
        <v>2</v>
      </c>
      <c r="BI502">
        <v>8</v>
      </c>
      <c r="BJ502">
        <v>9</v>
      </c>
      <c r="BK502">
        <v>8</v>
      </c>
      <c r="BL502">
        <v>0</v>
      </c>
      <c r="BM502">
        <v>8</v>
      </c>
      <c r="BN502">
        <v>9</v>
      </c>
      <c r="BO502">
        <v>4</v>
      </c>
      <c r="BP502">
        <v>5</v>
      </c>
      <c r="BQ502">
        <v>10</v>
      </c>
      <c r="BR502">
        <v>2</v>
      </c>
      <c r="BS502">
        <v>5</v>
      </c>
      <c r="BT502">
        <v>5</v>
      </c>
      <c r="BU502">
        <v>9</v>
      </c>
      <c r="BV502">
        <v>3</v>
      </c>
      <c r="BW502">
        <v>10</v>
      </c>
      <c r="BX502">
        <v>0</v>
      </c>
      <c r="BY502">
        <v>5</v>
      </c>
      <c r="BZ502">
        <v>1</v>
      </c>
      <c r="CA502">
        <v>2</v>
      </c>
      <c r="CB502">
        <v>6</v>
      </c>
      <c r="CC502">
        <v>6</v>
      </c>
      <c r="CD502">
        <v>7</v>
      </c>
      <c r="CE502">
        <v>3</v>
      </c>
      <c r="CF502">
        <v>3</v>
      </c>
      <c r="CG502">
        <v>8</v>
      </c>
      <c r="CH502">
        <v>4</v>
      </c>
      <c r="CI502">
        <v>5</v>
      </c>
      <c r="CJ502">
        <v>5</v>
      </c>
      <c r="CK502">
        <v>9</v>
      </c>
      <c r="CL502">
        <v>10</v>
      </c>
      <c r="CM502">
        <v>8</v>
      </c>
      <c r="CN502">
        <v>0</v>
      </c>
      <c r="CO502">
        <v>7</v>
      </c>
      <c r="CP502">
        <v>1</v>
      </c>
      <c r="CQ502">
        <v>2</v>
      </c>
      <c r="CR502">
        <v>1</v>
      </c>
      <c r="CS502">
        <v>1</v>
      </c>
      <c r="CT502">
        <v>9</v>
      </c>
      <c r="CU502">
        <v>3</v>
      </c>
      <c r="CV502">
        <v>5</v>
      </c>
      <c r="CW502">
        <v>6</v>
      </c>
      <c r="CX502">
        <v>10</v>
      </c>
      <c r="CY502">
        <v>0</v>
      </c>
      <c r="CZ502">
        <v>4</v>
      </c>
      <c r="DA502">
        <v>4</v>
      </c>
      <c r="DB502">
        <v>2</v>
      </c>
      <c r="DC502">
        <v>7</v>
      </c>
      <c r="DD502">
        <v>3</v>
      </c>
      <c r="DE502">
        <v>4</v>
      </c>
      <c r="DF502">
        <v>9</v>
      </c>
      <c r="DG502">
        <v>8</v>
      </c>
      <c r="DH502">
        <v>3</v>
      </c>
      <c r="DI502">
        <v>5</v>
      </c>
      <c r="DJ502">
        <v>6</v>
      </c>
      <c r="DK502">
        <v>1</v>
      </c>
    </row>
    <row r="503" spans="1:115">
      <c r="A503" s="173">
        <f>Calculations[[#This Row],[Sum t eCO2]]*IF(Calculations[[#This Row],[GHG Scope]]="BIOGENIC",0,1)</f>
        <v>4.3038401328000013</v>
      </c>
      <c r="O503">
        <f t="shared" si="7"/>
        <v>502</v>
      </c>
      <c r="P503">
        <v>3</v>
      </c>
      <c r="Q503">
        <v>2</v>
      </c>
      <c r="R503">
        <v>5</v>
      </c>
      <c r="S503">
        <v>5</v>
      </c>
      <c r="T503">
        <v>6</v>
      </c>
      <c r="U503">
        <v>2</v>
      </c>
      <c r="V503">
        <v>4</v>
      </c>
      <c r="W503">
        <v>9</v>
      </c>
      <c r="X503">
        <v>0</v>
      </c>
      <c r="Y503">
        <v>0</v>
      </c>
      <c r="Z503">
        <v>5</v>
      </c>
      <c r="AA503">
        <v>3</v>
      </c>
      <c r="AB503">
        <v>0</v>
      </c>
      <c r="AC503">
        <v>8</v>
      </c>
      <c r="AD503">
        <v>2</v>
      </c>
      <c r="AE503">
        <v>4</v>
      </c>
      <c r="AF503">
        <v>9</v>
      </c>
      <c r="AG503">
        <v>0</v>
      </c>
      <c r="AH503">
        <v>8</v>
      </c>
      <c r="AI503">
        <v>10</v>
      </c>
      <c r="AJ503">
        <v>3</v>
      </c>
      <c r="AK503">
        <v>2</v>
      </c>
      <c r="AL503">
        <v>5</v>
      </c>
      <c r="AM503">
        <v>0</v>
      </c>
      <c r="AN503">
        <v>3</v>
      </c>
      <c r="AO503">
        <v>6</v>
      </c>
      <c r="AP503">
        <v>4</v>
      </c>
      <c r="AQ503">
        <v>7</v>
      </c>
      <c r="AR503">
        <v>0</v>
      </c>
      <c r="AS503">
        <v>4</v>
      </c>
      <c r="AT503">
        <v>6</v>
      </c>
      <c r="AU503">
        <v>7</v>
      </c>
      <c r="AV503">
        <v>0</v>
      </c>
      <c r="AW503">
        <v>5</v>
      </c>
      <c r="AX503">
        <v>4</v>
      </c>
      <c r="AY503">
        <v>1</v>
      </c>
      <c r="AZ503">
        <v>10</v>
      </c>
      <c r="BA503">
        <v>0</v>
      </c>
      <c r="BB503">
        <v>6</v>
      </c>
      <c r="BC503">
        <v>1</v>
      </c>
      <c r="BD503">
        <v>7</v>
      </c>
      <c r="BE503">
        <v>7</v>
      </c>
      <c r="BF503">
        <v>7</v>
      </c>
      <c r="BG503">
        <v>8</v>
      </c>
      <c r="BH503">
        <v>6</v>
      </c>
      <c r="BI503">
        <v>9</v>
      </c>
      <c r="BJ503">
        <v>0</v>
      </c>
      <c r="BK503">
        <v>2</v>
      </c>
      <c r="BL503">
        <v>3</v>
      </c>
      <c r="BM503">
        <v>5</v>
      </c>
      <c r="BN503">
        <v>4</v>
      </c>
      <c r="BO503">
        <v>5</v>
      </c>
      <c r="BP503">
        <v>3</v>
      </c>
      <c r="BQ503">
        <v>6</v>
      </c>
      <c r="BR503">
        <v>9</v>
      </c>
      <c r="BS503">
        <v>0</v>
      </c>
      <c r="BT503">
        <v>2</v>
      </c>
      <c r="BU503">
        <v>2</v>
      </c>
      <c r="BV503">
        <v>7</v>
      </c>
      <c r="BW503">
        <v>9</v>
      </c>
      <c r="BX503">
        <v>2</v>
      </c>
      <c r="BY503">
        <v>8</v>
      </c>
      <c r="BZ503">
        <v>10</v>
      </c>
      <c r="CA503">
        <v>3</v>
      </c>
      <c r="CB503">
        <v>0</v>
      </c>
      <c r="CC503">
        <v>1</v>
      </c>
      <c r="CD503">
        <v>9</v>
      </c>
      <c r="CE503">
        <v>6</v>
      </c>
      <c r="CF503">
        <v>9</v>
      </c>
      <c r="CG503">
        <v>4</v>
      </c>
      <c r="CH503">
        <v>8</v>
      </c>
      <c r="CI503">
        <v>3</v>
      </c>
      <c r="CJ503">
        <v>8</v>
      </c>
      <c r="CK503">
        <v>8</v>
      </c>
      <c r="CL503">
        <v>10</v>
      </c>
      <c r="CM503">
        <v>5</v>
      </c>
      <c r="CN503">
        <v>9</v>
      </c>
      <c r="CO503">
        <v>7</v>
      </c>
      <c r="CP503">
        <v>1</v>
      </c>
      <c r="CQ503">
        <v>10</v>
      </c>
      <c r="CR503">
        <v>8</v>
      </c>
      <c r="CS503">
        <v>5</v>
      </c>
      <c r="CT503">
        <v>7</v>
      </c>
      <c r="CU503">
        <v>4</v>
      </c>
      <c r="CV503">
        <v>3</v>
      </c>
      <c r="CW503">
        <v>1</v>
      </c>
      <c r="CX503">
        <v>5</v>
      </c>
      <c r="CY503">
        <v>7</v>
      </c>
      <c r="CZ503">
        <v>2</v>
      </c>
      <c r="DA503">
        <v>1</v>
      </c>
      <c r="DB503">
        <v>1</v>
      </c>
      <c r="DC503">
        <v>4</v>
      </c>
      <c r="DD503">
        <v>0</v>
      </c>
      <c r="DE503">
        <v>6</v>
      </c>
      <c r="DF503">
        <v>7</v>
      </c>
      <c r="DG503">
        <v>5</v>
      </c>
      <c r="DH503">
        <v>1</v>
      </c>
      <c r="DI503">
        <v>0</v>
      </c>
      <c r="DJ503">
        <v>7</v>
      </c>
      <c r="DK503">
        <v>4</v>
      </c>
    </row>
    <row r="504" spans="1:115">
      <c r="A504" s="173">
        <f>Calculations[[#This Row],[Sum t eCO2]]*IF(Calculations[[#This Row],[GHG Scope]]="BIOGENIC",0,1)</f>
        <v>121.3778981376</v>
      </c>
      <c r="O504">
        <f t="shared" si="7"/>
        <v>503</v>
      </c>
      <c r="P504">
        <v>7</v>
      </c>
      <c r="Q504">
        <v>8</v>
      </c>
      <c r="R504">
        <v>8</v>
      </c>
      <c r="S504">
        <v>0</v>
      </c>
      <c r="T504">
        <v>7</v>
      </c>
      <c r="U504">
        <v>2</v>
      </c>
      <c r="V504">
        <v>2</v>
      </c>
      <c r="W504">
        <v>5</v>
      </c>
      <c r="X504">
        <v>5</v>
      </c>
      <c r="Y504">
        <v>10</v>
      </c>
      <c r="Z504">
        <v>0</v>
      </c>
      <c r="AA504">
        <v>8</v>
      </c>
      <c r="AB504">
        <v>7</v>
      </c>
      <c r="AC504">
        <v>5</v>
      </c>
      <c r="AD504">
        <v>0</v>
      </c>
      <c r="AE504">
        <v>5</v>
      </c>
      <c r="AF504">
        <v>8</v>
      </c>
      <c r="AG504">
        <v>2</v>
      </c>
      <c r="AH504">
        <v>6</v>
      </c>
      <c r="AI504">
        <v>0</v>
      </c>
      <c r="AJ504">
        <v>8</v>
      </c>
      <c r="AK504">
        <v>5</v>
      </c>
      <c r="AL504">
        <v>9</v>
      </c>
      <c r="AM504">
        <v>6</v>
      </c>
      <c r="AN504">
        <v>7</v>
      </c>
      <c r="AO504">
        <v>5</v>
      </c>
      <c r="AP504">
        <v>6</v>
      </c>
      <c r="AQ504">
        <v>7</v>
      </c>
      <c r="AR504">
        <v>4</v>
      </c>
      <c r="AS504">
        <v>6</v>
      </c>
      <c r="AT504">
        <v>1</v>
      </c>
      <c r="AU504">
        <v>6</v>
      </c>
      <c r="AV504">
        <v>6</v>
      </c>
      <c r="AW504">
        <v>9</v>
      </c>
      <c r="AX504">
        <v>5</v>
      </c>
      <c r="AY504">
        <v>1</v>
      </c>
      <c r="AZ504">
        <v>2</v>
      </c>
      <c r="BA504">
        <v>4</v>
      </c>
      <c r="BB504">
        <v>5</v>
      </c>
      <c r="BC504">
        <v>1</v>
      </c>
      <c r="BD504">
        <v>9</v>
      </c>
      <c r="BE504">
        <v>1</v>
      </c>
      <c r="BF504">
        <v>4</v>
      </c>
      <c r="BG504">
        <v>10</v>
      </c>
      <c r="BH504">
        <v>8</v>
      </c>
      <c r="BI504">
        <v>2</v>
      </c>
      <c r="BJ504">
        <v>4</v>
      </c>
      <c r="BK504">
        <v>9</v>
      </c>
      <c r="BL504">
        <v>6</v>
      </c>
      <c r="BM504">
        <v>9</v>
      </c>
      <c r="BN504">
        <v>2</v>
      </c>
      <c r="BO504">
        <v>5</v>
      </c>
      <c r="BP504">
        <v>8</v>
      </c>
      <c r="BQ504">
        <v>6</v>
      </c>
      <c r="BR504">
        <v>6</v>
      </c>
      <c r="BS504">
        <v>1</v>
      </c>
      <c r="BT504">
        <v>1</v>
      </c>
      <c r="BU504">
        <v>8</v>
      </c>
      <c r="BV504">
        <v>8</v>
      </c>
      <c r="BW504">
        <v>7</v>
      </c>
      <c r="BX504">
        <v>4</v>
      </c>
      <c r="BY504">
        <v>9</v>
      </c>
      <c r="BZ504">
        <v>7</v>
      </c>
      <c r="CA504">
        <v>4</v>
      </c>
      <c r="CB504">
        <v>10</v>
      </c>
      <c r="CC504">
        <v>6</v>
      </c>
      <c r="CD504">
        <v>5</v>
      </c>
      <c r="CE504">
        <v>7</v>
      </c>
      <c r="CF504">
        <v>8</v>
      </c>
      <c r="CG504">
        <v>3</v>
      </c>
      <c r="CH504">
        <v>0</v>
      </c>
      <c r="CI504">
        <v>6</v>
      </c>
      <c r="CJ504">
        <v>8</v>
      </c>
      <c r="CK504">
        <v>1</v>
      </c>
      <c r="CL504">
        <v>0</v>
      </c>
      <c r="CM504">
        <v>1</v>
      </c>
      <c r="CN504">
        <v>0</v>
      </c>
      <c r="CO504">
        <v>6</v>
      </c>
      <c r="CP504">
        <v>9</v>
      </c>
      <c r="CQ504">
        <v>3</v>
      </c>
      <c r="CR504">
        <v>2</v>
      </c>
      <c r="CS504">
        <v>4</v>
      </c>
      <c r="CT504">
        <v>2</v>
      </c>
      <c r="CU504">
        <v>10</v>
      </c>
      <c r="CV504">
        <v>7</v>
      </c>
      <c r="CW504">
        <v>0</v>
      </c>
      <c r="CX504">
        <v>9</v>
      </c>
      <c r="CY504">
        <v>9</v>
      </c>
      <c r="CZ504">
        <v>6</v>
      </c>
      <c r="DA504">
        <v>1</v>
      </c>
      <c r="DB504">
        <v>1</v>
      </c>
      <c r="DC504">
        <v>7</v>
      </c>
      <c r="DD504">
        <v>9</v>
      </c>
      <c r="DE504">
        <v>10</v>
      </c>
      <c r="DF504">
        <v>6</v>
      </c>
      <c r="DG504">
        <v>0</v>
      </c>
      <c r="DH504">
        <v>6</v>
      </c>
      <c r="DI504">
        <v>8</v>
      </c>
      <c r="DJ504">
        <v>10</v>
      </c>
      <c r="DK504">
        <v>7</v>
      </c>
    </row>
    <row r="505" spans="1:115">
      <c r="A505" s="173">
        <f>Calculations[[#This Row],[Sum t eCO2]]*IF(Calculations[[#This Row],[GHG Scope]]="BIOGENIC",0,1)</f>
        <v>0.80346208175999978</v>
      </c>
      <c r="O505">
        <f t="shared" si="7"/>
        <v>504</v>
      </c>
      <c r="P505">
        <v>1</v>
      </c>
      <c r="Q505">
        <v>1</v>
      </c>
      <c r="R505">
        <v>10</v>
      </c>
      <c r="S505">
        <v>10</v>
      </c>
      <c r="T505">
        <v>7</v>
      </c>
      <c r="U505">
        <v>9</v>
      </c>
      <c r="V505">
        <v>7</v>
      </c>
      <c r="W505">
        <v>7</v>
      </c>
      <c r="X505">
        <v>8</v>
      </c>
      <c r="Y505">
        <v>2</v>
      </c>
      <c r="Z505">
        <v>7</v>
      </c>
      <c r="AA505">
        <v>1</v>
      </c>
      <c r="AB505">
        <v>2</v>
      </c>
      <c r="AC505">
        <v>2</v>
      </c>
      <c r="AD505">
        <v>9</v>
      </c>
      <c r="AE505">
        <v>0</v>
      </c>
      <c r="AF505">
        <v>8</v>
      </c>
      <c r="AG505">
        <v>5</v>
      </c>
      <c r="AH505">
        <v>6</v>
      </c>
      <c r="AI505">
        <v>4</v>
      </c>
      <c r="AJ505">
        <v>5</v>
      </c>
      <c r="AK505">
        <v>5</v>
      </c>
      <c r="AL505">
        <v>0</v>
      </c>
      <c r="AM505">
        <v>7</v>
      </c>
      <c r="AN505">
        <v>4</v>
      </c>
      <c r="AO505">
        <v>1</v>
      </c>
      <c r="AP505">
        <v>3</v>
      </c>
      <c r="AQ505">
        <v>4</v>
      </c>
      <c r="AR505">
        <v>6</v>
      </c>
      <c r="AS505">
        <v>1</v>
      </c>
      <c r="AT505">
        <v>4</v>
      </c>
      <c r="AU505">
        <v>9</v>
      </c>
      <c r="AV505">
        <v>6</v>
      </c>
      <c r="AW505">
        <v>5</v>
      </c>
      <c r="AX505">
        <v>8</v>
      </c>
      <c r="AY505">
        <v>10</v>
      </c>
      <c r="AZ505">
        <v>10</v>
      </c>
      <c r="BA505">
        <v>8</v>
      </c>
      <c r="BB505">
        <v>2</v>
      </c>
      <c r="BC505">
        <v>2</v>
      </c>
      <c r="BD505">
        <v>2</v>
      </c>
      <c r="BE505">
        <v>6</v>
      </c>
      <c r="BF505">
        <v>0</v>
      </c>
      <c r="BG505">
        <v>7</v>
      </c>
      <c r="BH505">
        <v>9</v>
      </c>
      <c r="BI505">
        <v>10</v>
      </c>
      <c r="BJ505">
        <v>0</v>
      </c>
      <c r="BK505">
        <v>2</v>
      </c>
      <c r="BL505">
        <v>8</v>
      </c>
      <c r="BM505">
        <v>0</v>
      </c>
      <c r="BN505">
        <v>6</v>
      </c>
      <c r="BO505">
        <v>4</v>
      </c>
      <c r="BP505">
        <v>2</v>
      </c>
      <c r="BQ505">
        <v>3</v>
      </c>
      <c r="BR505">
        <v>9</v>
      </c>
      <c r="BS505">
        <v>10</v>
      </c>
      <c r="BT505">
        <v>8</v>
      </c>
      <c r="BU505">
        <v>7</v>
      </c>
      <c r="BV505">
        <v>3</v>
      </c>
      <c r="BW505">
        <v>2</v>
      </c>
      <c r="BX505">
        <v>10</v>
      </c>
      <c r="BY505">
        <v>2</v>
      </c>
      <c r="BZ505">
        <v>7</v>
      </c>
      <c r="CA505">
        <v>6</v>
      </c>
      <c r="CB505">
        <v>1</v>
      </c>
      <c r="CC505">
        <v>7</v>
      </c>
      <c r="CD505">
        <v>8</v>
      </c>
      <c r="CE505">
        <v>4</v>
      </c>
      <c r="CF505">
        <v>8</v>
      </c>
      <c r="CG505">
        <v>0</v>
      </c>
      <c r="CH505">
        <v>6</v>
      </c>
      <c r="CI505">
        <v>9</v>
      </c>
      <c r="CJ505">
        <v>1</v>
      </c>
      <c r="CK505">
        <v>7</v>
      </c>
      <c r="CL505">
        <v>1</v>
      </c>
      <c r="CM505">
        <v>4</v>
      </c>
      <c r="CN505">
        <v>3</v>
      </c>
      <c r="CO505">
        <v>0</v>
      </c>
      <c r="CP505">
        <v>6</v>
      </c>
      <c r="CQ505">
        <v>9</v>
      </c>
      <c r="CR505">
        <v>8</v>
      </c>
      <c r="CS505">
        <v>6</v>
      </c>
      <c r="CT505">
        <v>1</v>
      </c>
      <c r="CU505">
        <v>5</v>
      </c>
      <c r="CV505">
        <v>6</v>
      </c>
      <c r="CW505">
        <v>8</v>
      </c>
      <c r="CX505">
        <v>10</v>
      </c>
      <c r="CY505">
        <v>5</v>
      </c>
      <c r="CZ505">
        <v>1</v>
      </c>
      <c r="DA505">
        <v>1</v>
      </c>
      <c r="DB505">
        <v>0</v>
      </c>
      <c r="DC505">
        <v>7</v>
      </c>
      <c r="DD505">
        <v>1</v>
      </c>
      <c r="DE505">
        <v>6</v>
      </c>
      <c r="DF505">
        <v>2</v>
      </c>
      <c r="DG505">
        <v>10</v>
      </c>
      <c r="DH505">
        <v>9</v>
      </c>
      <c r="DI505">
        <v>9</v>
      </c>
      <c r="DJ505">
        <v>1</v>
      </c>
      <c r="DK505">
        <v>0</v>
      </c>
    </row>
    <row r="506" spans="1:115">
      <c r="A506" s="173">
        <f>Calculations[[#This Row],[Sum t eCO2]]*IF(Calculations[[#This Row],[GHG Scope]]="BIOGENIC",0,1)</f>
        <v>4.3174072000000008E-2</v>
      </c>
      <c r="O506">
        <f t="shared" si="7"/>
        <v>505</v>
      </c>
      <c r="P506">
        <v>5</v>
      </c>
      <c r="Q506">
        <v>2</v>
      </c>
      <c r="R506">
        <v>4</v>
      </c>
      <c r="S506">
        <v>0</v>
      </c>
      <c r="T506">
        <v>8</v>
      </c>
      <c r="U506">
        <v>1</v>
      </c>
      <c r="V506">
        <v>2</v>
      </c>
      <c r="W506">
        <v>0</v>
      </c>
      <c r="X506">
        <v>6</v>
      </c>
      <c r="Y506">
        <v>7</v>
      </c>
      <c r="Z506">
        <v>10</v>
      </c>
      <c r="AA506">
        <v>5</v>
      </c>
      <c r="AB506">
        <v>5</v>
      </c>
      <c r="AC506">
        <v>6</v>
      </c>
      <c r="AD506">
        <v>10</v>
      </c>
      <c r="AE506">
        <v>1</v>
      </c>
      <c r="AF506">
        <v>3</v>
      </c>
      <c r="AG506">
        <v>10</v>
      </c>
      <c r="AH506">
        <v>10</v>
      </c>
      <c r="AI506">
        <v>4</v>
      </c>
      <c r="AJ506">
        <v>6</v>
      </c>
      <c r="AK506">
        <v>2</v>
      </c>
      <c r="AL506">
        <v>0</v>
      </c>
      <c r="AM506">
        <v>7</v>
      </c>
      <c r="AN506">
        <v>8</v>
      </c>
      <c r="AO506">
        <v>2</v>
      </c>
      <c r="AP506">
        <v>1</v>
      </c>
      <c r="AQ506">
        <v>3</v>
      </c>
      <c r="AR506">
        <v>2</v>
      </c>
      <c r="AS506">
        <v>6</v>
      </c>
      <c r="AT506">
        <v>6</v>
      </c>
      <c r="AU506">
        <v>0</v>
      </c>
      <c r="AV506">
        <v>1</v>
      </c>
      <c r="AW506">
        <v>0</v>
      </c>
      <c r="AX506">
        <v>9</v>
      </c>
      <c r="AY506">
        <v>9</v>
      </c>
      <c r="AZ506">
        <v>9</v>
      </c>
      <c r="BA506">
        <v>7</v>
      </c>
      <c r="BB506">
        <v>7</v>
      </c>
      <c r="BC506">
        <v>2</v>
      </c>
      <c r="BD506">
        <v>8</v>
      </c>
      <c r="BE506">
        <v>2</v>
      </c>
      <c r="BF506">
        <v>0</v>
      </c>
      <c r="BG506">
        <v>3</v>
      </c>
      <c r="BH506">
        <v>2</v>
      </c>
      <c r="BI506">
        <v>9</v>
      </c>
      <c r="BJ506">
        <v>5</v>
      </c>
      <c r="BK506">
        <v>5</v>
      </c>
      <c r="BL506">
        <v>6</v>
      </c>
      <c r="BM506">
        <v>2</v>
      </c>
      <c r="BN506">
        <v>1</v>
      </c>
      <c r="BO506">
        <v>3</v>
      </c>
      <c r="BP506">
        <v>6</v>
      </c>
      <c r="BQ506">
        <v>5</v>
      </c>
      <c r="BR506">
        <v>4</v>
      </c>
      <c r="BS506">
        <v>5</v>
      </c>
      <c r="BT506">
        <v>10</v>
      </c>
      <c r="BU506">
        <v>6</v>
      </c>
      <c r="BV506">
        <v>8</v>
      </c>
      <c r="BW506">
        <v>1</v>
      </c>
      <c r="BX506">
        <v>7</v>
      </c>
      <c r="BY506">
        <v>5</v>
      </c>
      <c r="BZ506">
        <v>6</v>
      </c>
      <c r="CA506">
        <v>8</v>
      </c>
      <c r="CB506">
        <v>5</v>
      </c>
      <c r="CC506">
        <v>9</v>
      </c>
      <c r="CD506">
        <v>4</v>
      </c>
      <c r="CE506">
        <v>0</v>
      </c>
      <c r="CF506">
        <v>1</v>
      </c>
      <c r="CG506">
        <v>4</v>
      </c>
      <c r="CH506">
        <v>5</v>
      </c>
      <c r="CI506">
        <v>2</v>
      </c>
      <c r="CJ506">
        <v>6</v>
      </c>
      <c r="CK506">
        <v>7</v>
      </c>
      <c r="CL506">
        <v>0</v>
      </c>
      <c r="CM506">
        <v>2</v>
      </c>
      <c r="CN506">
        <v>1</v>
      </c>
      <c r="CO506">
        <v>1</v>
      </c>
      <c r="CP506">
        <v>5</v>
      </c>
      <c r="CQ506">
        <v>7</v>
      </c>
      <c r="CR506">
        <v>6</v>
      </c>
      <c r="CS506">
        <v>5</v>
      </c>
      <c r="CT506">
        <v>3</v>
      </c>
      <c r="CU506">
        <v>4</v>
      </c>
      <c r="CV506">
        <v>7</v>
      </c>
      <c r="CW506">
        <v>4</v>
      </c>
      <c r="CX506">
        <v>7</v>
      </c>
      <c r="CY506">
        <v>0</v>
      </c>
      <c r="CZ506">
        <v>5</v>
      </c>
      <c r="DA506">
        <v>5</v>
      </c>
      <c r="DB506">
        <v>3</v>
      </c>
      <c r="DC506">
        <v>0</v>
      </c>
      <c r="DD506">
        <v>7</v>
      </c>
      <c r="DE506">
        <v>7</v>
      </c>
      <c r="DF506">
        <v>2</v>
      </c>
      <c r="DG506">
        <v>8</v>
      </c>
      <c r="DH506">
        <v>4</v>
      </c>
      <c r="DI506">
        <v>6</v>
      </c>
      <c r="DJ506">
        <v>4</v>
      </c>
      <c r="DK506">
        <v>0</v>
      </c>
    </row>
    <row r="507" spans="1:115">
      <c r="A507" s="173">
        <f>Calculations[[#This Row],[Sum t eCO2]]*IF(Calculations[[#This Row],[GHG Scope]]="BIOGENIC",0,1)</f>
        <v>7.0578555430499996</v>
      </c>
      <c r="O507">
        <f t="shared" si="7"/>
        <v>506</v>
      </c>
      <c r="P507">
        <v>8</v>
      </c>
      <c r="Q507">
        <v>6</v>
      </c>
      <c r="R507">
        <v>3</v>
      </c>
      <c r="S507">
        <v>5</v>
      </c>
      <c r="T507">
        <v>9</v>
      </c>
      <c r="U507">
        <v>3</v>
      </c>
      <c r="V507">
        <v>0</v>
      </c>
      <c r="W507">
        <v>0</v>
      </c>
      <c r="X507">
        <v>8</v>
      </c>
      <c r="Y507">
        <v>8</v>
      </c>
      <c r="Z507">
        <v>4</v>
      </c>
      <c r="AA507">
        <v>3</v>
      </c>
      <c r="AB507">
        <v>9</v>
      </c>
      <c r="AC507">
        <v>0</v>
      </c>
      <c r="AD507">
        <v>4</v>
      </c>
      <c r="AE507">
        <v>4</v>
      </c>
      <c r="AF507">
        <v>1</v>
      </c>
      <c r="AG507">
        <v>3</v>
      </c>
      <c r="AH507">
        <v>0</v>
      </c>
      <c r="AI507">
        <v>9</v>
      </c>
      <c r="AJ507">
        <v>5</v>
      </c>
      <c r="AK507">
        <v>10</v>
      </c>
      <c r="AL507">
        <v>9</v>
      </c>
      <c r="AM507">
        <v>3</v>
      </c>
      <c r="AN507">
        <v>6</v>
      </c>
      <c r="AO507">
        <v>5</v>
      </c>
      <c r="AP507">
        <v>0</v>
      </c>
      <c r="AQ507">
        <v>5</v>
      </c>
      <c r="AR507">
        <v>7</v>
      </c>
      <c r="AS507">
        <v>4</v>
      </c>
      <c r="AT507">
        <v>4</v>
      </c>
      <c r="AU507">
        <v>2</v>
      </c>
      <c r="AV507">
        <v>7</v>
      </c>
      <c r="AW507">
        <v>10</v>
      </c>
      <c r="AX507">
        <v>4</v>
      </c>
      <c r="AY507">
        <v>5</v>
      </c>
      <c r="AZ507">
        <v>4</v>
      </c>
      <c r="BA507">
        <v>9</v>
      </c>
      <c r="BB507">
        <v>7</v>
      </c>
      <c r="BC507">
        <v>0</v>
      </c>
      <c r="BD507">
        <v>9</v>
      </c>
      <c r="BE507">
        <v>7</v>
      </c>
      <c r="BF507">
        <v>3</v>
      </c>
      <c r="BG507">
        <v>2</v>
      </c>
      <c r="BH507">
        <v>0</v>
      </c>
      <c r="BI507">
        <v>0</v>
      </c>
      <c r="BJ507">
        <v>3</v>
      </c>
      <c r="BK507">
        <v>9</v>
      </c>
      <c r="BL507">
        <v>4</v>
      </c>
      <c r="BM507">
        <v>5</v>
      </c>
      <c r="BN507">
        <v>6</v>
      </c>
      <c r="BO507">
        <v>5</v>
      </c>
      <c r="BP507">
        <v>2</v>
      </c>
      <c r="BQ507">
        <v>1</v>
      </c>
      <c r="BR507">
        <v>1</v>
      </c>
      <c r="BS507">
        <v>1</v>
      </c>
      <c r="BT507">
        <v>8</v>
      </c>
      <c r="BU507">
        <v>8</v>
      </c>
      <c r="BV507">
        <v>1</v>
      </c>
      <c r="BW507">
        <v>9</v>
      </c>
      <c r="BX507">
        <v>3</v>
      </c>
      <c r="BY507">
        <v>4</v>
      </c>
      <c r="BZ507">
        <v>8</v>
      </c>
      <c r="CA507">
        <v>3</v>
      </c>
      <c r="CB507">
        <v>2</v>
      </c>
      <c r="CC507">
        <v>9</v>
      </c>
      <c r="CD507">
        <v>8</v>
      </c>
      <c r="CE507">
        <v>7</v>
      </c>
      <c r="CF507">
        <v>6</v>
      </c>
      <c r="CG507">
        <v>7</v>
      </c>
      <c r="CH507">
        <v>1</v>
      </c>
      <c r="CI507">
        <v>1</v>
      </c>
      <c r="CJ507">
        <v>4</v>
      </c>
      <c r="CK507">
        <v>8</v>
      </c>
      <c r="CL507">
        <v>6</v>
      </c>
      <c r="CM507">
        <v>1</v>
      </c>
      <c r="CN507">
        <v>0</v>
      </c>
      <c r="CO507">
        <v>8</v>
      </c>
      <c r="CP507">
        <v>10</v>
      </c>
      <c r="CQ507">
        <v>3</v>
      </c>
      <c r="CR507">
        <v>6</v>
      </c>
      <c r="CS507">
        <v>7</v>
      </c>
      <c r="CT507">
        <v>0</v>
      </c>
      <c r="CU507">
        <v>3</v>
      </c>
      <c r="CV507">
        <v>10</v>
      </c>
      <c r="CW507">
        <v>1</v>
      </c>
      <c r="CX507">
        <v>4</v>
      </c>
      <c r="CY507">
        <v>4</v>
      </c>
      <c r="CZ507">
        <v>8</v>
      </c>
      <c r="DA507">
        <v>2</v>
      </c>
      <c r="DB507">
        <v>4</v>
      </c>
      <c r="DC507">
        <v>5</v>
      </c>
      <c r="DD507">
        <v>4</v>
      </c>
      <c r="DE507">
        <v>1</v>
      </c>
      <c r="DF507">
        <v>1</v>
      </c>
      <c r="DG507">
        <v>5</v>
      </c>
      <c r="DH507">
        <v>4</v>
      </c>
      <c r="DI507">
        <v>2</v>
      </c>
      <c r="DJ507">
        <v>4</v>
      </c>
      <c r="DK507">
        <v>5</v>
      </c>
    </row>
    <row r="508" spans="1:115">
      <c r="A508" s="173">
        <f>Calculations[[#This Row],[Sum t eCO2]]*IF(Calculations[[#This Row],[GHG Scope]]="BIOGENIC",0,1)</f>
        <v>1.0158149760000001</v>
      </c>
      <c r="O508">
        <f t="shared" si="7"/>
        <v>507</v>
      </c>
      <c r="P508">
        <v>6</v>
      </c>
      <c r="Q508">
        <v>2</v>
      </c>
      <c r="R508">
        <v>1</v>
      </c>
      <c r="S508">
        <v>2</v>
      </c>
      <c r="T508">
        <v>3</v>
      </c>
      <c r="U508">
        <v>6</v>
      </c>
      <c r="V508">
        <v>3</v>
      </c>
      <c r="W508">
        <v>8</v>
      </c>
      <c r="X508">
        <v>1</v>
      </c>
      <c r="Y508">
        <v>1</v>
      </c>
      <c r="Z508">
        <v>10</v>
      </c>
      <c r="AA508">
        <v>1</v>
      </c>
      <c r="AB508">
        <v>9</v>
      </c>
      <c r="AC508">
        <v>1</v>
      </c>
      <c r="AD508">
        <v>10</v>
      </c>
      <c r="AE508">
        <v>5</v>
      </c>
      <c r="AF508">
        <v>2</v>
      </c>
      <c r="AG508">
        <v>2</v>
      </c>
      <c r="AH508">
        <v>6</v>
      </c>
      <c r="AI508">
        <v>4</v>
      </c>
      <c r="AJ508">
        <v>10</v>
      </c>
      <c r="AK508">
        <v>1</v>
      </c>
      <c r="AL508">
        <v>10</v>
      </c>
      <c r="AM508">
        <v>4</v>
      </c>
      <c r="AN508">
        <v>6</v>
      </c>
      <c r="AO508">
        <v>7</v>
      </c>
      <c r="AP508">
        <v>9</v>
      </c>
      <c r="AQ508">
        <v>10</v>
      </c>
      <c r="AR508">
        <v>7</v>
      </c>
      <c r="AS508">
        <v>3</v>
      </c>
      <c r="AT508">
        <v>4</v>
      </c>
      <c r="AU508">
        <v>6</v>
      </c>
      <c r="AV508">
        <v>7</v>
      </c>
      <c r="AW508">
        <v>5</v>
      </c>
      <c r="AX508">
        <v>6</v>
      </c>
      <c r="AY508">
        <v>6</v>
      </c>
      <c r="AZ508">
        <v>6</v>
      </c>
      <c r="BA508">
        <v>4</v>
      </c>
      <c r="BB508">
        <v>5</v>
      </c>
      <c r="BC508">
        <v>3</v>
      </c>
      <c r="BD508">
        <v>3</v>
      </c>
      <c r="BE508">
        <v>1</v>
      </c>
      <c r="BF508">
        <v>7</v>
      </c>
      <c r="BG508">
        <v>7</v>
      </c>
      <c r="BH508">
        <v>2</v>
      </c>
      <c r="BI508">
        <v>6</v>
      </c>
      <c r="BJ508">
        <v>0</v>
      </c>
      <c r="BK508">
        <v>1</v>
      </c>
      <c r="BL508">
        <v>1</v>
      </c>
      <c r="BM508">
        <v>5</v>
      </c>
      <c r="BN508">
        <v>0</v>
      </c>
      <c r="BO508">
        <v>7</v>
      </c>
      <c r="BP508">
        <v>2</v>
      </c>
      <c r="BQ508">
        <v>5</v>
      </c>
      <c r="BR508">
        <v>2</v>
      </c>
      <c r="BS508">
        <v>1</v>
      </c>
      <c r="BT508">
        <v>9</v>
      </c>
      <c r="BU508">
        <v>6</v>
      </c>
      <c r="BV508">
        <v>8</v>
      </c>
      <c r="BW508">
        <v>0</v>
      </c>
      <c r="BX508">
        <v>1</v>
      </c>
      <c r="BY508">
        <v>8</v>
      </c>
      <c r="BZ508">
        <v>4</v>
      </c>
      <c r="CA508">
        <v>9</v>
      </c>
      <c r="CB508">
        <v>5</v>
      </c>
      <c r="CC508">
        <v>4</v>
      </c>
      <c r="CD508">
        <v>1</v>
      </c>
      <c r="CE508">
        <v>8</v>
      </c>
      <c r="CF508">
        <v>0</v>
      </c>
      <c r="CG508">
        <v>10</v>
      </c>
      <c r="CH508">
        <v>0</v>
      </c>
      <c r="CI508">
        <v>8</v>
      </c>
      <c r="CJ508">
        <v>6</v>
      </c>
      <c r="CK508">
        <v>10</v>
      </c>
      <c r="CL508">
        <v>7</v>
      </c>
      <c r="CM508">
        <v>0</v>
      </c>
      <c r="CN508">
        <v>0</v>
      </c>
      <c r="CO508">
        <v>3</v>
      </c>
      <c r="CP508">
        <v>5</v>
      </c>
      <c r="CQ508">
        <v>1</v>
      </c>
      <c r="CR508">
        <v>1</v>
      </c>
      <c r="CS508">
        <v>5</v>
      </c>
      <c r="CT508">
        <v>6</v>
      </c>
      <c r="CU508">
        <v>6</v>
      </c>
      <c r="CV508">
        <v>5</v>
      </c>
      <c r="CW508">
        <v>10</v>
      </c>
      <c r="CX508">
        <v>3</v>
      </c>
      <c r="CY508">
        <v>2</v>
      </c>
      <c r="CZ508">
        <v>9</v>
      </c>
      <c r="DA508">
        <v>7</v>
      </c>
      <c r="DB508">
        <v>6</v>
      </c>
      <c r="DC508">
        <v>3</v>
      </c>
      <c r="DD508">
        <v>3</v>
      </c>
      <c r="DE508">
        <v>5</v>
      </c>
      <c r="DF508">
        <v>2</v>
      </c>
      <c r="DG508">
        <v>3</v>
      </c>
      <c r="DH508">
        <v>3</v>
      </c>
      <c r="DI508">
        <v>7</v>
      </c>
      <c r="DJ508">
        <v>8</v>
      </c>
      <c r="DK508">
        <v>8</v>
      </c>
    </row>
    <row r="509" spans="1:115">
      <c r="A509" s="173">
        <f>Calculations[[#This Row],[Sum t eCO2]]*IF(Calculations[[#This Row],[GHG Scope]]="BIOGENIC",0,1)</f>
        <v>14.077013051789997</v>
      </c>
      <c r="O509">
        <f t="shared" si="7"/>
        <v>508</v>
      </c>
      <c r="P509">
        <v>1</v>
      </c>
      <c r="Q509">
        <v>5</v>
      </c>
      <c r="R509">
        <v>1</v>
      </c>
      <c r="S509">
        <v>10</v>
      </c>
      <c r="T509">
        <v>7</v>
      </c>
      <c r="U509">
        <v>9</v>
      </c>
      <c r="V509">
        <v>0</v>
      </c>
      <c r="W509">
        <v>10</v>
      </c>
      <c r="X509">
        <v>1</v>
      </c>
      <c r="Y509">
        <v>1</v>
      </c>
      <c r="Z509">
        <v>2</v>
      </c>
      <c r="AA509">
        <v>1</v>
      </c>
      <c r="AB509">
        <v>7</v>
      </c>
      <c r="AC509">
        <v>1</v>
      </c>
      <c r="AD509">
        <v>5</v>
      </c>
      <c r="AE509">
        <v>10</v>
      </c>
      <c r="AF509">
        <v>3</v>
      </c>
      <c r="AG509">
        <v>1</v>
      </c>
      <c r="AH509">
        <v>1</v>
      </c>
      <c r="AI509">
        <v>1</v>
      </c>
      <c r="AJ509">
        <v>4</v>
      </c>
      <c r="AK509">
        <v>3</v>
      </c>
      <c r="AL509">
        <v>9</v>
      </c>
      <c r="AM509">
        <v>0</v>
      </c>
      <c r="AN509">
        <v>1</v>
      </c>
      <c r="AO509">
        <v>1</v>
      </c>
      <c r="AP509">
        <v>6</v>
      </c>
      <c r="AQ509">
        <v>0</v>
      </c>
      <c r="AR509">
        <v>1</v>
      </c>
      <c r="AS509">
        <v>2</v>
      </c>
      <c r="AT509">
        <v>0</v>
      </c>
      <c r="AU509">
        <v>2</v>
      </c>
      <c r="AV509">
        <v>2</v>
      </c>
      <c r="AW509">
        <v>5</v>
      </c>
      <c r="AX509">
        <v>3</v>
      </c>
      <c r="AY509">
        <v>4</v>
      </c>
      <c r="AZ509">
        <v>2</v>
      </c>
      <c r="BA509">
        <v>4</v>
      </c>
      <c r="BB509">
        <v>7</v>
      </c>
      <c r="BC509">
        <v>5</v>
      </c>
      <c r="BD509">
        <v>9</v>
      </c>
      <c r="BE509">
        <v>0</v>
      </c>
      <c r="BF509">
        <v>1</v>
      </c>
      <c r="BG509">
        <v>0</v>
      </c>
      <c r="BH509">
        <v>8</v>
      </c>
      <c r="BI509">
        <v>1</v>
      </c>
      <c r="BJ509">
        <v>8</v>
      </c>
      <c r="BK509">
        <v>2</v>
      </c>
      <c r="BL509">
        <v>7</v>
      </c>
      <c r="BM509">
        <v>9</v>
      </c>
      <c r="BN509">
        <v>6</v>
      </c>
      <c r="BO509">
        <v>2</v>
      </c>
      <c r="BP509">
        <v>0</v>
      </c>
      <c r="BQ509">
        <v>7</v>
      </c>
      <c r="BR509">
        <v>7</v>
      </c>
      <c r="BS509">
        <v>6</v>
      </c>
      <c r="BT509">
        <v>8</v>
      </c>
      <c r="BU509">
        <v>6</v>
      </c>
      <c r="BV509">
        <v>1</v>
      </c>
      <c r="BW509">
        <v>2</v>
      </c>
      <c r="BX509">
        <v>1</v>
      </c>
      <c r="BY509">
        <v>5</v>
      </c>
      <c r="BZ509">
        <v>3</v>
      </c>
      <c r="CA509">
        <v>0</v>
      </c>
      <c r="CB509">
        <v>7</v>
      </c>
      <c r="CC509">
        <v>6</v>
      </c>
      <c r="CD509">
        <v>6</v>
      </c>
      <c r="CE509">
        <v>6</v>
      </c>
      <c r="CF509">
        <v>8</v>
      </c>
      <c r="CG509">
        <v>10</v>
      </c>
      <c r="CH509">
        <v>4</v>
      </c>
      <c r="CI509">
        <v>7</v>
      </c>
      <c r="CJ509">
        <v>10</v>
      </c>
      <c r="CK509">
        <v>4</v>
      </c>
      <c r="CL509">
        <v>8</v>
      </c>
      <c r="CM509">
        <v>0</v>
      </c>
      <c r="CN509">
        <v>0</v>
      </c>
      <c r="CO509">
        <v>0</v>
      </c>
      <c r="CP509">
        <v>0</v>
      </c>
      <c r="CQ509">
        <v>7</v>
      </c>
      <c r="CR509">
        <v>9</v>
      </c>
      <c r="CS509">
        <v>8</v>
      </c>
      <c r="CT509">
        <v>9</v>
      </c>
      <c r="CU509">
        <v>1</v>
      </c>
      <c r="CV509">
        <v>6</v>
      </c>
      <c r="CW509">
        <v>1</v>
      </c>
      <c r="CX509">
        <v>4</v>
      </c>
      <c r="CY509">
        <v>5</v>
      </c>
      <c r="CZ509">
        <v>9</v>
      </c>
      <c r="DA509">
        <v>6</v>
      </c>
      <c r="DB509">
        <v>3</v>
      </c>
      <c r="DC509">
        <v>7</v>
      </c>
      <c r="DD509">
        <v>8</v>
      </c>
      <c r="DE509">
        <v>5</v>
      </c>
      <c r="DF509">
        <v>8</v>
      </c>
      <c r="DG509">
        <v>6</v>
      </c>
      <c r="DH509">
        <v>7</v>
      </c>
      <c r="DI509">
        <v>6</v>
      </c>
      <c r="DJ509">
        <v>7</v>
      </c>
      <c r="DK509">
        <v>2</v>
      </c>
    </row>
    <row r="510" spans="1:115">
      <c r="A510" s="173">
        <f>Calculations[[#This Row],[Sum t eCO2]]*IF(Calculations[[#This Row],[GHG Scope]]="BIOGENIC",0,1)</f>
        <v>2.2081661456399999</v>
      </c>
      <c r="O510">
        <f t="shared" si="7"/>
        <v>509</v>
      </c>
      <c r="P510">
        <v>4</v>
      </c>
      <c r="Q510">
        <v>6</v>
      </c>
      <c r="R510">
        <v>9</v>
      </c>
      <c r="S510">
        <v>6</v>
      </c>
      <c r="T510">
        <v>3</v>
      </c>
      <c r="U510">
        <v>5</v>
      </c>
      <c r="V510">
        <v>0</v>
      </c>
      <c r="W510">
        <v>5</v>
      </c>
      <c r="X510">
        <v>4</v>
      </c>
      <c r="Y510">
        <v>2</v>
      </c>
      <c r="Z510">
        <v>2</v>
      </c>
      <c r="AA510">
        <v>0</v>
      </c>
      <c r="AB510">
        <v>7</v>
      </c>
      <c r="AC510">
        <v>8</v>
      </c>
      <c r="AD510">
        <v>5</v>
      </c>
      <c r="AE510">
        <v>0</v>
      </c>
      <c r="AF510">
        <v>1</v>
      </c>
      <c r="AG510">
        <v>6</v>
      </c>
      <c r="AH510">
        <v>6</v>
      </c>
      <c r="AI510">
        <v>9</v>
      </c>
      <c r="AJ510">
        <v>7</v>
      </c>
      <c r="AK510">
        <v>2</v>
      </c>
      <c r="AL510">
        <v>3</v>
      </c>
      <c r="AM510">
        <v>10</v>
      </c>
      <c r="AN510">
        <v>4</v>
      </c>
      <c r="AO510">
        <v>2</v>
      </c>
      <c r="AP510">
        <v>0</v>
      </c>
      <c r="AQ510">
        <v>3</v>
      </c>
      <c r="AR510">
        <v>3</v>
      </c>
      <c r="AS510">
        <v>6</v>
      </c>
      <c r="AT510">
        <v>0</v>
      </c>
      <c r="AU510">
        <v>1</v>
      </c>
      <c r="AV510">
        <v>5</v>
      </c>
      <c r="AW510">
        <v>0</v>
      </c>
      <c r="AX510">
        <v>8</v>
      </c>
      <c r="AY510">
        <v>8</v>
      </c>
      <c r="AZ510">
        <v>0</v>
      </c>
      <c r="BA510">
        <v>5</v>
      </c>
      <c r="BB510">
        <v>9</v>
      </c>
      <c r="BC510">
        <v>8</v>
      </c>
      <c r="BD510">
        <v>9</v>
      </c>
      <c r="BE510">
        <v>1</v>
      </c>
      <c r="BF510">
        <v>0</v>
      </c>
      <c r="BG510">
        <v>3</v>
      </c>
      <c r="BH510">
        <v>7</v>
      </c>
      <c r="BI510">
        <v>10</v>
      </c>
      <c r="BJ510">
        <v>0</v>
      </c>
      <c r="BK510">
        <v>1</v>
      </c>
      <c r="BL510">
        <v>2</v>
      </c>
      <c r="BM510">
        <v>9</v>
      </c>
      <c r="BN510">
        <v>3</v>
      </c>
      <c r="BO510">
        <v>0</v>
      </c>
      <c r="BP510">
        <v>2</v>
      </c>
      <c r="BQ510">
        <v>5</v>
      </c>
      <c r="BR510">
        <v>7</v>
      </c>
      <c r="BS510">
        <v>5</v>
      </c>
      <c r="BT510">
        <v>8</v>
      </c>
      <c r="BU510">
        <v>8</v>
      </c>
      <c r="BV510">
        <v>5</v>
      </c>
      <c r="BW510">
        <v>8</v>
      </c>
      <c r="BX510">
        <v>0</v>
      </c>
      <c r="BY510">
        <v>9</v>
      </c>
      <c r="BZ510">
        <v>1</v>
      </c>
      <c r="CA510">
        <v>4</v>
      </c>
      <c r="CB510">
        <v>4</v>
      </c>
      <c r="CC510">
        <v>0</v>
      </c>
      <c r="CD510">
        <v>9</v>
      </c>
      <c r="CE510">
        <v>1</v>
      </c>
      <c r="CF510">
        <v>9</v>
      </c>
      <c r="CG510">
        <v>5</v>
      </c>
      <c r="CH510">
        <v>9</v>
      </c>
      <c r="CI510">
        <v>6</v>
      </c>
      <c r="CJ510">
        <v>10</v>
      </c>
      <c r="CK510">
        <v>6</v>
      </c>
      <c r="CL510">
        <v>0</v>
      </c>
      <c r="CM510">
        <v>6</v>
      </c>
      <c r="CN510">
        <v>1</v>
      </c>
      <c r="CO510">
        <v>9</v>
      </c>
      <c r="CP510">
        <v>2</v>
      </c>
      <c r="CQ510">
        <v>2</v>
      </c>
      <c r="CR510">
        <v>3</v>
      </c>
      <c r="CS510">
        <v>5</v>
      </c>
      <c r="CT510">
        <v>0</v>
      </c>
      <c r="CU510">
        <v>2</v>
      </c>
      <c r="CV510">
        <v>0</v>
      </c>
      <c r="CW510">
        <v>7</v>
      </c>
      <c r="CX510">
        <v>0</v>
      </c>
      <c r="CY510">
        <v>10</v>
      </c>
      <c r="CZ510">
        <v>4</v>
      </c>
      <c r="DA510">
        <v>1</v>
      </c>
      <c r="DB510">
        <v>5</v>
      </c>
      <c r="DC510">
        <v>5</v>
      </c>
      <c r="DD510">
        <v>8</v>
      </c>
      <c r="DE510">
        <v>9</v>
      </c>
      <c r="DF510">
        <v>0</v>
      </c>
      <c r="DG510">
        <v>9</v>
      </c>
      <c r="DH510">
        <v>9</v>
      </c>
      <c r="DI510">
        <v>4</v>
      </c>
      <c r="DJ510">
        <v>4</v>
      </c>
      <c r="DK510">
        <v>0</v>
      </c>
    </row>
    <row r="511" spans="1:115">
      <c r="A511" s="173">
        <f>Calculations[[#This Row],[Sum t eCO2]]*IF(Calculations[[#This Row],[GHG Scope]]="BIOGENIC",0,1)</f>
        <v>28.323380847551999</v>
      </c>
      <c r="O511">
        <f t="shared" si="7"/>
        <v>510</v>
      </c>
      <c r="P511">
        <v>4</v>
      </c>
      <c r="Q511">
        <v>10</v>
      </c>
      <c r="R511">
        <v>9</v>
      </c>
      <c r="S511">
        <v>5</v>
      </c>
      <c r="T511">
        <v>7</v>
      </c>
      <c r="U511">
        <v>10</v>
      </c>
      <c r="V511">
        <v>9</v>
      </c>
      <c r="W511">
        <v>10</v>
      </c>
      <c r="X511">
        <v>1</v>
      </c>
      <c r="Y511">
        <v>5</v>
      </c>
      <c r="Z511">
        <v>7</v>
      </c>
      <c r="AA511">
        <v>1</v>
      </c>
      <c r="AB511">
        <v>10</v>
      </c>
      <c r="AC511">
        <v>6</v>
      </c>
      <c r="AD511">
        <v>6</v>
      </c>
      <c r="AE511">
        <v>7</v>
      </c>
      <c r="AF511">
        <v>7</v>
      </c>
      <c r="AG511">
        <v>4</v>
      </c>
      <c r="AH511">
        <v>3</v>
      </c>
      <c r="AI511">
        <v>9</v>
      </c>
      <c r="AJ511">
        <v>9</v>
      </c>
      <c r="AK511">
        <v>1</v>
      </c>
      <c r="AL511">
        <v>0</v>
      </c>
      <c r="AM511">
        <v>6</v>
      </c>
      <c r="AN511">
        <v>7</v>
      </c>
      <c r="AO511">
        <v>4</v>
      </c>
      <c r="AP511">
        <v>5</v>
      </c>
      <c r="AQ511">
        <v>4</v>
      </c>
      <c r="AR511">
        <v>4</v>
      </c>
      <c r="AS511">
        <v>8</v>
      </c>
      <c r="AT511">
        <v>2</v>
      </c>
      <c r="AU511">
        <v>7</v>
      </c>
      <c r="AV511">
        <v>3</v>
      </c>
      <c r="AW511">
        <v>9</v>
      </c>
      <c r="AX511">
        <v>8</v>
      </c>
      <c r="AY511">
        <v>2</v>
      </c>
      <c r="AZ511">
        <v>8</v>
      </c>
      <c r="BA511">
        <v>6</v>
      </c>
      <c r="BB511">
        <v>1</v>
      </c>
      <c r="BC511">
        <v>9</v>
      </c>
      <c r="BD511">
        <v>9</v>
      </c>
      <c r="BE511">
        <v>5</v>
      </c>
      <c r="BF511">
        <v>5</v>
      </c>
      <c r="BG511">
        <v>0</v>
      </c>
      <c r="BH511">
        <v>1</v>
      </c>
      <c r="BI511">
        <v>2</v>
      </c>
      <c r="BJ511">
        <v>3</v>
      </c>
      <c r="BK511">
        <v>4</v>
      </c>
      <c r="BL511">
        <v>10</v>
      </c>
      <c r="BM511">
        <v>9</v>
      </c>
      <c r="BN511">
        <v>10</v>
      </c>
      <c r="BO511">
        <v>6</v>
      </c>
      <c r="BP511">
        <v>7</v>
      </c>
      <c r="BQ511">
        <v>3</v>
      </c>
      <c r="BR511">
        <v>2</v>
      </c>
      <c r="BS511">
        <v>9</v>
      </c>
      <c r="BT511">
        <v>5</v>
      </c>
      <c r="BU511">
        <v>7</v>
      </c>
      <c r="BV511">
        <v>6</v>
      </c>
      <c r="BW511">
        <v>8</v>
      </c>
      <c r="BX511">
        <v>1</v>
      </c>
      <c r="BY511">
        <v>7</v>
      </c>
      <c r="BZ511">
        <v>9</v>
      </c>
      <c r="CA511">
        <v>9</v>
      </c>
      <c r="CB511">
        <v>1</v>
      </c>
      <c r="CC511">
        <v>3</v>
      </c>
      <c r="CD511">
        <v>10</v>
      </c>
      <c r="CE511">
        <v>7</v>
      </c>
      <c r="CF511">
        <v>2</v>
      </c>
      <c r="CG511">
        <v>2</v>
      </c>
      <c r="CH511">
        <v>8</v>
      </c>
      <c r="CI511">
        <v>5</v>
      </c>
      <c r="CJ511">
        <v>6</v>
      </c>
      <c r="CK511">
        <v>5</v>
      </c>
      <c r="CL511">
        <v>9</v>
      </c>
      <c r="CM511">
        <v>10</v>
      </c>
      <c r="CN511">
        <v>3</v>
      </c>
      <c r="CO511">
        <v>9</v>
      </c>
      <c r="CP511">
        <v>7</v>
      </c>
      <c r="CQ511">
        <v>8</v>
      </c>
      <c r="CR511">
        <v>0</v>
      </c>
      <c r="CS511">
        <v>3</v>
      </c>
      <c r="CT511">
        <v>4</v>
      </c>
      <c r="CU511">
        <v>5</v>
      </c>
      <c r="CV511">
        <v>3</v>
      </c>
      <c r="CW511">
        <v>9</v>
      </c>
      <c r="CX511">
        <v>9</v>
      </c>
      <c r="CY511">
        <v>9</v>
      </c>
      <c r="CZ511">
        <v>8</v>
      </c>
      <c r="DA511">
        <v>2</v>
      </c>
      <c r="DB511">
        <v>2</v>
      </c>
      <c r="DC511">
        <v>9</v>
      </c>
      <c r="DD511">
        <v>10</v>
      </c>
      <c r="DE511">
        <v>5</v>
      </c>
      <c r="DF511">
        <v>8</v>
      </c>
      <c r="DG511">
        <v>2</v>
      </c>
      <c r="DH511">
        <v>6</v>
      </c>
      <c r="DI511">
        <v>5</v>
      </c>
      <c r="DJ511">
        <v>6</v>
      </c>
      <c r="DK511">
        <v>3</v>
      </c>
    </row>
    <row r="512" spans="1:115">
      <c r="A512" s="173">
        <f>Calculations[[#This Row],[Sum t eCO2]]*IF(Calculations[[#This Row],[GHG Scope]]="BIOGENIC",0,1)</f>
        <v>6.9399674440199988</v>
      </c>
      <c r="O512">
        <f t="shared" si="7"/>
        <v>511</v>
      </c>
      <c r="P512">
        <v>9</v>
      </c>
      <c r="Q512">
        <v>8</v>
      </c>
      <c r="R512">
        <v>8</v>
      </c>
      <c r="S512">
        <v>2</v>
      </c>
      <c r="T512">
        <v>6</v>
      </c>
      <c r="U512">
        <v>5</v>
      </c>
      <c r="V512">
        <v>9</v>
      </c>
      <c r="W512">
        <v>8</v>
      </c>
      <c r="X512">
        <v>6</v>
      </c>
      <c r="Y512">
        <v>10</v>
      </c>
      <c r="Z512">
        <v>1</v>
      </c>
      <c r="AA512">
        <v>4</v>
      </c>
      <c r="AB512">
        <v>1</v>
      </c>
      <c r="AC512">
        <v>3</v>
      </c>
      <c r="AD512">
        <v>6</v>
      </c>
      <c r="AE512">
        <v>5</v>
      </c>
      <c r="AF512">
        <v>7</v>
      </c>
      <c r="AG512">
        <v>9</v>
      </c>
      <c r="AH512">
        <v>3</v>
      </c>
      <c r="AI512">
        <v>0</v>
      </c>
      <c r="AJ512">
        <v>8</v>
      </c>
      <c r="AK512">
        <v>8</v>
      </c>
      <c r="AL512">
        <v>3</v>
      </c>
      <c r="AM512">
        <v>10</v>
      </c>
      <c r="AN512">
        <v>9</v>
      </c>
      <c r="AO512">
        <v>7</v>
      </c>
      <c r="AP512">
        <v>7</v>
      </c>
      <c r="AQ512">
        <v>7</v>
      </c>
      <c r="AR512">
        <v>6</v>
      </c>
      <c r="AS512">
        <v>0</v>
      </c>
      <c r="AT512">
        <v>7</v>
      </c>
      <c r="AU512">
        <v>5</v>
      </c>
      <c r="AV512">
        <v>3</v>
      </c>
      <c r="AW512">
        <v>0</v>
      </c>
      <c r="AX512">
        <v>10</v>
      </c>
      <c r="AY512">
        <v>7</v>
      </c>
      <c r="AZ512">
        <v>0</v>
      </c>
      <c r="BA512">
        <v>3</v>
      </c>
      <c r="BB512">
        <v>9</v>
      </c>
      <c r="BC512">
        <v>1</v>
      </c>
      <c r="BD512">
        <v>7</v>
      </c>
      <c r="BE512">
        <v>1</v>
      </c>
      <c r="BF512">
        <v>5</v>
      </c>
      <c r="BG512">
        <v>4</v>
      </c>
      <c r="BH512">
        <v>1</v>
      </c>
      <c r="BI512">
        <v>1</v>
      </c>
      <c r="BJ512">
        <v>8</v>
      </c>
      <c r="BK512">
        <v>3</v>
      </c>
      <c r="BL512">
        <v>8</v>
      </c>
      <c r="BM512">
        <v>3</v>
      </c>
      <c r="BN512">
        <v>7</v>
      </c>
      <c r="BO512">
        <v>3</v>
      </c>
      <c r="BP512">
        <v>8</v>
      </c>
      <c r="BQ512">
        <v>1</v>
      </c>
      <c r="BR512">
        <v>1</v>
      </c>
      <c r="BS512">
        <v>0</v>
      </c>
      <c r="BT512">
        <v>10</v>
      </c>
      <c r="BU512">
        <v>8</v>
      </c>
      <c r="BV512">
        <v>3</v>
      </c>
      <c r="BW512">
        <v>9</v>
      </c>
      <c r="BX512">
        <v>5</v>
      </c>
      <c r="BY512">
        <v>0</v>
      </c>
      <c r="BZ512">
        <v>2</v>
      </c>
      <c r="CA512">
        <v>6</v>
      </c>
      <c r="CB512">
        <v>0</v>
      </c>
      <c r="CC512">
        <v>1</v>
      </c>
      <c r="CD512">
        <v>8</v>
      </c>
      <c r="CE512">
        <v>4</v>
      </c>
      <c r="CF512">
        <v>7</v>
      </c>
      <c r="CG512">
        <v>0</v>
      </c>
      <c r="CH512">
        <v>8</v>
      </c>
      <c r="CI512">
        <v>10</v>
      </c>
      <c r="CJ512">
        <v>8</v>
      </c>
      <c r="CK512">
        <v>0</v>
      </c>
      <c r="CL512">
        <v>10</v>
      </c>
      <c r="CM512">
        <v>6</v>
      </c>
      <c r="CN512">
        <v>10</v>
      </c>
      <c r="CO512">
        <v>7</v>
      </c>
      <c r="CP512">
        <v>3</v>
      </c>
      <c r="CQ512">
        <v>1</v>
      </c>
      <c r="CR512">
        <v>3</v>
      </c>
      <c r="CS512">
        <v>8</v>
      </c>
      <c r="CT512">
        <v>10</v>
      </c>
      <c r="CU512">
        <v>4</v>
      </c>
      <c r="CV512">
        <v>6</v>
      </c>
      <c r="CW512">
        <v>10</v>
      </c>
      <c r="CX512">
        <v>4</v>
      </c>
      <c r="CY512">
        <v>3</v>
      </c>
      <c r="CZ512">
        <v>9</v>
      </c>
      <c r="DA512">
        <v>6</v>
      </c>
      <c r="DB512">
        <v>0</v>
      </c>
      <c r="DC512">
        <v>4</v>
      </c>
      <c r="DD512">
        <v>10</v>
      </c>
      <c r="DE512">
        <v>9</v>
      </c>
      <c r="DF512">
        <v>4</v>
      </c>
      <c r="DG512">
        <v>9</v>
      </c>
      <c r="DH512">
        <v>0</v>
      </c>
      <c r="DI512">
        <v>10</v>
      </c>
      <c r="DJ512">
        <v>8</v>
      </c>
      <c r="DK512">
        <v>7</v>
      </c>
    </row>
    <row r="513" spans="1:115">
      <c r="A513" s="173">
        <f>Calculations[[#This Row],[Sum t eCO2]]*IF(Calculations[[#This Row],[GHG Scope]]="BIOGENIC",0,1)</f>
        <v>146.56265572320402</v>
      </c>
      <c r="O513">
        <f t="shared" si="7"/>
        <v>512</v>
      </c>
      <c r="P513">
        <v>2</v>
      </c>
      <c r="Q513">
        <v>9</v>
      </c>
      <c r="R513">
        <v>4</v>
      </c>
      <c r="S513">
        <v>1</v>
      </c>
      <c r="T513">
        <v>3</v>
      </c>
      <c r="U513">
        <v>0</v>
      </c>
      <c r="V513">
        <v>6</v>
      </c>
      <c r="W513">
        <v>9</v>
      </c>
      <c r="X513">
        <v>0</v>
      </c>
      <c r="Y513">
        <v>5</v>
      </c>
      <c r="Z513">
        <v>6</v>
      </c>
      <c r="AA513">
        <v>8</v>
      </c>
      <c r="AB513">
        <v>4</v>
      </c>
      <c r="AC513">
        <v>1</v>
      </c>
      <c r="AD513">
        <v>6</v>
      </c>
      <c r="AE513">
        <v>1</v>
      </c>
      <c r="AF513">
        <v>1</v>
      </c>
      <c r="AG513">
        <v>9</v>
      </c>
      <c r="AH513">
        <v>1</v>
      </c>
      <c r="AI513">
        <v>10</v>
      </c>
      <c r="AJ513">
        <v>8</v>
      </c>
      <c r="AK513">
        <v>8</v>
      </c>
      <c r="AL513">
        <v>7</v>
      </c>
      <c r="AM513">
        <v>9</v>
      </c>
      <c r="AN513">
        <v>8</v>
      </c>
      <c r="AO513">
        <v>6</v>
      </c>
      <c r="AP513">
        <v>7</v>
      </c>
      <c r="AQ513">
        <v>0</v>
      </c>
      <c r="AR513">
        <v>4</v>
      </c>
      <c r="AS513">
        <v>5</v>
      </c>
      <c r="AT513">
        <v>3</v>
      </c>
      <c r="AU513">
        <v>0</v>
      </c>
      <c r="AV513">
        <v>0</v>
      </c>
      <c r="AW513">
        <v>9</v>
      </c>
      <c r="AX513">
        <v>5</v>
      </c>
      <c r="AY513">
        <v>4</v>
      </c>
      <c r="AZ513">
        <v>1</v>
      </c>
      <c r="BA513">
        <v>10</v>
      </c>
      <c r="BB513">
        <v>8</v>
      </c>
      <c r="BC513">
        <v>2</v>
      </c>
      <c r="BD513">
        <v>9</v>
      </c>
      <c r="BE513">
        <v>4</v>
      </c>
      <c r="BF513">
        <v>9</v>
      </c>
      <c r="BG513">
        <v>10</v>
      </c>
      <c r="BH513">
        <v>5</v>
      </c>
      <c r="BI513">
        <v>0</v>
      </c>
      <c r="BJ513">
        <v>2</v>
      </c>
      <c r="BK513">
        <v>10</v>
      </c>
      <c r="BL513">
        <v>2</v>
      </c>
      <c r="BM513">
        <v>5</v>
      </c>
      <c r="BN513">
        <v>4</v>
      </c>
      <c r="BO513">
        <v>9</v>
      </c>
      <c r="BP513">
        <v>0</v>
      </c>
      <c r="BQ513">
        <v>9</v>
      </c>
      <c r="BR513">
        <v>10</v>
      </c>
      <c r="BS513">
        <v>5</v>
      </c>
      <c r="BT513">
        <v>10</v>
      </c>
      <c r="BU513">
        <v>5</v>
      </c>
      <c r="BV513">
        <v>10</v>
      </c>
      <c r="BW513">
        <v>0</v>
      </c>
      <c r="BX513">
        <v>0</v>
      </c>
      <c r="BY513">
        <v>6</v>
      </c>
      <c r="BZ513">
        <v>10</v>
      </c>
      <c r="CA513">
        <v>5</v>
      </c>
      <c r="CB513">
        <v>1</v>
      </c>
      <c r="CC513">
        <v>1</v>
      </c>
      <c r="CD513">
        <v>4</v>
      </c>
      <c r="CE513">
        <v>3</v>
      </c>
      <c r="CF513">
        <v>0</v>
      </c>
      <c r="CG513">
        <v>2</v>
      </c>
      <c r="CH513">
        <v>3</v>
      </c>
      <c r="CI513">
        <v>5</v>
      </c>
      <c r="CJ513">
        <v>0</v>
      </c>
      <c r="CK513">
        <v>3</v>
      </c>
      <c r="CL513">
        <v>3</v>
      </c>
      <c r="CM513">
        <v>7</v>
      </c>
      <c r="CN513">
        <v>9</v>
      </c>
      <c r="CO513">
        <v>4</v>
      </c>
      <c r="CP513">
        <v>1</v>
      </c>
      <c r="CQ513">
        <v>7</v>
      </c>
      <c r="CR513">
        <v>9</v>
      </c>
      <c r="CS513">
        <v>3</v>
      </c>
      <c r="CT513">
        <v>2</v>
      </c>
      <c r="CU513">
        <v>5</v>
      </c>
      <c r="CV513">
        <v>3</v>
      </c>
      <c r="CW513">
        <v>1</v>
      </c>
      <c r="CX513">
        <v>10</v>
      </c>
      <c r="CY513">
        <v>4</v>
      </c>
      <c r="CZ513">
        <v>2</v>
      </c>
      <c r="DA513">
        <v>7</v>
      </c>
      <c r="DB513">
        <v>8</v>
      </c>
      <c r="DC513">
        <v>1</v>
      </c>
      <c r="DD513">
        <v>3</v>
      </c>
      <c r="DE513">
        <v>5</v>
      </c>
      <c r="DF513">
        <v>7</v>
      </c>
      <c r="DG513">
        <v>2</v>
      </c>
      <c r="DH513">
        <v>2</v>
      </c>
      <c r="DI513">
        <v>3</v>
      </c>
      <c r="DJ513">
        <v>10</v>
      </c>
      <c r="DK513">
        <v>6</v>
      </c>
    </row>
    <row r="514" spans="1:115">
      <c r="A514" s="173">
        <f>Calculations[[#This Row],[Sum t eCO2]]*IF(Calculations[[#This Row],[GHG Scope]]="BIOGENIC",0,1)</f>
        <v>2.0834899099999999</v>
      </c>
      <c r="O514">
        <f t="shared" si="7"/>
        <v>513</v>
      </c>
      <c r="P514">
        <v>10</v>
      </c>
      <c r="Q514">
        <v>2</v>
      </c>
      <c r="R514">
        <v>2</v>
      </c>
      <c r="S514">
        <v>6</v>
      </c>
      <c r="T514">
        <v>6</v>
      </c>
      <c r="U514">
        <v>5</v>
      </c>
      <c r="V514">
        <v>1</v>
      </c>
      <c r="W514">
        <v>4</v>
      </c>
      <c r="X514">
        <v>7</v>
      </c>
      <c r="Y514">
        <v>7</v>
      </c>
      <c r="Z514">
        <v>10</v>
      </c>
      <c r="AA514">
        <v>2</v>
      </c>
      <c r="AB514">
        <v>1</v>
      </c>
      <c r="AC514">
        <v>8</v>
      </c>
      <c r="AD514">
        <v>8</v>
      </c>
      <c r="AE514">
        <v>7</v>
      </c>
      <c r="AF514">
        <v>1</v>
      </c>
      <c r="AG514">
        <v>6</v>
      </c>
      <c r="AH514">
        <v>9</v>
      </c>
      <c r="AI514">
        <v>1</v>
      </c>
      <c r="AJ514">
        <v>9</v>
      </c>
      <c r="AK514">
        <v>9</v>
      </c>
      <c r="AL514">
        <v>4</v>
      </c>
      <c r="AM514">
        <v>4</v>
      </c>
      <c r="AN514">
        <v>9</v>
      </c>
      <c r="AO514">
        <v>0</v>
      </c>
      <c r="AP514">
        <v>6</v>
      </c>
      <c r="AQ514">
        <v>0</v>
      </c>
      <c r="AR514">
        <v>8</v>
      </c>
      <c r="AS514">
        <v>3</v>
      </c>
      <c r="AT514">
        <v>0</v>
      </c>
      <c r="AU514">
        <v>3</v>
      </c>
      <c r="AV514">
        <v>10</v>
      </c>
      <c r="AW514">
        <v>10</v>
      </c>
      <c r="AX514">
        <v>1</v>
      </c>
      <c r="AY514">
        <v>1</v>
      </c>
      <c r="AZ514">
        <v>0</v>
      </c>
      <c r="BA514">
        <v>5</v>
      </c>
      <c r="BB514">
        <v>1</v>
      </c>
      <c r="BC514">
        <v>3</v>
      </c>
      <c r="BD514">
        <v>7</v>
      </c>
      <c r="BE514">
        <v>2</v>
      </c>
      <c r="BF514">
        <v>0</v>
      </c>
      <c r="BG514">
        <v>9</v>
      </c>
      <c r="BH514">
        <v>7</v>
      </c>
      <c r="BI514">
        <v>0</v>
      </c>
      <c r="BJ514">
        <v>5</v>
      </c>
      <c r="BK514">
        <v>10</v>
      </c>
      <c r="BL514">
        <v>5</v>
      </c>
      <c r="BM514">
        <v>4</v>
      </c>
      <c r="BN514">
        <v>3</v>
      </c>
      <c r="BO514">
        <v>6</v>
      </c>
      <c r="BP514">
        <v>0</v>
      </c>
      <c r="BQ514">
        <v>5</v>
      </c>
      <c r="BR514">
        <v>7</v>
      </c>
      <c r="BS514">
        <v>0</v>
      </c>
      <c r="BT514">
        <v>4</v>
      </c>
      <c r="BU514">
        <v>1</v>
      </c>
      <c r="BV514">
        <v>5</v>
      </c>
      <c r="BW514">
        <v>7</v>
      </c>
      <c r="BX514">
        <v>0</v>
      </c>
      <c r="BY514">
        <v>2</v>
      </c>
      <c r="BZ514">
        <v>9</v>
      </c>
      <c r="CA514">
        <v>6</v>
      </c>
      <c r="CB514">
        <v>8</v>
      </c>
      <c r="CC514">
        <v>7</v>
      </c>
      <c r="CD514">
        <v>3</v>
      </c>
      <c r="CE514">
        <v>7</v>
      </c>
      <c r="CF514">
        <v>2</v>
      </c>
      <c r="CG514">
        <v>7</v>
      </c>
      <c r="CH514">
        <v>3</v>
      </c>
      <c r="CI514">
        <v>8</v>
      </c>
      <c r="CJ514">
        <v>10</v>
      </c>
      <c r="CK514">
        <v>2</v>
      </c>
      <c r="CL514">
        <v>8</v>
      </c>
      <c r="CM514">
        <v>8</v>
      </c>
      <c r="CN514">
        <v>2</v>
      </c>
      <c r="CO514">
        <v>8</v>
      </c>
      <c r="CP514">
        <v>0</v>
      </c>
      <c r="CQ514">
        <v>10</v>
      </c>
      <c r="CR514">
        <v>6</v>
      </c>
      <c r="CS514">
        <v>1</v>
      </c>
      <c r="CT514">
        <v>7</v>
      </c>
      <c r="CU514">
        <v>9</v>
      </c>
      <c r="CV514">
        <v>8</v>
      </c>
      <c r="CW514">
        <v>1</v>
      </c>
      <c r="CX514">
        <v>7</v>
      </c>
      <c r="CY514">
        <v>9</v>
      </c>
      <c r="CZ514">
        <v>7</v>
      </c>
      <c r="DA514">
        <v>4</v>
      </c>
      <c r="DB514">
        <v>3</v>
      </c>
      <c r="DC514">
        <v>2</v>
      </c>
      <c r="DD514">
        <v>1</v>
      </c>
      <c r="DE514">
        <v>9</v>
      </c>
      <c r="DF514">
        <v>6</v>
      </c>
      <c r="DG514">
        <v>9</v>
      </c>
      <c r="DH514">
        <v>0</v>
      </c>
      <c r="DI514">
        <v>5</v>
      </c>
      <c r="DJ514">
        <v>1</v>
      </c>
      <c r="DK514">
        <v>2</v>
      </c>
    </row>
    <row r="515" spans="1:115">
      <c r="A515" s="173">
        <f>Calculations[[#This Row],[Sum t eCO2]]*IF(Calculations[[#This Row],[GHG Scope]]="BIOGENIC",0,1)</f>
        <v>35.563784925479993</v>
      </c>
      <c r="O515">
        <f t="shared" si="7"/>
        <v>514</v>
      </c>
      <c r="P515">
        <v>6</v>
      </c>
      <c r="Q515">
        <v>4</v>
      </c>
      <c r="R515">
        <v>5</v>
      </c>
      <c r="S515">
        <v>6</v>
      </c>
      <c r="T515">
        <v>5</v>
      </c>
      <c r="U515">
        <v>8</v>
      </c>
      <c r="V515">
        <v>6</v>
      </c>
      <c r="W515">
        <v>9</v>
      </c>
      <c r="X515">
        <v>0</v>
      </c>
      <c r="Y515">
        <v>1</v>
      </c>
      <c r="Z515">
        <v>3</v>
      </c>
      <c r="AA515">
        <v>8</v>
      </c>
      <c r="AB515">
        <v>8</v>
      </c>
      <c r="AC515">
        <v>2</v>
      </c>
      <c r="AD515">
        <v>4</v>
      </c>
      <c r="AE515">
        <v>3</v>
      </c>
      <c r="AF515">
        <v>10</v>
      </c>
      <c r="AG515">
        <v>3</v>
      </c>
      <c r="AH515">
        <v>1</v>
      </c>
      <c r="AI515">
        <v>7</v>
      </c>
      <c r="AJ515">
        <v>0</v>
      </c>
      <c r="AK515">
        <v>4</v>
      </c>
      <c r="AL515">
        <v>10</v>
      </c>
      <c r="AM515">
        <v>6</v>
      </c>
      <c r="AN515">
        <v>5</v>
      </c>
      <c r="AO515">
        <v>10</v>
      </c>
      <c r="AP515">
        <v>3</v>
      </c>
      <c r="AQ515">
        <v>7</v>
      </c>
      <c r="AR515">
        <v>6</v>
      </c>
      <c r="AS515">
        <v>0</v>
      </c>
      <c r="AT515">
        <v>9</v>
      </c>
      <c r="AU515">
        <v>0</v>
      </c>
      <c r="AV515">
        <v>3</v>
      </c>
      <c r="AW515">
        <v>6</v>
      </c>
      <c r="AX515">
        <v>10</v>
      </c>
      <c r="AY515">
        <v>7</v>
      </c>
      <c r="AZ515">
        <v>1</v>
      </c>
      <c r="BA515">
        <v>2</v>
      </c>
      <c r="BB515">
        <v>10</v>
      </c>
      <c r="BC515">
        <v>9</v>
      </c>
      <c r="BD515">
        <v>8</v>
      </c>
      <c r="BE515">
        <v>2</v>
      </c>
      <c r="BF515">
        <v>0</v>
      </c>
      <c r="BG515">
        <v>6</v>
      </c>
      <c r="BH515">
        <v>10</v>
      </c>
      <c r="BI515">
        <v>9</v>
      </c>
      <c r="BJ515">
        <v>6</v>
      </c>
      <c r="BK515">
        <v>6</v>
      </c>
      <c r="BL515">
        <v>8</v>
      </c>
      <c r="BM515">
        <v>0</v>
      </c>
      <c r="BN515">
        <v>4</v>
      </c>
      <c r="BO515">
        <v>3</v>
      </c>
      <c r="BP515">
        <v>4</v>
      </c>
      <c r="BQ515">
        <v>9</v>
      </c>
      <c r="BR515">
        <v>7</v>
      </c>
      <c r="BS515">
        <v>9</v>
      </c>
      <c r="BT515">
        <v>5</v>
      </c>
      <c r="BU515">
        <v>10</v>
      </c>
      <c r="BV515">
        <v>6</v>
      </c>
      <c r="BW515">
        <v>4</v>
      </c>
      <c r="BX515">
        <v>2</v>
      </c>
      <c r="BY515">
        <v>9</v>
      </c>
      <c r="BZ515">
        <v>0</v>
      </c>
      <c r="CA515">
        <v>9</v>
      </c>
      <c r="CB515">
        <v>10</v>
      </c>
      <c r="CC515">
        <v>3</v>
      </c>
      <c r="CD515">
        <v>7</v>
      </c>
      <c r="CE515">
        <v>4</v>
      </c>
      <c r="CF515">
        <v>8</v>
      </c>
      <c r="CG515">
        <v>4</v>
      </c>
      <c r="CH515">
        <v>8</v>
      </c>
      <c r="CI515">
        <v>9</v>
      </c>
      <c r="CJ515">
        <v>5</v>
      </c>
      <c r="CK515">
        <v>0</v>
      </c>
      <c r="CL515">
        <v>4</v>
      </c>
      <c r="CM515">
        <v>5</v>
      </c>
      <c r="CN515">
        <v>4</v>
      </c>
      <c r="CO515">
        <v>1</v>
      </c>
      <c r="CP515">
        <v>6</v>
      </c>
      <c r="CQ515">
        <v>0</v>
      </c>
      <c r="CR515">
        <v>10</v>
      </c>
      <c r="CS515">
        <v>4</v>
      </c>
      <c r="CT515">
        <v>5</v>
      </c>
      <c r="CU515">
        <v>4</v>
      </c>
      <c r="CV515">
        <v>7</v>
      </c>
      <c r="CW515">
        <v>2</v>
      </c>
      <c r="CX515">
        <v>7</v>
      </c>
      <c r="CY515">
        <v>5</v>
      </c>
      <c r="CZ515">
        <v>9</v>
      </c>
      <c r="DA515">
        <v>0</v>
      </c>
      <c r="DB515">
        <v>2</v>
      </c>
      <c r="DC515">
        <v>6</v>
      </c>
      <c r="DD515">
        <v>7</v>
      </c>
      <c r="DE515">
        <v>6</v>
      </c>
      <c r="DF515">
        <v>8</v>
      </c>
      <c r="DG515">
        <v>9</v>
      </c>
      <c r="DH515">
        <v>7</v>
      </c>
      <c r="DI515">
        <v>2</v>
      </c>
      <c r="DJ515">
        <v>6</v>
      </c>
      <c r="DK515">
        <v>1</v>
      </c>
    </row>
    <row r="516" spans="1:115">
      <c r="A516" s="173">
        <f>Calculations[[#This Row],[Sum t eCO2]]*IF(Calculations[[#This Row],[GHG Scope]]="BIOGENIC",0,1)</f>
        <v>6.3873120296700012</v>
      </c>
      <c r="O516">
        <f t="shared" ref="O516:O579" si="8">O515+1</f>
        <v>515</v>
      </c>
      <c r="P516">
        <v>2</v>
      </c>
      <c r="Q516">
        <v>8</v>
      </c>
      <c r="R516">
        <v>9</v>
      </c>
      <c r="S516">
        <v>0</v>
      </c>
      <c r="T516">
        <v>6</v>
      </c>
      <c r="U516">
        <v>3</v>
      </c>
      <c r="V516">
        <v>2</v>
      </c>
      <c r="W516">
        <v>4</v>
      </c>
      <c r="X516">
        <v>0</v>
      </c>
      <c r="Y516">
        <v>4</v>
      </c>
      <c r="Z516">
        <v>1</v>
      </c>
      <c r="AA516">
        <v>4</v>
      </c>
      <c r="AB516">
        <v>2</v>
      </c>
      <c r="AC516">
        <v>1</v>
      </c>
      <c r="AD516">
        <v>6</v>
      </c>
      <c r="AE516">
        <v>4</v>
      </c>
      <c r="AF516">
        <v>1</v>
      </c>
      <c r="AG516">
        <v>9</v>
      </c>
      <c r="AH516">
        <v>8</v>
      </c>
      <c r="AI516">
        <v>3</v>
      </c>
      <c r="AJ516">
        <v>3</v>
      </c>
      <c r="AK516">
        <v>3</v>
      </c>
      <c r="AL516">
        <v>3</v>
      </c>
      <c r="AM516">
        <v>6</v>
      </c>
      <c r="AN516">
        <v>1</v>
      </c>
      <c r="AO516">
        <v>1</v>
      </c>
      <c r="AP516">
        <v>0</v>
      </c>
      <c r="AQ516">
        <v>6</v>
      </c>
      <c r="AR516">
        <v>6</v>
      </c>
      <c r="AS516">
        <v>3</v>
      </c>
      <c r="AT516">
        <v>9</v>
      </c>
      <c r="AU516">
        <v>3</v>
      </c>
      <c r="AV516">
        <v>0</v>
      </c>
      <c r="AW516">
        <v>9</v>
      </c>
      <c r="AX516">
        <v>5</v>
      </c>
      <c r="AY516">
        <v>6</v>
      </c>
      <c r="AZ516">
        <v>2</v>
      </c>
      <c r="BA516">
        <v>7</v>
      </c>
      <c r="BB516">
        <v>9</v>
      </c>
      <c r="BC516">
        <v>5</v>
      </c>
      <c r="BD516">
        <v>1</v>
      </c>
      <c r="BE516">
        <v>10</v>
      </c>
      <c r="BF516">
        <v>8</v>
      </c>
      <c r="BG516">
        <v>7</v>
      </c>
      <c r="BH516">
        <v>0</v>
      </c>
      <c r="BI516">
        <v>6</v>
      </c>
      <c r="BJ516">
        <v>9</v>
      </c>
      <c r="BK516">
        <v>6</v>
      </c>
      <c r="BL516">
        <v>4</v>
      </c>
      <c r="BM516">
        <v>10</v>
      </c>
      <c r="BN516">
        <v>9</v>
      </c>
      <c r="BO516">
        <v>6</v>
      </c>
      <c r="BP516">
        <v>10</v>
      </c>
      <c r="BQ516">
        <v>7</v>
      </c>
      <c r="BR516">
        <v>4</v>
      </c>
      <c r="BS516">
        <v>2</v>
      </c>
      <c r="BT516">
        <v>9</v>
      </c>
      <c r="BU516">
        <v>5</v>
      </c>
      <c r="BV516">
        <v>10</v>
      </c>
      <c r="BW516">
        <v>8</v>
      </c>
      <c r="BX516">
        <v>3</v>
      </c>
      <c r="BY516">
        <v>1</v>
      </c>
      <c r="BZ516">
        <v>4</v>
      </c>
      <c r="CA516">
        <v>8</v>
      </c>
      <c r="CB516">
        <v>0</v>
      </c>
      <c r="CC516">
        <v>5</v>
      </c>
      <c r="CD516">
        <v>4</v>
      </c>
      <c r="CE516">
        <v>6</v>
      </c>
      <c r="CF516">
        <v>3</v>
      </c>
      <c r="CG516">
        <v>5</v>
      </c>
      <c r="CH516">
        <v>8</v>
      </c>
      <c r="CI516">
        <v>0</v>
      </c>
      <c r="CJ516">
        <v>10</v>
      </c>
      <c r="CK516">
        <v>0</v>
      </c>
      <c r="CL516">
        <v>9</v>
      </c>
      <c r="CM516">
        <v>7</v>
      </c>
      <c r="CN516">
        <v>6</v>
      </c>
      <c r="CO516">
        <v>6</v>
      </c>
      <c r="CP516">
        <v>5</v>
      </c>
      <c r="CQ516">
        <v>6</v>
      </c>
      <c r="CR516">
        <v>1</v>
      </c>
      <c r="CS516">
        <v>0</v>
      </c>
      <c r="CT516">
        <v>5</v>
      </c>
      <c r="CU516">
        <v>7</v>
      </c>
      <c r="CV516">
        <v>2</v>
      </c>
      <c r="CW516">
        <v>10</v>
      </c>
      <c r="CX516">
        <v>10</v>
      </c>
      <c r="CY516">
        <v>5</v>
      </c>
      <c r="CZ516">
        <v>10</v>
      </c>
      <c r="DA516">
        <v>5</v>
      </c>
      <c r="DB516">
        <v>6</v>
      </c>
      <c r="DC516">
        <v>2</v>
      </c>
      <c r="DD516">
        <v>3</v>
      </c>
      <c r="DE516">
        <v>9</v>
      </c>
      <c r="DF516">
        <v>0</v>
      </c>
      <c r="DG516">
        <v>9</v>
      </c>
      <c r="DH516">
        <v>4</v>
      </c>
      <c r="DI516">
        <v>0</v>
      </c>
      <c r="DJ516">
        <v>6</v>
      </c>
      <c r="DK516">
        <v>5</v>
      </c>
    </row>
    <row r="517" spans="1:115">
      <c r="A517" s="173">
        <f>Calculations[[#This Row],[Sum t eCO2]]*IF(Calculations[[#This Row],[GHG Scope]]="BIOGENIC",0,1)</f>
        <v>7.6079534103999995</v>
      </c>
      <c r="O517">
        <f t="shared" si="8"/>
        <v>516</v>
      </c>
      <c r="P517">
        <v>2</v>
      </c>
      <c r="Q517">
        <v>4</v>
      </c>
      <c r="R517">
        <v>5</v>
      </c>
      <c r="S517">
        <v>2</v>
      </c>
      <c r="T517">
        <v>6</v>
      </c>
      <c r="U517">
        <v>3</v>
      </c>
      <c r="V517">
        <v>10</v>
      </c>
      <c r="W517">
        <v>7</v>
      </c>
      <c r="X517">
        <v>7</v>
      </c>
      <c r="Y517">
        <v>6</v>
      </c>
      <c r="Z517">
        <v>4</v>
      </c>
      <c r="AA517">
        <v>5</v>
      </c>
      <c r="AB517">
        <v>8</v>
      </c>
      <c r="AC517">
        <v>4</v>
      </c>
      <c r="AD517">
        <v>0</v>
      </c>
      <c r="AE517">
        <v>4</v>
      </c>
      <c r="AF517">
        <v>1</v>
      </c>
      <c r="AG517">
        <v>8</v>
      </c>
      <c r="AH517">
        <v>6</v>
      </c>
      <c r="AI517">
        <v>8</v>
      </c>
      <c r="AJ517">
        <v>3</v>
      </c>
      <c r="AK517">
        <v>2</v>
      </c>
      <c r="AL517">
        <v>5</v>
      </c>
      <c r="AM517">
        <v>6</v>
      </c>
      <c r="AN517">
        <v>9</v>
      </c>
      <c r="AO517">
        <v>10</v>
      </c>
      <c r="AP517">
        <v>5</v>
      </c>
      <c r="AQ517">
        <v>10</v>
      </c>
      <c r="AR517">
        <v>5</v>
      </c>
      <c r="AS517">
        <v>1</v>
      </c>
      <c r="AT517">
        <v>5</v>
      </c>
      <c r="AU517">
        <v>6</v>
      </c>
      <c r="AV517">
        <v>0</v>
      </c>
      <c r="AW517">
        <v>10</v>
      </c>
      <c r="AX517">
        <v>3</v>
      </c>
      <c r="AY517">
        <v>5</v>
      </c>
      <c r="AZ517">
        <v>0</v>
      </c>
      <c r="BA517">
        <v>8</v>
      </c>
      <c r="BB517">
        <v>5</v>
      </c>
      <c r="BC517">
        <v>9</v>
      </c>
      <c r="BD517">
        <v>3</v>
      </c>
      <c r="BE517">
        <v>5</v>
      </c>
      <c r="BF517">
        <v>2</v>
      </c>
      <c r="BG517">
        <v>9</v>
      </c>
      <c r="BH517">
        <v>10</v>
      </c>
      <c r="BI517">
        <v>3</v>
      </c>
      <c r="BJ517">
        <v>3</v>
      </c>
      <c r="BK517">
        <v>5</v>
      </c>
      <c r="BL517">
        <v>10</v>
      </c>
      <c r="BM517">
        <v>10</v>
      </c>
      <c r="BN517">
        <v>4</v>
      </c>
      <c r="BO517">
        <v>4</v>
      </c>
      <c r="BP517">
        <v>7</v>
      </c>
      <c r="BQ517">
        <v>10</v>
      </c>
      <c r="BR517">
        <v>9</v>
      </c>
      <c r="BS517">
        <v>3</v>
      </c>
      <c r="BT517">
        <v>4</v>
      </c>
      <c r="BU517">
        <v>5</v>
      </c>
      <c r="BV517">
        <v>4</v>
      </c>
      <c r="BW517">
        <v>9</v>
      </c>
      <c r="BX517">
        <v>2</v>
      </c>
      <c r="BY517">
        <v>10</v>
      </c>
      <c r="BZ517">
        <v>9</v>
      </c>
      <c r="CA517">
        <v>7</v>
      </c>
      <c r="CB517">
        <v>5</v>
      </c>
      <c r="CC517">
        <v>8</v>
      </c>
      <c r="CD517">
        <v>1</v>
      </c>
      <c r="CE517">
        <v>6</v>
      </c>
      <c r="CF517">
        <v>7</v>
      </c>
      <c r="CG517">
        <v>7</v>
      </c>
      <c r="CH517">
        <v>2</v>
      </c>
      <c r="CI517">
        <v>3</v>
      </c>
      <c r="CJ517">
        <v>0</v>
      </c>
      <c r="CK517">
        <v>0</v>
      </c>
      <c r="CL517">
        <v>7</v>
      </c>
      <c r="CM517">
        <v>5</v>
      </c>
      <c r="CN517">
        <v>7</v>
      </c>
      <c r="CO517">
        <v>10</v>
      </c>
      <c r="CP517">
        <v>2</v>
      </c>
      <c r="CQ517">
        <v>10</v>
      </c>
      <c r="CR517">
        <v>9</v>
      </c>
      <c r="CS517">
        <v>10</v>
      </c>
      <c r="CT517">
        <v>2</v>
      </c>
      <c r="CU517">
        <v>7</v>
      </c>
      <c r="CV517">
        <v>1</v>
      </c>
      <c r="CW517">
        <v>6</v>
      </c>
      <c r="CX517">
        <v>1</v>
      </c>
      <c r="CY517">
        <v>6</v>
      </c>
      <c r="CZ517">
        <v>9</v>
      </c>
      <c r="DA517">
        <v>6</v>
      </c>
      <c r="DB517">
        <v>10</v>
      </c>
      <c r="DC517">
        <v>9</v>
      </c>
      <c r="DD517">
        <v>2</v>
      </c>
      <c r="DE517">
        <v>9</v>
      </c>
      <c r="DF517">
        <v>7</v>
      </c>
      <c r="DG517">
        <v>1</v>
      </c>
      <c r="DH517">
        <v>7</v>
      </c>
      <c r="DI517">
        <v>6</v>
      </c>
      <c r="DJ517">
        <v>10</v>
      </c>
      <c r="DK517">
        <v>9</v>
      </c>
    </row>
    <row r="518" spans="1:115">
      <c r="A518" s="173">
        <f>Calculations[[#This Row],[Sum t eCO2]]*IF(Calculations[[#This Row],[GHG Scope]]="BIOGENIC",0,1)</f>
        <v>5.807511325000001</v>
      </c>
      <c r="O518">
        <f t="shared" si="8"/>
        <v>517</v>
      </c>
      <c r="P518">
        <v>5</v>
      </c>
      <c r="Q518">
        <v>7</v>
      </c>
      <c r="R518">
        <v>7</v>
      </c>
      <c r="S518">
        <v>6</v>
      </c>
      <c r="T518">
        <v>2</v>
      </c>
      <c r="U518">
        <v>5</v>
      </c>
      <c r="V518">
        <v>3</v>
      </c>
      <c r="W518">
        <v>1</v>
      </c>
      <c r="X518">
        <v>7</v>
      </c>
      <c r="Y518">
        <v>1</v>
      </c>
      <c r="Z518">
        <v>7</v>
      </c>
      <c r="AA518">
        <v>5</v>
      </c>
      <c r="AB518">
        <v>0</v>
      </c>
      <c r="AC518">
        <v>7</v>
      </c>
      <c r="AD518">
        <v>7</v>
      </c>
      <c r="AE518">
        <v>6</v>
      </c>
      <c r="AF518">
        <v>9</v>
      </c>
      <c r="AG518">
        <v>5</v>
      </c>
      <c r="AH518">
        <v>1</v>
      </c>
      <c r="AI518">
        <v>9</v>
      </c>
      <c r="AJ518">
        <v>1</v>
      </c>
      <c r="AK518">
        <v>10</v>
      </c>
      <c r="AL518">
        <v>9</v>
      </c>
      <c r="AM518">
        <v>6</v>
      </c>
      <c r="AN518">
        <v>7</v>
      </c>
      <c r="AO518">
        <v>4</v>
      </c>
      <c r="AP518">
        <v>8</v>
      </c>
      <c r="AQ518">
        <v>10</v>
      </c>
      <c r="AR518">
        <v>8</v>
      </c>
      <c r="AS518">
        <v>7</v>
      </c>
      <c r="AT518">
        <v>10</v>
      </c>
      <c r="AU518">
        <v>0</v>
      </c>
      <c r="AV518">
        <v>2</v>
      </c>
      <c r="AW518">
        <v>5</v>
      </c>
      <c r="AX518">
        <v>2</v>
      </c>
      <c r="AY518">
        <v>10</v>
      </c>
      <c r="AZ518">
        <v>6</v>
      </c>
      <c r="BA518">
        <v>6</v>
      </c>
      <c r="BB518">
        <v>7</v>
      </c>
      <c r="BC518">
        <v>10</v>
      </c>
      <c r="BD518">
        <v>4</v>
      </c>
      <c r="BE518">
        <v>2</v>
      </c>
      <c r="BF518">
        <v>4</v>
      </c>
      <c r="BG518">
        <v>7</v>
      </c>
      <c r="BH518">
        <v>6</v>
      </c>
      <c r="BI518">
        <v>3</v>
      </c>
      <c r="BJ518">
        <v>2</v>
      </c>
      <c r="BK518">
        <v>1</v>
      </c>
      <c r="BL518">
        <v>8</v>
      </c>
      <c r="BM518">
        <v>4</v>
      </c>
      <c r="BN518">
        <v>1</v>
      </c>
      <c r="BO518">
        <v>2</v>
      </c>
      <c r="BP518">
        <v>7</v>
      </c>
      <c r="BQ518">
        <v>10</v>
      </c>
      <c r="BR518">
        <v>3</v>
      </c>
      <c r="BS518">
        <v>4</v>
      </c>
      <c r="BT518">
        <v>10</v>
      </c>
      <c r="BU518">
        <v>1</v>
      </c>
      <c r="BV518">
        <v>9</v>
      </c>
      <c r="BW518">
        <v>6</v>
      </c>
      <c r="BX518">
        <v>1</v>
      </c>
      <c r="BY518">
        <v>9</v>
      </c>
      <c r="BZ518">
        <v>0</v>
      </c>
      <c r="CA518">
        <v>0</v>
      </c>
      <c r="CB518">
        <v>9</v>
      </c>
      <c r="CC518">
        <v>0</v>
      </c>
      <c r="CD518">
        <v>5</v>
      </c>
      <c r="CE518">
        <v>0</v>
      </c>
      <c r="CF518">
        <v>6</v>
      </c>
      <c r="CG518">
        <v>10</v>
      </c>
      <c r="CH518">
        <v>3</v>
      </c>
      <c r="CI518">
        <v>5</v>
      </c>
      <c r="CJ518">
        <v>2</v>
      </c>
      <c r="CK518">
        <v>4</v>
      </c>
      <c r="CL518">
        <v>9</v>
      </c>
      <c r="CM518">
        <v>8</v>
      </c>
      <c r="CN518">
        <v>0</v>
      </c>
      <c r="CO518">
        <v>4</v>
      </c>
      <c r="CP518">
        <v>4</v>
      </c>
      <c r="CQ518">
        <v>8</v>
      </c>
      <c r="CR518">
        <v>2</v>
      </c>
      <c r="CS518">
        <v>1</v>
      </c>
      <c r="CT518">
        <v>2</v>
      </c>
      <c r="CU518">
        <v>6</v>
      </c>
      <c r="CV518">
        <v>0</v>
      </c>
      <c r="CW518">
        <v>4</v>
      </c>
      <c r="CX518">
        <v>10</v>
      </c>
      <c r="CY518">
        <v>5</v>
      </c>
      <c r="CZ518">
        <v>6</v>
      </c>
      <c r="DA518">
        <v>8</v>
      </c>
      <c r="DB518">
        <v>0</v>
      </c>
      <c r="DC518">
        <v>1</v>
      </c>
      <c r="DD518">
        <v>2</v>
      </c>
      <c r="DE518">
        <v>9</v>
      </c>
      <c r="DF518">
        <v>9</v>
      </c>
      <c r="DG518">
        <v>9</v>
      </c>
      <c r="DH518">
        <v>9</v>
      </c>
      <c r="DI518">
        <v>8</v>
      </c>
      <c r="DJ518">
        <v>1</v>
      </c>
      <c r="DK518">
        <v>3</v>
      </c>
    </row>
    <row r="519" spans="1:115">
      <c r="A519" s="173">
        <f>Calculations[[#This Row],[Sum t eCO2]]*IF(Calculations[[#This Row],[GHG Scope]]="BIOGENIC",0,1)</f>
        <v>2.8125532629600003</v>
      </c>
      <c r="O519">
        <f t="shared" si="8"/>
        <v>518</v>
      </c>
      <c r="P519">
        <v>9</v>
      </c>
      <c r="Q519">
        <v>3</v>
      </c>
      <c r="R519">
        <v>6</v>
      </c>
      <c r="S519">
        <v>4</v>
      </c>
      <c r="T519">
        <v>6</v>
      </c>
      <c r="U519">
        <v>1</v>
      </c>
      <c r="V519">
        <v>0</v>
      </c>
      <c r="W519">
        <v>4</v>
      </c>
      <c r="X519">
        <v>1</v>
      </c>
      <c r="Y519">
        <v>3</v>
      </c>
      <c r="Z519">
        <v>7</v>
      </c>
      <c r="AA519">
        <v>8</v>
      </c>
      <c r="AB519">
        <v>3</v>
      </c>
      <c r="AC519">
        <v>4</v>
      </c>
      <c r="AD519">
        <v>3</v>
      </c>
      <c r="AE519">
        <v>3</v>
      </c>
      <c r="AF519">
        <v>8</v>
      </c>
      <c r="AG519">
        <v>9</v>
      </c>
      <c r="AH519">
        <v>7</v>
      </c>
      <c r="AI519">
        <v>2</v>
      </c>
      <c r="AJ519">
        <v>6</v>
      </c>
      <c r="AK519">
        <v>4</v>
      </c>
      <c r="AL519">
        <v>5</v>
      </c>
      <c r="AM519">
        <v>4</v>
      </c>
      <c r="AN519">
        <v>9</v>
      </c>
      <c r="AO519">
        <v>0</v>
      </c>
      <c r="AP519">
        <v>1</v>
      </c>
      <c r="AQ519">
        <v>3</v>
      </c>
      <c r="AR519">
        <v>9</v>
      </c>
      <c r="AS519">
        <v>9</v>
      </c>
      <c r="AT519">
        <v>5</v>
      </c>
      <c r="AU519">
        <v>9</v>
      </c>
      <c r="AV519">
        <v>9</v>
      </c>
      <c r="AW519">
        <v>10</v>
      </c>
      <c r="AX519">
        <v>0</v>
      </c>
      <c r="AY519">
        <v>5</v>
      </c>
      <c r="AZ519">
        <v>8</v>
      </c>
      <c r="BA519">
        <v>6</v>
      </c>
      <c r="BB519">
        <v>4</v>
      </c>
      <c r="BC519">
        <v>1</v>
      </c>
      <c r="BD519">
        <v>6</v>
      </c>
      <c r="BE519">
        <v>8</v>
      </c>
      <c r="BF519">
        <v>8</v>
      </c>
      <c r="BG519">
        <v>9</v>
      </c>
      <c r="BH519">
        <v>4</v>
      </c>
      <c r="BI519">
        <v>4</v>
      </c>
      <c r="BJ519">
        <v>0</v>
      </c>
      <c r="BK519">
        <v>0</v>
      </c>
      <c r="BL519">
        <v>8</v>
      </c>
      <c r="BM519">
        <v>2</v>
      </c>
      <c r="BN519">
        <v>3</v>
      </c>
      <c r="BO519">
        <v>4</v>
      </c>
      <c r="BP519">
        <v>0</v>
      </c>
      <c r="BQ519">
        <v>9</v>
      </c>
      <c r="BR519">
        <v>0</v>
      </c>
      <c r="BS519">
        <v>3</v>
      </c>
      <c r="BT519">
        <v>7</v>
      </c>
      <c r="BU519">
        <v>3</v>
      </c>
      <c r="BV519">
        <v>0</v>
      </c>
      <c r="BW519">
        <v>9</v>
      </c>
      <c r="BX519">
        <v>9</v>
      </c>
      <c r="BY519">
        <v>5</v>
      </c>
      <c r="BZ519">
        <v>5</v>
      </c>
      <c r="CA519">
        <v>8</v>
      </c>
      <c r="CB519">
        <v>1</v>
      </c>
      <c r="CC519">
        <v>5</v>
      </c>
      <c r="CD519">
        <v>6</v>
      </c>
      <c r="CE519">
        <v>6</v>
      </c>
      <c r="CF519">
        <v>8</v>
      </c>
      <c r="CG519">
        <v>0</v>
      </c>
      <c r="CH519">
        <v>6</v>
      </c>
      <c r="CI519">
        <v>8</v>
      </c>
      <c r="CJ519">
        <v>10</v>
      </c>
      <c r="CK519">
        <v>0</v>
      </c>
      <c r="CL519">
        <v>7</v>
      </c>
      <c r="CM519">
        <v>10</v>
      </c>
      <c r="CN519">
        <v>9</v>
      </c>
      <c r="CO519">
        <v>7</v>
      </c>
      <c r="CP519">
        <v>7</v>
      </c>
      <c r="CQ519">
        <v>3</v>
      </c>
      <c r="CR519">
        <v>1</v>
      </c>
      <c r="CS519">
        <v>2</v>
      </c>
      <c r="CT519">
        <v>9</v>
      </c>
      <c r="CU519">
        <v>8</v>
      </c>
      <c r="CV519">
        <v>6</v>
      </c>
      <c r="CW519">
        <v>7</v>
      </c>
      <c r="CX519">
        <v>0</v>
      </c>
      <c r="CY519">
        <v>9</v>
      </c>
      <c r="CZ519">
        <v>9</v>
      </c>
      <c r="DA519">
        <v>3</v>
      </c>
      <c r="DB519">
        <v>9</v>
      </c>
      <c r="DC519">
        <v>6</v>
      </c>
      <c r="DD519">
        <v>4</v>
      </c>
      <c r="DE519">
        <v>3</v>
      </c>
      <c r="DF519">
        <v>10</v>
      </c>
      <c r="DG519">
        <v>6</v>
      </c>
      <c r="DH519">
        <v>7</v>
      </c>
      <c r="DI519">
        <v>8</v>
      </c>
      <c r="DJ519">
        <v>7</v>
      </c>
      <c r="DK519">
        <v>3</v>
      </c>
    </row>
    <row r="520" spans="1:115">
      <c r="A520" s="173">
        <f>Calculations[[#This Row],[Sum t eCO2]]*IF(Calculations[[#This Row],[GHG Scope]]="BIOGENIC",0,1)</f>
        <v>1.4330222000000001</v>
      </c>
      <c r="O520">
        <f t="shared" si="8"/>
        <v>519</v>
      </c>
      <c r="P520">
        <v>5</v>
      </c>
      <c r="Q520">
        <v>6</v>
      </c>
      <c r="R520">
        <v>3</v>
      </c>
      <c r="S520">
        <v>9</v>
      </c>
      <c r="T520">
        <v>7</v>
      </c>
      <c r="U520">
        <v>9</v>
      </c>
      <c r="V520">
        <v>7</v>
      </c>
      <c r="W520">
        <v>4</v>
      </c>
      <c r="X520">
        <v>6</v>
      </c>
      <c r="Y520">
        <v>1</v>
      </c>
      <c r="Z520">
        <v>8</v>
      </c>
      <c r="AA520">
        <v>4</v>
      </c>
      <c r="AB520">
        <v>2</v>
      </c>
      <c r="AC520">
        <v>1</v>
      </c>
      <c r="AD520">
        <v>1</v>
      </c>
      <c r="AE520">
        <v>8</v>
      </c>
      <c r="AF520">
        <v>10</v>
      </c>
      <c r="AG520">
        <v>5</v>
      </c>
      <c r="AH520">
        <v>1</v>
      </c>
      <c r="AI520">
        <v>5</v>
      </c>
      <c r="AJ520">
        <v>0</v>
      </c>
      <c r="AK520">
        <v>6</v>
      </c>
      <c r="AL520">
        <v>10</v>
      </c>
      <c r="AM520">
        <v>4</v>
      </c>
      <c r="AN520">
        <v>9</v>
      </c>
      <c r="AO520">
        <v>8</v>
      </c>
      <c r="AP520">
        <v>6</v>
      </c>
      <c r="AQ520">
        <v>3</v>
      </c>
      <c r="AR520">
        <v>0</v>
      </c>
      <c r="AS520">
        <v>10</v>
      </c>
      <c r="AT520">
        <v>8</v>
      </c>
      <c r="AU520">
        <v>8</v>
      </c>
      <c r="AV520">
        <v>5</v>
      </c>
      <c r="AW520">
        <v>6</v>
      </c>
      <c r="AX520">
        <v>1</v>
      </c>
      <c r="AY520">
        <v>4</v>
      </c>
      <c r="AZ520">
        <v>9</v>
      </c>
      <c r="BA520">
        <v>4</v>
      </c>
      <c r="BB520">
        <v>8</v>
      </c>
      <c r="BC520">
        <v>6</v>
      </c>
      <c r="BD520">
        <v>1</v>
      </c>
      <c r="BE520">
        <v>2</v>
      </c>
      <c r="BF520">
        <v>4</v>
      </c>
      <c r="BG520">
        <v>4</v>
      </c>
      <c r="BH520">
        <v>10</v>
      </c>
      <c r="BI520">
        <v>4</v>
      </c>
      <c r="BJ520">
        <v>10</v>
      </c>
      <c r="BK520">
        <v>8</v>
      </c>
      <c r="BL520">
        <v>1</v>
      </c>
      <c r="BM520">
        <v>1</v>
      </c>
      <c r="BN520">
        <v>0</v>
      </c>
      <c r="BO520">
        <v>1</v>
      </c>
      <c r="BP520">
        <v>4</v>
      </c>
      <c r="BQ520">
        <v>10</v>
      </c>
      <c r="BR520">
        <v>8</v>
      </c>
      <c r="BS520">
        <v>8</v>
      </c>
      <c r="BT520">
        <v>8</v>
      </c>
      <c r="BU520">
        <v>0</v>
      </c>
      <c r="BV520">
        <v>4</v>
      </c>
      <c r="BW520">
        <v>2</v>
      </c>
      <c r="BX520">
        <v>7</v>
      </c>
      <c r="BY520">
        <v>10</v>
      </c>
      <c r="BZ520">
        <v>4</v>
      </c>
      <c r="CA520">
        <v>0</v>
      </c>
      <c r="CB520">
        <v>2</v>
      </c>
      <c r="CC520">
        <v>7</v>
      </c>
      <c r="CD520">
        <v>9</v>
      </c>
      <c r="CE520">
        <v>7</v>
      </c>
      <c r="CF520">
        <v>0</v>
      </c>
      <c r="CG520">
        <v>3</v>
      </c>
      <c r="CH520">
        <v>10</v>
      </c>
      <c r="CI520">
        <v>2</v>
      </c>
      <c r="CJ520">
        <v>0</v>
      </c>
      <c r="CK520">
        <v>7</v>
      </c>
      <c r="CL520">
        <v>4</v>
      </c>
      <c r="CM520">
        <v>8</v>
      </c>
      <c r="CN520">
        <v>9</v>
      </c>
      <c r="CO520">
        <v>4</v>
      </c>
      <c r="CP520">
        <v>2</v>
      </c>
      <c r="CQ520">
        <v>6</v>
      </c>
      <c r="CR520">
        <v>10</v>
      </c>
      <c r="CS520">
        <v>2</v>
      </c>
      <c r="CT520">
        <v>5</v>
      </c>
      <c r="CU520">
        <v>10</v>
      </c>
      <c r="CV520">
        <v>4</v>
      </c>
      <c r="CW520">
        <v>0</v>
      </c>
      <c r="CX520">
        <v>9</v>
      </c>
      <c r="CY520">
        <v>4</v>
      </c>
      <c r="CZ520">
        <v>2</v>
      </c>
      <c r="DA520">
        <v>5</v>
      </c>
      <c r="DB520">
        <v>2</v>
      </c>
      <c r="DC520">
        <v>5</v>
      </c>
      <c r="DD520">
        <v>2</v>
      </c>
      <c r="DE520">
        <v>6</v>
      </c>
      <c r="DF520">
        <v>3</v>
      </c>
      <c r="DG520">
        <v>1</v>
      </c>
      <c r="DH520">
        <v>9</v>
      </c>
      <c r="DI520">
        <v>0</v>
      </c>
      <c r="DJ520">
        <v>8</v>
      </c>
      <c r="DK520">
        <v>9</v>
      </c>
    </row>
    <row r="521" spans="1:115">
      <c r="A521" s="173">
        <f>Calculations[[#This Row],[Sum t eCO2]]*IF(Calculations[[#This Row],[GHG Scope]]="BIOGENIC",0,1)</f>
        <v>0.34474407083999997</v>
      </c>
      <c r="O521">
        <f t="shared" si="8"/>
        <v>520</v>
      </c>
      <c r="P521">
        <v>2</v>
      </c>
      <c r="Q521">
        <v>3</v>
      </c>
      <c r="R521">
        <v>6</v>
      </c>
      <c r="S521">
        <v>0</v>
      </c>
      <c r="T521">
        <v>4</v>
      </c>
      <c r="U521">
        <v>8</v>
      </c>
      <c r="V521">
        <v>0</v>
      </c>
      <c r="W521">
        <v>0</v>
      </c>
      <c r="X521">
        <v>0</v>
      </c>
      <c r="Y521">
        <v>5</v>
      </c>
      <c r="Z521">
        <v>8</v>
      </c>
      <c r="AA521">
        <v>7</v>
      </c>
      <c r="AB521">
        <v>9</v>
      </c>
      <c r="AC521">
        <v>6</v>
      </c>
      <c r="AD521">
        <v>6</v>
      </c>
      <c r="AE521">
        <v>0</v>
      </c>
      <c r="AF521">
        <v>7</v>
      </c>
      <c r="AG521">
        <v>2</v>
      </c>
      <c r="AH521">
        <v>4</v>
      </c>
      <c r="AI521">
        <v>6</v>
      </c>
      <c r="AJ521">
        <v>0</v>
      </c>
      <c r="AK521">
        <v>3</v>
      </c>
      <c r="AL521">
        <v>7</v>
      </c>
      <c r="AM521">
        <v>1</v>
      </c>
      <c r="AN521">
        <v>9</v>
      </c>
      <c r="AO521">
        <v>7</v>
      </c>
      <c r="AP521">
        <v>0</v>
      </c>
      <c r="AQ521">
        <v>1</v>
      </c>
      <c r="AR521">
        <v>3</v>
      </c>
      <c r="AS521">
        <v>1</v>
      </c>
      <c r="AT521">
        <v>1</v>
      </c>
      <c r="AU521">
        <v>1</v>
      </c>
      <c r="AV521">
        <v>8</v>
      </c>
      <c r="AW521">
        <v>8</v>
      </c>
      <c r="AX521">
        <v>5</v>
      </c>
      <c r="AY521">
        <v>5</v>
      </c>
      <c r="AZ521">
        <v>5</v>
      </c>
      <c r="BA521">
        <v>1</v>
      </c>
      <c r="BB521">
        <v>10</v>
      </c>
      <c r="BC521">
        <v>10</v>
      </c>
      <c r="BD521">
        <v>0</v>
      </c>
      <c r="BE521">
        <v>1</v>
      </c>
      <c r="BF521">
        <v>7</v>
      </c>
      <c r="BG521">
        <v>4</v>
      </c>
      <c r="BH521">
        <v>5</v>
      </c>
      <c r="BI521">
        <v>9</v>
      </c>
      <c r="BJ521">
        <v>10</v>
      </c>
      <c r="BK521">
        <v>6</v>
      </c>
      <c r="BL521">
        <v>7</v>
      </c>
      <c r="BM521">
        <v>8</v>
      </c>
      <c r="BN521">
        <v>2</v>
      </c>
      <c r="BO521">
        <v>3</v>
      </c>
      <c r="BP521">
        <v>7</v>
      </c>
      <c r="BQ521">
        <v>6</v>
      </c>
      <c r="BR521">
        <v>1</v>
      </c>
      <c r="BS521">
        <v>1</v>
      </c>
      <c r="BT521">
        <v>0</v>
      </c>
      <c r="BU521">
        <v>6</v>
      </c>
      <c r="BV521">
        <v>1</v>
      </c>
      <c r="BW521">
        <v>8</v>
      </c>
      <c r="BX521">
        <v>0</v>
      </c>
      <c r="BY521">
        <v>3</v>
      </c>
      <c r="BZ521">
        <v>10</v>
      </c>
      <c r="CA521">
        <v>3</v>
      </c>
      <c r="CB521">
        <v>1</v>
      </c>
      <c r="CC521">
        <v>2</v>
      </c>
      <c r="CD521">
        <v>9</v>
      </c>
      <c r="CE521">
        <v>5</v>
      </c>
      <c r="CF521">
        <v>0</v>
      </c>
      <c r="CG521">
        <v>0</v>
      </c>
      <c r="CH521">
        <v>2</v>
      </c>
      <c r="CI521">
        <v>5</v>
      </c>
      <c r="CJ521">
        <v>1</v>
      </c>
      <c r="CK521">
        <v>0</v>
      </c>
      <c r="CL521">
        <v>3</v>
      </c>
      <c r="CM521">
        <v>6</v>
      </c>
      <c r="CN521">
        <v>9</v>
      </c>
      <c r="CO521">
        <v>8</v>
      </c>
      <c r="CP521">
        <v>9</v>
      </c>
      <c r="CQ521">
        <v>0</v>
      </c>
      <c r="CR521">
        <v>10</v>
      </c>
      <c r="CS521">
        <v>2</v>
      </c>
      <c r="CT521">
        <v>7</v>
      </c>
      <c r="CU521">
        <v>10</v>
      </c>
      <c r="CV521">
        <v>5</v>
      </c>
      <c r="CW521">
        <v>1</v>
      </c>
      <c r="CX521">
        <v>0</v>
      </c>
      <c r="CY521">
        <v>10</v>
      </c>
      <c r="CZ521">
        <v>6</v>
      </c>
      <c r="DA521">
        <v>6</v>
      </c>
      <c r="DB521">
        <v>7</v>
      </c>
      <c r="DC521">
        <v>6</v>
      </c>
      <c r="DD521">
        <v>6</v>
      </c>
      <c r="DE521">
        <v>5</v>
      </c>
      <c r="DF521">
        <v>9</v>
      </c>
      <c r="DG521">
        <v>3</v>
      </c>
      <c r="DH521">
        <v>3</v>
      </c>
      <c r="DI521">
        <v>8</v>
      </c>
      <c r="DJ521">
        <v>3</v>
      </c>
      <c r="DK521">
        <v>0</v>
      </c>
    </row>
    <row r="522" spans="1:115">
      <c r="A522" s="173">
        <f>Calculations[[#This Row],[Sum t eCO2]]*IF(Calculations[[#This Row],[GHG Scope]]="BIOGENIC",0,1)</f>
        <v>0.32143008222000002</v>
      </c>
      <c r="O522">
        <f t="shared" si="8"/>
        <v>521</v>
      </c>
      <c r="P522">
        <v>6</v>
      </c>
      <c r="Q522">
        <v>6</v>
      </c>
      <c r="R522">
        <v>0</v>
      </c>
      <c r="S522">
        <v>5</v>
      </c>
      <c r="T522">
        <v>1</v>
      </c>
      <c r="U522">
        <v>6</v>
      </c>
      <c r="V522">
        <v>2</v>
      </c>
      <c r="W522">
        <v>10</v>
      </c>
      <c r="X522">
        <v>2</v>
      </c>
      <c r="Y522">
        <v>5</v>
      </c>
      <c r="Z522">
        <v>10</v>
      </c>
      <c r="AA522">
        <v>5</v>
      </c>
      <c r="AB522">
        <v>2</v>
      </c>
      <c r="AC522">
        <v>2</v>
      </c>
      <c r="AD522">
        <v>7</v>
      </c>
      <c r="AE522">
        <v>10</v>
      </c>
      <c r="AF522">
        <v>0</v>
      </c>
      <c r="AG522">
        <v>3</v>
      </c>
      <c r="AH522">
        <v>7</v>
      </c>
      <c r="AI522">
        <v>5</v>
      </c>
      <c r="AJ522">
        <v>7</v>
      </c>
      <c r="AK522">
        <v>4</v>
      </c>
      <c r="AL522">
        <v>5</v>
      </c>
      <c r="AM522">
        <v>10</v>
      </c>
      <c r="AN522">
        <v>2</v>
      </c>
      <c r="AO522">
        <v>10</v>
      </c>
      <c r="AP522">
        <v>1</v>
      </c>
      <c r="AQ522">
        <v>8</v>
      </c>
      <c r="AR522">
        <v>5</v>
      </c>
      <c r="AS522">
        <v>7</v>
      </c>
      <c r="AT522">
        <v>9</v>
      </c>
      <c r="AU522">
        <v>10</v>
      </c>
      <c r="AV522">
        <v>9</v>
      </c>
      <c r="AW522">
        <v>1</v>
      </c>
      <c r="AX522">
        <v>10</v>
      </c>
      <c r="AY522">
        <v>4</v>
      </c>
      <c r="AZ522">
        <v>10</v>
      </c>
      <c r="BA522">
        <v>4</v>
      </c>
      <c r="BB522">
        <v>10</v>
      </c>
      <c r="BC522">
        <v>9</v>
      </c>
      <c r="BD522">
        <v>7</v>
      </c>
      <c r="BE522">
        <v>4</v>
      </c>
      <c r="BF522">
        <v>1</v>
      </c>
      <c r="BG522">
        <v>4</v>
      </c>
      <c r="BH522">
        <v>1</v>
      </c>
      <c r="BI522">
        <v>10</v>
      </c>
      <c r="BJ522">
        <v>1</v>
      </c>
      <c r="BK522">
        <v>1</v>
      </c>
      <c r="BL522">
        <v>5</v>
      </c>
      <c r="BM522">
        <v>6</v>
      </c>
      <c r="BN522">
        <v>1</v>
      </c>
      <c r="BO522">
        <v>8</v>
      </c>
      <c r="BP522">
        <v>2</v>
      </c>
      <c r="BQ522">
        <v>8</v>
      </c>
      <c r="BR522">
        <v>2</v>
      </c>
      <c r="BS522">
        <v>8</v>
      </c>
      <c r="BT522">
        <v>5</v>
      </c>
      <c r="BU522">
        <v>9</v>
      </c>
      <c r="BV522">
        <v>4</v>
      </c>
      <c r="BW522">
        <v>3</v>
      </c>
      <c r="BX522">
        <v>9</v>
      </c>
      <c r="BY522">
        <v>0</v>
      </c>
      <c r="BZ522">
        <v>8</v>
      </c>
      <c r="CA522">
        <v>4</v>
      </c>
      <c r="CB522">
        <v>3</v>
      </c>
      <c r="CC522">
        <v>5</v>
      </c>
      <c r="CD522">
        <v>1</v>
      </c>
      <c r="CE522">
        <v>2</v>
      </c>
      <c r="CF522">
        <v>0</v>
      </c>
      <c r="CG522">
        <v>10</v>
      </c>
      <c r="CH522">
        <v>1</v>
      </c>
      <c r="CI522">
        <v>5</v>
      </c>
      <c r="CJ522">
        <v>8</v>
      </c>
      <c r="CK522">
        <v>0</v>
      </c>
      <c r="CL522">
        <v>5</v>
      </c>
      <c r="CM522">
        <v>6</v>
      </c>
      <c r="CN522">
        <v>0</v>
      </c>
      <c r="CO522">
        <v>10</v>
      </c>
      <c r="CP522">
        <v>5</v>
      </c>
      <c r="CQ522">
        <v>0</v>
      </c>
      <c r="CR522">
        <v>5</v>
      </c>
      <c r="CS522">
        <v>10</v>
      </c>
      <c r="CT522">
        <v>7</v>
      </c>
      <c r="CU522">
        <v>4</v>
      </c>
      <c r="CV522">
        <v>9</v>
      </c>
      <c r="CW522">
        <v>2</v>
      </c>
      <c r="CX522">
        <v>3</v>
      </c>
      <c r="CY522">
        <v>4</v>
      </c>
      <c r="CZ522">
        <v>3</v>
      </c>
      <c r="DA522">
        <v>3</v>
      </c>
      <c r="DB522">
        <v>8</v>
      </c>
      <c r="DC522">
        <v>3</v>
      </c>
      <c r="DD522">
        <v>9</v>
      </c>
      <c r="DE522">
        <v>4</v>
      </c>
      <c r="DF522">
        <v>3</v>
      </c>
      <c r="DG522">
        <v>6</v>
      </c>
      <c r="DH522">
        <v>2</v>
      </c>
      <c r="DI522">
        <v>5</v>
      </c>
      <c r="DJ522">
        <v>1</v>
      </c>
      <c r="DK522">
        <v>9</v>
      </c>
    </row>
    <row r="523" spans="1:115">
      <c r="A523" s="173">
        <f>Calculations[[#This Row],[Sum t eCO2]]*IF(Calculations[[#This Row],[GHG Scope]]="BIOGENIC",0,1)</f>
        <v>0.19463203200000001</v>
      </c>
      <c r="O523">
        <f t="shared" si="8"/>
        <v>522</v>
      </c>
      <c r="P523">
        <v>5</v>
      </c>
      <c r="Q523">
        <v>0</v>
      </c>
      <c r="R523">
        <v>3</v>
      </c>
      <c r="S523">
        <v>0</v>
      </c>
      <c r="T523">
        <v>5</v>
      </c>
      <c r="U523">
        <v>1</v>
      </c>
      <c r="V523">
        <v>3</v>
      </c>
      <c r="W523">
        <v>1</v>
      </c>
      <c r="X523">
        <v>5</v>
      </c>
      <c r="Y523">
        <v>10</v>
      </c>
      <c r="Z523">
        <v>5</v>
      </c>
      <c r="AA523">
        <v>7</v>
      </c>
      <c r="AB523">
        <v>5</v>
      </c>
      <c r="AC523">
        <v>1</v>
      </c>
      <c r="AD523">
        <v>6</v>
      </c>
      <c r="AE523">
        <v>0</v>
      </c>
      <c r="AF523">
        <v>7</v>
      </c>
      <c r="AG523">
        <v>2</v>
      </c>
      <c r="AH523">
        <v>10</v>
      </c>
      <c r="AI523">
        <v>9</v>
      </c>
      <c r="AJ523">
        <v>3</v>
      </c>
      <c r="AK523">
        <v>9</v>
      </c>
      <c r="AL523">
        <v>5</v>
      </c>
      <c r="AM523">
        <v>5</v>
      </c>
      <c r="AN523">
        <v>0</v>
      </c>
      <c r="AO523">
        <v>1</v>
      </c>
      <c r="AP523">
        <v>3</v>
      </c>
      <c r="AQ523">
        <v>5</v>
      </c>
      <c r="AR523">
        <v>3</v>
      </c>
      <c r="AS523">
        <v>2</v>
      </c>
      <c r="AT523">
        <v>7</v>
      </c>
      <c r="AU523">
        <v>8</v>
      </c>
      <c r="AV523">
        <v>1</v>
      </c>
      <c r="AW523">
        <v>3</v>
      </c>
      <c r="AX523">
        <v>2</v>
      </c>
      <c r="AY523">
        <v>8</v>
      </c>
      <c r="AZ523">
        <v>4</v>
      </c>
      <c r="BA523">
        <v>9</v>
      </c>
      <c r="BB523">
        <v>3</v>
      </c>
      <c r="BC523">
        <v>0</v>
      </c>
      <c r="BD523">
        <v>10</v>
      </c>
      <c r="BE523">
        <v>8</v>
      </c>
      <c r="BF523">
        <v>4</v>
      </c>
      <c r="BG523">
        <v>4</v>
      </c>
      <c r="BH523">
        <v>7</v>
      </c>
      <c r="BI523">
        <v>7</v>
      </c>
      <c r="BJ523">
        <v>0</v>
      </c>
      <c r="BK523">
        <v>6</v>
      </c>
      <c r="BL523">
        <v>7</v>
      </c>
      <c r="BM523">
        <v>10</v>
      </c>
      <c r="BN523">
        <v>5</v>
      </c>
      <c r="BO523">
        <v>5</v>
      </c>
      <c r="BP523">
        <v>4</v>
      </c>
      <c r="BQ523">
        <v>9</v>
      </c>
      <c r="BR523">
        <v>0</v>
      </c>
      <c r="BS523">
        <v>10</v>
      </c>
      <c r="BT523">
        <v>9</v>
      </c>
      <c r="BU523">
        <v>8</v>
      </c>
      <c r="BV523">
        <v>10</v>
      </c>
      <c r="BW523">
        <v>7</v>
      </c>
      <c r="BX523">
        <v>7</v>
      </c>
      <c r="BY523">
        <v>8</v>
      </c>
      <c r="BZ523">
        <v>5</v>
      </c>
      <c r="CA523">
        <v>6</v>
      </c>
      <c r="CB523">
        <v>7</v>
      </c>
      <c r="CC523">
        <v>7</v>
      </c>
      <c r="CD523">
        <v>7</v>
      </c>
      <c r="CE523">
        <v>6</v>
      </c>
      <c r="CF523">
        <v>1</v>
      </c>
      <c r="CG523">
        <v>8</v>
      </c>
      <c r="CH523">
        <v>2</v>
      </c>
      <c r="CI523">
        <v>1</v>
      </c>
      <c r="CJ523">
        <v>9</v>
      </c>
      <c r="CK523">
        <v>0</v>
      </c>
      <c r="CL523">
        <v>0</v>
      </c>
      <c r="CM523">
        <v>8</v>
      </c>
      <c r="CN523">
        <v>5</v>
      </c>
      <c r="CO523">
        <v>8</v>
      </c>
      <c r="CP523">
        <v>9</v>
      </c>
      <c r="CQ523">
        <v>4</v>
      </c>
      <c r="CR523">
        <v>6</v>
      </c>
      <c r="CS523">
        <v>4</v>
      </c>
      <c r="CT523">
        <v>1</v>
      </c>
      <c r="CU523">
        <v>8</v>
      </c>
      <c r="CV523">
        <v>0</v>
      </c>
      <c r="CW523">
        <v>6</v>
      </c>
      <c r="CX523">
        <v>4</v>
      </c>
      <c r="CY523">
        <v>10</v>
      </c>
      <c r="CZ523">
        <v>4</v>
      </c>
      <c r="DA523">
        <v>3</v>
      </c>
      <c r="DB523">
        <v>6</v>
      </c>
      <c r="DC523">
        <v>0</v>
      </c>
      <c r="DD523">
        <v>7</v>
      </c>
      <c r="DE523">
        <v>8</v>
      </c>
      <c r="DF523">
        <v>2</v>
      </c>
      <c r="DG523">
        <v>8</v>
      </c>
      <c r="DH523">
        <v>3</v>
      </c>
      <c r="DI523">
        <v>7</v>
      </c>
      <c r="DJ523">
        <v>3</v>
      </c>
      <c r="DK523">
        <v>5</v>
      </c>
    </row>
    <row r="524" spans="1:115">
      <c r="A524" s="173">
        <f>Calculations[[#This Row],[Sum t eCO2]]*IF(Calculations[[#This Row],[GHG Scope]]="BIOGENIC",0,1)</f>
        <v>345.08312754034</v>
      </c>
      <c r="O524">
        <f t="shared" si="8"/>
        <v>523</v>
      </c>
      <c r="P524">
        <v>0</v>
      </c>
      <c r="Q524">
        <v>3</v>
      </c>
      <c r="R524">
        <v>6</v>
      </c>
      <c r="S524">
        <v>1</v>
      </c>
      <c r="T524">
        <v>1</v>
      </c>
      <c r="U524">
        <v>2</v>
      </c>
      <c r="V524">
        <v>8</v>
      </c>
      <c r="W524">
        <v>10</v>
      </c>
      <c r="X524">
        <v>6</v>
      </c>
      <c r="Y524">
        <v>5</v>
      </c>
      <c r="Z524">
        <v>8</v>
      </c>
      <c r="AA524">
        <v>2</v>
      </c>
      <c r="AB524">
        <v>8</v>
      </c>
      <c r="AC524">
        <v>9</v>
      </c>
      <c r="AD524">
        <v>4</v>
      </c>
      <c r="AE524">
        <v>7</v>
      </c>
      <c r="AF524">
        <v>6</v>
      </c>
      <c r="AG524">
        <v>1</v>
      </c>
      <c r="AH524">
        <v>3</v>
      </c>
      <c r="AI524">
        <v>1</v>
      </c>
      <c r="AJ524">
        <v>5</v>
      </c>
      <c r="AK524">
        <v>5</v>
      </c>
      <c r="AL524">
        <v>1</v>
      </c>
      <c r="AM524">
        <v>5</v>
      </c>
      <c r="AN524">
        <v>0</v>
      </c>
      <c r="AO524">
        <v>5</v>
      </c>
      <c r="AP524">
        <v>2</v>
      </c>
      <c r="AQ524">
        <v>10</v>
      </c>
      <c r="AR524">
        <v>9</v>
      </c>
      <c r="AS524">
        <v>10</v>
      </c>
      <c r="AT524">
        <v>1</v>
      </c>
      <c r="AU524">
        <v>10</v>
      </c>
      <c r="AV524">
        <v>4</v>
      </c>
      <c r="AW524">
        <v>9</v>
      </c>
      <c r="AX524">
        <v>7</v>
      </c>
      <c r="AY524">
        <v>0</v>
      </c>
      <c r="AZ524">
        <v>2</v>
      </c>
      <c r="BA524">
        <v>8</v>
      </c>
      <c r="BB524">
        <v>2</v>
      </c>
      <c r="BC524">
        <v>10</v>
      </c>
      <c r="BD524">
        <v>8</v>
      </c>
      <c r="BE524">
        <v>2</v>
      </c>
      <c r="BF524">
        <v>1</v>
      </c>
      <c r="BG524">
        <v>10</v>
      </c>
      <c r="BH524">
        <v>3</v>
      </c>
      <c r="BI524">
        <v>3</v>
      </c>
      <c r="BJ524">
        <v>3</v>
      </c>
      <c r="BK524">
        <v>1</v>
      </c>
      <c r="BL524">
        <v>9</v>
      </c>
      <c r="BM524">
        <v>6</v>
      </c>
      <c r="BN524">
        <v>6</v>
      </c>
      <c r="BO524">
        <v>4</v>
      </c>
      <c r="BP524">
        <v>7</v>
      </c>
      <c r="BQ524">
        <v>7</v>
      </c>
      <c r="BR524">
        <v>2</v>
      </c>
      <c r="BS524">
        <v>2</v>
      </c>
      <c r="BT524">
        <v>4</v>
      </c>
      <c r="BU524">
        <v>8</v>
      </c>
      <c r="BV524">
        <v>6</v>
      </c>
      <c r="BW524">
        <v>5</v>
      </c>
      <c r="BX524">
        <v>10</v>
      </c>
      <c r="BY524">
        <v>6</v>
      </c>
      <c r="BZ524">
        <v>10</v>
      </c>
      <c r="CA524">
        <v>7</v>
      </c>
      <c r="CB524">
        <v>4</v>
      </c>
      <c r="CC524">
        <v>0</v>
      </c>
      <c r="CD524">
        <v>5</v>
      </c>
      <c r="CE524">
        <v>2</v>
      </c>
      <c r="CF524">
        <v>6</v>
      </c>
      <c r="CG524">
        <v>5</v>
      </c>
      <c r="CH524">
        <v>6</v>
      </c>
      <c r="CI524">
        <v>3</v>
      </c>
      <c r="CJ524">
        <v>6</v>
      </c>
      <c r="CK524">
        <v>2</v>
      </c>
      <c r="CL524">
        <v>8</v>
      </c>
      <c r="CM524">
        <v>9</v>
      </c>
      <c r="CN524">
        <v>0</v>
      </c>
      <c r="CO524">
        <v>9</v>
      </c>
      <c r="CP524">
        <v>1</v>
      </c>
      <c r="CQ524">
        <v>4</v>
      </c>
      <c r="CR524">
        <v>6</v>
      </c>
      <c r="CS524">
        <v>9</v>
      </c>
      <c r="CT524">
        <v>2</v>
      </c>
      <c r="CU524">
        <v>3</v>
      </c>
      <c r="CV524">
        <v>7</v>
      </c>
      <c r="CW524">
        <v>8</v>
      </c>
      <c r="CX524">
        <v>0</v>
      </c>
      <c r="CY524">
        <v>4</v>
      </c>
      <c r="CZ524">
        <v>4</v>
      </c>
      <c r="DA524">
        <v>5</v>
      </c>
      <c r="DB524">
        <v>1</v>
      </c>
      <c r="DC524">
        <v>8</v>
      </c>
      <c r="DD524">
        <v>1</v>
      </c>
      <c r="DE524">
        <v>3</v>
      </c>
      <c r="DF524">
        <v>2</v>
      </c>
      <c r="DG524">
        <v>3</v>
      </c>
      <c r="DH524">
        <v>1</v>
      </c>
      <c r="DI524">
        <v>0</v>
      </c>
      <c r="DJ524">
        <v>5</v>
      </c>
      <c r="DK524">
        <v>5</v>
      </c>
    </row>
    <row r="525" spans="1:115">
      <c r="A525" s="173">
        <f>Calculations[[#This Row],[Sum t eCO2]]*IF(Calculations[[#This Row],[GHG Scope]]="BIOGENIC",0,1)</f>
        <v>0.24197788042960006</v>
      </c>
      <c r="O525">
        <f t="shared" si="8"/>
        <v>524</v>
      </c>
      <c r="P525">
        <v>0</v>
      </c>
      <c r="Q525">
        <v>10</v>
      </c>
      <c r="R525">
        <v>5</v>
      </c>
      <c r="S525">
        <v>2</v>
      </c>
      <c r="T525">
        <v>6</v>
      </c>
      <c r="U525">
        <v>5</v>
      </c>
      <c r="V525">
        <v>3</v>
      </c>
      <c r="W525">
        <v>6</v>
      </c>
      <c r="X525">
        <v>9</v>
      </c>
      <c r="Y525">
        <v>5</v>
      </c>
      <c r="Z525">
        <v>9</v>
      </c>
      <c r="AA525">
        <v>5</v>
      </c>
      <c r="AB525">
        <v>4</v>
      </c>
      <c r="AC525">
        <v>8</v>
      </c>
      <c r="AD525">
        <v>7</v>
      </c>
      <c r="AE525">
        <v>7</v>
      </c>
      <c r="AF525">
        <v>9</v>
      </c>
      <c r="AG525">
        <v>2</v>
      </c>
      <c r="AH525">
        <v>5</v>
      </c>
      <c r="AI525">
        <v>8</v>
      </c>
      <c r="AJ525">
        <v>3</v>
      </c>
      <c r="AK525">
        <v>5</v>
      </c>
      <c r="AL525">
        <v>7</v>
      </c>
      <c r="AM525">
        <v>9</v>
      </c>
      <c r="AN525">
        <v>2</v>
      </c>
      <c r="AO525">
        <v>2</v>
      </c>
      <c r="AP525">
        <v>4</v>
      </c>
      <c r="AQ525">
        <v>5</v>
      </c>
      <c r="AR525">
        <v>7</v>
      </c>
      <c r="AS525">
        <v>0</v>
      </c>
      <c r="AT525">
        <v>1</v>
      </c>
      <c r="AU525">
        <v>10</v>
      </c>
      <c r="AV525">
        <v>5</v>
      </c>
      <c r="AW525">
        <v>1</v>
      </c>
      <c r="AX525">
        <v>1</v>
      </c>
      <c r="AY525">
        <v>0</v>
      </c>
      <c r="AZ525">
        <v>4</v>
      </c>
      <c r="BA525">
        <v>9</v>
      </c>
      <c r="BB525">
        <v>3</v>
      </c>
      <c r="BC525">
        <v>9</v>
      </c>
      <c r="BD525">
        <v>8</v>
      </c>
      <c r="BE525">
        <v>9</v>
      </c>
      <c r="BF525">
        <v>0</v>
      </c>
      <c r="BG525">
        <v>10</v>
      </c>
      <c r="BH525">
        <v>0</v>
      </c>
      <c r="BI525">
        <v>6</v>
      </c>
      <c r="BJ525">
        <v>10</v>
      </c>
      <c r="BK525">
        <v>6</v>
      </c>
      <c r="BL525">
        <v>9</v>
      </c>
      <c r="BM525">
        <v>9</v>
      </c>
      <c r="BN525">
        <v>4</v>
      </c>
      <c r="BO525">
        <v>4</v>
      </c>
      <c r="BP525">
        <v>6</v>
      </c>
      <c r="BQ525">
        <v>0</v>
      </c>
      <c r="BR525">
        <v>8</v>
      </c>
      <c r="BS525">
        <v>4</v>
      </c>
      <c r="BT525">
        <v>5</v>
      </c>
      <c r="BU525">
        <v>3</v>
      </c>
      <c r="BV525">
        <v>9</v>
      </c>
      <c r="BW525">
        <v>1</v>
      </c>
      <c r="BX525">
        <v>10</v>
      </c>
      <c r="BY525">
        <v>1</v>
      </c>
      <c r="BZ525">
        <v>0</v>
      </c>
      <c r="CA525">
        <v>7</v>
      </c>
      <c r="CB525">
        <v>9</v>
      </c>
      <c r="CC525">
        <v>1</v>
      </c>
      <c r="CD525">
        <v>2</v>
      </c>
      <c r="CE525">
        <v>7</v>
      </c>
      <c r="CF525">
        <v>4</v>
      </c>
      <c r="CG525">
        <v>2</v>
      </c>
      <c r="CH525">
        <v>0</v>
      </c>
      <c r="CI525">
        <v>5</v>
      </c>
      <c r="CJ525">
        <v>3</v>
      </c>
      <c r="CK525">
        <v>6</v>
      </c>
      <c r="CL525">
        <v>7</v>
      </c>
      <c r="CM525">
        <v>6</v>
      </c>
      <c r="CN525">
        <v>8</v>
      </c>
      <c r="CO525">
        <v>4</v>
      </c>
      <c r="CP525">
        <v>6</v>
      </c>
      <c r="CQ525">
        <v>9</v>
      </c>
      <c r="CR525">
        <v>0</v>
      </c>
      <c r="CS525">
        <v>6</v>
      </c>
      <c r="CT525">
        <v>10</v>
      </c>
      <c r="CU525">
        <v>8</v>
      </c>
      <c r="CV525">
        <v>3</v>
      </c>
      <c r="CW525">
        <v>7</v>
      </c>
      <c r="CX525">
        <v>8</v>
      </c>
      <c r="CY525">
        <v>9</v>
      </c>
      <c r="CZ525">
        <v>9</v>
      </c>
      <c r="DA525">
        <v>8</v>
      </c>
      <c r="DB525">
        <v>6</v>
      </c>
      <c r="DC525">
        <v>0</v>
      </c>
      <c r="DD525">
        <v>5</v>
      </c>
      <c r="DE525">
        <v>0</v>
      </c>
      <c r="DF525">
        <v>4</v>
      </c>
      <c r="DG525">
        <v>4</v>
      </c>
      <c r="DH525">
        <v>7</v>
      </c>
      <c r="DI525">
        <v>6</v>
      </c>
      <c r="DJ525">
        <v>0</v>
      </c>
      <c r="DK525">
        <v>0</v>
      </c>
    </row>
    <row r="526" spans="1:115">
      <c r="A526" s="173">
        <f>Calculations[[#This Row],[Sum t eCO2]]*IF(Calculations[[#This Row],[GHG Scope]]="BIOGENIC",0,1)</f>
        <v>0.94297433251665008</v>
      </c>
      <c r="O526">
        <f t="shared" si="8"/>
        <v>525</v>
      </c>
      <c r="P526">
        <v>8</v>
      </c>
      <c r="Q526">
        <v>4</v>
      </c>
      <c r="R526">
        <v>3</v>
      </c>
      <c r="S526">
        <v>10</v>
      </c>
      <c r="T526">
        <v>10</v>
      </c>
      <c r="U526">
        <v>4</v>
      </c>
      <c r="V526">
        <v>0</v>
      </c>
      <c r="W526">
        <v>2</v>
      </c>
      <c r="X526">
        <v>9</v>
      </c>
      <c r="Y526">
        <v>9</v>
      </c>
      <c r="Z526">
        <v>7</v>
      </c>
      <c r="AA526">
        <v>5</v>
      </c>
      <c r="AB526">
        <v>5</v>
      </c>
      <c r="AC526">
        <v>5</v>
      </c>
      <c r="AD526">
        <v>10</v>
      </c>
      <c r="AE526">
        <v>0</v>
      </c>
      <c r="AF526">
        <v>9</v>
      </c>
      <c r="AG526">
        <v>2</v>
      </c>
      <c r="AH526">
        <v>6</v>
      </c>
      <c r="AI526">
        <v>7</v>
      </c>
      <c r="AJ526">
        <v>7</v>
      </c>
      <c r="AK526">
        <v>8</v>
      </c>
      <c r="AL526">
        <v>5</v>
      </c>
      <c r="AM526">
        <v>5</v>
      </c>
      <c r="AN526">
        <v>5</v>
      </c>
      <c r="AO526">
        <v>0</v>
      </c>
      <c r="AP526">
        <v>10</v>
      </c>
      <c r="AQ526">
        <v>5</v>
      </c>
      <c r="AR526">
        <v>0</v>
      </c>
      <c r="AS526">
        <v>6</v>
      </c>
      <c r="AT526">
        <v>10</v>
      </c>
      <c r="AU526">
        <v>5</v>
      </c>
      <c r="AV526">
        <v>8</v>
      </c>
      <c r="AW526">
        <v>9</v>
      </c>
      <c r="AX526">
        <v>0</v>
      </c>
      <c r="AY526">
        <v>7</v>
      </c>
      <c r="AZ526">
        <v>4</v>
      </c>
      <c r="BA526">
        <v>10</v>
      </c>
      <c r="BB526">
        <v>0</v>
      </c>
      <c r="BC526">
        <v>8</v>
      </c>
      <c r="BD526">
        <v>1</v>
      </c>
      <c r="BE526">
        <v>5</v>
      </c>
      <c r="BF526">
        <v>2</v>
      </c>
      <c r="BG526">
        <v>4</v>
      </c>
      <c r="BH526">
        <v>3</v>
      </c>
      <c r="BI526">
        <v>5</v>
      </c>
      <c r="BJ526">
        <v>7</v>
      </c>
      <c r="BK526">
        <v>0</v>
      </c>
      <c r="BL526">
        <v>9</v>
      </c>
      <c r="BM526">
        <v>6</v>
      </c>
      <c r="BN526">
        <v>6</v>
      </c>
      <c r="BO526">
        <v>8</v>
      </c>
      <c r="BP526">
        <v>7</v>
      </c>
      <c r="BQ526">
        <v>1</v>
      </c>
      <c r="BR526">
        <v>3</v>
      </c>
      <c r="BS526">
        <v>8</v>
      </c>
      <c r="BT526">
        <v>10</v>
      </c>
      <c r="BU526">
        <v>7</v>
      </c>
      <c r="BV526">
        <v>7</v>
      </c>
      <c r="BW526">
        <v>4</v>
      </c>
      <c r="BX526">
        <v>6</v>
      </c>
      <c r="BY526">
        <v>3</v>
      </c>
      <c r="BZ526">
        <v>6</v>
      </c>
      <c r="CA526">
        <v>6</v>
      </c>
      <c r="CB526">
        <v>8</v>
      </c>
      <c r="CC526">
        <v>0</v>
      </c>
      <c r="CD526">
        <v>7</v>
      </c>
      <c r="CE526">
        <v>10</v>
      </c>
      <c r="CF526">
        <v>8</v>
      </c>
      <c r="CG526">
        <v>6</v>
      </c>
      <c r="CH526">
        <v>10</v>
      </c>
      <c r="CI526">
        <v>6</v>
      </c>
      <c r="CJ526">
        <v>0</v>
      </c>
      <c r="CK526">
        <v>4</v>
      </c>
      <c r="CL526">
        <v>4</v>
      </c>
      <c r="CM526">
        <v>0</v>
      </c>
      <c r="CN526">
        <v>2</v>
      </c>
      <c r="CO526">
        <v>0</v>
      </c>
      <c r="CP526">
        <v>0</v>
      </c>
      <c r="CQ526">
        <v>4</v>
      </c>
      <c r="CR526">
        <v>5</v>
      </c>
      <c r="CS526">
        <v>6</v>
      </c>
      <c r="CT526">
        <v>4</v>
      </c>
      <c r="CU526">
        <v>5</v>
      </c>
      <c r="CV526">
        <v>7</v>
      </c>
      <c r="CW526">
        <v>4</v>
      </c>
      <c r="CX526">
        <v>4</v>
      </c>
      <c r="CY526">
        <v>5</v>
      </c>
      <c r="CZ526">
        <v>2</v>
      </c>
      <c r="DA526">
        <v>8</v>
      </c>
      <c r="DB526">
        <v>0</v>
      </c>
      <c r="DC526">
        <v>10</v>
      </c>
      <c r="DD526">
        <v>3</v>
      </c>
      <c r="DE526">
        <v>4</v>
      </c>
      <c r="DF526">
        <v>8</v>
      </c>
      <c r="DG526">
        <v>9</v>
      </c>
      <c r="DH526">
        <v>3</v>
      </c>
      <c r="DI526">
        <v>5</v>
      </c>
      <c r="DJ526">
        <v>3</v>
      </c>
      <c r="DK526">
        <v>5</v>
      </c>
    </row>
    <row r="527" spans="1:115">
      <c r="A527" s="173">
        <f>Calculations[[#This Row],[Sum t eCO2]]*IF(Calculations[[#This Row],[GHG Scope]]="BIOGENIC",0,1)</f>
        <v>797.98467880777196</v>
      </c>
      <c r="O527">
        <f t="shared" si="8"/>
        <v>526</v>
      </c>
      <c r="P527">
        <v>5</v>
      </c>
      <c r="Q527">
        <v>0</v>
      </c>
      <c r="R527">
        <v>7</v>
      </c>
      <c r="S527">
        <v>3</v>
      </c>
      <c r="T527">
        <v>3</v>
      </c>
      <c r="U527">
        <v>0</v>
      </c>
      <c r="V527">
        <v>0</v>
      </c>
      <c r="W527">
        <v>1</v>
      </c>
      <c r="X527">
        <v>10</v>
      </c>
      <c r="Y527">
        <v>3</v>
      </c>
      <c r="Z527">
        <v>1</v>
      </c>
      <c r="AA527">
        <v>6</v>
      </c>
      <c r="AB527">
        <v>5</v>
      </c>
      <c r="AC527">
        <v>0</v>
      </c>
      <c r="AD527">
        <v>4</v>
      </c>
      <c r="AE527">
        <v>5</v>
      </c>
      <c r="AF527">
        <v>6</v>
      </c>
      <c r="AG527">
        <v>7</v>
      </c>
      <c r="AH527">
        <v>4</v>
      </c>
      <c r="AI527">
        <v>4</v>
      </c>
      <c r="AJ527">
        <v>6</v>
      </c>
      <c r="AK527">
        <v>2</v>
      </c>
      <c r="AL527">
        <v>2</v>
      </c>
      <c r="AM527">
        <v>0</v>
      </c>
      <c r="AN527">
        <v>7</v>
      </c>
      <c r="AO527">
        <v>4</v>
      </c>
      <c r="AP527">
        <v>7</v>
      </c>
      <c r="AQ527">
        <v>2</v>
      </c>
      <c r="AR527">
        <v>10</v>
      </c>
      <c r="AS527">
        <v>9</v>
      </c>
      <c r="AT527">
        <v>7</v>
      </c>
      <c r="AU527">
        <v>7</v>
      </c>
      <c r="AV527">
        <v>9</v>
      </c>
      <c r="AW527">
        <v>2</v>
      </c>
      <c r="AX527">
        <v>6</v>
      </c>
      <c r="AY527">
        <v>10</v>
      </c>
      <c r="AZ527">
        <v>7</v>
      </c>
      <c r="BA527">
        <v>1</v>
      </c>
      <c r="BB527">
        <v>2</v>
      </c>
      <c r="BC527">
        <v>10</v>
      </c>
      <c r="BD527">
        <v>2</v>
      </c>
      <c r="BE527">
        <v>8</v>
      </c>
      <c r="BF527">
        <v>4</v>
      </c>
      <c r="BG527">
        <v>8</v>
      </c>
      <c r="BH527">
        <v>3</v>
      </c>
      <c r="BI527">
        <v>6</v>
      </c>
      <c r="BJ527">
        <v>2</v>
      </c>
      <c r="BK527">
        <v>2</v>
      </c>
      <c r="BL527">
        <v>2</v>
      </c>
      <c r="BM527">
        <v>4</v>
      </c>
      <c r="BN527">
        <v>2</v>
      </c>
      <c r="BO527">
        <v>1</v>
      </c>
      <c r="BP527">
        <v>4</v>
      </c>
      <c r="BQ527">
        <v>9</v>
      </c>
      <c r="BR527">
        <v>0</v>
      </c>
      <c r="BS527">
        <v>6</v>
      </c>
      <c r="BT527">
        <v>6</v>
      </c>
      <c r="BU527">
        <v>4</v>
      </c>
      <c r="BV527">
        <v>2</v>
      </c>
      <c r="BW527">
        <v>0</v>
      </c>
      <c r="BX527">
        <v>6</v>
      </c>
      <c r="BY527">
        <v>6</v>
      </c>
      <c r="BZ527">
        <v>8</v>
      </c>
      <c r="CA527">
        <v>4</v>
      </c>
      <c r="CB527">
        <v>3</v>
      </c>
      <c r="CC527">
        <v>4</v>
      </c>
      <c r="CD527">
        <v>6</v>
      </c>
      <c r="CE527">
        <v>4</v>
      </c>
      <c r="CF527">
        <v>4</v>
      </c>
      <c r="CG527">
        <v>9</v>
      </c>
      <c r="CH527">
        <v>1</v>
      </c>
      <c r="CI527">
        <v>8</v>
      </c>
      <c r="CJ527">
        <v>1</v>
      </c>
      <c r="CK527">
        <v>2</v>
      </c>
      <c r="CL527">
        <v>6</v>
      </c>
      <c r="CM527">
        <v>9</v>
      </c>
      <c r="CN527">
        <v>3</v>
      </c>
      <c r="CO527">
        <v>2</v>
      </c>
      <c r="CP527">
        <v>5</v>
      </c>
      <c r="CQ527">
        <v>7</v>
      </c>
      <c r="CR527">
        <v>0</v>
      </c>
      <c r="CS527">
        <v>8</v>
      </c>
      <c r="CT527">
        <v>8</v>
      </c>
      <c r="CU527">
        <v>7</v>
      </c>
      <c r="CV527">
        <v>9</v>
      </c>
      <c r="CW527">
        <v>3</v>
      </c>
      <c r="CX527">
        <v>3</v>
      </c>
      <c r="CY527">
        <v>4</v>
      </c>
      <c r="CZ527">
        <v>7</v>
      </c>
      <c r="DA527">
        <v>8</v>
      </c>
      <c r="DB527">
        <v>2</v>
      </c>
      <c r="DC527">
        <v>3</v>
      </c>
      <c r="DD527">
        <v>8</v>
      </c>
      <c r="DE527">
        <v>9</v>
      </c>
      <c r="DF527">
        <v>3</v>
      </c>
      <c r="DG527">
        <v>6</v>
      </c>
      <c r="DH527">
        <v>8</v>
      </c>
      <c r="DI527">
        <v>7</v>
      </c>
      <c r="DJ527">
        <v>8</v>
      </c>
      <c r="DK527">
        <v>10</v>
      </c>
    </row>
    <row r="528" spans="1:115">
      <c r="A528" s="173">
        <f>Calculations[[#This Row],[Sum t eCO2]]*IF(Calculations[[#This Row],[GHG Scope]]="BIOGENIC",0,1)</f>
        <v>0.55955978656368</v>
      </c>
      <c r="O528">
        <f t="shared" si="8"/>
        <v>527</v>
      </c>
      <c r="P528">
        <v>2</v>
      </c>
      <c r="Q528">
        <v>6</v>
      </c>
      <c r="R528">
        <v>3</v>
      </c>
      <c r="S528">
        <v>5</v>
      </c>
      <c r="T528">
        <v>9</v>
      </c>
      <c r="U528">
        <v>3</v>
      </c>
      <c r="V528">
        <v>1</v>
      </c>
      <c r="W528">
        <v>4</v>
      </c>
      <c r="X528">
        <v>10</v>
      </c>
      <c r="Y528">
        <v>8</v>
      </c>
      <c r="Z528">
        <v>4</v>
      </c>
      <c r="AA528">
        <v>5</v>
      </c>
      <c r="AB528">
        <v>1</v>
      </c>
      <c r="AC528">
        <v>7</v>
      </c>
      <c r="AD528">
        <v>6</v>
      </c>
      <c r="AE528">
        <v>9</v>
      </c>
      <c r="AF528">
        <v>8</v>
      </c>
      <c r="AG528">
        <v>4</v>
      </c>
      <c r="AH528">
        <v>8</v>
      </c>
      <c r="AI528">
        <v>9</v>
      </c>
      <c r="AJ528">
        <v>4</v>
      </c>
      <c r="AK528">
        <v>8</v>
      </c>
      <c r="AL528">
        <v>0</v>
      </c>
      <c r="AM528">
        <v>1</v>
      </c>
      <c r="AN528">
        <v>10</v>
      </c>
      <c r="AO528">
        <v>7</v>
      </c>
      <c r="AP528">
        <v>2</v>
      </c>
      <c r="AQ528">
        <v>3</v>
      </c>
      <c r="AR528">
        <v>9</v>
      </c>
      <c r="AS528">
        <v>8</v>
      </c>
      <c r="AT528">
        <v>7</v>
      </c>
      <c r="AU528">
        <v>6</v>
      </c>
      <c r="AV528">
        <v>2</v>
      </c>
      <c r="AW528">
        <v>5</v>
      </c>
      <c r="AX528">
        <v>7</v>
      </c>
      <c r="AY528">
        <v>7</v>
      </c>
      <c r="AZ528">
        <v>4</v>
      </c>
      <c r="BA528">
        <v>7</v>
      </c>
      <c r="BB528">
        <v>8</v>
      </c>
      <c r="BC528">
        <v>2</v>
      </c>
      <c r="BD528">
        <v>7</v>
      </c>
      <c r="BE528">
        <v>3</v>
      </c>
      <c r="BF528">
        <v>4</v>
      </c>
      <c r="BG528">
        <v>7</v>
      </c>
      <c r="BH528">
        <v>1</v>
      </c>
      <c r="BI528">
        <v>3</v>
      </c>
      <c r="BJ528">
        <v>9</v>
      </c>
      <c r="BK528">
        <v>1</v>
      </c>
      <c r="BL528">
        <v>6</v>
      </c>
      <c r="BM528">
        <v>6</v>
      </c>
      <c r="BN528">
        <v>0</v>
      </c>
      <c r="BO528">
        <v>10</v>
      </c>
      <c r="BP528">
        <v>0</v>
      </c>
      <c r="BQ528">
        <v>10</v>
      </c>
      <c r="BR528">
        <v>3</v>
      </c>
      <c r="BS528">
        <v>4</v>
      </c>
      <c r="BT528">
        <v>4</v>
      </c>
      <c r="BU528">
        <v>9</v>
      </c>
      <c r="BV528">
        <v>9</v>
      </c>
      <c r="BW528">
        <v>4</v>
      </c>
      <c r="BX528">
        <v>4</v>
      </c>
      <c r="BY528">
        <v>8</v>
      </c>
      <c r="BZ528">
        <v>3</v>
      </c>
      <c r="CA528">
        <v>5</v>
      </c>
      <c r="CB528">
        <v>9</v>
      </c>
      <c r="CC528">
        <v>2</v>
      </c>
      <c r="CD528">
        <v>1</v>
      </c>
      <c r="CE528">
        <v>0</v>
      </c>
      <c r="CF528">
        <v>3</v>
      </c>
      <c r="CG528">
        <v>7</v>
      </c>
      <c r="CH528">
        <v>6</v>
      </c>
      <c r="CI528">
        <v>10</v>
      </c>
      <c r="CJ528">
        <v>10</v>
      </c>
      <c r="CK528">
        <v>0</v>
      </c>
      <c r="CL528">
        <v>2</v>
      </c>
      <c r="CM528">
        <v>9</v>
      </c>
      <c r="CN528">
        <v>4</v>
      </c>
      <c r="CO528">
        <v>9</v>
      </c>
      <c r="CP528">
        <v>0</v>
      </c>
      <c r="CQ528">
        <v>9</v>
      </c>
      <c r="CR528">
        <v>5</v>
      </c>
      <c r="CS528">
        <v>1</v>
      </c>
      <c r="CT528">
        <v>5</v>
      </c>
      <c r="CU528">
        <v>1</v>
      </c>
      <c r="CV528">
        <v>0</v>
      </c>
      <c r="CW528">
        <v>1</v>
      </c>
      <c r="CX528">
        <v>3</v>
      </c>
      <c r="CY528">
        <v>8</v>
      </c>
      <c r="CZ528">
        <v>2</v>
      </c>
      <c r="DA528">
        <v>2</v>
      </c>
      <c r="DB528">
        <v>0</v>
      </c>
      <c r="DC528">
        <v>0</v>
      </c>
      <c r="DD528">
        <v>7</v>
      </c>
      <c r="DE528">
        <v>4</v>
      </c>
      <c r="DF528">
        <v>5</v>
      </c>
      <c r="DG528">
        <v>8</v>
      </c>
      <c r="DH528">
        <v>0</v>
      </c>
      <c r="DI528">
        <v>3</v>
      </c>
      <c r="DJ528">
        <v>4</v>
      </c>
      <c r="DK528">
        <v>4</v>
      </c>
    </row>
    <row r="529" spans="1:115">
      <c r="A529" s="173">
        <f>Calculations[[#This Row],[Sum t eCO2]]*IF(Calculations[[#This Row],[GHG Scope]]="BIOGENIC",0,1)</f>
        <v>2.1805733453870704</v>
      </c>
      <c r="O529">
        <f t="shared" si="8"/>
        <v>528</v>
      </c>
      <c r="P529">
        <v>3</v>
      </c>
      <c r="Q529">
        <v>5</v>
      </c>
      <c r="R529">
        <v>7</v>
      </c>
      <c r="S529">
        <v>0</v>
      </c>
      <c r="T529">
        <v>6</v>
      </c>
      <c r="U529">
        <v>1</v>
      </c>
      <c r="V529">
        <v>4</v>
      </c>
      <c r="W529">
        <v>9</v>
      </c>
      <c r="X529">
        <v>3</v>
      </c>
      <c r="Y529">
        <v>3</v>
      </c>
      <c r="Z529">
        <v>4</v>
      </c>
      <c r="AA529">
        <v>9</v>
      </c>
      <c r="AB529">
        <v>1</v>
      </c>
      <c r="AC529">
        <v>9</v>
      </c>
      <c r="AD529">
        <v>3</v>
      </c>
      <c r="AE529">
        <v>2</v>
      </c>
      <c r="AF529">
        <v>3</v>
      </c>
      <c r="AG529">
        <v>6</v>
      </c>
      <c r="AH529">
        <v>10</v>
      </c>
      <c r="AI529">
        <v>9</v>
      </c>
      <c r="AJ529">
        <v>0</v>
      </c>
      <c r="AK529">
        <v>1</v>
      </c>
      <c r="AL529">
        <v>3</v>
      </c>
      <c r="AM529">
        <v>10</v>
      </c>
      <c r="AN529">
        <v>7</v>
      </c>
      <c r="AO529">
        <v>7</v>
      </c>
      <c r="AP529">
        <v>9</v>
      </c>
      <c r="AQ529">
        <v>5</v>
      </c>
      <c r="AR529">
        <v>6</v>
      </c>
      <c r="AS529">
        <v>1</v>
      </c>
      <c r="AT529">
        <v>5</v>
      </c>
      <c r="AU529">
        <v>2</v>
      </c>
      <c r="AV529">
        <v>5</v>
      </c>
      <c r="AW529">
        <v>5</v>
      </c>
      <c r="AX529">
        <v>6</v>
      </c>
      <c r="AY529">
        <v>4</v>
      </c>
      <c r="AZ529">
        <v>10</v>
      </c>
      <c r="BA529">
        <v>2</v>
      </c>
      <c r="BB529">
        <v>7</v>
      </c>
      <c r="BC529">
        <v>8</v>
      </c>
      <c r="BD529">
        <v>4</v>
      </c>
      <c r="BE529">
        <v>1</v>
      </c>
      <c r="BF529">
        <v>9</v>
      </c>
      <c r="BG529">
        <v>9</v>
      </c>
      <c r="BH529">
        <v>10</v>
      </c>
      <c r="BI529">
        <v>6</v>
      </c>
      <c r="BJ529">
        <v>0</v>
      </c>
      <c r="BK529">
        <v>3</v>
      </c>
      <c r="BL529">
        <v>10</v>
      </c>
      <c r="BM529">
        <v>3</v>
      </c>
      <c r="BN529">
        <v>0</v>
      </c>
      <c r="BO529">
        <v>5</v>
      </c>
      <c r="BP529">
        <v>3</v>
      </c>
      <c r="BQ529">
        <v>8</v>
      </c>
      <c r="BR529">
        <v>0</v>
      </c>
      <c r="BS529">
        <v>0</v>
      </c>
      <c r="BT529">
        <v>5</v>
      </c>
      <c r="BU529">
        <v>4</v>
      </c>
      <c r="BV529">
        <v>6</v>
      </c>
      <c r="BW529">
        <v>8</v>
      </c>
      <c r="BX529">
        <v>4</v>
      </c>
      <c r="BY529">
        <v>0</v>
      </c>
      <c r="BZ529">
        <v>8</v>
      </c>
      <c r="CA529">
        <v>4</v>
      </c>
      <c r="CB529">
        <v>6</v>
      </c>
      <c r="CC529">
        <v>10</v>
      </c>
      <c r="CD529">
        <v>10</v>
      </c>
      <c r="CE529">
        <v>10</v>
      </c>
      <c r="CF529">
        <v>0</v>
      </c>
      <c r="CG529">
        <v>9</v>
      </c>
      <c r="CH529">
        <v>1</v>
      </c>
      <c r="CI529">
        <v>7</v>
      </c>
      <c r="CJ529">
        <v>3</v>
      </c>
      <c r="CK529">
        <v>8</v>
      </c>
      <c r="CL529">
        <v>2</v>
      </c>
      <c r="CM529">
        <v>3</v>
      </c>
      <c r="CN529">
        <v>2</v>
      </c>
      <c r="CO529">
        <v>2</v>
      </c>
      <c r="CP529">
        <v>3</v>
      </c>
      <c r="CQ529">
        <v>5</v>
      </c>
      <c r="CR529">
        <v>4</v>
      </c>
      <c r="CS529">
        <v>8</v>
      </c>
      <c r="CT529">
        <v>1</v>
      </c>
      <c r="CU529">
        <v>4</v>
      </c>
      <c r="CV529">
        <v>3</v>
      </c>
      <c r="CW529">
        <v>5</v>
      </c>
      <c r="CX529">
        <v>4</v>
      </c>
      <c r="CY529">
        <v>5</v>
      </c>
      <c r="CZ529">
        <v>8</v>
      </c>
      <c r="DA529">
        <v>2</v>
      </c>
      <c r="DB529">
        <v>4</v>
      </c>
      <c r="DC529">
        <v>5</v>
      </c>
      <c r="DD529">
        <v>2</v>
      </c>
      <c r="DE529">
        <v>0</v>
      </c>
      <c r="DF529">
        <v>6</v>
      </c>
      <c r="DG529">
        <v>7</v>
      </c>
      <c r="DH529">
        <v>3</v>
      </c>
      <c r="DI529">
        <v>5</v>
      </c>
      <c r="DJ529">
        <v>2</v>
      </c>
      <c r="DK529">
        <v>7</v>
      </c>
    </row>
    <row r="530" spans="1:115">
      <c r="A530" s="173">
        <f>Calculations[[#This Row],[Sum t eCO2]]*IF(Calculations[[#This Row],[GHG Scope]]="BIOGENIC",0,1)</f>
        <v>123.10834997939999</v>
      </c>
      <c r="O530">
        <f t="shared" si="8"/>
        <v>529</v>
      </c>
      <c r="P530">
        <v>3</v>
      </c>
      <c r="Q530">
        <v>0</v>
      </c>
      <c r="R530">
        <v>5</v>
      </c>
      <c r="S530">
        <v>6</v>
      </c>
      <c r="T530">
        <v>10</v>
      </c>
      <c r="U530">
        <v>2</v>
      </c>
      <c r="V530">
        <v>1</v>
      </c>
      <c r="W530">
        <v>3</v>
      </c>
      <c r="X530">
        <v>6</v>
      </c>
      <c r="Y530">
        <v>0</v>
      </c>
      <c r="Z530">
        <v>7</v>
      </c>
      <c r="AA530">
        <v>9</v>
      </c>
      <c r="AB530">
        <v>3</v>
      </c>
      <c r="AC530">
        <v>6</v>
      </c>
      <c r="AD530">
        <v>6</v>
      </c>
      <c r="AE530">
        <v>0</v>
      </c>
      <c r="AF530">
        <v>2</v>
      </c>
      <c r="AG530">
        <v>1</v>
      </c>
      <c r="AH530">
        <v>10</v>
      </c>
      <c r="AI530">
        <v>1</v>
      </c>
      <c r="AJ530">
        <v>9</v>
      </c>
      <c r="AK530">
        <v>0</v>
      </c>
      <c r="AL530">
        <v>5</v>
      </c>
      <c r="AM530">
        <v>0</v>
      </c>
      <c r="AN530">
        <v>2</v>
      </c>
      <c r="AO530">
        <v>9</v>
      </c>
      <c r="AP530">
        <v>8</v>
      </c>
      <c r="AQ530">
        <v>8</v>
      </c>
      <c r="AR530">
        <v>3</v>
      </c>
      <c r="AS530">
        <v>10</v>
      </c>
      <c r="AT530">
        <v>1</v>
      </c>
      <c r="AU530">
        <v>2</v>
      </c>
      <c r="AV530">
        <v>9</v>
      </c>
      <c r="AW530">
        <v>6</v>
      </c>
      <c r="AX530">
        <v>9</v>
      </c>
      <c r="AY530">
        <v>5</v>
      </c>
      <c r="AZ530">
        <v>2</v>
      </c>
      <c r="BA530">
        <v>4</v>
      </c>
      <c r="BB530">
        <v>9</v>
      </c>
      <c r="BC530">
        <v>3</v>
      </c>
      <c r="BD530">
        <v>1</v>
      </c>
      <c r="BE530">
        <v>4</v>
      </c>
      <c r="BF530">
        <v>5</v>
      </c>
      <c r="BG530">
        <v>9</v>
      </c>
      <c r="BH530">
        <v>3</v>
      </c>
      <c r="BI530">
        <v>1</v>
      </c>
      <c r="BJ530">
        <v>6</v>
      </c>
      <c r="BK530">
        <v>4</v>
      </c>
      <c r="BL530">
        <v>1</v>
      </c>
      <c r="BM530">
        <v>5</v>
      </c>
      <c r="BN530">
        <v>7</v>
      </c>
      <c r="BO530">
        <v>4</v>
      </c>
      <c r="BP530">
        <v>8</v>
      </c>
      <c r="BQ530">
        <v>2</v>
      </c>
      <c r="BR530">
        <v>0</v>
      </c>
      <c r="BS530">
        <v>3</v>
      </c>
      <c r="BT530">
        <v>8</v>
      </c>
      <c r="BU530">
        <v>6</v>
      </c>
      <c r="BV530">
        <v>10</v>
      </c>
      <c r="BW530">
        <v>6</v>
      </c>
      <c r="BX530">
        <v>6</v>
      </c>
      <c r="BY530">
        <v>6</v>
      </c>
      <c r="BZ530">
        <v>5</v>
      </c>
      <c r="CA530">
        <v>4</v>
      </c>
      <c r="CB530">
        <v>2</v>
      </c>
      <c r="CC530">
        <v>5</v>
      </c>
      <c r="CD530">
        <v>0</v>
      </c>
      <c r="CE530">
        <v>7</v>
      </c>
      <c r="CF530">
        <v>5</v>
      </c>
      <c r="CG530">
        <v>2</v>
      </c>
      <c r="CH530">
        <v>4</v>
      </c>
      <c r="CI530">
        <v>7</v>
      </c>
      <c r="CJ530">
        <v>0</v>
      </c>
      <c r="CK530">
        <v>10</v>
      </c>
      <c r="CL530">
        <v>4</v>
      </c>
      <c r="CM530">
        <v>7</v>
      </c>
      <c r="CN530">
        <v>9</v>
      </c>
      <c r="CO530">
        <v>10</v>
      </c>
      <c r="CP530">
        <v>10</v>
      </c>
      <c r="CQ530">
        <v>2</v>
      </c>
      <c r="CR530">
        <v>0</v>
      </c>
      <c r="CS530">
        <v>0</v>
      </c>
      <c r="CT530">
        <v>5</v>
      </c>
      <c r="CU530">
        <v>2</v>
      </c>
      <c r="CV530">
        <v>5</v>
      </c>
      <c r="CW530">
        <v>2</v>
      </c>
      <c r="CX530">
        <v>7</v>
      </c>
      <c r="CY530">
        <v>6</v>
      </c>
      <c r="CZ530">
        <v>6</v>
      </c>
      <c r="DA530">
        <v>10</v>
      </c>
      <c r="DB530">
        <v>4</v>
      </c>
      <c r="DC530">
        <v>8</v>
      </c>
      <c r="DD530">
        <v>5</v>
      </c>
      <c r="DE530">
        <v>9</v>
      </c>
      <c r="DF530">
        <v>1</v>
      </c>
      <c r="DG530">
        <v>7</v>
      </c>
      <c r="DH530">
        <v>10</v>
      </c>
      <c r="DI530">
        <v>10</v>
      </c>
      <c r="DJ530">
        <v>8</v>
      </c>
      <c r="DK530">
        <v>0</v>
      </c>
    </row>
    <row r="531" spans="1:115">
      <c r="A531" s="173">
        <f>Calculations[[#This Row],[Sum t eCO2]]*IF(Calculations[[#This Row],[GHG Scope]]="BIOGENIC",0,1)</f>
        <v>8.6325569736000002E-2</v>
      </c>
      <c r="O531">
        <f t="shared" si="8"/>
        <v>530</v>
      </c>
      <c r="P531">
        <v>8</v>
      </c>
      <c r="Q531">
        <v>2</v>
      </c>
      <c r="R531">
        <v>0</v>
      </c>
      <c r="S531">
        <v>9</v>
      </c>
      <c r="T531">
        <v>7</v>
      </c>
      <c r="U531">
        <v>2</v>
      </c>
      <c r="V531">
        <v>2</v>
      </c>
      <c r="W531">
        <v>10</v>
      </c>
      <c r="X531">
        <v>3</v>
      </c>
      <c r="Y531">
        <v>2</v>
      </c>
      <c r="Z531">
        <v>3</v>
      </c>
      <c r="AA531">
        <v>0</v>
      </c>
      <c r="AB531">
        <v>6</v>
      </c>
      <c r="AC531">
        <v>7</v>
      </c>
      <c r="AD531">
        <v>4</v>
      </c>
      <c r="AE531">
        <v>2</v>
      </c>
      <c r="AF531">
        <v>3</v>
      </c>
      <c r="AG531">
        <v>7</v>
      </c>
      <c r="AH531">
        <v>10</v>
      </c>
      <c r="AI531">
        <v>10</v>
      </c>
      <c r="AJ531">
        <v>9</v>
      </c>
      <c r="AK531">
        <v>7</v>
      </c>
      <c r="AL531">
        <v>1</v>
      </c>
      <c r="AM531">
        <v>0</v>
      </c>
      <c r="AN531">
        <v>10</v>
      </c>
      <c r="AO531">
        <v>5</v>
      </c>
      <c r="AP531">
        <v>9</v>
      </c>
      <c r="AQ531">
        <v>10</v>
      </c>
      <c r="AR531">
        <v>7</v>
      </c>
      <c r="AS531">
        <v>8</v>
      </c>
      <c r="AT531">
        <v>9</v>
      </c>
      <c r="AU531">
        <v>10</v>
      </c>
      <c r="AV531">
        <v>1</v>
      </c>
      <c r="AW531">
        <v>1</v>
      </c>
      <c r="AX531">
        <v>9</v>
      </c>
      <c r="AY531">
        <v>7</v>
      </c>
      <c r="AZ531">
        <v>2</v>
      </c>
      <c r="BA531">
        <v>0</v>
      </c>
      <c r="BB531">
        <v>4</v>
      </c>
      <c r="BC531">
        <v>4</v>
      </c>
      <c r="BD531">
        <v>1</v>
      </c>
      <c r="BE531">
        <v>0</v>
      </c>
      <c r="BF531">
        <v>8</v>
      </c>
      <c r="BG531">
        <v>6</v>
      </c>
      <c r="BH531">
        <v>10</v>
      </c>
      <c r="BI531">
        <v>3</v>
      </c>
      <c r="BJ531">
        <v>5</v>
      </c>
      <c r="BK531">
        <v>2</v>
      </c>
      <c r="BL531">
        <v>9</v>
      </c>
      <c r="BM531">
        <v>0</v>
      </c>
      <c r="BN531">
        <v>1</v>
      </c>
      <c r="BO531">
        <v>0</v>
      </c>
      <c r="BP531">
        <v>4</v>
      </c>
      <c r="BQ531">
        <v>7</v>
      </c>
      <c r="BR531">
        <v>0</v>
      </c>
      <c r="BS531">
        <v>10</v>
      </c>
      <c r="BT531">
        <v>4</v>
      </c>
      <c r="BU531">
        <v>3</v>
      </c>
      <c r="BV531">
        <v>5</v>
      </c>
      <c r="BW531">
        <v>3</v>
      </c>
      <c r="BX531">
        <v>2</v>
      </c>
      <c r="BY531">
        <v>3</v>
      </c>
      <c r="BZ531">
        <v>7</v>
      </c>
      <c r="CA531">
        <v>2</v>
      </c>
      <c r="CB531">
        <v>7</v>
      </c>
      <c r="CC531">
        <v>7</v>
      </c>
      <c r="CD531">
        <v>2</v>
      </c>
      <c r="CE531">
        <v>7</v>
      </c>
      <c r="CF531">
        <v>0</v>
      </c>
      <c r="CG531">
        <v>0</v>
      </c>
      <c r="CH531">
        <v>1</v>
      </c>
      <c r="CI531">
        <v>7</v>
      </c>
      <c r="CJ531">
        <v>6</v>
      </c>
      <c r="CK531">
        <v>0</v>
      </c>
      <c r="CL531">
        <v>6</v>
      </c>
      <c r="CM531">
        <v>9</v>
      </c>
      <c r="CN531">
        <v>9</v>
      </c>
      <c r="CO531">
        <v>7</v>
      </c>
      <c r="CP531">
        <v>7</v>
      </c>
      <c r="CQ531">
        <v>7</v>
      </c>
      <c r="CR531">
        <v>3</v>
      </c>
      <c r="CS531">
        <v>6</v>
      </c>
      <c r="CT531">
        <v>10</v>
      </c>
      <c r="CU531">
        <v>7</v>
      </c>
      <c r="CV531">
        <v>3</v>
      </c>
      <c r="CW531">
        <v>10</v>
      </c>
      <c r="CX531">
        <v>1</v>
      </c>
      <c r="CY531">
        <v>2</v>
      </c>
      <c r="CZ531">
        <v>7</v>
      </c>
      <c r="DA531">
        <v>8</v>
      </c>
      <c r="DB531">
        <v>0</v>
      </c>
      <c r="DC531">
        <v>10</v>
      </c>
      <c r="DD531">
        <v>5</v>
      </c>
      <c r="DE531">
        <v>8</v>
      </c>
      <c r="DF531">
        <v>8</v>
      </c>
      <c r="DG531">
        <v>2</v>
      </c>
      <c r="DH531">
        <v>2</v>
      </c>
      <c r="DI531">
        <v>8</v>
      </c>
      <c r="DJ531">
        <v>8</v>
      </c>
      <c r="DK531">
        <v>4</v>
      </c>
    </row>
    <row r="532" spans="1:115">
      <c r="A532" s="173">
        <f>Calculations[[#This Row],[Sum t eCO2]]*IF(Calculations[[#This Row],[GHG Scope]]="BIOGENIC",0,1)</f>
        <v>0.33640594072650004</v>
      </c>
      <c r="O532">
        <f t="shared" si="8"/>
        <v>531</v>
      </c>
      <c r="P532">
        <v>6</v>
      </c>
      <c r="Q532">
        <v>0</v>
      </c>
      <c r="R532">
        <v>4</v>
      </c>
      <c r="S532">
        <v>8</v>
      </c>
      <c r="T532">
        <v>0</v>
      </c>
      <c r="U532">
        <v>4</v>
      </c>
      <c r="V532">
        <v>3</v>
      </c>
      <c r="W532">
        <v>0</v>
      </c>
      <c r="X532">
        <v>7</v>
      </c>
      <c r="Y532">
        <v>9</v>
      </c>
      <c r="Z532">
        <v>10</v>
      </c>
      <c r="AA532">
        <v>2</v>
      </c>
      <c r="AB532">
        <v>0</v>
      </c>
      <c r="AC532">
        <v>3</v>
      </c>
      <c r="AD532">
        <v>3</v>
      </c>
      <c r="AE532">
        <v>4</v>
      </c>
      <c r="AF532">
        <v>0</v>
      </c>
      <c r="AG532">
        <v>7</v>
      </c>
      <c r="AH532">
        <v>10</v>
      </c>
      <c r="AI532">
        <v>2</v>
      </c>
      <c r="AJ532">
        <v>6</v>
      </c>
      <c r="AK532">
        <v>9</v>
      </c>
      <c r="AL532">
        <v>10</v>
      </c>
      <c r="AM532">
        <v>9</v>
      </c>
      <c r="AN532">
        <v>7</v>
      </c>
      <c r="AO532">
        <v>8</v>
      </c>
      <c r="AP532">
        <v>1</v>
      </c>
      <c r="AQ532">
        <v>2</v>
      </c>
      <c r="AR532">
        <v>10</v>
      </c>
      <c r="AS532">
        <v>4</v>
      </c>
      <c r="AT532">
        <v>5</v>
      </c>
      <c r="AU532">
        <v>3</v>
      </c>
      <c r="AV532">
        <v>7</v>
      </c>
      <c r="AW532">
        <v>2</v>
      </c>
      <c r="AX532">
        <v>8</v>
      </c>
      <c r="AY532">
        <v>1</v>
      </c>
      <c r="AZ532">
        <v>1</v>
      </c>
      <c r="BA532">
        <v>8</v>
      </c>
      <c r="BB532">
        <v>2</v>
      </c>
      <c r="BC532">
        <v>7</v>
      </c>
      <c r="BD532">
        <v>3</v>
      </c>
      <c r="BE532">
        <v>10</v>
      </c>
      <c r="BF532">
        <v>4</v>
      </c>
      <c r="BG532">
        <v>10</v>
      </c>
      <c r="BH532">
        <v>3</v>
      </c>
      <c r="BI532">
        <v>6</v>
      </c>
      <c r="BJ532">
        <v>7</v>
      </c>
      <c r="BK532">
        <v>8</v>
      </c>
      <c r="BL532">
        <v>3</v>
      </c>
      <c r="BM532">
        <v>9</v>
      </c>
      <c r="BN532">
        <v>7</v>
      </c>
      <c r="BO532">
        <v>8</v>
      </c>
      <c r="BP532">
        <v>3</v>
      </c>
      <c r="BQ532">
        <v>7</v>
      </c>
      <c r="BR532">
        <v>7</v>
      </c>
      <c r="BS532">
        <v>9</v>
      </c>
      <c r="BT532">
        <v>10</v>
      </c>
      <c r="BU532">
        <v>4</v>
      </c>
      <c r="BV532">
        <v>5</v>
      </c>
      <c r="BW532">
        <v>8</v>
      </c>
      <c r="BX532">
        <v>1</v>
      </c>
      <c r="BY532">
        <v>3</v>
      </c>
      <c r="BZ532">
        <v>2</v>
      </c>
      <c r="CA532">
        <v>5</v>
      </c>
      <c r="CB532">
        <v>5</v>
      </c>
      <c r="CC532">
        <v>5</v>
      </c>
      <c r="CD532">
        <v>10</v>
      </c>
      <c r="CE532">
        <v>4</v>
      </c>
      <c r="CF532">
        <v>9</v>
      </c>
      <c r="CG532">
        <v>3</v>
      </c>
      <c r="CH532">
        <v>10</v>
      </c>
      <c r="CI532">
        <v>4</v>
      </c>
      <c r="CJ532">
        <v>7</v>
      </c>
      <c r="CK532">
        <v>7</v>
      </c>
      <c r="CL532">
        <v>4</v>
      </c>
      <c r="CM532">
        <v>8</v>
      </c>
      <c r="CN532">
        <v>6</v>
      </c>
      <c r="CO532">
        <v>2</v>
      </c>
      <c r="CP532">
        <v>1</v>
      </c>
      <c r="CQ532">
        <v>0</v>
      </c>
      <c r="CR532">
        <v>9</v>
      </c>
      <c r="CS532">
        <v>1</v>
      </c>
      <c r="CT532">
        <v>7</v>
      </c>
      <c r="CU532">
        <v>6</v>
      </c>
      <c r="CV532">
        <v>3</v>
      </c>
      <c r="CW532">
        <v>6</v>
      </c>
      <c r="CX532">
        <v>10</v>
      </c>
      <c r="CY532">
        <v>9</v>
      </c>
      <c r="CZ532">
        <v>0</v>
      </c>
      <c r="DA532">
        <v>8</v>
      </c>
      <c r="DB532">
        <v>5</v>
      </c>
      <c r="DC532">
        <v>5</v>
      </c>
      <c r="DD532">
        <v>2</v>
      </c>
      <c r="DE532">
        <v>9</v>
      </c>
      <c r="DF532">
        <v>8</v>
      </c>
      <c r="DG532">
        <v>4</v>
      </c>
      <c r="DH532">
        <v>10</v>
      </c>
      <c r="DI532">
        <v>9</v>
      </c>
      <c r="DJ532">
        <v>6</v>
      </c>
      <c r="DK532">
        <v>0</v>
      </c>
    </row>
    <row r="533" spans="1:115">
      <c r="A533" s="173">
        <f>Calculations[[#This Row],[Sum t eCO2]]*IF(Calculations[[#This Row],[GHG Scope]]="BIOGENIC",0,1)</f>
        <v>1349.9258425547998</v>
      </c>
      <c r="O533">
        <f t="shared" si="8"/>
        <v>532</v>
      </c>
      <c r="P533">
        <v>0</v>
      </c>
      <c r="Q533">
        <v>2</v>
      </c>
      <c r="R533">
        <v>2</v>
      </c>
      <c r="S533">
        <v>4</v>
      </c>
      <c r="T533">
        <v>8</v>
      </c>
      <c r="U533">
        <v>2</v>
      </c>
      <c r="V533">
        <v>2</v>
      </c>
      <c r="W533">
        <v>4</v>
      </c>
      <c r="X533">
        <v>10</v>
      </c>
      <c r="Y533">
        <v>1</v>
      </c>
      <c r="Z533">
        <v>9</v>
      </c>
      <c r="AA533">
        <v>10</v>
      </c>
      <c r="AB533">
        <v>5</v>
      </c>
      <c r="AC533">
        <v>6</v>
      </c>
      <c r="AD533">
        <v>7</v>
      </c>
      <c r="AE533">
        <v>8</v>
      </c>
      <c r="AF533">
        <v>2</v>
      </c>
      <c r="AG533">
        <v>2</v>
      </c>
      <c r="AH533">
        <v>3</v>
      </c>
      <c r="AI533">
        <v>3</v>
      </c>
      <c r="AJ533">
        <v>4</v>
      </c>
      <c r="AK533">
        <v>0</v>
      </c>
      <c r="AL533">
        <v>10</v>
      </c>
      <c r="AM533">
        <v>8</v>
      </c>
      <c r="AN533">
        <v>5</v>
      </c>
      <c r="AO533">
        <v>5</v>
      </c>
      <c r="AP533">
        <v>2</v>
      </c>
      <c r="AQ533">
        <v>2</v>
      </c>
      <c r="AR533">
        <v>2</v>
      </c>
      <c r="AS533">
        <v>9</v>
      </c>
      <c r="AT533">
        <v>1</v>
      </c>
      <c r="AU533">
        <v>7</v>
      </c>
      <c r="AV533">
        <v>4</v>
      </c>
      <c r="AW533">
        <v>2</v>
      </c>
      <c r="AX533">
        <v>10</v>
      </c>
      <c r="AY533">
        <v>8</v>
      </c>
      <c r="AZ533">
        <v>9</v>
      </c>
      <c r="BA533">
        <v>2</v>
      </c>
      <c r="BB533">
        <v>9</v>
      </c>
      <c r="BC533">
        <v>3</v>
      </c>
      <c r="BD533">
        <v>7</v>
      </c>
      <c r="BE533">
        <v>3</v>
      </c>
      <c r="BF533">
        <v>9</v>
      </c>
      <c r="BG533">
        <v>7</v>
      </c>
      <c r="BH533">
        <v>6</v>
      </c>
      <c r="BI533">
        <v>0</v>
      </c>
      <c r="BJ533">
        <v>4</v>
      </c>
      <c r="BK533">
        <v>7</v>
      </c>
      <c r="BL533">
        <v>2</v>
      </c>
      <c r="BM533">
        <v>0</v>
      </c>
      <c r="BN533">
        <v>4</v>
      </c>
      <c r="BO533">
        <v>4</v>
      </c>
      <c r="BP533">
        <v>5</v>
      </c>
      <c r="BQ533">
        <v>6</v>
      </c>
      <c r="BR533">
        <v>9</v>
      </c>
      <c r="BS533">
        <v>9</v>
      </c>
      <c r="BT533">
        <v>5</v>
      </c>
      <c r="BU533">
        <v>10</v>
      </c>
      <c r="BV533">
        <v>0</v>
      </c>
      <c r="BW533">
        <v>2</v>
      </c>
      <c r="BX533">
        <v>9</v>
      </c>
      <c r="BY533">
        <v>4</v>
      </c>
      <c r="BZ533">
        <v>1</v>
      </c>
      <c r="CA533">
        <v>6</v>
      </c>
      <c r="CB533">
        <v>4</v>
      </c>
      <c r="CC533">
        <v>0</v>
      </c>
      <c r="CD533">
        <v>2</v>
      </c>
      <c r="CE533">
        <v>3</v>
      </c>
      <c r="CF533">
        <v>2</v>
      </c>
      <c r="CG533">
        <v>4</v>
      </c>
      <c r="CH533">
        <v>0</v>
      </c>
      <c r="CI533">
        <v>0</v>
      </c>
      <c r="CJ533">
        <v>4</v>
      </c>
      <c r="CK533">
        <v>3</v>
      </c>
      <c r="CL533">
        <v>9</v>
      </c>
      <c r="CM533">
        <v>9</v>
      </c>
      <c r="CN533">
        <v>0</v>
      </c>
      <c r="CO533">
        <v>4</v>
      </c>
      <c r="CP533">
        <v>4</v>
      </c>
      <c r="CQ533">
        <v>8</v>
      </c>
      <c r="CR533">
        <v>10</v>
      </c>
      <c r="CS533">
        <v>2</v>
      </c>
      <c r="CT533">
        <v>9</v>
      </c>
      <c r="CU533">
        <v>6</v>
      </c>
      <c r="CV533">
        <v>4</v>
      </c>
      <c r="CW533">
        <v>6</v>
      </c>
      <c r="CX533">
        <v>3</v>
      </c>
      <c r="CY533">
        <v>0</v>
      </c>
      <c r="CZ533">
        <v>5</v>
      </c>
      <c r="DA533">
        <v>9</v>
      </c>
      <c r="DB533">
        <v>3</v>
      </c>
      <c r="DC533">
        <v>9</v>
      </c>
      <c r="DD533">
        <v>7</v>
      </c>
      <c r="DE533">
        <v>4</v>
      </c>
      <c r="DF533">
        <v>2</v>
      </c>
      <c r="DG533">
        <v>0</v>
      </c>
      <c r="DH533">
        <v>5</v>
      </c>
      <c r="DI533">
        <v>10</v>
      </c>
      <c r="DJ533">
        <v>7</v>
      </c>
      <c r="DK533">
        <v>8</v>
      </c>
    </row>
    <row r="534" spans="1:115">
      <c r="A534" s="173">
        <f>Calculations[[#This Row],[Sum t eCO2]]*IF(Calculations[[#This Row],[GHG Scope]]="BIOGENIC",0,1)</f>
        <v>0.94658987371199999</v>
      </c>
      <c r="O534">
        <f t="shared" si="8"/>
        <v>533</v>
      </c>
      <c r="P534">
        <v>8</v>
      </c>
      <c r="Q534">
        <v>0</v>
      </c>
      <c r="R534">
        <v>0</v>
      </c>
      <c r="S534">
        <v>1</v>
      </c>
      <c r="T534">
        <v>9</v>
      </c>
      <c r="U534">
        <v>5</v>
      </c>
      <c r="V534">
        <v>6</v>
      </c>
      <c r="W534">
        <v>0</v>
      </c>
      <c r="X534">
        <v>10</v>
      </c>
      <c r="Y534">
        <v>7</v>
      </c>
      <c r="Z534">
        <v>2</v>
      </c>
      <c r="AA534">
        <v>7</v>
      </c>
      <c r="AB534">
        <v>4</v>
      </c>
      <c r="AC534">
        <v>6</v>
      </c>
      <c r="AD534">
        <v>6</v>
      </c>
      <c r="AE534">
        <v>8</v>
      </c>
      <c r="AF534">
        <v>4</v>
      </c>
      <c r="AG534">
        <v>7</v>
      </c>
      <c r="AH534">
        <v>0</v>
      </c>
      <c r="AI534">
        <v>9</v>
      </c>
      <c r="AJ534">
        <v>10</v>
      </c>
      <c r="AK534">
        <v>1</v>
      </c>
      <c r="AL534">
        <v>9</v>
      </c>
      <c r="AM534">
        <v>8</v>
      </c>
      <c r="AN534">
        <v>8</v>
      </c>
      <c r="AO534">
        <v>2</v>
      </c>
      <c r="AP534">
        <v>9</v>
      </c>
      <c r="AQ534">
        <v>8</v>
      </c>
      <c r="AR534">
        <v>0</v>
      </c>
      <c r="AS534">
        <v>3</v>
      </c>
      <c r="AT534">
        <v>0</v>
      </c>
      <c r="AU534">
        <v>4</v>
      </c>
      <c r="AV534">
        <v>7</v>
      </c>
      <c r="AW534">
        <v>10</v>
      </c>
      <c r="AX534">
        <v>10</v>
      </c>
      <c r="AY534">
        <v>1</v>
      </c>
      <c r="AZ534">
        <v>8</v>
      </c>
      <c r="BA534">
        <v>2</v>
      </c>
      <c r="BB534">
        <v>3</v>
      </c>
      <c r="BC534">
        <v>0</v>
      </c>
      <c r="BD534">
        <v>10</v>
      </c>
      <c r="BE534">
        <v>5</v>
      </c>
      <c r="BF534">
        <v>4</v>
      </c>
      <c r="BG534">
        <v>5</v>
      </c>
      <c r="BH534">
        <v>2</v>
      </c>
      <c r="BI534">
        <v>5</v>
      </c>
      <c r="BJ534">
        <v>3</v>
      </c>
      <c r="BK534">
        <v>5</v>
      </c>
      <c r="BL534">
        <v>1</v>
      </c>
      <c r="BM534">
        <v>2</v>
      </c>
      <c r="BN534">
        <v>9</v>
      </c>
      <c r="BO534">
        <v>3</v>
      </c>
      <c r="BP534">
        <v>3</v>
      </c>
      <c r="BQ534">
        <v>10</v>
      </c>
      <c r="BR534">
        <v>10</v>
      </c>
      <c r="BS534">
        <v>9</v>
      </c>
      <c r="BT534">
        <v>6</v>
      </c>
      <c r="BU534">
        <v>5</v>
      </c>
      <c r="BV534">
        <v>7</v>
      </c>
      <c r="BW534">
        <v>1</v>
      </c>
      <c r="BX534">
        <v>1</v>
      </c>
      <c r="BY534">
        <v>6</v>
      </c>
      <c r="BZ534">
        <v>0</v>
      </c>
      <c r="CA534">
        <v>4</v>
      </c>
      <c r="CB534">
        <v>10</v>
      </c>
      <c r="CC534">
        <v>8</v>
      </c>
      <c r="CD534">
        <v>4</v>
      </c>
      <c r="CE534">
        <v>7</v>
      </c>
      <c r="CF534">
        <v>2</v>
      </c>
      <c r="CG534">
        <v>1</v>
      </c>
      <c r="CH534">
        <v>5</v>
      </c>
      <c r="CI534">
        <v>9</v>
      </c>
      <c r="CJ534">
        <v>1</v>
      </c>
      <c r="CK534">
        <v>4</v>
      </c>
      <c r="CL534">
        <v>3</v>
      </c>
      <c r="CM534">
        <v>2</v>
      </c>
      <c r="CN534">
        <v>0</v>
      </c>
      <c r="CO534">
        <v>8</v>
      </c>
      <c r="CP534">
        <v>10</v>
      </c>
      <c r="CQ534">
        <v>4</v>
      </c>
      <c r="CR534">
        <v>2</v>
      </c>
      <c r="CS534">
        <v>8</v>
      </c>
      <c r="CT534">
        <v>7</v>
      </c>
      <c r="CU534">
        <v>2</v>
      </c>
      <c r="CV534">
        <v>10</v>
      </c>
      <c r="CW534">
        <v>6</v>
      </c>
      <c r="CX534">
        <v>5</v>
      </c>
      <c r="CY534">
        <v>10</v>
      </c>
      <c r="CZ534">
        <v>5</v>
      </c>
      <c r="DA534">
        <v>5</v>
      </c>
      <c r="DB534">
        <v>2</v>
      </c>
      <c r="DC534">
        <v>10</v>
      </c>
      <c r="DD534">
        <v>6</v>
      </c>
      <c r="DE534">
        <v>6</v>
      </c>
      <c r="DF534">
        <v>5</v>
      </c>
      <c r="DG534">
        <v>6</v>
      </c>
      <c r="DH534">
        <v>6</v>
      </c>
      <c r="DI534">
        <v>10</v>
      </c>
      <c r="DJ534">
        <v>8</v>
      </c>
      <c r="DK534">
        <v>10</v>
      </c>
    </row>
    <row r="535" spans="1:115">
      <c r="A535" s="173">
        <f>Calculations[[#This Row],[Sum t eCO2]]*IF(Calculations[[#This Row],[GHG Scope]]="BIOGENIC",0,1)</f>
        <v>3.6888080544630002</v>
      </c>
      <c r="O535">
        <f t="shared" si="8"/>
        <v>534</v>
      </c>
      <c r="P535">
        <v>5</v>
      </c>
      <c r="Q535">
        <v>9</v>
      </c>
      <c r="R535">
        <v>3</v>
      </c>
      <c r="S535">
        <v>5</v>
      </c>
      <c r="T535">
        <v>3</v>
      </c>
      <c r="U535">
        <v>3</v>
      </c>
      <c r="V535">
        <v>9</v>
      </c>
      <c r="W535">
        <v>0</v>
      </c>
      <c r="X535">
        <v>9</v>
      </c>
      <c r="Y535">
        <v>3</v>
      </c>
      <c r="Z535">
        <v>7</v>
      </c>
      <c r="AA535">
        <v>5</v>
      </c>
      <c r="AB535">
        <v>0</v>
      </c>
      <c r="AC535">
        <v>6</v>
      </c>
      <c r="AD535">
        <v>7</v>
      </c>
      <c r="AE535">
        <v>6</v>
      </c>
      <c r="AF535">
        <v>1</v>
      </c>
      <c r="AG535">
        <v>0</v>
      </c>
      <c r="AH535">
        <v>6</v>
      </c>
      <c r="AI535">
        <v>2</v>
      </c>
      <c r="AJ535">
        <v>6</v>
      </c>
      <c r="AK535">
        <v>1</v>
      </c>
      <c r="AL535">
        <v>3</v>
      </c>
      <c r="AM535">
        <v>1</v>
      </c>
      <c r="AN535">
        <v>0</v>
      </c>
      <c r="AO535">
        <v>4</v>
      </c>
      <c r="AP535">
        <v>1</v>
      </c>
      <c r="AQ535">
        <v>8</v>
      </c>
      <c r="AR535">
        <v>0</v>
      </c>
      <c r="AS535">
        <v>4</v>
      </c>
      <c r="AT535">
        <v>7</v>
      </c>
      <c r="AU535">
        <v>8</v>
      </c>
      <c r="AV535">
        <v>9</v>
      </c>
      <c r="AW535">
        <v>10</v>
      </c>
      <c r="AX535">
        <v>3</v>
      </c>
      <c r="AY535">
        <v>8</v>
      </c>
      <c r="AZ535">
        <v>2</v>
      </c>
      <c r="BA535">
        <v>5</v>
      </c>
      <c r="BB535">
        <v>7</v>
      </c>
      <c r="BC535">
        <v>0</v>
      </c>
      <c r="BD535">
        <v>5</v>
      </c>
      <c r="BE535">
        <v>7</v>
      </c>
      <c r="BF535">
        <v>9</v>
      </c>
      <c r="BG535">
        <v>4</v>
      </c>
      <c r="BH535">
        <v>1</v>
      </c>
      <c r="BI535">
        <v>5</v>
      </c>
      <c r="BJ535">
        <v>0</v>
      </c>
      <c r="BK535">
        <v>3</v>
      </c>
      <c r="BL535">
        <v>3</v>
      </c>
      <c r="BM535">
        <v>7</v>
      </c>
      <c r="BN535">
        <v>10</v>
      </c>
      <c r="BO535">
        <v>10</v>
      </c>
      <c r="BP535">
        <v>5</v>
      </c>
      <c r="BQ535">
        <v>4</v>
      </c>
      <c r="BR535">
        <v>7</v>
      </c>
      <c r="BS535">
        <v>0</v>
      </c>
      <c r="BT535">
        <v>5</v>
      </c>
      <c r="BU535">
        <v>1</v>
      </c>
      <c r="BV535">
        <v>5</v>
      </c>
      <c r="BW535">
        <v>4</v>
      </c>
      <c r="BX535">
        <v>6</v>
      </c>
      <c r="BY535">
        <v>1</v>
      </c>
      <c r="BZ535">
        <v>6</v>
      </c>
      <c r="CA535">
        <v>1</v>
      </c>
      <c r="CB535">
        <v>6</v>
      </c>
      <c r="CC535">
        <v>7</v>
      </c>
      <c r="CD535">
        <v>0</v>
      </c>
      <c r="CE535">
        <v>0</v>
      </c>
      <c r="CF535">
        <v>0</v>
      </c>
      <c r="CG535">
        <v>7</v>
      </c>
      <c r="CH535">
        <v>6</v>
      </c>
      <c r="CI535">
        <v>2</v>
      </c>
      <c r="CJ535">
        <v>2</v>
      </c>
      <c r="CK535">
        <v>6</v>
      </c>
      <c r="CL535">
        <v>10</v>
      </c>
      <c r="CM535">
        <v>7</v>
      </c>
      <c r="CN535">
        <v>7</v>
      </c>
      <c r="CO535">
        <v>0</v>
      </c>
      <c r="CP535">
        <v>9</v>
      </c>
      <c r="CQ535">
        <v>10</v>
      </c>
      <c r="CR535">
        <v>6</v>
      </c>
      <c r="CS535">
        <v>2</v>
      </c>
      <c r="CT535">
        <v>10</v>
      </c>
      <c r="CU535">
        <v>7</v>
      </c>
      <c r="CV535">
        <v>3</v>
      </c>
      <c r="CW535">
        <v>7</v>
      </c>
      <c r="CX535">
        <v>7</v>
      </c>
      <c r="CY535">
        <v>5</v>
      </c>
      <c r="CZ535">
        <v>5</v>
      </c>
      <c r="DA535">
        <v>1</v>
      </c>
      <c r="DB535">
        <v>2</v>
      </c>
      <c r="DC535">
        <v>8</v>
      </c>
      <c r="DD535">
        <v>4</v>
      </c>
      <c r="DE535">
        <v>5</v>
      </c>
      <c r="DF535">
        <v>10</v>
      </c>
      <c r="DG535">
        <v>3</v>
      </c>
      <c r="DH535">
        <v>7</v>
      </c>
      <c r="DI535">
        <v>0</v>
      </c>
      <c r="DJ535">
        <v>6</v>
      </c>
      <c r="DK535">
        <v>4</v>
      </c>
    </row>
    <row r="536" spans="1:115">
      <c r="A536" s="173">
        <f>Calculations[[#This Row],[Sum t eCO2]]*IF(Calculations[[#This Row],[GHG Scope]]="BIOGENIC",0,1)</f>
        <v>1.3685245584464698</v>
      </c>
      <c r="O536">
        <f t="shared" si="8"/>
        <v>535</v>
      </c>
      <c r="P536">
        <v>4</v>
      </c>
      <c r="Q536">
        <v>9</v>
      </c>
      <c r="R536">
        <v>4</v>
      </c>
      <c r="S536">
        <v>0</v>
      </c>
      <c r="T536">
        <v>1</v>
      </c>
      <c r="U536">
        <v>8</v>
      </c>
      <c r="V536">
        <v>9</v>
      </c>
      <c r="W536">
        <v>3</v>
      </c>
      <c r="X536">
        <v>2</v>
      </c>
      <c r="Y536">
        <v>6</v>
      </c>
      <c r="Z536">
        <v>2</v>
      </c>
      <c r="AA536">
        <v>7</v>
      </c>
      <c r="AB536">
        <v>1</v>
      </c>
      <c r="AC536">
        <v>3</v>
      </c>
      <c r="AD536">
        <v>9</v>
      </c>
      <c r="AE536">
        <v>1</v>
      </c>
      <c r="AF536">
        <v>8</v>
      </c>
      <c r="AG536">
        <v>2</v>
      </c>
      <c r="AH536">
        <v>1</v>
      </c>
      <c r="AI536">
        <v>6</v>
      </c>
      <c r="AJ536">
        <v>10</v>
      </c>
      <c r="AK536">
        <v>6</v>
      </c>
      <c r="AL536">
        <v>10</v>
      </c>
      <c r="AM536">
        <v>1</v>
      </c>
      <c r="AN536">
        <v>2</v>
      </c>
      <c r="AO536">
        <v>7</v>
      </c>
      <c r="AP536">
        <v>4</v>
      </c>
      <c r="AQ536">
        <v>0</v>
      </c>
      <c r="AR536">
        <v>6</v>
      </c>
      <c r="AS536">
        <v>1</v>
      </c>
      <c r="AT536">
        <v>6</v>
      </c>
      <c r="AU536">
        <v>0</v>
      </c>
      <c r="AV536">
        <v>9</v>
      </c>
      <c r="AW536">
        <v>3</v>
      </c>
      <c r="AX536">
        <v>0</v>
      </c>
      <c r="AY536">
        <v>1</v>
      </c>
      <c r="AZ536">
        <v>1</v>
      </c>
      <c r="BA536">
        <v>3</v>
      </c>
      <c r="BB536">
        <v>2</v>
      </c>
      <c r="BC536">
        <v>7</v>
      </c>
      <c r="BD536">
        <v>6</v>
      </c>
      <c r="BE536">
        <v>5</v>
      </c>
      <c r="BF536">
        <v>10</v>
      </c>
      <c r="BG536">
        <v>8</v>
      </c>
      <c r="BH536">
        <v>10</v>
      </c>
      <c r="BI536">
        <v>2</v>
      </c>
      <c r="BJ536">
        <v>3</v>
      </c>
      <c r="BK536">
        <v>7</v>
      </c>
      <c r="BL536">
        <v>1</v>
      </c>
      <c r="BM536">
        <v>3</v>
      </c>
      <c r="BN536">
        <v>3</v>
      </c>
      <c r="BO536">
        <v>0</v>
      </c>
      <c r="BP536">
        <v>8</v>
      </c>
      <c r="BQ536">
        <v>1</v>
      </c>
      <c r="BR536">
        <v>1</v>
      </c>
      <c r="BS536">
        <v>3</v>
      </c>
      <c r="BT536">
        <v>9</v>
      </c>
      <c r="BU536">
        <v>3</v>
      </c>
      <c r="BV536">
        <v>2</v>
      </c>
      <c r="BW536">
        <v>2</v>
      </c>
      <c r="BX536">
        <v>4</v>
      </c>
      <c r="BY536">
        <v>3</v>
      </c>
      <c r="BZ536">
        <v>3</v>
      </c>
      <c r="CA536">
        <v>4</v>
      </c>
      <c r="CB536">
        <v>8</v>
      </c>
      <c r="CC536">
        <v>4</v>
      </c>
      <c r="CD536">
        <v>9</v>
      </c>
      <c r="CE536">
        <v>2</v>
      </c>
      <c r="CF536">
        <v>1</v>
      </c>
      <c r="CG536">
        <v>8</v>
      </c>
      <c r="CH536">
        <v>2</v>
      </c>
      <c r="CI536">
        <v>8</v>
      </c>
      <c r="CJ536">
        <v>10</v>
      </c>
      <c r="CK536">
        <v>10</v>
      </c>
      <c r="CL536">
        <v>3</v>
      </c>
      <c r="CM536">
        <v>0</v>
      </c>
      <c r="CN536">
        <v>2</v>
      </c>
      <c r="CO536">
        <v>9</v>
      </c>
      <c r="CP536">
        <v>7</v>
      </c>
      <c r="CQ536">
        <v>5</v>
      </c>
      <c r="CR536">
        <v>10</v>
      </c>
      <c r="CS536">
        <v>3</v>
      </c>
      <c r="CT536">
        <v>4</v>
      </c>
      <c r="CU536">
        <v>1</v>
      </c>
      <c r="CV536">
        <v>2</v>
      </c>
      <c r="CW536">
        <v>6</v>
      </c>
      <c r="CX536">
        <v>9</v>
      </c>
      <c r="CY536">
        <v>6</v>
      </c>
      <c r="CZ536">
        <v>2</v>
      </c>
      <c r="DA536">
        <v>6</v>
      </c>
      <c r="DB536">
        <v>7</v>
      </c>
      <c r="DC536">
        <v>7</v>
      </c>
      <c r="DD536">
        <v>7</v>
      </c>
      <c r="DE536">
        <v>0</v>
      </c>
      <c r="DF536">
        <v>5</v>
      </c>
      <c r="DG536">
        <v>10</v>
      </c>
      <c r="DH536">
        <v>5</v>
      </c>
      <c r="DI536">
        <v>10</v>
      </c>
      <c r="DJ536">
        <v>7</v>
      </c>
      <c r="DK536">
        <v>3</v>
      </c>
    </row>
    <row r="537" spans="1:115">
      <c r="A537" s="173">
        <f>Calculations[[#This Row],[Sum t eCO2]]*IF(Calculations[[#This Row],[GHG Scope]]="BIOGENIC",0,1)</f>
        <v>1.4965020000000002E-3</v>
      </c>
      <c r="O537">
        <f t="shared" si="8"/>
        <v>536</v>
      </c>
      <c r="P537">
        <v>1</v>
      </c>
      <c r="Q537">
        <v>9</v>
      </c>
      <c r="R537">
        <v>3</v>
      </c>
      <c r="S537">
        <v>6</v>
      </c>
      <c r="T537">
        <v>0</v>
      </c>
      <c r="U537">
        <v>0</v>
      </c>
      <c r="V537">
        <v>10</v>
      </c>
      <c r="W537">
        <v>1</v>
      </c>
      <c r="X537">
        <v>9</v>
      </c>
      <c r="Y537">
        <v>4</v>
      </c>
      <c r="Z537">
        <v>0</v>
      </c>
      <c r="AA537">
        <v>4</v>
      </c>
      <c r="AB537">
        <v>0</v>
      </c>
      <c r="AC537">
        <v>1</v>
      </c>
      <c r="AD537">
        <v>9</v>
      </c>
      <c r="AE537">
        <v>8</v>
      </c>
      <c r="AF537">
        <v>0</v>
      </c>
      <c r="AG537">
        <v>7</v>
      </c>
      <c r="AH537">
        <v>5</v>
      </c>
      <c r="AI537">
        <v>9</v>
      </c>
      <c r="AJ537">
        <v>5</v>
      </c>
      <c r="AK537">
        <v>0</v>
      </c>
      <c r="AL537">
        <v>7</v>
      </c>
      <c r="AM537">
        <v>5</v>
      </c>
      <c r="AN537">
        <v>1</v>
      </c>
      <c r="AO537">
        <v>5</v>
      </c>
      <c r="AP537">
        <v>4</v>
      </c>
      <c r="AQ537">
        <v>3</v>
      </c>
      <c r="AR537">
        <v>1</v>
      </c>
      <c r="AS537">
        <v>6</v>
      </c>
      <c r="AT537">
        <v>5</v>
      </c>
      <c r="AU537">
        <v>0</v>
      </c>
      <c r="AV537">
        <v>3</v>
      </c>
      <c r="AW537">
        <v>6</v>
      </c>
      <c r="AX537">
        <v>10</v>
      </c>
      <c r="AY537">
        <v>5</v>
      </c>
      <c r="AZ537">
        <v>8</v>
      </c>
      <c r="BA537">
        <v>2</v>
      </c>
      <c r="BB537">
        <v>5</v>
      </c>
      <c r="BC537">
        <v>8</v>
      </c>
      <c r="BD537">
        <v>7</v>
      </c>
      <c r="BE537">
        <v>4</v>
      </c>
      <c r="BF537">
        <v>4</v>
      </c>
      <c r="BG537">
        <v>1</v>
      </c>
      <c r="BH537">
        <v>0</v>
      </c>
      <c r="BI537">
        <v>8</v>
      </c>
      <c r="BJ537">
        <v>8</v>
      </c>
      <c r="BK537">
        <v>10</v>
      </c>
      <c r="BL537">
        <v>8</v>
      </c>
      <c r="BM537">
        <v>3</v>
      </c>
      <c r="BN537">
        <v>2</v>
      </c>
      <c r="BO537">
        <v>3</v>
      </c>
      <c r="BP537">
        <v>10</v>
      </c>
      <c r="BQ537">
        <v>7</v>
      </c>
      <c r="BR537">
        <v>8</v>
      </c>
      <c r="BS537">
        <v>8</v>
      </c>
      <c r="BT537">
        <v>5</v>
      </c>
      <c r="BU537">
        <v>10</v>
      </c>
      <c r="BV537">
        <v>4</v>
      </c>
      <c r="BW537">
        <v>2</v>
      </c>
      <c r="BX537">
        <v>4</v>
      </c>
      <c r="BY537">
        <v>7</v>
      </c>
      <c r="BZ537">
        <v>0</v>
      </c>
      <c r="CA537">
        <v>9</v>
      </c>
      <c r="CB537">
        <v>5</v>
      </c>
      <c r="CC537">
        <v>2</v>
      </c>
      <c r="CD537">
        <v>0</v>
      </c>
      <c r="CE537">
        <v>0</v>
      </c>
      <c r="CF537">
        <v>0</v>
      </c>
      <c r="CG537">
        <v>10</v>
      </c>
      <c r="CH537">
        <v>3</v>
      </c>
      <c r="CI537">
        <v>6</v>
      </c>
      <c r="CJ537">
        <v>5</v>
      </c>
      <c r="CK537">
        <v>6</v>
      </c>
      <c r="CL537">
        <v>8</v>
      </c>
      <c r="CM537">
        <v>1</v>
      </c>
      <c r="CN537">
        <v>2</v>
      </c>
      <c r="CO537">
        <v>3</v>
      </c>
      <c r="CP537">
        <v>8</v>
      </c>
      <c r="CQ537">
        <v>2</v>
      </c>
      <c r="CR537">
        <v>5</v>
      </c>
      <c r="CS537">
        <v>5</v>
      </c>
      <c r="CT537">
        <v>0</v>
      </c>
      <c r="CU537">
        <v>8</v>
      </c>
      <c r="CV537">
        <v>8</v>
      </c>
      <c r="CW537">
        <v>8</v>
      </c>
      <c r="CX537">
        <v>0</v>
      </c>
      <c r="CY537">
        <v>6</v>
      </c>
      <c r="CZ537">
        <v>5</v>
      </c>
      <c r="DA537">
        <v>7</v>
      </c>
      <c r="DB537">
        <v>10</v>
      </c>
      <c r="DC537">
        <v>5</v>
      </c>
      <c r="DD537">
        <v>7</v>
      </c>
      <c r="DE537">
        <v>5</v>
      </c>
      <c r="DF537">
        <v>6</v>
      </c>
      <c r="DG537">
        <v>7</v>
      </c>
      <c r="DH537">
        <v>2</v>
      </c>
      <c r="DI537">
        <v>1</v>
      </c>
      <c r="DJ537">
        <v>3</v>
      </c>
      <c r="DK537">
        <v>0</v>
      </c>
    </row>
    <row r="538" spans="1:115">
      <c r="A538" s="173">
        <f>Calculations[[#This Row],[Sum t eCO2]]*IF(Calculations[[#This Row],[GHG Scope]]="BIOGENIC",0,1)</f>
        <v>2.8326644999999997E-3</v>
      </c>
      <c r="O538">
        <f t="shared" si="8"/>
        <v>537</v>
      </c>
      <c r="P538">
        <v>8</v>
      </c>
      <c r="Q538">
        <v>3</v>
      </c>
      <c r="R538">
        <v>10</v>
      </c>
      <c r="S538">
        <v>8</v>
      </c>
      <c r="T538">
        <v>1</v>
      </c>
      <c r="U538">
        <v>3</v>
      </c>
      <c r="V538">
        <v>8</v>
      </c>
      <c r="W538">
        <v>8</v>
      </c>
      <c r="X538">
        <v>7</v>
      </c>
      <c r="Y538">
        <v>1</v>
      </c>
      <c r="Z538">
        <v>4</v>
      </c>
      <c r="AA538">
        <v>5</v>
      </c>
      <c r="AB538">
        <v>3</v>
      </c>
      <c r="AC538">
        <v>5</v>
      </c>
      <c r="AD538">
        <v>7</v>
      </c>
      <c r="AE538">
        <v>8</v>
      </c>
      <c r="AF538">
        <v>8</v>
      </c>
      <c r="AG538">
        <v>8</v>
      </c>
      <c r="AH538">
        <v>1</v>
      </c>
      <c r="AI538">
        <v>5</v>
      </c>
      <c r="AJ538">
        <v>6</v>
      </c>
      <c r="AK538">
        <v>9</v>
      </c>
      <c r="AL538">
        <v>9</v>
      </c>
      <c r="AM538">
        <v>5</v>
      </c>
      <c r="AN538">
        <v>4</v>
      </c>
      <c r="AO538">
        <v>1</v>
      </c>
      <c r="AP538">
        <v>9</v>
      </c>
      <c r="AQ538">
        <v>2</v>
      </c>
      <c r="AR538">
        <v>7</v>
      </c>
      <c r="AS538">
        <v>10</v>
      </c>
      <c r="AT538">
        <v>4</v>
      </c>
      <c r="AU538">
        <v>9</v>
      </c>
      <c r="AV538">
        <v>5</v>
      </c>
      <c r="AW538">
        <v>8</v>
      </c>
      <c r="AX538">
        <v>5</v>
      </c>
      <c r="AY538">
        <v>2</v>
      </c>
      <c r="AZ538">
        <v>8</v>
      </c>
      <c r="BA538">
        <v>10</v>
      </c>
      <c r="BB538">
        <v>9</v>
      </c>
      <c r="BC538">
        <v>5</v>
      </c>
      <c r="BD538">
        <v>4</v>
      </c>
      <c r="BE538">
        <v>2</v>
      </c>
      <c r="BF538">
        <v>10</v>
      </c>
      <c r="BG538">
        <v>5</v>
      </c>
      <c r="BH538">
        <v>1</v>
      </c>
      <c r="BI538">
        <v>9</v>
      </c>
      <c r="BJ538">
        <v>0</v>
      </c>
      <c r="BK538">
        <v>4</v>
      </c>
      <c r="BL538">
        <v>7</v>
      </c>
      <c r="BM538">
        <v>9</v>
      </c>
      <c r="BN538">
        <v>6</v>
      </c>
      <c r="BO538">
        <v>10</v>
      </c>
      <c r="BP538">
        <v>9</v>
      </c>
      <c r="BQ538">
        <v>10</v>
      </c>
      <c r="BR538">
        <v>3</v>
      </c>
      <c r="BS538">
        <v>0</v>
      </c>
      <c r="BT538">
        <v>1</v>
      </c>
      <c r="BU538">
        <v>0</v>
      </c>
      <c r="BV538">
        <v>5</v>
      </c>
      <c r="BW538">
        <v>5</v>
      </c>
      <c r="BX538">
        <v>4</v>
      </c>
      <c r="BY538">
        <v>5</v>
      </c>
      <c r="BZ538">
        <v>5</v>
      </c>
      <c r="CA538">
        <v>7</v>
      </c>
      <c r="CB538">
        <v>8</v>
      </c>
      <c r="CC538">
        <v>6</v>
      </c>
      <c r="CD538">
        <v>10</v>
      </c>
      <c r="CE538">
        <v>8</v>
      </c>
      <c r="CF538">
        <v>4</v>
      </c>
      <c r="CG538">
        <v>8</v>
      </c>
      <c r="CH538">
        <v>4</v>
      </c>
      <c r="CI538">
        <v>7</v>
      </c>
      <c r="CJ538">
        <v>1</v>
      </c>
      <c r="CK538">
        <v>8</v>
      </c>
      <c r="CL538">
        <v>4</v>
      </c>
      <c r="CM538">
        <v>3</v>
      </c>
      <c r="CN538">
        <v>6</v>
      </c>
      <c r="CO538">
        <v>2</v>
      </c>
      <c r="CP538">
        <v>5</v>
      </c>
      <c r="CQ538">
        <v>8</v>
      </c>
      <c r="CR538">
        <v>4</v>
      </c>
      <c r="CS538">
        <v>9</v>
      </c>
      <c r="CT538">
        <v>4</v>
      </c>
      <c r="CU538">
        <v>8</v>
      </c>
      <c r="CV538">
        <v>3</v>
      </c>
      <c r="CW538">
        <v>10</v>
      </c>
      <c r="CX538">
        <v>7</v>
      </c>
      <c r="CY538">
        <v>3</v>
      </c>
      <c r="CZ538">
        <v>4</v>
      </c>
      <c r="DA538">
        <v>2</v>
      </c>
      <c r="DB538">
        <v>8</v>
      </c>
      <c r="DC538">
        <v>7</v>
      </c>
      <c r="DD538">
        <v>0</v>
      </c>
      <c r="DE538">
        <v>1</v>
      </c>
      <c r="DF538">
        <v>3</v>
      </c>
      <c r="DG538">
        <v>6</v>
      </c>
      <c r="DH538">
        <v>3</v>
      </c>
      <c r="DI538">
        <v>8</v>
      </c>
      <c r="DJ538">
        <v>1</v>
      </c>
      <c r="DK538">
        <v>4</v>
      </c>
    </row>
    <row r="539" spans="1:115">
      <c r="A539" s="173">
        <f>Calculations[[#This Row],[Sum t eCO2]]*IF(Calculations[[#This Row],[GHG Scope]]="BIOGENIC",0,1)</f>
        <v>13.144275900000002</v>
      </c>
      <c r="O539">
        <f t="shared" si="8"/>
        <v>538</v>
      </c>
      <c r="P539">
        <v>0</v>
      </c>
      <c r="Q539">
        <v>9</v>
      </c>
      <c r="R539">
        <v>2</v>
      </c>
      <c r="S539">
        <v>10</v>
      </c>
      <c r="T539">
        <v>0</v>
      </c>
      <c r="U539">
        <v>1</v>
      </c>
      <c r="V539">
        <v>2</v>
      </c>
      <c r="W539">
        <v>1</v>
      </c>
      <c r="X539">
        <v>8</v>
      </c>
      <c r="Y539">
        <v>5</v>
      </c>
      <c r="Z539">
        <v>8</v>
      </c>
      <c r="AA539">
        <v>7</v>
      </c>
      <c r="AB539">
        <v>0</v>
      </c>
      <c r="AC539">
        <v>4</v>
      </c>
      <c r="AD539">
        <v>6</v>
      </c>
      <c r="AE539">
        <v>3</v>
      </c>
      <c r="AF539">
        <v>3</v>
      </c>
      <c r="AG539">
        <v>4</v>
      </c>
      <c r="AH539">
        <v>9</v>
      </c>
      <c r="AI539">
        <v>8</v>
      </c>
      <c r="AJ539">
        <v>2</v>
      </c>
      <c r="AK539">
        <v>1</v>
      </c>
      <c r="AL539">
        <v>2</v>
      </c>
      <c r="AM539">
        <v>1</v>
      </c>
      <c r="AN539">
        <v>0</v>
      </c>
      <c r="AO539">
        <v>5</v>
      </c>
      <c r="AP539">
        <v>5</v>
      </c>
      <c r="AQ539">
        <v>6</v>
      </c>
      <c r="AR539">
        <v>9</v>
      </c>
      <c r="AS539">
        <v>0</v>
      </c>
      <c r="AT539">
        <v>0</v>
      </c>
      <c r="AU539">
        <v>2</v>
      </c>
      <c r="AV539">
        <v>2</v>
      </c>
      <c r="AW539">
        <v>6</v>
      </c>
      <c r="AX539">
        <v>7</v>
      </c>
      <c r="AY539">
        <v>10</v>
      </c>
      <c r="AZ539">
        <v>2</v>
      </c>
      <c r="BA539">
        <v>5</v>
      </c>
      <c r="BB539">
        <v>0</v>
      </c>
      <c r="BC539">
        <v>8</v>
      </c>
      <c r="BD539">
        <v>9</v>
      </c>
      <c r="BE539">
        <v>6</v>
      </c>
      <c r="BF539">
        <v>9</v>
      </c>
      <c r="BG539">
        <v>7</v>
      </c>
      <c r="BH539">
        <v>9</v>
      </c>
      <c r="BI539">
        <v>5</v>
      </c>
      <c r="BJ539">
        <v>6</v>
      </c>
      <c r="BK539">
        <v>6</v>
      </c>
      <c r="BL539">
        <v>7</v>
      </c>
      <c r="BM539">
        <v>6</v>
      </c>
      <c r="BN539">
        <v>7</v>
      </c>
      <c r="BO539">
        <v>10</v>
      </c>
      <c r="BP539">
        <v>2</v>
      </c>
      <c r="BQ539">
        <v>7</v>
      </c>
      <c r="BR539">
        <v>10</v>
      </c>
      <c r="BS539">
        <v>5</v>
      </c>
      <c r="BT539">
        <v>5</v>
      </c>
      <c r="BU539">
        <v>8</v>
      </c>
      <c r="BV539">
        <v>10</v>
      </c>
      <c r="BW539">
        <v>5</v>
      </c>
      <c r="BX539">
        <v>0</v>
      </c>
      <c r="BY539">
        <v>9</v>
      </c>
      <c r="BZ539">
        <v>10</v>
      </c>
      <c r="CA539">
        <v>0</v>
      </c>
      <c r="CB539">
        <v>10</v>
      </c>
      <c r="CC539">
        <v>1</v>
      </c>
      <c r="CD539">
        <v>7</v>
      </c>
      <c r="CE539">
        <v>3</v>
      </c>
      <c r="CF539">
        <v>2</v>
      </c>
      <c r="CG539">
        <v>8</v>
      </c>
      <c r="CH539">
        <v>8</v>
      </c>
      <c r="CI539">
        <v>2</v>
      </c>
      <c r="CJ539">
        <v>10</v>
      </c>
      <c r="CK539">
        <v>2</v>
      </c>
      <c r="CL539">
        <v>10</v>
      </c>
      <c r="CM539">
        <v>5</v>
      </c>
      <c r="CN539">
        <v>5</v>
      </c>
      <c r="CO539">
        <v>1</v>
      </c>
      <c r="CP539">
        <v>0</v>
      </c>
      <c r="CQ539">
        <v>7</v>
      </c>
      <c r="CR539">
        <v>9</v>
      </c>
      <c r="CS539">
        <v>5</v>
      </c>
      <c r="CT539">
        <v>5</v>
      </c>
      <c r="CU539">
        <v>6</v>
      </c>
      <c r="CV539">
        <v>1</v>
      </c>
      <c r="CW539">
        <v>1</v>
      </c>
      <c r="CX539">
        <v>7</v>
      </c>
      <c r="CY539">
        <v>9</v>
      </c>
      <c r="CZ539">
        <v>3</v>
      </c>
      <c r="DA539">
        <v>8</v>
      </c>
      <c r="DB539">
        <v>8</v>
      </c>
      <c r="DC539">
        <v>3</v>
      </c>
      <c r="DD539">
        <v>4</v>
      </c>
      <c r="DE539">
        <v>7</v>
      </c>
      <c r="DF539">
        <v>2</v>
      </c>
      <c r="DG539">
        <v>2</v>
      </c>
      <c r="DH539">
        <v>8</v>
      </c>
      <c r="DI539">
        <v>10</v>
      </c>
      <c r="DJ539">
        <v>10</v>
      </c>
      <c r="DK539">
        <v>9</v>
      </c>
    </row>
    <row r="540" spans="1:115">
      <c r="A540" s="173">
        <f>Calculations[[#This Row],[Sum t eCO2]]*IF(Calculations[[#This Row],[GHG Scope]]="BIOGENIC",0,1)</f>
        <v>3.6497542806088481E-3</v>
      </c>
      <c r="O540">
        <f t="shared" si="8"/>
        <v>539</v>
      </c>
      <c r="P540">
        <v>3</v>
      </c>
      <c r="Q540">
        <v>2</v>
      </c>
      <c r="R540">
        <v>5</v>
      </c>
      <c r="S540">
        <v>4</v>
      </c>
      <c r="T540">
        <v>10</v>
      </c>
      <c r="U540">
        <v>10</v>
      </c>
      <c r="V540">
        <v>3</v>
      </c>
      <c r="W540">
        <v>7</v>
      </c>
      <c r="X540">
        <v>0</v>
      </c>
      <c r="Y540">
        <v>2</v>
      </c>
      <c r="Z540">
        <v>1</v>
      </c>
      <c r="AA540">
        <v>9</v>
      </c>
      <c r="AB540">
        <v>4</v>
      </c>
      <c r="AC540">
        <v>10</v>
      </c>
      <c r="AD540">
        <v>2</v>
      </c>
      <c r="AE540">
        <v>8</v>
      </c>
      <c r="AF540">
        <v>6</v>
      </c>
      <c r="AG540">
        <v>8</v>
      </c>
      <c r="AH540">
        <v>1</v>
      </c>
      <c r="AI540">
        <v>5</v>
      </c>
      <c r="AJ540">
        <v>2</v>
      </c>
      <c r="AK540">
        <v>4</v>
      </c>
      <c r="AL540">
        <v>6</v>
      </c>
      <c r="AM540">
        <v>1</v>
      </c>
      <c r="AN540">
        <v>7</v>
      </c>
      <c r="AO540">
        <v>8</v>
      </c>
      <c r="AP540">
        <v>6</v>
      </c>
      <c r="AQ540">
        <v>7</v>
      </c>
      <c r="AR540">
        <v>3</v>
      </c>
      <c r="AS540">
        <v>4</v>
      </c>
      <c r="AT540">
        <v>6</v>
      </c>
      <c r="AU540">
        <v>7</v>
      </c>
      <c r="AV540">
        <v>1</v>
      </c>
      <c r="AW540">
        <v>5</v>
      </c>
      <c r="AX540">
        <v>5</v>
      </c>
      <c r="AY540">
        <v>0</v>
      </c>
      <c r="AZ540">
        <v>1</v>
      </c>
      <c r="BA540">
        <v>5</v>
      </c>
      <c r="BB540">
        <v>0</v>
      </c>
      <c r="BC540">
        <v>2</v>
      </c>
      <c r="BD540">
        <v>9</v>
      </c>
      <c r="BE540">
        <v>5</v>
      </c>
      <c r="BF540">
        <v>4</v>
      </c>
      <c r="BG540">
        <v>2</v>
      </c>
      <c r="BH540">
        <v>3</v>
      </c>
      <c r="BI540">
        <v>3</v>
      </c>
      <c r="BJ540">
        <v>7</v>
      </c>
      <c r="BK540">
        <v>8</v>
      </c>
      <c r="BL540">
        <v>1</v>
      </c>
      <c r="BM540">
        <v>1</v>
      </c>
      <c r="BN540">
        <v>4</v>
      </c>
      <c r="BO540">
        <v>8</v>
      </c>
      <c r="BP540">
        <v>8</v>
      </c>
      <c r="BQ540">
        <v>2</v>
      </c>
      <c r="BR540">
        <v>1</v>
      </c>
      <c r="BS540">
        <v>8</v>
      </c>
      <c r="BT540">
        <v>0</v>
      </c>
      <c r="BU540">
        <v>9</v>
      </c>
      <c r="BV540">
        <v>4</v>
      </c>
      <c r="BW540">
        <v>8</v>
      </c>
      <c r="BX540">
        <v>3</v>
      </c>
      <c r="BY540">
        <v>4</v>
      </c>
      <c r="BZ540">
        <v>8</v>
      </c>
      <c r="CA540">
        <v>1</v>
      </c>
      <c r="CB540">
        <v>9</v>
      </c>
      <c r="CC540">
        <v>0</v>
      </c>
      <c r="CD540">
        <v>3</v>
      </c>
      <c r="CE540">
        <v>0</v>
      </c>
      <c r="CF540">
        <v>0</v>
      </c>
      <c r="CG540">
        <v>5</v>
      </c>
      <c r="CH540">
        <v>9</v>
      </c>
      <c r="CI540">
        <v>0</v>
      </c>
      <c r="CJ540">
        <v>2</v>
      </c>
      <c r="CK540">
        <v>3</v>
      </c>
      <c r="CL540">
        <v>8</v>
      </c>
      <c r="CM540">
        <v>4</v>
      </c>
      <c r="CN540">
        <v>8</v>
      </c>
      <c r="CO540">
        <v>7</v>
      </c>
      <c r="CP540">
        <v>3</v>
      </c>
      <c r="CQ540">
        <v>3</v>
      </c>
      <c r="CR540">
        <v>6</v>
      </c>
      <c r="CS540">
        <v>6</v>
      </c>
      <c r="CT540">
        <v>0</v>
      </c>
      <c r="CU540">
        <v>6</v>
      </c>
      <c r="CV540">
        <v>6</v>
      </c>
      <c r="CW540">
        <v>2</v>
      </c>
      <c r="CX540">
        <v>2</v>
      </c>
      <c r="CY540">
        <v>1</v>
      </c>
      <c r="CZ540">
        <v>1</v>
      </c>
      <c r="DA540">
        <v>8</v>
      </c>
      <c r="DB540">
        <v>6</v>
      </c>
      <c r="DC540">
        <v>6</v>
      </c>
      <c r="DD540">
        <v>5</v>
      </c>
      <c r="DE540">
        <v>1</v>
      </c>
      <c r="DF540">
        <v>4</v>
      </c>
      <c r="DG540">
        <v>2</v>
      </c>
      <c r="DH540">
        <v>5</v>
      </c>
      <c r="DI540">
        <v>1</v>
      </c>
      <c r="DJ540">
        <v>1</v>
      </c>
      <c r="DK540">
        <v>10</v>
      </c>
    </row>
    <row r="541" spans="1:115">
      <c r="A541" s="173">
        <f>Calculations[[#This Row],[Sum t eCO2]]*IF(Calculations[[#This Row],[GHG Scope]]="BIOGENIC",0,1)</f>
        <v>8.9701042500000012E-3</v>
      </c>
      <c r="O541">
        <f t="shared" si="8"/>
        <v>540</v>
      </c>
      <c r="P541">
        <v>4</v>
      </c>
      <c r="Q541">
        <v>4</v>
      </c>
      <c r="R541">
        <v>1</v>
      </c>
      <c r="S541">
        <v>9</v>
      </c>
      <c r="T541">
        <v>3</v>
      </c>
      <c r="U541">
        <v>3</v>
      </c>
      <c r="V541">
        <v>10</v>
      </c>
      <c r="W541">
        <v>3</v>
      </c>
      <c r="X541">
        <v>8</v>
      </c>
      <c r="Y541">
        <v>0</v>
      </c>
      <c r="Z541">
        <v>3</v>
      </c>
      <c r="AA541">
        <v>6</v>
      </c>
      <c r="AB541">
        <v>2</v>
      </c>
      <c r="AC541">
        <v>7</v>
      </c>
      <c r="AD541">
        <v>6</v>
      </c>
      <c r="AE541">
        <v>2</v>
      </c>
      <c r="AF541">
        <v>5</v>
      </c>
      <c r="AG541">
        <v>6</v>
      </c>
      <c r="AH541">
        <v>8</v>
      </c>
      <c r="AI541">
        <v>7</v>
      </c>
      <c r="AJ541">
        <v>5</v>
      </c>
      <c r="AK541">
        <v>6</v>
      </c>
      <c r="AL541">
        <v>1</v>
      </c>
      <c r="AM541">
        <v>0</v>
      </c>
      <c r="AN541">
        <v>5</v>
      </c>
      <c r="AO541">
        <v>6</v>
      </c>
      <c r="AP541">
        <v>6</v>
      </c>
      <c r="AQ541">
        <v>3</v>
      </c>
      <c r="AR541">
        <v>3</v>
      </c>
      <c r="AS541">
        <v>7</v>
      </c>
      <c r="AT541">
        <v>10</v>
      </c>
      <c r="AU541">
        <v>1</v>
      </c>
      <c r="AV541">
        <v>0</v>
      </c>
      <c r="AW541">
        <v>8</v>
      </c>
      <c r="AX541">
        <v>9</v>
      </c>
      <c r="AY541">
        <v>8</v>
      </c>
      <c r="AZ541">
        <v>7</v>
      </c>
      <c r="BA541">
        <v>8</v>
      </c>
      <c r="BB541">
        <v>7</v>
      </c>
      <c r="BC541">
        <v>10</v>
      </c>
      <c r="BD541">
        <v>9</v>
      </c>
      <c r="BE541">
        <v>9</v>
      </c>
      <c r="BF541">
        <v>6</v>
      </c>
      <c r="BG541">
        <v>3</v>
      </c>
      <c r="BH541">
        <v>3</v>
      </c>
      <c r="BI541">
        <v>0</v>
      </c>
      <c r="BJ541">
        <v>3</v>
      </c>
      <c r="BK541">
        <v>0</v>
      </c>
      <c r="BL541">
        <v>0</v>
      </c>
      <c r="BM541">
        <v>0</v>
      </c>
      <c r="BN541">
        <v>1</v>
      </c>
      <c r="BO541">
        <v>9</v>
      </c>
      <c r="BP541">
        <v>2</v>
      </c>
      <c r="BQ541">
        <v>4</v>
      </c>
      <c r="BR541">
        <v>10</v>
      </c>
      <c r="BS541">
        <v>10</v>
      </c>
      <c r="BT541">
        <v>8</v>
      </c>
      <c r="BU541">
        <v>0</v>
      </c>
      <c r="BV541">
        <v>9</v>
      </c>
      <c r="BW541">
        <v>5</v>
      </c>
      <c r="BX541">
        <v>5</v>
      </c>
      <c r="BY541">
        <v>9</v>
      </c>
      <c r="BZ541">
        <v>4</v>
      </c>
      <c r="CA541">
        <v>8</v>
      </c>
      <c r="CB541">
        <v>8</v>
      </c>
      <c r="CC541">
        <v>3</v>
      </c>
      <c r="CD541">
        <v>4</v>
      </c>
      <c r="CE541">
        <v>1</v>
      </c>
      <c r="CF541">
        <v>1</v>
      </c>
      <c r="CG541">
        <v>9</v>
      </c>
      <c r="CH541">
        <v>0</v>
      </c>
      <c r="CI541">
        <v>0</v>
      </c>
      <c r="CJ541">
        <v>6</v>
      </c>
      <c r="CK541">
        <v>0</v>
      </c>
      <c r="CL541">
        <v>4</v>
      </c>
      <c r="CM541">
        <v>2</v>
      </c>
      <c r="CN541">
        <v>8</v>
      </c>
      <c r="CO541">
        <v>0</v>
      </c>
      <c r="CP541">
        <v>0</v>
      </c>
      <c r="CQ541">
        <v>9</v>
      </c>
      <c r="CR541">
        <v>1</v>
      </c>
      <c r="CS541">
        <v>6</v>
      </c>
      <c r="CT541">
        <v>0</v>
      </c>
      <c r="CU541">
        <v>2</v>
      </c>
      <c r="CV541">
        <v>6</v>
      </c>
      <c r="CW541">
        <v>6</v>
      </c>
      <c r="CX541">
        <v>1</v>
      </c>
      <c r="CY541">
        <v>4</v>
      </c>
      <c r="CZ541">
        <v>7</v>
      </c>
      <c r="DA541">
        <v>0</v>
      </c>
      <c r="DB541">
        <v>0</v>
      </c>
      <c r="DC541">
        <v>4</v>
      </c>
      <c r="DD541">
        <v>6</v>
      </c>
      <c r="DE541">
        <v>10</v>
      </c>
      <c r="DF541">
        <v>7</v>
      </c>
      <c r="DG541">
        <v>0</v>
      </c>
      <c r="DH541">
        <v>5</v>
      </c>
      <c r="DI541">
        <v>0</v>
      </c>
      <c r="DJ541">
        <v>5</v>
      </c>
      <c r="DK541">
        <v>4</v>
      </c>
    </row>
    <row r="542" spans="1:115">
      <c r="A542" s="173">
        <f>Calculations[[#This Row],[Sum t eCO2]]*IF(Calculations[[#This Row],[GHG Scope]]="BIOGENIC",0,1)</f>
        <v>4.4011749799638462</v>
      </c>
      <c r="O542">
        <f t="shared" si="8"/>
        <v>541</v>
      </c>
      <c r="P542">
        <v>4</v>
      </c>
      <c r="Q542">
        <v>1</v>
      </c>
      <c r="R542">
        <v>7</v>
      </c>
      <c r="S542">
        <v>8</v>
      </c>
      <c r="T542">
        <v>0</v>
      </c>
      <c r="U542">
        <v>10</v>
      </c>
      <c r="V542">
        <v>5</v>
      </c>
      <c r="W542">
        <v>4</v>
      </c>
      <c r="X542">
        <v>4</v>
      </c>
      <c r="Y542">
        <v>6</v>
      </c>
      <c r="Z542">
        <v>8</v>
      </c>
      <c r="AA542">
        <v>0</v>
      </c>
      <c r="AB542">
        <v>4</v>
      </c>
      <c r="AC542">
        <v>4</v>
      </c>
      <c r="AD542">
        <v>0</v>
      </c>
      <c r="AE542">
        <v>10</v>
      </c>
      <c r="AF542">
        <v>4</v>
      </c>
      <c r="AG542">
        <v>4</v>
      </c>
      <c r="AH542">
        <v>1</v>
      </c>
      <c r="AI542">
        <v>0</v>
      </c>
      <c r="AJ542">
        <v>1</v>
      </c>
      <c r="AK542">
        <v>1</v>
      </c>
      <c r="AL542">
        <v>8</v>
      </c>
      <c r="AM542">
        <v>7</v>
      </c>
      <c r="AN542">
        <v>5</v>
      </c>
      <c r="AO542">
        <v>9</v>
      </c>
      <c r="AP542">
        <v>9</v>
      </c>
      <c r="AQ542">
        <v>8</v>
      </c>
      <c r="AR542">
        <v>5</v>
      </c>
      <c r="AS542">
        <v>10</v>
      </c>
      <c r="AT542">
        <v>6</v>
      </c>
      <c r="AU542">
        <v>0</v>
      </c>
      <c r="AV542">
        <v>3</v>
      </c>
      <c r="AW542">
        <v>3</v>
      </c>
      <c r="AX542">
        <v>10</v>
      </c>
      <c r="AY542">
        <v>5</v>
      </c>
      <c r="AZ542">
        <v>6</v>
      </c>
      <c r="BA542">
        <v>5</v>
      </c>
      <c r="BB542">
        <v>2</v>
      </c>
      <c r="BC542">
        <v>2</v>
      </c>
      <c r="BD542">
        <v>4</v>
      </c>
      <c r="BE542">
        <v>1</v>
      </c>
      <c r="BF542">
        <v>3</v>
      </c>
      <c r="BG542">
        <v>3</v>
      </c>
      <c r="BH542">
        <v>7</v>
      </c>
      <c r="BI542">
        <v>2</v>
      </c>
      <c r="BJ542">
        <v>7</v>
      </c>
      <c r="BK542">
        <v>1</v>
      </c>
      <c r="BL542">
        <v>0</v>
      </c>
      <c r="BM542">
        <v>8</v>
      </c>
      <c r="BN542">
        <v>4</v>
      </c>
      <c r="BO542">
        <v>0</v>
      </c>
      <c r="BP542">
        <v>7</v>
      </c>
      <c r="BQ542">
        <v>0</v>
      </c>
      <c r="BR542">
        <v>0</v>
      </c>
      <c r="BS542">
        <v>0</v>
      </c>
      <c r="BT542">
        <v>1</v>
      </c>
      <c r="BU542">
        <v>9</v>
      </c>
      <c r="BV542">
        <v>5</v>
      </c>
      <c r="BW542">
        <v>10</v>
      </c>
      <c r="BX542">
        <v>6</v>
      </c>
      <c r="BY542">
        <v>9</v>
      </c>
      <c r="BZ542">
        <v>6</v>
      </c>
      <c r="CA542">
        <v>10</v>
      </c>
      <c r="CB542">
        <v>3</v>
      </c>
      <c r="CC542">
        <v>3</v>
      </c>
      <c r="CD542">
        <v>4</v>
      </c>
      <c r="CE542">
        <v>3</v>
      </c>
      <c r="CF542">
        <v>8</v>
      </c>
      <c r="CG542">
        <v>0</v>
      </c>
      <c r="CH542">
        <v>9</v>
      </c>
      <c r="CI542">
        <v>0</v>
      </c>
      <c r="CJ542">
        <v>10</v>
      </c>
      <c r="CK542">
        <v>9</v>
      </c>
      <c r="CL542">
        <v>1</v>
      </c>
      <c r="CM542">
        <v>0</v>
      </c>
      <c r="CN542">
        <v>9</v>
      </c>
      <c r="CO542">
        <v>10</v>
      </c>
      <c r="CP542">
        <v>0</v>
      </c>
      <c r="CQ542">
        <v>10</v>
      </c>
      <c r="CR542">
        <v>7</v>
      </c>
      <c r="CS542">
        <v>6</v>
      </c>
      <c r="CT542">
        <v>5</v>
      </c>
      <c r="CU542">
        <v>5</v>
      </c>
      <c r="CV542">
        <v>8</v>
      </c>
      <c r="CW542">
        <v>5</v>
      </c>
      <c r="CX542">
        <v>7</v>
      </c>
      <c r="CY542">
        <v>3</v>
      </c>
      <c r="CZ542">
        <v>7</v>
      </c>
      <c r="DA542">
        <v>3</v>
      </c>
      <c r="DB542">
        <v>7</v>
      </c>
      <c r="DC542">
        <v>7</v>
      </c>
      <c r="DD542">
        <v>2</v>
      </c>
      <c r="DE542">
        <v>3</v>
      </c>
      <c r="DF542">
        <v>2</v>
      </c>
      <c r="DG542">
        <v>10</v>
      </c>
      <c r="DH542">
        <v>1</v>
      </c>
      <c r="DI542">
        <v>3</v>
      </c>
      <c r="DJ542">
        <v>8</v>
      </c>
      <c r="DK542">
        <v>1</v>
      </c>
    </row>
    <row r="543" spans="1:115">
      <c r="A543" s="173">
        <f>Calculations[[#This Row],[Sum t eCO2]]*IF(Calculations[[#This Row],[GHG Scope]]="BIOGENIC",0,1)</f>
        <v>4.8127504320000011E-3</v>
      </c>
      <c r="O543">
        <f t="shared" si="8"/>
        <v>542</v>
      </c>
      <c r="P543">
        <v>7</v>
      </c>
      <c r="Q543">
        <v>5</v>
      </c>
      <c r="R543">
        <v>7</v>
      </c>
      <c r="S543">
        <v>9</v>
      </c>
      <c r="T543">
        <v>4</v>
      </c>
      <c r="U543">
        <v>7</v>
      </c>
      <c r="V543">
        <v>4</v>
      </c>
      <c r="W543">
        <v>9</v>
      </c>
      <c r="X543">
        <v>5</v>
      </c>
      <c r="Y543">
        <v>8</v>
      </c>
      <c r="Z543">
        <v>4</v>
      </c>
      <c r="AA543">
        <v>0</v>
      </c>
      <c r="AB543">
        <v>4</v>
      </c>
      <c r="AC543">
        <v>5</v>
      </c>
      <c r="AD543">
        <v>7</v>
      </c>
      <c r="AE543">
        <v>3</v>
      </c>
      <c r="AF543">
        <v>9</v>
      </c>
      <c r="AG543">
        <v>7</v>
      </c>
      <c r="AH543">
        <v>5</v>
      </c>
      <c r="AI543">
        <v>9</v>
      </c>
      <c r="AJ543">
        <v>2</v>
      </c>
      <c r="AK543">
        <v>10</v>
      </c>
      <c r="AL543">
        <v>3</v>
      </c>
      <c r="AM543">
        <v>0</v>
      </c>
      <c r="AN543">
        <v>2</v>
      </c>
      <c r="AO543">
        <v>2</v>
      </c>
      <c r="AP543">
        <v>9</v>
      </c>
      <c r="AQ543">
        <v>7</v>
      </c>
      <c r="AR543">
        <v>8</v>
      </c>
      <c r="AS543">
        <v>4</v>
      </c>
      <c r="AT543">
        <v>9</v>
      </c>
      <c r="AU543">
        <v>9</v>
      </c>
      <c r="AV543">
        <v>7</v>
      </c>
      <c r="AW543">
        <v>4</v>
      </c>
      <c r="AX543">
        <v>7</v>
      </c>
      <c r="AY543">
        <v>5</v>
      </c>
      <c r="AZ543">
        <v>5</v>
      </c>
      <c r="BA543">
        <v>2</v>
      </c>
      <c r="BB543">
        <v>10</v>
      </c>
      <c r="BC543">
        <v>5</v>
      </c>
      <c r="BD543">
        <v>9</v>
      </c>
      <c r="BE543">
        <v>3</v>
      </c>
      <c r="BF543">
        <v>3</v>
      </c>
      <c r="BG543">
        <v>3</v>
      </c>
      <c r="BH543">
        <v>9</v>
      </c>
      <c r="BI543">
        <v>4</v>
      </c>
      <c r="BJ543">
        <v>3</v>
      </c>
      <c r="BK543">
        <v>5</v>
      </c>
      <c r="BL543">
        <v>3</v>
      </c>
      <c r="BM543">
        <v>2</v>
      </c>
      <c r="BN543">
        <v>0</v>
      </c>
      <c r="BO543">
        <v>7</v>
      </c>
      <c r="BP543">
        <v>10</v>
      </c>
      <c r="BQ543">
        <v>1</v>
      </c>
      <c r="BR543">
        <v>1</v>
      </c>
      <c r="BS543">
        <v>6</v>
      </c>
      <c r="BT543">
        <v>8</v>
      </c>
      <c r="BU543">
        <v>0</v>
      </c>
      <c r="BV543">
        <v>8</v>
      </c>
      <c r="BW543">
        <v>8</v>
      </c>
      <c r="BX543">
        <v>3</v>
      </c>
      <c r="BY543">
        <v>9</v>
      </c>
      <c r="BZ543">
        <v>10</v>
      </c>
      <c r="CA543">
        <v>3</v>
      </c>
      <c r="CB543">
        <v>9</v>
      </c>
      <c r="CC543">
        <v>5</v>
      </c>
      <c r="CD543">
        <v>6</v>
      </c>
      <c r="CE543">
        <v>7</v>
      </c>
      <c r="CF543">
        <v>9</v>
      </c>
      <c r="CG543">
        <v>3</v>
      </c>
      <c r="CH543">
        <v>8</v>
      </c>
      <c r="CI543">
        <v>7</v>
      </c>
      <c r="CJ543">
        <v>4</v>
      </c>
      <c r="CK543">
        <v>0</v>
      </c>
      <c r="CL543">
        <v>2</v>
      </c>
      <c r="CM543">
        <v>10</v>
      </c>
      <c r="CN543">
        <v>6</v>
      </c>
      <c r="CO543">
        <v>5</v>
      </c>
      <c r="CP543">
        <v>5</v>
      </c>
      <c r="CQ543">
        <v>2</v>
      </c>
      <c r="CR543">
        <v>7</v>
      </c>
      <c r="CS543">
        <v>3</v>
      </c>
      <c r="CT543">
        <v>4</v>
      </c>
      <c r="CU543">
        <v>9</v>
      </c>
      <c r="CV543">
        <v>6</v>
      </c>
      <c r="CW543">
        <v>4</v>
      </c>
      <c r="CX543">
        <v>0</v>
      </c>
      <c r="CY543">
        <v>2</v>
      </c>
      <c r="CZ543">
        <v>8</v>
      </c>
      <c r="DA543">
        <v>7</v>
      </c>
      <c r="DB543">
        <v>3</v>
      </c>
      <c r="DC543">
        <v>2</v>
      </c>
      <c r="DD543">
        <v>7</v>
      </c>
      <c r="DE543">
        <v>4</v>
      </c>
      <c r="DF543">
        <v>0</v>
      </c>
      <c r="DG543">
        <v>5</v>
      </c>
      <c r="DH543">
        <v>1</v>
      </c>
      <c r="DI543">
        <v>4</v>
      </c>
      <c r="DJ543">
        <v>4</v>
      </c>
      <c r="DK543">
        <v>8</v>
      </c>
    </row>
    <row r="544" spans="1:115">
      <c r="A544" s="173">
        <f>Calculations[[#This Row],[Sum t eCO2]]*IF(Calculations[[#This Row],[GHG Scope]]="BIOGENIC",0,1)</f>
        <v>9.1098490319999996E-3</v>
      </c>
      <c r="O544">
        <f t="shared" si="8"/>
        <v>543</v>
      </c>
      <c r="P544">
        <v>2</v>
      </c>
      <c r="Q544">
        <v>2</v>
      </c>
      <c r="R544">
        <v>9</v>
      </c>
      <c r="S544">
        <v>1</v>
      </c>
      <c r="T544">
        <v>2</v>
      </c>
      <c r="U544">
        <v>6</v>
      </c>
      <c r="V544">
        <v>5</v>
      </c>
      <c r="W544">
        <v>9</v>
      </c>
      <c r="X544">
        <v>2</v>
      </c>
      <c r="Y544">
        <v>9</v>
      </c>
      <c r="Z544">
        <v>1</v>
      </c>
      <c r="AA544">
        <v>10</v>
      </c>
      <c r="AB544">
        <v>9</v>
      </c>
      <c r="AC544">
        <v>1</v>
      </c>
      <c r="AD544">
        <v>6</v>
      </c>
      <c r="AE544">
        <v>9</v>
      </c>
      <c r="AF544">
        <v>4</v>
      </c>
      <c r="AG544">
        <v>8</v>
      </c>
      <c r="AH544">
        <v>9</v>
      </c>
      <c r="AI544">
        <v>4</v>
      </c>
      <c r="AJ544">
        <v>6</v>
      </c>
      <c r="AK544">
        <v>5</v>
      </c>
      <c r="AL544">
        <v>10</v>
      </c>
      <c r="AM544">
        <v>4</v>
      </c>
      <c r="AN544">
        <v>2</v>
      </c>
      <c r="AO544">
        <v>5</v>
      </c>
      <c r="AP544">
        <v>1</v>
      </c>
      <c r="AQ544">
        <v>1</v>
      </c>
      <c r="AR544">
        <v>7</v>
      </c>
      <c r="AS544">
        <v>0</v>
      </c>
      <c r="AT544">
        <v>0</v>
      </c>
      <c r="AU544">
        <v>7</v>
      </c>
      <c r="AV544">
        <v>0</v>
      </c>
      <c r="AW544">
        <v>2</v>
      </c>
      <c r="AX544">
        <v>6</v>
      </c>
      <c r="AY544">
        <v>0</v>
      </c>
      <c r="AZ544">
        <v>0</v>
      </c>
      <c r="BA544">
        <v>5</v>
      </c>
      <c r="BB544">
        <v>0</v>
      </c>
      <c r="BC544">
        <v>0</v>
      </c>
      <c r="BD544">
        <v>7</v>
      </c>
      <c r="BE544">
        <v>2</v>
      </c>
      <c r="BF544">
        <v>9</v>
      </c>
      <c r="BG544">
        <v>3</v>
      </c>
      <c r="BH544">
        <v>2</v>
      </c>
      <c r="BI544">
        <v>8</v>
      </c>
      <c r="BJ544">
        <v>5</v>
      </c>
      <c r="BK544">
        <v>5</v>
      </c>
      <c r="BL544">
        <v>4</v>
      </c>
      <c r="BM544">
        <v>10</v>
      </c>
      <c r="BN544">
        <v>5</v>
      </c>
      <c r="BO544">
        <v>1</v>
      </c>
      <c r="BP544">
        <v>9</v>
      </c>
      <c r="BQ544">
        <v>7</v>
      </c>
      <c r="BR544">
        <v>1</v>
      </c>
      <c r="BS544">
        <v>7</v>
      </c>
      <c r="BT544">
        <v>10</v>
      </c>
      <c r="BU544">
        <v>7</v>
      </c>
      <c r="BV544">
        <v>7</v>
      </c>
      <c r="BW544">
        <v>4</v>
      </c>
      <c r="BX544">
        <v>4</v>
      </c>
      <c r="BY544">
        <v>0</v>
      </c>
      <c r="BZ544">
        <v>6</v>
      </c>
      <c r="CA544">
        <v>6</v>
      </c>
      <c r="CB544">
        <v>6</v>
      </c>
      <c r="CC544">
        <v>2</v>
      </c>
      <c r="CD544">
        <v>4</v>
      </c>
      <c r="CE544">
        <v>5</v>
      </c>
      <c r="CF544">
        <v>4</v>
      </c>
      <c r="CG544">
        <v>2</v>
      </c>
      <c r="CH544">
        <v>8</v>
      </c>
      <c r="CI544">
        <v>10</v>
      </c>
      <c r="CJ544">
        <v>3</v>
      </c>
      <c r="CK544">
        <v>2</v>
      </c>
      <c r="CL544">
        <v>2</v>
      </c>
      <c r="CM544">
        <v>10</v>
      </c>
      <c r="CN544">
        <v>10</v>
      </c>
      <c r="CO544">
        <v>9</v>
      </c>
      <c r="CP544">
        <v>6</v>
      </c>
      <c r="CQ544">
        <v>9</v>
      </c>
      <c r="CR544">
        <v>8</v>
      </c>
      <c r="CS544">
        <v>3</v>
      </c>
      <c r="CT544">
        <v>3</v>
      </c>
      <c r="CU544">
        <v>7</v>
      </c>
      <c r="CV544">
        <v>3</v>
      </c>
      <c r="CW544">
        <v>4</v>
      </c>
      <c r="CX544">
        <v>10</v>
      </c>
      <c r="CY544">
        <v>7</v>
      </c>
      <c r="CZ544">
        <v>2</v>
      </c>
      <c r="DA544">
        <v>1</v>
      </c>
      <c r="DB544">
        <v>8</v>
      </c>
      <c r="DC544">
        <v>10</v>
      </c>
      <c r="DD544">
        <v>10</v>
      </c>
      <c r="DE544">
        <v>7</v>
      </c>
      <c r="DF544">
        <v>1</v>
      </c>
      <c r="DG544">
        <v>4</v>
      </c>
      <c r="DH544">
        <v>3</v>
      </c>
      <c r="DI544">
        <v>7</v>
      </c>
      <c r="DJ544">
        <v>5</v>
      </c>
      <c r="DK544">
        <v>1</v>
      </c>
    </row>
    <row r="545" spans="1:115">
      <c r="A545" s="173">
        <f>Calculations[[#This Row],[Sum t eCO2]]*IF(Calculations[[#This Row],[GHG Scope]]="BIOGENIC",0,1)</f>
        <v>53.128637416764008</v>
      </c>
      <c r="O545">
        <f t="shared" si="8"/>
        <v>544</v>
      </c>
      <c r="P545">
        <v>0</v>
      </c>
      <c r="Q545">
        <v>1</v>
      </c>
      <c r="R545">
        <v>9</v>
      </c>
      <c r="S545">
        <v>2</v>
      </c>
      <c r="T545">
        <v>8</v>
      </c>
      <c r="U545">
        <v>4</v>
      </c>
      <c r="V545">
        <v>2</v>
      </c>
      <c r="W545">
        <v>1</v>
      </c>
      <c r="X545">
        <v>8</v>
      </c>
      <c r="Y545">
        <v>10</v>
      </c>
      <c r="Z545">
        <v>6</v>
      </c>
      <c r="AA545">
        <v>9</v>
      </c>
      <c r="AB545">
        <v>10</v>
      </c>
      <c r="AC545">
        <v>0</v>
      </c>
      <c r="AD545">
        <v>7</v>
      </c>
      <c r="AE545">
        <v>1</v>
      </c>
      <c r="AF545">
        <v>0</v>
      </c>
      <c r="AG545">
        <v>3</v>
      </c>
      <c r="AH545">
        <v>1</v>
      </c>
      <c r="AI545">
        <v>5</v>
      </c>
      <c r="AJ545">
        <v>9</v>
      </c>
      <c r="AK545">
        <v>8</v>
      </c>
      <c r="AL545">
        <v>4</v>
      </c>
      <c r="AM545">
        <v>8</v>
      </c>
      <c r="AN545">
        <v>3</v>
      </c>
      <c r="AO545">
        <v>4</v>
      </c>
      <c r="AP545">
        <v>0</v>
      </c>
      <c r="AQ545">
        <v>2</v>
      </c>
      <c r="AR545">
        <v>8</v>
      </c>
      <c r="AS545">
        <v>1</v>
      </c>
      <c r="AT545">
        <v>6</v>
      </c>
      <c r="AU545">
        <v>9</v>
      </c>
      <c r="AV545">
        <v>10</v>
      </c>
      <c r="AW545">
        <v>9</v>
      </c>
      <c r="AX545">
        <v>9</v>
      </c>
      <c r="AY545">
        <v>4</v>
      </c>
      <c r="AZ545">
        <v>8</v>
      </c>
      <c r="BA545">
        <v>10</v>
      </c>
      <c r="BB545">
        <v>8</v>
      </c>
      <c r="BC545">
        <v>2</v>
      </c>
      <c r="BD545">
        <v>4</v>
      </c>
      <c r="BE545">
        <v>5</v>
      </c>
      <c r="BF545">
        <v>9</v>
      </c>
      <c r="BG545">
        <v>1</v>
      </c>
      <c r="BH545">
        <v>2</v>
      </c>
      <c r="BI545">
        <v>10</v>
      </c>
      <c r="BJ545">
        <v>8</v>
      </c>
      <c r="BK545">
        <v>7</v>
      </c>
      <c r="BL545">
        <v>7</v>
      </c>
      <c r="BM545">
        <v>4</v>
      </c>
      <c r="BN545">
        <v>6</v>
      </c>
      <c r="BO545">
        <v>10</v>
      </c>
      <c r="BP545">
        <v>2</v>
      </c>
      <c r="BQ545">
        <v>0</v>
      </c>
      <c r="BR545">
        <v>9</v>
      </c>
      <c r="BS545">
        <v>0</v>
      </c>
      <c r="BT545">
        <v>1</v>
      </c>
      <c r="BU545">
        <v>8</v>
      </c>
      <c r="BV545">
        <v>5</v>
      </c>
      <c r="BW545">
        <v>6</v>
      </c>
      <c r="BX545">
        <v>3</v>
      </c>
      <c r="BY545">
        <v>3</v>
      </c>
      <c r="BZ545">
        <v>1</v>
      </c>
      <c r="CA545">
        <v>9</v>
      </c>
      <c r="CB545">
        <v>6</v>
      </c>
      <c r="CC545">
        <v>5</v>
      </c>
      <c r="CD545">
        <v>6</v>
      </c>
      <c r="CE545">
        <v>5</v>
      </c>
      <c r="CF545">
        <v>1</v>
      </c>
      <c r="CG545">
        <v>6</v>
      </c>
      <c r="CH545">
        <v>6</v>
      </c>
      <c r="CI545">
        <v>10</v>
      </c>
      <c r="CJ545">
        <v>1</v>
      </c>
      <c r="CK545">
        <v>10</v>
      </c>
      <c r="CL545">
        <v>3</v>
      </c>
      <c r="CM545">
        <v>9</v>
      </c>
      <c r="CN545">
        <v>5</v>
      </c>
      <c r="CO545">
        <v>7</v>
      </c>
      <c r="CP545">
        <v>7</v>
      </c>
      <c r="CQ545">
        <v>9</v>
      </c>
      <c r="CR545">
        <v>2</v>
      </c>
      <c r="CS545">
        <v>1</v>
      </c>
      <c r="CT545">
        <v>7</v>
      </c>
      <c r="CU545">
        <v>10</v>
      </c>
      <c r="CV545">
        <v>1</v>
      </c>
      <c r="CW545">
        <v>4</v>
      </c>
      <c r="CX545">
        <v>8</v>
      </c>
      <c r="CY545">
        <v>2</v>
      </c>
      <c r="CZ545">
        <v>9</v>
      </c>
      <c r="DA545">
        <v>10</v>
      </c>
      <c r="DB545">
        <v>8</v>
      </c>
      <c r="DC545">
        <v>1</v>
      </c>
      <c r="DD545">
        <v>8</v>
      </c>
      <c r="DE545">
        <v>9</v>
      </c>
      <c r="DF545">
        <v>7</v>
      </c>
      <c r="DG545">
        <v>4</v>
      </c>
      <c r="DH545">
        <v>4</v>
      </c>
      <c r="DI545">
        <v>7</v>
      </c>
      <c r="DJ545">
        <v>7</v>
      </c>
      <c r="DK545">
        <v>2</v>
      </c>
    </row>
    <row r="546" spans="1:115">
      <c r="A546" s="173">
        <f>Calculations[[#This Row],[Sum t eCO2]]*IF(Calculations[[#This Row],[GHG Scope]]="BIOGENIC",0,1)</f>
        <v>1.4752160812049737E-2</v>
      </c>
      <c r="O546">
        <f t="shared" si="8"/>
        <v>545</v>
      </c>
      <c r="P546">
        <v>4</v>
      </c>
      <c r="Q546">
        <v>2</v>
      </c>
      <c r="R546">
        <v>5</v>
      </c>
      <c r="S546">
        <v>5</v>
      </c>
      <c r="T546">
        <v>6</v>
      </c>
      <c r="U546">
        <v>1</v>
      </c>
      <c r="V546">
        <v>1</v>
      </c>
      <c r="W546">
        <v>3</v>
      </c>
      <c r="X546">
        <v>0</v>
      </c>
      <c r="Y546">
        <v>3</v>
      </c>
      <c r="Z546">
        <v>8</v>
      </c>
      <c r="AA546">
        <v>2</v>
      </c>
      <c r="AB546">
        <v>10</v>
      </c>
      <c r="AC546">
        <v>3</v>
      </c>
      <c r="AD546">
        <v>8</v>
      </c>
      <c r="AE546">
        <v>9</v>
      </c>
      <c r="AF546">
        <v>8</v>
      </c>
      <c r="AG546">
        <v>9</v>
      </c>
      <c r="AH546">
        <v>1</v>
      </c>
      <c r="AI546">
        <v>8</v>
      </c>
      <c r="AJ546">
        <v>9</v>
      </c>
      <c r="AK546">
        <v>1</v>
      </c>
      <c r="AL546">
        <v>2</v>
      </c>
      <c r="AM546">
        <v>3</v>
      </c>
      <c r="AN546">
        <v>0</v>
      </c>
      <c r="AO546">
        <v>3</v>
      </c>
      <c r="AP546">
        <v>1</v>
      </c>
      <c r="AQ546">
        <v>6</v>
      </c>
      <c r="AR546">
        <v>2</v>
      </c>
      <c r="AS546">
        <v>2</v>
      </c>
      <c r="AT546">
        <v>1</v>
      </c>
      <c r="AU546">
        <v>9</v>
      </c>
      <c r="AV546">
        <v>8</v>
      </c>
      <c r="AW546">
        <v>2</v>
      </c>
      <c r="AX546">
        <v>0</v>
      </c>
      <c r="AY546">
        <v>7</v>
      </c>
      <c r="AZ546">
        <v>5</v>
      </c>
      <c r="BA546">
        <v>7</v>
      </c>
      <c r="BB546">
        <v>0</v>
      </c>
      <c r="BC546">
        <v>3</v>
      </c>
      <c r="BD546">
        <v>0</v>
      </c>
      <c r="BE546">
        <v>8</v>
      </c>
      <c r="BF546">
        <v>7</v>
      </c>
      <c r="BG546">
        <v>9</v>
      </c>
      <c r="BH546">
        <v>4</v>
      </c>
      <c r="BI546">
        <v>9</v>
      </c>
      <c r="BJ546">
        <v>4</v>
      </c>
      <c r="BK546">
        <v>5</v>
      </c>
      <c r="BL546">
        <v>9</v>
      </c>
      <c r="BM546">
        <v>6</v>
      </c>
      <c r="BN546">
        <v>8</v>
      </c>
      <c r="BO546">
        <v>1</v>
      </c>
      <c r="BP546">
        <v>2</v>
      </c>
      <c r="BQ546">
        <v>3</v>
      </c>
      <c r="BR546">
        <v>7</v>
      </c>
      <c r="BS546">
        <v>9</v>
      </c>
      <c r="BT546">
        <v>2</v>
      </c>
      <c r="BU546">
        <v>8</v>
      </c>
      <c r="BV546">
        <v>7</v>
      </c>
      <c r="BW546">
        <v>8</v>
      </c>
      <c r="BX546">
        <v>1</v>
      </c>
      <c r="BY546">
        <v>2</v>
      </c>
      <c r="BZ546">
        <v>9</v>
      </c>
      <c r="CA546">
        <v>6</v>
      </c>
      <c r="CB546">
        <v>3</v>
      </c>
      <c r="CC546">
        <v>9</v>
      </c>
      <c r="CD546">
        <v>10</v>
      </c>
      <c r="CE546">
        <v>8</v>
      </c>
      <c r="CF546">
        <v>7</v>
      </c>
      <c r="CG546">
        <v>6</v>
      </c>
      <c r="CH546">
        <v>5</v>
      </c>
      <c r="CI546">
        <v>6</v>
      </c>
      <c r="CJ546">
        <v>0</v>
      </c>
      <c r="CK546">
        <v>4</v>
      </c>
      <c r="CL546">
        <v>0</v>
      </c>
      <c r="CM546">
        <v>3</v>
      </c>
      <c r="CN546">
        <v>7</v>
      </c>
      <c r="CO546">
        <v>8</v>
      </c>
      <c r="CP546">
        <v>2</v>
      </c>
      <c r="CQ546">
        <v>8</v>
      </c>
      <c r="CR546">
        <v>2</v>
      </c>
      <c r="CS546">
        <v>10</v>
      </c>
      <c r="CT546">
        <v>10</v>
      </c>
      <c r="CU546">
        <v>1</v>
      </c>
      <c r="CV546">
        <v>6</v>
      </c>
      <c r="CW546">
        <v>1</v>
      </c>
      <c r="CX546">
        <v>3</v>
      </c>
      <c r="CY546">
        <v>10</v>
      </c>
      <c r="CZ546">
        <v>5</v>
      </c>
      <c r="DA546">
        <v>3</v>
      </c>
      <c r="DB546">
        <v>0</v>
      </c>
      <c r="DC546">
        <v>2</v>
      </c>
      <c r="DD546">
        <v>5</v>
      </c>
      <c r="DE546">
        <v>2</v>
      </c>
      <c r="DF546">
        <v>8</v>
      </c>
      <c r="DG546">
        <v>6</v>
      </c>
      <c r="DH546">
        <v>6</v>
      </c>
      <c r="DI546">
        <v>8</v>
      </c>
      <c r="DJ546">
        <v>8</v>
      </c>
      <c r="DK546">
        <v>5</v>
      </c>
    </row>
    <row r="547" spans="1:115">
      <c r="A547" s="173">
        <f>Calculations[[#This Row],[Sum t eCO2]]*IF(Calculations[[#This Row],[GHG Scope]]="BIOGENIC",0,1)</f>
        <v>3.6256802574329998E-2</v>
      </c>
      <c r="O547">
        <f t="shared" si="8"/>
        <v>546</v>
      </c>
      <c r="P547">
        <v>3</v>
      </c>
      <c r="Q547">
        <v>8</v>
      </c>
      <c r="R547">
        <v>2</v>
      </c>
      <c r="S547">
        <v>4</v>
      </c>
      <c r="T547">
        <v>6</v>
      </c>
      <c r="U547">
        <v>4</v>
      </c>
      <c r="V547">
        <v>5</v>
      </c>
      <c r="W547">
        <v>3</v>
      </c>
      <c r="X547">
        <v>9</v>
      </c>
      <c r="Y547">
        <v>7</v>
      </c>
      <c r="Z547">
        <v>0</v>
      </c>
      <c r="AA547">
        <v>6</v>
      </c>
      <c r="AB547">
        <v>4</v>
      </c>
      <c r="AC547">
        <v>0</v>
      </c>
      <c r="AD547">
        <v>9</v>
      </c>
      <c r="AE547">
        <v>0</v>
      </c>
      <c r="AF547">
        <v>8</v>
      </c>
      <c r="AG547">
        <v>7</v>
      </c>
      <c r="AH547">
        <v>0</v>
      </c>
      <c r="AI547">
        <v>8</v>
      </c>
      <c r="AJ547">
        <v>7</v>
      </c>
      <c r="AK547">
        <v>0</v>
      </c>
      <c r="AL547">
        <v>10</v>
      </c>
      <c r="AM547">
        <v>10</v>
      </c>
      <c r="AN547">
        <v>6</v>
      </c>
      <c r="AO547">
        <v>0</v>
      </c>
      <c r="AP547">
        <v>0</v>
      </c>
      <c r="AQ547">
        <v>6</v>
      </c>
      <c r="AR547">
        <v>2</v>
      </c>
      <c r="AS547">
        <v>7</v>
      </c>
      <c r="AT547">
        <v>8</v>
      </c>
      <c r="AU547">
        <v>6</v>
      </c>
      <c r="AV547">
        <v>4</v>
      </c>
      <c r="AW547">
        <v>6</v>
      </c>
      <c r="AX547">
        <v>6</v>
      </c>
      <c r="AY547">
        <v>5</v>
      </c>
      <c r="AZ547">
        <v>7</v>
      </c>
      <c r="BA547">
        <v>3</v>
      </c>
      <c r="BB547">
        <v>6</v>
      </c>
      <c r="BC547">
        <v>4</v>
      </c>
      <c r="BD547">
        <v>6</v>
      </c>
      <c r="BE547">
        <v>1</v>
      </c>
      <c r="BF547">
        <v>2</v>
      </c>
      <c r="BG547">
        <v>10</v>
      </c>
      <c r="BH547">
        <v>8</v>
      </c>
      <c r="BI547">
        <v>1</v>
      </c>
      <c r="BJ547">
        <v>8</v>
      </c>
      <c r="BK547">
        <v>10</v>
      </c>
      <c r="BL547">
        <v>9</v>
      </c>
      <c r="BM547">
        <v>2</v>
      </c>
      <c r="BN547">
        <v>5</v>
      </c>
      <c r="BO547">
        <v>9</v>
      </c>
      <c r="BP547">
        <v>1</v>
      </c>
      <c r="BQ547">
        <v>0</v>
      </c>
      <c r="BR547">
        <v>8</v>
      </c>
      <c r="BS547">
        <v>8</v>
      </c>
      <c r="BT547">
        <v>4</v>
      </c>
      <c r="BU547">
        <v>6</v>
      </c>
      <c r="BV547">
        <v>6</v>
      </c>
      <c r="BW547">
        <v>4</v>
      </c>
      <c r="BX547">
        <v>3</v>
      </c>
      <c r="BY547">
        <v>9</v>
      </c>
      <c r="BZ547">
        <v>5</v>
      </c>
      <c r="CA547">
        <v>6</v>
      </c>
      <c r="CB547">
        <v>8</v>
      </c>
      <c r="CC547">
        <v>0</v>
      </c>
      <c r="CD547">
        <v>7</v>
      </c>
      <c r="CE547">
        <v>8</v>
      </c>
      <c r="CF547">
        <v>4</v>
      </c>
      <c r="CG547">
        <v>2</v>
      </c>
      <c r="CH547">
        <v>0</v>
      </c>
      <c r="CI547">
        <v>2</v>
      </c>
      <c r="CJ547">
        <v>8</v>
      </c>
      <c r="CK547">
        <v>1</v>
      </c>
      <c r="CL547">
        <v>6</v>
      </c>
      <c r="CM547">
        <v>4</v>
      </c>
      <c r="CN547">
        <v>4</v>
      </c>
      <c r="CO547">
        <v>4</v>
      </c>
      <c r="CP547">
        <v>1</v>
      </c>
      <c r="CQ547">
        <v>1</v>
      </c>
      <c r="CR547">
        <v>4</v>
      </c>
      <c r="CS547">
        <v>7</v>
      </c>
      <c r="CT547">
        <v>10</v>
      </c>
      <c r="CU547">
        <v>8</v>
      </c>
      <c r="CV547">
        <v>9</v>
      </c>
      <c r="CW547">
        <v>10</v>
      </c>
      <c r="CX547">
        <v>4</v>
      </c>
      <c r="CY547">
        <v>2</v>
      </c>
      <c r="CZ547">
        <v>9</v>
      </c>
      <c r="DA547">
        <v>7</v>
      </c>
      <c r="DB547">
        <v>9</v>
      </c>
      <c r="DC547">
        <v>9</v>
      </c>
      <c r="DD547">
        <v>8</v>
      </c>
      <c r="DE547">
        <v>2</v>
      </c>
      <c r="DF547">
        <v>2</v>
      </c>
      <c r="DG547">
        <v>0</v>
      </c>
      <c r="DH547">
        <v>7</v>
      </c>
      <c r="DI547">
        <v>8</v>
      </c>
      <c r="DJ547">
        <v>8</v>
      </c>
      <c r="DK547">
        <v>7</v>
      </c>
    </row>
    <row r="548" spans="1:115">
      <c r="A548" s="173">
        <f>Calculations[[#This Row],[Sum t eCO2]]*IF(Calculations[[#This Row],[GHG Scope]]="BIOGENIC",0,1)</f>
        <v>203.40033225423298</v>
      </c>
      <c r="O548">
        <f t="shared" si="8"/>
        <v>547</v>
      </c>
      <c r="P548">
        <v>4</v>
      </c>
      <c r="Q548">
        <v>5</v>
      </c>
      <c r="R548">
        <v>3</v>
      </c>
      <c r="S548">
        <v>0</v>
      </c>
      <c r="T548">
        <v>1</v>
      </c>
      <c r="U548">
        <v>2</v>
      </c>
      <c r="V548">
        <v>4</v>
      </c>
      <c r="W548">
        <v>7</v>
      </c>
      <c r="X548">
        <v>2</v>
      </c>
      <c r="Y548">
        <v>9</v>
      </c>
      <c r="Z548">
        <v>8</v>
      </c>
      <c r="AA548">
        <v>3</v>
      </c>
      <c r="AB548">
        <v>7</v>
      </c>
      <c r="AC548">
        <v>3</v>
      </c>
      <c r="AD548">
        <v>8</v>
      </c>
      <c r="AE548">
        <v>10</v>
      </c>
      <c r="AF548">
        <v>0</v>
      </c>
      <c r="AG548">
        <v>5</v>
      </c>
      <c r="AH548">
        <v>1</v>
      </c>
      <c r="AI548">
        <v>3</v>
      </c>
      <c r="AJ548">
        <v>9</v>
      </c>
      <c r="AK548">
        <v>1</v>
      </c>
      <c r="AL548">
        <v>5</v>
      </c>
      <c r="AM548">
        <v>9</v>
      </c>
      <c r="AN548">
        <v>2</v>
      </c>
      <c r="AO548">
        <v>9</v>
      </c>
      <c r="AP548">
        <v>5</v>
      </c>
      <c r="AQ548">
        <v>10</v>
      </c>
      <c r="AR548">
        <v>3</v>
      </c>
      <c r="AS548">
        <v>8</v>
      </c>
      <c r="AT548">
        <v>5</v>
      </c>
      <c r="AU548">
        <v>0</v>
      </c>
      <c r="AV548">
        <v>8</v>
      </c>
      <c r="AW548">
        <v>9</v>
      </c>
      <c r="AX548">
        <v>5</v>
      </c>
      <c r="AY548">
        <v>5</v>
      </c>
      <c r="AZ548">
        <v>7</v>
      </c>
      <c r="BA548">
        <v>2</v>
      </c>
      <c r="BB548">
        <v>5</v>
      </c>
      <c r="BC548">
        <v>8</v>
      </c>
      <c r="BD548">
        <v>10</v>
      </c>
      <c r="BE548">
        <v>1</v>
      </c>
      <c r="BF548">
        <v>6</v>
      </c>
      <c r="BG548">
        <v>0</v>
      </c>
      <c r="BH548">
        <v>0</v>
      </c>
      <c r="BI548">
        <v>4</v>
      </c>
      <c r="BJ548">
        <v>3</v>
      </c>
      <c r="BK548">
        <v>2</v>
      </c>
      <c r="BL548">
        <v>2</v>
      </c>
      <c r="BM548">
        <v>6</v>
      </c>
      <c r="BN548">
        <v>2</v>
      </c>
      <c r="BO548">
        <v>1</v>
      </c>
      <c r="BP548">
        <v>0</v>
      </c>
      <c r="BQ548">
        <v>2</v>
      </c>
      <c r="BR548">
        <v>8</v>
      </c>
      <c r="BS548">
        <v>2</v>
      </c>
      <c r="BT548">
        <v>4</v>
      </c>
      <c r="BU548">
        <v>10</v>
      </c>
      <c r="BV548">
        <v>6</v>
      </c>
      <c r="BW548">
        <v>5</v>
      </c>
      <c r="BX548">
        <v>6</v>
      </c>
      <c r="BY548">
        <v>7</v>
      </c>
      <c r="BZ548">
        <v>9</v>
      </c>
      <c r="CA548">
        <v>0</v>
      </c>
      <c r="CB548">
        <v>9</v>
      </c>
      <c r="CC548">
        <v>0</v>
      </c>
      <c r="CD548">
        <v>1</v>
      </c>
      <c r="CE548">
        <v>0</v>
      </c>
      <c r="CF548">
        <v>3</v>
      </c>
      <c r="CG548">
        <v>0</v>
      </c>
      <c r="CH548">
        <v>3</v>
      </c>
      <c r="CI548">
        <v>2</v>
      </c>
      <c r="CJ548">
        <v>0</v>
      </c>
      <c r="CK548">
        <v>7</v>
      </c>
      <c r="CL548">
        <v>5</v>
      </c>
      <c r="CM548">
        <v>4</v>
      </c>
      <c r="CN548">
        <v>5</v>
      </c>
      <c r="CO548">
        <v>8</v>
      </c>
      <c r="CP548">
        <v>8</v>
      </c>
      <c r="CQ548">
        <v>10</v>
      </c>
      <c r="CR548">
        <v>1</v>
      </c>
      <c r="CS548">
        <v>3</v>
      </c>
      <c r="CT548">
        <v>10</v>
      </c>
      <c r="CU548">
        <v>4</v>
      </c>
      <c r="CV548">
        <v>4</v>
      </c>
      <c r="CW548">
        <v>1</v>
      </c>
      <c r="CX548">
        <v>3</v>
      </c>
      <c r="CY548">
        <v>4</v>
      </c>
      <c r="CZ548">
        <v>9</v>
      </c>
      <c r="DA548">
        <v>5</v>
      </c>
      <c r="DB548">
        <v>0</v>
      </c>
      <c r="DC548">
        <v>3</v>
      </c>
      <c r="DD548">
        <v>8</v>
      </c>
      <c r="DE548">
        <v>4</v>
      </c>
      <c r="DF548">
        <v>5</v>
      </c>
      <c r="DG548">
        <v>7</v>
      </c>
      <c r="DH548">
        <v>3</v>
      </c>
      <c r="DI548">
        <v>1</v>
      </c>
      <c r="DJ548">
        <v>7</v>
      </c>
      <c r="DK548">
        <v>2</v>
      </c>
    </row>
    <row r="549" spans="1:115">
      <c r="A549" s="173">
        <f>Calculations[[#This Row],[Sum t eCO2]]*IF(Calculations[[#This Row],[GHG Scope]]="BIOGENIC",0,1)</f>
        <v>0.76005058780164636</v>
      </c>
      <c r="O549">
        <f t="shared" si="8"/>
        <v>548</v>
      </c>
      <c r="P549">
        <v>6</v>
      </c>
      <c r="Q549">
        <v>3</v>
      </c>
      <c r="R549">
        <v>3</v>
      </c>
      <c r="S549">
        <v>9</v>
      </c>
      <c r="T549">
        <v>10</v>
      </c>
      <c r="U549">
        <v>7</v>
      </c>
      <c r="V549">
        <v>1</v>
      </c>
      <c r="W549">
        <v>3</v>
      </c>
      <c r="X549">
        <v>9</v>
      </c>
      <c r="Y549">
        <v>0</v>
      </c>
      <c r="Z549">
        <v>6</v>
      </c>
      <c r="AA549">
        <v>9</v>
      </c>
      <c r="AB549">
        <v>2</v>
      </c>
      <c r="AC549">
        <v>3</v>
      </c>
      <c r="AD549">
        <v>4</v>
      </c>
      <c r="AE549">
        <v>1</v>
      </c>
      <c r="AF549">
        <v>3</v>
      </c>
      <c r="AG549">
        <v>5</v>
      </c>
      <c r="AH549">
        <v>8</v>
      </c>
      <c r="AI549">
        <v>3</v>
      </c>
      <c r="AJ549">
        <v>5</v>
      </c>
      <c r="AK549">
        <v>3</v>
      </c>
      <c r="AL549">
        <v>3</v>
      </c>
      <c r="AM549">
        <v>0</v>
      </c>
      <c r="AN549">
        <v>3</v>
      </c>
      <c r="AO549">
        <v>0</v>
      </c>
      <c r="AP549">
        <v>6</v>
      </c>
      <c r="AQ549">
        <v>9</v>
      </c>
      <c r="AR549">
        <v>0</v>
      </c>
      <c r="AS549">
        <v>1</v>
      </c>
      <c r="AT549">
        <v>3</v>
      </c>
      <c r="AU549">
        <v>10</v>
      </c>
      <c r="AV549">
        <v>0</v>
      </c>
      <c r="AW549">
        <v>8</v>
      </c>
      <c r="AX549">
        <v>0</v>
      </c>
      <c r="AY549">
        <v>0</v>
      </c>
      <c r="AZ549">
        <v>6</v>
      </c>
      <c r="BA549">
        <v>7</v>
      </c>
      <c r="BB549">
        <v>7</v>
      </c>
      <c r="BC549">
        <v>7</v>
      </c>
      <c r="BD549">
        <v>5</v>
      </c>
      <c r="BE549">
        <v>5</v>
      </c>
      <c r="BF549">
        <v>9</v>
      </c>
      <c r="BG549">
        <v>10</v>
      </c>
      <c r="BH549">
        <v>9</v>
      </c>
      <c r="BI549">
        <v>0</v>
      </c>
      <c r="BJ549">
        <v>0</v>
      </c>
      <c r="BK549">
        <v>1</v>
      </c>
      <c r="BL549">
        <v>10</v>
      </c>
      <c r="BM549">
        <v>7</v>
      </c>
      <c r="BN549">
        <v>0</v>
      </c>
      <c r="BO549">
        <v>4</v>
      </c>
      <c r="BP549">
        <v>4</v>
      </c>
      <c r="BQ549">
        <v>0</v>
      </c>
      <c r="BR549">
        <v>9</v>
      </c>
      <c r="BS549">
        <v>8</v>
      </c>
      <c r="BT549">
        <v>9</v>
      </c>
      <c r="BU549">
        <v>7</v>
      </c>
      <c r="BV549">
        <v>4</v>
      </c>
      <c r="BW549">
        <v>1</v>
      </c>
      <c r="BX549">
        <v>0</v>
      </c>
      <c r="BY549">
        <v>8</v>
      </c>
      <c r="BZ549">
        <v>1</v>
      </c>
      <c r="CA549">
        <v>4</v>
      </c>
      <c r="CB549">
        <v>7</v>
      </c>
      <c r="CC549">
        <v>9</v>
      </c>
      <c r="CD549">
        <v>3</v>
      </c>
      <c r="CE549">
        <v>9</v>
      </c>
      <c r="CF549">
        <v>2</v>
      </c>
      <c r="CG549">
        <v>1</v>
      </c>
      <c r="CH549">
        <v>0</v>
      </c>
      <c r="CI549">
        <v>7</v>
      </c>
      <c r="CJ549">
        <v>5</v>
      </c>
      <c r="CK549">
        <v>1</v>
      </c>
      <c r="CL549">
        <v>9</v>
      </c>
      <c r="CM549">
        <v>6</v>
      </c>
      <c r="CN549">
        <v>1</v>
      </c>
      <c r="CO549">
        <v>0</v>
      </c>
      <c r="CP549">
        <v>6</v>
      </c>
      <c r="CQ549">
        <v>5</v>
      </c>
      <c r="CR549">
        <v>1</v>
      </c>
      <c r="CS549">
        <v>1</v>
      </c>
      <c r="CT549">
        <v>5</v>
      </c>
      <c r="CU549">
        <v>6</v>
      </c>
      <c r="CV549">
        <v>10</v>
      </c>
      <c r="CW549">
        <v>9</v>
      </c>
      <c r="CX549">
        <v>9</v>
      </c>
      <c r="CY549">
        <v>2</v>
      </c>
      <c r="CZ549">
        <v>3</v>
      </c>
      <c r="DA549">
        <v>4</v>
      </c>
      <c r="DB549">
        <v>10</v>
      </c>
      <c r="DC549">
        <v>6</v>
      </c>
      <c r="DD549">
        <v>6</v>
      </c>
      <c r="DE549">
        <v>1</v>
      </c>
      <c r="DF549">
        <v>10</v>
      </c>
      <c r="DG549">
        <v>9</v>
      </c>
      <c r="DH549">
        <v>3</v>
      </c>
      <c r="DI549">
        <v>6</v>
      </c>
      <c r="DJ549">
        <v>10</v>
      </c>
      <c r="DK549">
        <v>6</v>
      </c>
    </row>
    <row r="550" spans="1:115">
      <c r="A550" s="173">
        <f>Calculations[[#This Row],[Sum t eCO2]]*IF(Calculations[[#This Row],[GHG Scope]]="BIOGENIC",0,1)</f>
        <v>1.4045491004331681</v>
      </c>
      <c r="O550">
        <f t="shared" si="8"/>
        <v>549</v>
      </c>
      <c r="P550">
        <v>3</v>
      </c>
      <c r="Q550">
        <v>5</v>
      </c>
      <c r="R550">
        <v>8</v>
      </c>
      <c r="S550">
        <v>0</v>
      </c>
      <c r="T550">
        <v>10</v>
      </c>
      <c r="U550">
        <v>6</v>
      </c>
      <c r="V550">
        <v>5</v>
      </c>
      <c r="W550">
        <v>10</v>
      </c>
      <c r="X550">
        <v>10</v>
      </c>
      <c r="Y550">
        <v>9</v>
      </c>
      <c r="Z550">
        <v>8</v>
      </c>
      <c r="AA550">
        <v>7</v>
      </c>
      <c r="AB550">
        <v>10</v>
      </c>
      <c r="AC550">
        <v>8</v>
      </c>
      <c r="AD550">
        <v>8</v>
      </c>
      <c r="AE550">
        <v>9</v>
      </c>
      <c r="AF550">
        <v>6</v>
      </c>
      <c r="AG550">
        <v>3</v>
      </c>
      <c r="AH550">
        <v>2</v>
      </c>
      <c r="AI550">
        <v>7</v>
      </c>
      <c r="AJ550">
        <v>6</v>
      </c>
      <c r="AK550">
        <v>9</v>
      </c>
      <c r="AL550">
        <v>0</v>
      </c>
      <c r="AM550">
        <v>4</v>
      </c>
      <c r="AN550">
        <v>6</v>
      </c>
      <c r="AO550">
        <v>9</v>
      </c>
      <c r="AP550">
        <v>7</v>
      </c>
      <c r="AQ550">
        <v>7</v>
      </c>
      <c r="AR550">
        <v>2</v>
      </c>
      <c r="AS550">
        <v>2</v>
      </c>
      <c r="AT550">
        <v>2</v>
      </c>
      <c r="AU550">
        <v>1</v>
      </c>
      <c r="AV550">
        <v>2</v>
      </c>
      <c r="AW550">
        <v>7</v>
      </c>
      <c r="AX550">
        <v>8</v>
      </c>
      <c r="AY550">
        <v>0</v>
      </c>
      <c r="AZ550">
        <v>4</v>
      </c>
      <c r="BA550">
        <v>3</v>
      </c>
      <c r="BB550">
        <v>3</v>
      </c>
      <c r="BC550">
        <v>0</v>
      </c>
      <c r="BD550">
        <v>1</v>
      </c>
      <c r="BE550">
        <v>9</v>
      </c>
      <c r="BF550">
        <v>10</v>
      </c>
      <c r="BG550">
        <v>9</v>
      </c>
      <c r="BH550">
        <v>9</v>
      </c>
      <c r="BI550">
        <v>4</v>
      </c>
      <c r="BJ550">
        <v>5</v>
      </c>
      <c r="BK550">
        <v>9</v>
      </c>
      <c r="BL550">
        <v>3</v>
      </c>
      <c r="BM550">
        <v>10</v>
      </c>
      <c r="BN550">
        <v>7</v>
      </c>
      <c r="BO550">
        <v>8</v>
      </c>
      <c r="BP550">
        <v>10</v>
      </c>
      <c r="BQ550">
        <v>4</v>
      </c>
      <c r="BR550">
        <v>8</v>
      </c>
      <c r="BS550">
        <v>9</v>
      </c>
      <c r="BT550">
        <v>4</v>
      </c>
      <c r="BU550">
        <v>3</v>
      </c>
      <c r="BV550">
        <v>2</v>
      </c>
      <c r="BW550">
        <v>7</v>
      </c>
      <c r="BX550">
        <v>1</v>
      </c>
      <c r="BY550">
        <v>2</v>
      </c>
      <c r="BZ550">
        <v>1</v>
      </c>
      <c r="CA550">
        <v>2</v>
      </c>
      <c r="CB550">
        <v>10</v>
      </c>
      <c r="CC550">
        <v>9</v>
      </c>
      <c r="CD550">
        <v>9</v>
      </c>
      <c r="CE550">
        <v>7</v>
      </c>
      <c r="CF550">
        <v>9</v>
      </c>
      <c r="CG550">
        <v>0</v>
      </c>
      <c r="CH550">
        <v>9</v>
      </c>
      <c r="CI550">
        <v>7</v>
      </c>
      <c r="CJ550">
        <v>0</v>
      </c>
      <c r="CK550">
        <v>1</v>
      </c>
      <c r="CL550">
        <v>5</v>
      </c>
      <c r="CM550">
        <v>6</v>
      </c>
      <c r="CN550">
        <v>2</v>
      </c>
      <c r="CO550">
        <v>10</v>
      </c>
      <c r="CP550">
        <v>4</v>
      </c>
      <c r="CQ550">
        <v>9</v>
      </c>
      <c r="CR550">
        <v>8</v>
      </c>
      <c r="CS550">
        <v>2</v>
      </c>
      <c r="CT550">
        <v>8</v>
      </c>
      <c r="CU550">
        <v>5</v>
      </c>
      <c r="CV550">
        <v>0</v>
      </c>
      <c r="CW550">
        <v>0</v>
      </c>
      <c r="CX550">
        <v>8</v>
      </c>
      <c r="CY550">
        <v>4</v>
      </c>
      <c r="CZ550">
        <v>6</v>
      </c>
      <c r="DA550">
        <v>6</v>
      </c>
      <c r="DB550">
        <v>3</v>
      </c>
      <c r="DC550">
        <v>9</v>
      </c>
      <c r="DD550">
        <v>6</v>
      </c>
      <c r="DE550">
        <v>6</v>
      </c>
      <c r="DF550">
        <v>1</v>
      </c>
      <c r="DG550">
        <v>10</v>
      </c>
      <c r="DH550">
        <v>0</v>
      </c>
      <c r="DI550">
        <v>8</v>
      </c>
      <c r="DJ550">
        <v>1</v>
      </c>
      <c r="DK550">
        <v>7</v>
      </c>
    </row>
    <row r="551" spans="1:115">
      <c r="A551" s="173">
        <f>Calculations[[#This Row],[Sum t eCO2]]*IF(Calculations[[#This Row],[GHG Scope]]="BIOGENIC",0,1)</f>
        <v>1656.3362956723179</v>
      </c>
      <c r="O551">
        <f t="shared" si="8"/>
        <v>550</v>
      </c>
      <c r="P551">
        <v>4</v>
      </c>
      <c r="Q551">
        <v>3</v>
      </c>
      <c r="R551">
        <v>8</v>
      </c>
      <c r="S551">
        <v>2</v>
      </c>
      <c r="T551">
        <v>7</v>
      </c>
      <c r="U551">
        <v>6</v>
      </c>
      <c r="V551">
        <v>1</v>
      </c>
      <c r="W551">
        <v>5</v>
      </c>
      <c r="X551">
        <v>4</v>
      </c>
      <c r="Y551">
        <v>7</v>
      </c>
      <c r="Z551">
        <v>7</v>
      </c>
      <c r="AA551">
        <v>6</v>
      </c>
      <c r="AB551">
        <v>5</v>
      </c>
      <c r="AC551">
        <v>10</v>
      </c>
      <c r="AD551">
        <v>8</v>
      </c>
      <c r="AE551">
        <v>9</v>
      </c>
      <c r="AF551">
        <v>0</v>
      </c>
      <c r="AG551">
        <v>5</v>
      </c>
      <c r="AH551">
        <v>7</v>
      </c>
      <c r="AI551">
        <v>5</v>
      </c>
      <c r="AJ551">
        <v>5</v>
      </c>
      <c r="AK551">
        <v>5</v>
      </c>
      <c r="AL551">
        <v>7</v>
      </c>
      <c r="AM551">
        <v>5</v>
      </c>
      <c r="AN551">
        <v>8</v>
      </c>
      <c r="AO551">
        <v>6</v>
      </c>
      <c r="AP551">
        <v>1</v>
      </c>
      <c r="AQ551">
        <v>7</v>
      </c>
      <c r="AR551">
        <v>1</v>
      </c>
      <c r="AS551">
        <v>1</v>
      </c>
      <c r="AT551">
        <v>8</v>
      </c>
      <c r="AU551">
        <v>2</v>
      </c>
      <c r="AV551">
        <v>4</v>
      </c>
      <c r="AW551">
        <v>8</v>
      </c>
      <c r="AX551">
        <v>9</v>
      </c>
      <c r="AY551">
        <v>1</v>
      </c>
      <c r="AZ551">
        <v>9</v>
      </c>
      <c r="BA551">
        <v>4</v>
      </c>
      <c r="BB551">
        <v>5</v>
      </c>
      <c r="BC551">
        <v>3</v>
      </c>
      <c r="BD551">
        <v>7</v>
      </c>
      <c r="BE551">
        <v>6</v>
      </c>
      <c r="BF551">
        <v>9</v>
      </c>
      <c r="BG551">
        <v>7</v>
      </c>
      <c r="BH551">
        <v>5</v>
      </c>
      <c r="BI551">
        <v>0</v>
      </c>
      <c r="BJ551">
        <v>7</v>
      </c>
      <c r="BK551">
        <v>10</v>
      </c>
      <c r="BL551">
        <v>9</v>
      </c>
      <c r="BM551">
        <v>3</v>
      </c>
      <c r="BN551">
        <v>10</v>
      </c>
      <c r="BO551">
        <v>4</v>
      </c>
      <c r="BP551">
        <v>7</v>
      </c>
      <c r="BQ551">
        <v>3</v>
      </c>
      <c r="BR551">
        <v>3</v>
      </c>
      <c r="BS551">
        <v>7</v>
      </c>
      <c r="BT551">
        <v>2</v>
      </c>
      <c r="BU551">
        <v>8</v>
      </c>
      <c r="BV551">
        <v>2</v>
      </c>
      <c r="BW551">
        <v>9</v>
      </c>
      <c r="BX551">
        <v>0</v>
      </c>
      <c r="BY551">
        <v>0</v>
      </c>
      <c r="BZ551">
        <v>7</v>
      </c>
      <c r="CA551">
        <v>9</v>
      </c>
      <c r="CB551">
        <v>9</v>
      </c>
      <c r="CC551">
        <v>10</v>
      </c>
      <c r="CD551">
        <v>9</v>
      </c>
      <c r="CE551">
        <v>10</v>
      </c>
      <c r="CF551">
        <v>1</v>
      </c>
      <c r="CG551">
        <v>7</v>
      </c>
      <c r="CH551">
        <v>4</v>
      </c>
      <c r="CI551">
        <v>8</v>
      </c>
      <c r="CJ551">
        <v>1</v>
      </c>
      <c r="CK551">
        <v>8</v>
      </c>
      <c r="CL551">
        <v>3</v>
      </c>
      <c r="CM551">
        <v>8</v>
      </c>
      <c r="CN551">
        <v>5</v>
      </c>
      <c r="CO551">
        <v>8</v>
      </c>
      <c r="CP551">
        <v>5</v>
      </c>
      <c r="CQ551">
        <v>1</v>
      </c>
      <c r="CR551">
        <v>9</v>
      </c>
      <c r="CS551">
        <v>9</v>
      </c>
      <c r="CT551">
        <v>5</v>
      </c>
      <c r="CU551">
        <v>4</v>
      </c>
      <c r="CV551">
        <v>8</v>
      </c>
      <c r="CW551">
        <v>6</v>
      </c>
      <c r="CX551">
        <v>7</v>
      </c>
      <c r="CY551">
        <v>5</v>
      </c>
      <c r="CZ551">
        <v>0</v>
      </c>
      <c r="DA551">
        <v>2</v>
      </c>
      <c r="DB551">
        <v>9</v>
      </c>
      <c r="DC551">
        <v>2</v>
      </c>
      <c r="DD551">
        <v>4</v>
      </c>
      <c r="DE551">
        <v>5</v>
      </c>
      <c r="DF551">
        <v>7</v>
      </c>
      <c r="DG551">
        <v>8</v>
      </c>
      <c r="DH551">
        <v>1</v>
      </c>
      <c r="DI551">
        <v>10</v>
      </c>
      <c r="DJ551">
        <v>2</v>
      </c>
      <c r="DK551">
        <v>1</v>
      </c>
    </row>
    <row r="552" spans="1:115">
      <c r="A552" s="173">
        <f>Calculations[[#This Row],[Sum t eCO2]]*IF(Calculations[[#This Row],[GHG Scope]]="BIOGENIC",0,1)</f>
        <v>73.188353164157107</v>
      </c>
      <c r="O552">
        <f t="shared" si="8"/>
        <v>551</v>
      </c>
      <c r="P552">
        <v>7</v>
      </c>
      <c r="Q552">
        <v>0</v>
      </c>
      <c r="R552">
        <v>0</v>
      </c>
      <c r="S552">
        <v>9</v>
      </c>
      <c r="T552">
        <v>4</v>
      </c>
      <c r="U552">
        <v>4</v>
      </c>
      <c r="V552">
        <v>4</v>
      </c>
      <c r="W552">
        <v>2</v>
      </c>
      <c r="X552">
        <v>5</v>
      </c>
      <c r="Y552">
        <v>1</v>
      </c>
      <c r="Z552">
        <v>6</v>
      </c>
      <c r="AA552">
        <v>9</v>
      </c>
      <c r="AB552">
        <v>6</v>
      </c>
      <c r="AC552">
        <v>5</v>
      </c>
      <c r="AD552">
        <v>2</v>
      </c>
      <c r="AE552">
        <v>10</v>
      </c>
      <c r="AF552">
        <v>0</v>
      </c>
      <c r="AG552">
        <v>1</v>
      </c>
      <c r="AH552">
        <v>1</v>
      </c>
      <c r="AI552">
        <v>9</v>
      </c>
      <c r="AJ552">
        <v>9</v>
      </c>
      <c r="AK552">
        <v>5</v>
      </c>
      <c r="AL552">
        <v>4</v>
      </c>
      <c r="AM552">
        <v>3</v>
      </c>
      <c r="AN552">
        <v>1</v>
      </c>
      <c r="AO552">
        <v>10</v>
      </c>
      <c r="AP552">
        <v>5</v>
      </c>
      <c r="AQ552">
        <v>2</v>
      </c>
      <c r="AR552">
        <v>6</v>
      </c>
      <c r="AS552">
        <v>10</v>
      </c>
      <c r="AT552">
        <v>2</v>
      </c>
      <c r="AU552">
        <v>7</v>
      </c>
      <c r="AV552">
        <v>9</v>
      </c>
      <c r="AW552">
        <v>6</v>
      </c>
      <c r="AX552">
        <v>5</v>
      </c>
      <c r="AY552">
        <v>5</v>
      </c>
      <c r="AZ552">
        <v>6</v>
      </c>
      <c r="BA552">
        <v>7</v>
      </c>
      <c r="BB552">
        <v>10</v>
      </c>
      <c r="BC552">
        <v>8</v>
      </c>
      <c r="BD552">
        <v>6</v>
      </c>
      <c r="BE552">
        <v>5</v>
      </c>
      <c r="BF552">
        <v>8</v>
      </c>
      <c r="BG552">
        <v>6</v>
      </c>
      <c r="BH552">
        <v>6</v>
      </c>
      <c r="BI552">
        <v>10</v>
      </c>
      <c r="BJ552">
        <v>1</v>
      </c>
      <c r="BK552">
        <v>1</v>
      </c>
      <c r="BL552">
        <v>6</v>
      </c>
      <c r="BM552">
        <v>2</v>
      </c>
      <c r="BN552">
        <v>2</v>
      </c>
      <c r="BO552">
        <v>7</v>
      </c>
      <c r="BP552">
        <v>4</v>
      </c>
      <c r="BQ552">
        <v>2</v>
      </c>
      <c r="BR552">
        <v>9</v>
      </c>
      <c r="BS552">
        <v>3</v>
      </c>
      <c r="BT552">
        <v>5</v>
      </c>
      <c r="BU552">
        <v>4</v>
      </c>
      <c r="BV552">
        <v>8</v>
      </c>
      <c r="BW552">
        <v>3</v>
      </c>
      <c r="BX552">
        <v>7</v>
      </c>
      <c r="BY552">
        <v>1</v>
      </c>
      <c r="BZ552">
        <v>3</v>
      </c>
      <c r="CA552">
        <v>5</v>
      </c>
      <c r="CB552">
        <v>1</v>
      </c>
      <c r="CC552">
        <v>7</v>
      </c>
      <c r="CD552">
        <v>0</v>
      </c>
      <c r="CE552">
        <v>0</v>
      </c>
      <c r="CF552">
        <v>6</v>
      </c>
      <c r="CG552">
        <v>0</v>
      </c>
      <c r="CH552">
        <v>10</v>
      </c>
      <c r="CI552">
        <v>2</v>
      </c>
      <c r="CJ552">
        <v>8</v>
      </c>
      <c r="CK552">
        <v>7</v>
      </c>
      <c r="CL552">
        <v>9</v>
      </c>
      <c r="CM552">
        <v>6</v>
      </c>
      <c r="CN552">
        <v>1</v>
      </c>
      <c r="CO552">
        <v>1</v>
      </c>
      <c r="CP552">
        <v>9</v>
      </c>
      <c r="CQ552">
        <v>5</v>
      </c>
      <c r="CR552">
        <v>1</v>
      </c>
      <c r="CS552">
        <v>10</v>
      </c>
      <c r="CT552">
        <v>5</v>
      </c>
      <c r="CU552">
        <v>7</v>
      </c>
      <c r="CV552">
        <v>10</v>
      </c>
      <c r="CW552">
        <v>3</v>
      </c>
      <c r="CX552">
        <v>1</v>
      </c>
      <c r="CY552">
        <v>10</v>
      </c>
      <c r="CZ552">
        <v>1</v>
      </c>
      <c r="DA552">
        <v>2</v>
      </c>
      <c r="DB552">
        <v>10</v>
      </c>
      <c r="DC552">
        <v>9</v>
      </c>
      <c r="DD552">
        <v>2</v>
      </c>
      <c r="DE552">
        <v>2</v>
      </c>
      <c r="DF552">
        <v>4</v>
      </c>
      <c r="DG552">
        <v>9</v>
      </c>
      <c r="DH552">
        <v>5</v>
      </c>
      <c r="DI552">
        <v>6</v>
      </c>
      <c r="DJ552">
        <v>6</v>
      </c>
      <c r="DK552">
        <v>2</v>
      </c>
    </row>
    <row r="553" spans="1:115">
      <c r="A553" s="173">
        <f>Calculations[[#This Row],[Sum t eCO2]]*IF(Calculations[[#This Row],[GHG Scope]]="BIOGENIC",0,1)</f>
        <v>68.175513319995801</v>
      </c>
      <c r="O553">
        <f t="shared" si="8"/>
        <v>552</v>
      </c>
      <c r="P553">
        <v>8</v>
      </c>
      <c r="Q553">
        <v>5</v>
      </c>
      <c r="R553">
        <v>2</v>
      </c>
      <c r="S553">
        <v>8</v>
      </c>
      <c r="T553">
        <v>3</v>
      </c>
      <c r="U553">
        <v>7</v>
      </c>
      <c r="V553">
        <v>4</v>
      </c>
      <c r="W553">
        <v>5</v>
      </c>
      <c r="X553">
        <v>1</v>
      </c>
      <c r="Y553">
        <v>4</v>
      </c>
      <c r="Z553">
        <v>1</v>
      </c>
      <c r="AA553">
        <v>4</v>
      </c>
      <c r="AB553">
        <v>6</v>
      </c>
      <c r="AC553">
        <v>9</v>
      </c>
      <c r="AD553">
        <v>1</v>
      </c>
      <c r="AE553">
        <v>9</v>
      </c>
      <c r="AF553">
        <v>3</v>
      </c>
      <c r="AG553">
        <v>1</v>
      </c>
      <c r="AH553">
        <v>6</v>
      </c>
      <c r="AI553">
        <v>2</v>
      </c>
      <c r="AJ553">
        <v>3</v>
      </c>
      <c r="AK553">
        <v>5</v>
      </c>
      <c r="AL553">
        <v>8</v>
      </c>
      <c r="AM553">
        <v>4</v>
      </c>
      <c r="AN553">
        <v>5</v>
      </c>
      <c r="AO553">
        <v>5</v>
      </c>
      <c r="AP553">
        <v>4</v>
      </c>
      <c r="AQ553">
        <v>9</v>
      </c>
      <c r="AR553">
        <v>10</v>
      </c>
      <c r="AS553">
        <v>2</v>
      </c>
      <c r="AT553">
        <v>3</v>
      </c>
      <c r="AU553">
        <v>1</v>
      </c>
      <c r="AV553">
        <v>7</v>
      </c>
      <c r="AW553">
        <v>8</v>
      </c>
      <c r="AX553">
        <v>3</v>
      </c>
      <c r="AY553">
        <v>7</v>
      </c>
      <c r="AZ553">
        <v>8</v>
      </c>
      <c r="BA553">
        <v>9</v>
      </c>
      <c r="BB553">
        <v>8</v>
      </c>
      <c r="BC553">
        <v>7</v>
      </c>
      <c r="BD553">
        <v>0</v>
      </c>
      <c r="BE553">
        <v>0</v>
      </c>
      <c r="BF553">
        <v>2</v>
      </c>
      <c r="BG553">
        <v>8</v>
      </c>
      <c r="BH553">
        <v>10</v>
      </c>
      <c r="BI553">
        <v>1</v>
      </c>
      <c r="BJ553">
        <v>8</v>
      </c>
      <c r="BK553">
        <v>8</v>
      </c>
      <c r="BL553">
        <v>7</v>
      </c>
      <c r="BM553">
        <v>9</v>
      </c>
      <c r="BN553">
        <v>6</v>
      </c>
      <c r="BO553">
        <v>0</v>
      </c>
      <c r="BP553">
        <v>6</v>
      </c>
      <c r="BQ553">
        <v>6</v>
      </c>
      <c r="BR553">
        <v>3</v>
      </c>
      <c r="BS553">
        <v>4</v>
      </c>
      <c r="BT553">
        <v>0</v>
      </c>
      <c r="BU553">
        <v>0</v>
      </c>
      <c r="BV553">
        <v>4</v>
      </c>
      <c r="BW553">
        <v>10</v>
      </c>
      <c r="BX553">
        <v>5</v>
      </c>
      <c r="BY553">
        <v>4</v>
      </c>
      <c r="BZ553">
        <v>5</v>
      </c>
      <c r="CA553">
        <v>6</v>
      </c>
      <c r="CB553">
        <v>8</v>
      </c>
      <c r="CC553">
        <v>3</v>
      </c>
      <c r="CD553">
        <v>5</v>
      </c>
      <c r="CE553">
        <v>2</v>
      </c>
      <c r="CF553">
        <v>3</v>
      </c>
      <c r="CG553">
        <v>9</v>
      </c>
      <c r="CH553">
        <v>9</v>
      </c>
      <c r="CI553">
        <v>6</v>
      </c>
      <c r="CJ553">
        <v>2</v>
      </c>
      <c r="CK553">
        <v>0</v>
      </c>
      <c r="CL553">
        <v>2</v>
      </c>
      <c r="CM553">
        <v>9</v>
      </c>
      <c r="CN553">
        <v>2</v>
      </c>
      <c r="CO553">
        <v>3</v>
      </c>
      <c r="CP553">
        <v>9</v>
      </c>
      <c r="CQ553">
        <v>4</v>
      </c>
      <c r="CR553">
        <v>1</v>
      </c>
      <c r="CS553">
        <v>9</v>
      </c>
      <c r="CT553">
        <v>9</v>
      </c>
      <c r="CU553">
        <v>5</v>
      </c>
      <c r="CV553">
        <v>7</v>
      </c>
      <c r="CW553">
        <v>4</v>
      </c>
      <c r="CX553">
        <v>4</v>
      </c>
      <c r="CY553">
        <v>0</v>
      </c>
      <c r="CZ553">
        <v>6</v>
      </c>
      <c r="DA553">
        <v>3</v>
      </c>
      <c r="DB553">
        <v>10</v>
      </c>
      <c r="DC553">
        <v>4</v>
      </c>
      <c r="DD553">
        <v>3</v>
      </c>
      <c r="DE553">
        <v>0</v>
      </c>
      <c r="DF553">
        <v>4</v>
      </c>
      <c r="DG553">
        <v>9</v>
      </c>
      <c r="DH553">
        <v>8</v>
      </c>
      <c r="DI553">
        <v>3</v>
      </c>
      <c r="DJ553">
        <v>3</v>
      </c>
      <c r="DK553">
        <v>9</v>
      </c>
    </row>
    <row r="554" spans="1:115">
      <c r="A554" s="173">
        <f>Calculations[[#This Row],[Sum t eCO2]]*IF(Calculations[[#This Row],[GHG Scope]]="BIOGENIC",0,1)</f>
        <v>75.14504992039592</v>
      </c>
      <c r="O554">
        <f t="shared" si="8"/>
        <v>553</v>
      </c>
      <c r="P554">
        <v>1</v>
      </c>
      <c r="Q554">
        <v>7</v>
      </c>
      <c r="R554">
        <v>3</v>
      </c>
      <c r="S554">
        <v>1</v>
      </c>
      <c r="T554">
        <v>5</v>
      </c>
      <c r="U554">
        <v>2</v>
      </c>
      <c r="V554">
        <v>0</v>
      </c>
      <c r="W554">
        <v>1</v>
      </c>
      <c r="X554">
        <v>8</v>
      </c>
      <c r="Y554">
        <v>5</v>
      </c>
      <c r="Z554">
        <v>1</v>
      </c>
      <c r="AA554">
        <v>9</v>
      </c>
      <c r="AB554">
        <v>10</v>
      </c>
      <c r="AC554">
        <v>5</v>
      </c>
      <c r="AD554">
        <v>10</v>
      </c>
      <c r="AE554">
        <v>2</v>
      </c>
      <c r="AF554">
        <v>8</v>
      </c>
      <c r="AG554">
        <v>8</v>
      </c>
      <c r="AH554">
        <v>7</v>
      </c>
      <c r="AI554">
        <v>1</v>
      </c>
      <c r="AJ554">
        <v>6</v>
      </c>
      <c r="AK554">
        <v>6</v>
      </c>
      <c r="AL554">
        <v>6</v>
      </c>
      <c r="AM554">
        <v>8</v>
      </c>
      <c r="AN554">
        <v>5</v>
      </c>
      <c r="AO554">
        <v>7</v>
      </c>
      <c r="AP554">
        <v>1</v>
      </c>
      <c r="AQ554">
        <v>5</v>
      </c>
      <c r="AR554">
        <v>8</v>
      </c>
      <c r="AS554">
        <v>3</v>
      </c>
      <c r="AT554">
        <v>1</v>
      </c>
      <c r="AU554">
        <v>3</v>
      </c>
      <c r="AV554">
        <v>5</v>
      </c>
      <c r="AW554">
        <v>2</v>
      </c>
      <c r="AX554">
        <v>3</v>
      </c>
      <c r="AY554">
        <v>0</v>
      </c>
      <c r="AZ554">
        <v>5</v>
      </c>
      <c r="BA554">
        <v>1</v>
      </c>
      <c r="BB554">
        <v>0</v>
      </c>
      <c r="BC554">
        <v>4</v>
      </c>
      <c r="BD554">
        <v>10</v>
      </c>
      <c r="BE554">
        <v>8</v>
      </c>
      <c r="BF554">
        <v>1</v>
      </c>
      <c r="BG554">
        <v>5</v>
      </c>
      <c r="BH554">
        <v>10</v>
      </c>
      <c r="BI554">
        <v>0</v>
      </c>
      <c r="BJ554">
        <v>10</v>
      </c>
      <c r="BK554">
        <v>0</v>
      </c>
      <c r="BL554">
        <v>5</v>
      </c>
      <c r="BM554">
        <v>9</v>
      </c>
      <c r="BN554">
        <v>3</v>
      </c>
      <c r="BO554">
        <v>9</v>
      </c>
      <c r="BP554">
        <v>5</v>
      </c>
      <c r="BQ554">
        <v>7</v>
      </c>
      <c r="BR554">
        <v>2</v>
      </c>
      <c r="BS554">
        <v>4</v>
      </c>
      <c r="BT554">
        <v>2</v>
      </c>
      <c r="BU554">
        <v>0</v>
      </c>
      <c r="BV554">
        <v>6</v>
      </c>
      <c r="BW554">
        <v>0</v>
      </c>
      <c r="BX554">
        <v>8</v>
      </c>
      <c r="BY554">
        <v>7</v>
      </c>
      <c r="BZ554">
        <v>5</v>
      </c>
      <c r="CA554">
        <v>2</v>
      </c>
      <c r="CB554">
        <v>7</v>
      </c>
      <c r="CC554">
        <v>3</v>
      </c>
      <c r="CD554">
        <v>0</v>
      </c>
      <c r="CE554">
        <v>2</v>
      </c>
      <c r="CF554">
        <v>0</v>
      </c>
      <c r="CG554">
        <v>9</v>
      </c>
      <c r="CH554">
        <v>5</v>
      </c>
      <c r="CI554">
        <v>10</v>
      </c>
      <c r="CJ554">
        <v>3</v>
      </c>
      <c r="CK554">
        <v>6</v>
      </c>
      <c r="CL554">
        <v>6</v>
      </c>
      <c r="CM554">
        <v>2</v>
      </c>
      <c r="CN554">
        <v>1</v>
      </c>
      <c r="CO554">
        <v>4</v>
      </c>
      <c r="CP554">
        <v>0</v>
      </c>
      <c r="CQ554">
        <v>6</v>
      </c>
      <c r="CR554">
        <v>5</v>
      </c>
      <c r="CS554">
        <v>2</v>
      </c>
      <c r="CT554">
        <v>5</v>
      </c>
      <c r="CU554">
        <v>10</v>
      </c>
      <c r="CV554">
        <v>3</v>
      </c>
      <c r="CW554">
        <v>4</v>
      </c>
      <c r="CX554">
        <v>3</v>
      </c>
      <c r="CY554">
        <v>4</v>
      </c>
      <c r="CZ554">
        <v>5</v>
      </c>
      <c r="DA554">
        <v>1</v>
      </c>
      <c r="DB554">
        <v>10</v>
      </c>
      <c r="DC554">
        <v>5</v>
      </c>
      <c r="DD554">
        <v>1</v>
      </c>
      <c r="DE554">
        <v>6</v>
      </c>
      <c r="DF554">
        <v>0</v>
      </c>
      <c r="DG554">
        <v>4</v>
      </c>
      <c r="DH554">
        <v>0</v>
      </c>
      <c r="DI554">
        <v>1</v>
      </c>
      <c r="DJ554">
        <v>8</v>
      </c>
      <c r="DK554">
        <v>8</v>
      </c>
    </row>
    <row r="555" spans="1:115">
      <c r="A555" s="173">
        <f>Calculations[[#This Row],[Sum t eCO2]]*IF(Calculations[[#This Row],[GHG Scope]]="BIOGENIC",0,1)</f>
        <v>10.441321742097504</v>
      </c>
      <c r="O555">
        <f t="shared" si="8"/>
        <v>554</v>
      </c>
      <c r="P555">
        <v>1</v>
      </c>
      <c r="Q555">
        <v>7</v>
      </c>
      <c r="R555">
        <v>10</v>
      </c>
      <c r="S555">
        <v>8</v>
      </c>
      <c r="T555">
        <v>2</v>
      </c>
      <c r="U555">
        <v>5</v>
      </c>
      <c r="V555">
        <v>6</v>
      </c>
      <c r="W555">
        <v>3</v>
      </c>
      <c r="X555">
        <v>2</v>
      </c>
      <c r="Y555">
        <v>4</v>
      </c>
      <c r="Z555">
        <v>7</v>
      </c>
      <c r="AA555">
        <v>1</v>
      </c>
      <c r="AB555">
        <v>0</v>
      </c>
      <c r="AC555">
        <v>8</v>
      </c>
      <c r="AD555">
        <v>6</v>
      </c>
      <c r="AE555">
        <v>8</v>
      </c>
      <c r="AF555">
        <v>0</v>
      </c>
      <c r="AG555">
        <v>0</v>
      </c>
      <c r="AH555">
        <v>1</v>
      </c>
      <c r="AI555">
        <v>7</v>
      </c>
      <c r="AJ555">
        <v>0</v>
      </c>
      <c r="AK555">
        <v>1</v>
      </c>
      <c r="AL555">
        <v>1</v>
      </c>
      <c r="AM555">
        <v>5</v>
      </c>
      <c r="AN555">
        <v>2</v>
      </c>
      <c r="AO555">
        <v>1</v>
      </c>
      <c r="AP555">
        <v>10</v>
      </c>
      <c r="AQ555">
        <v>6</v>
      </c>
      <c r="AR555">
        <v>2</v>
      </c>
      <c r="AS555">
        <v>8</v>
      </c>
      <c r="AT555">
        <v>9</v>
      </c>
      <c r="AU555">
        <v>9</v>
      </c>
      <c r="AV555">
        <v>7</v>
      </c>
      <c r="AW555">
        <v>2</v>
      </c>
      <c r="AX555">
        <v>10</v>
      </c>
      <c r="AY555">
        <v>7</v>
      </c>
      <c r="AZ555">
        <v>8</v>
      </c>
      <c r="BA555">
        <v>3</v>
      </c>
      <c r="BB555">
        <v>1</v>
      </c>
      <c r="BC555">
        <v>1</v>
      </c>
      <c r="BD555">
        <v>10</v>
      </c>
      <c r="BE555">
        <v>6</v>
      </c>
      <c r="BF555">
        <v>4</v>
      </c>
      <c r="BG555">
        <v>6</v>
      </c>
      <c r="BH555">
        <v>0</v>
      </c>
      <c r="BI555">
        <v>2</v>
      </c>
      <c r="BJ555">
        <v>4</v>
      </c>
      <c r="BK555">
        <v>10</v>
      </c>
      <c r="BL555">
        <v>0</v>
      </c>
      <c r="BM555">
        <v>8</v>
      </c>
      <c r="BN555">
        <v>5</v>
      </c>
      <c r="BO555">
        <v>10</v>
      </c>
      <c r="BP555">
        <v>10</v>
      </c>
      <c r="BQ555">
        <v>7</v>
      </c>
      <c r="BR555">
        <v>0</v>
      </c>
      <c r="BS555">
        <v>10</v>
      </c>
      <c r="BT555">
        <v>9</v>
      </c>
      <c r="BU555">
        <v>6</v>
      </c>
      <c r="BV555">
        <v>2</v>
      </c>
      <c r="BW555">
        <v>4</v>
      </c>
      <c r="BX555">
        <v>7</v>
      </c>
      <c r="BY555">
        <v>6</v>
      </c>
      <c r="BZ555">
        <v>4</v>
      </c>
      <c r="CA555">
        <v>3</v>
      </c>
      <c r="CB555">
        <v>9</v>
      </c>
      <c r="CC555">
        <v>1</v>
      </c>
      <c r="CD555">
        <v>7</v>
      </c>
      <c r="CE555">
        <v>7</v>
      </c>
      <c r="CF555">
        <v>10</v>
      </c>
      <c r="CG555">
        <v>5</v>
      </c>
      <c r="CH555">
        <v>10</v>
      </c>
      <c r="CI555">
        <v>6</v>
      </c>
      <c r="CJ555">
        <v>6</v>
      </c>
      <c r="CK555">
        <v>0</v>
      </c>
      <c r="CL555">
        <v>2</v>
      </c>
      <c r="CM555">
        <v>9</v>
      </c>
      <c r="CN555">
        <v>0</v>
      </c>
      <c r="CO555">
        <v>8</v>
      </c>
      <c r="CP555">
        <v>1</v>
      </c>
      <c r="CQ555">
        <v>3</v>
      </c>
      <c r="CR555">
        <v>9</v>
      </c>
      <c r="CS555">
        <v>1</v>
      </c>
      <c r="CT555">
        <v>7</v>
      </c>
      <c r="CU555">
        <v>5</v>
      </c>
      <c r="CV555">
        <v>3</v>
      </c>
      <c r="CW555">
        <v>5</v>
      </c>
      <c r="CX555">
        <v>0</v>
      </c>
      <c r="CY555">
        <v>0</v>
      </c>
      <c r="CZ555">
        <v>5</v>
      </c>
      <c r="DA555">
        <v>7</v>
      </c>
      <c r="DB555">
        <v>10</v>
      </c>
      <c r="DC555">
        <v>4</v>
      </c>
      <c r="DD555">
        <v>10</v>
      </c>
      <c r="DE555">
        <v>6</v>
      </c>
      <c r="DF555">
        <v>6</v>
      </c>
      <c r="DG555">
        <v>6</v>
      </c>
      <c r="DH555">
        <v>3</v>
      </c>
      <c r="DI555">
        <v>10</v>
      </c>
      <c r="DJ555">
        <v>9</v>
      </c>
      <c r="DK555">
        <v>1</v>
      </c>
    </row>
    <row r="556" spans="1:115">
      <c r="A556" s="173">
        <f>Calculations[[#This Row],[Sum t eCO2]]*IF(Calculations[[#This Row],[GHG Scope]]="BIOGENIC",0,1)</f>
        <v>732.05707653996012</v>
      </c>
      <c r="O556">
        <f t="shared" si="8"/>
        <v>555</v>
      </c>
      <c r="P556">
        <v>0</v>
      </c>
      <c r="Q556">
        <v>10</v>
      </c>
      <c r="R556">
        <v>0</v>
      </c>
      <c r="S556">
        <v>6</v>
      </c>
      <c r="T556">
        <v>3</v>
      </c>
      <c r="U556">
        <v>1</v>
      </c>
      <c r="V556">
        <v>2</v>
      </c>
      <c r="W556">
        <v>5</v>
      </c>
      <c r="X556">
        <v>1</v>
      </c>
      <c r="Y556">
        <v>10</v>
      </c>
      <c r="Z556">
        <v>1</v>
      </c>
      <c r="AA556">
        <v>8</v>
      </c>
      <c r="AB556">
        <v>1</v>
      </c>
      <c r="AC556">
        <v>7</v>
      </c>
      <c r="AD556">
        <v>5</v>
      </c>
      <c r="AE556">
        <v>8</v>
      </c>
      <c r="AF556">
        <v>3</v>
      </c>
      <c r="AG556">
        <v>0</v>
      </c>
      <c r="AH556">
        <v>10</v>
      </c>
      <c r="AI556">
        <v>1</v>
      </c>
      <c r="AJ556">
        <v>9</v>
      </c>
      <c r="AK556">
        <v>7</v>
      </c>
      <c r="AL556">
        <v>8</v>
      </c>
      <c r="AM556">
        <v>0</v>
      </c>
      <c r="AN556">
        <v>2</v>
      </c>
      <c r="AO556">
        <v>6</v>
      </c>
      <c r="AP556">
        <v>1</v>
      </c>
      <c r="AQ556">
        <v>8</v>
      </c>
      <c r="AR556">
        <v>7</v>
      </c>
      <c r="AS556">
        <v>6</v>
      </c>
      <c r="AT556">
        <v>8</v>
      </c>
      <c r="AU556">
        <v>10</v>
      </c>
      <c r="AV556">
        <v>8</v>
      </c>
      <c r="AW556">
        <v>1</v>
      </c>
      <c r="AX556">
        <v>9</v>
      </c>
      <c r="AY556">
        <v>0</v>
      </c>
      <c r="AZ556">
        <v>9</v>
      </c>
      <c r="BA556">
        <v>5</v>
      </c>
      <c r="BB556">
        <v>8</v>
      </c>
      <c r="BC556">
        <v>0</v>
      </c>
      <c r="BD556">
        <v>10</v>
      </c>
      <c r="BE556">
        <v>4</v>
      </c>
      <c r="BF556">
        <v>1</v>
      </c>
      <c r="BG556">
        <v>9</v>
      </c>
      <c r="BH556">
        <v>1</v>
      </c>
      <c r="BI556">
        <v>0</v>
      </c>
      <c r="BJ556">
        <v>1</v>
      </c>
      <c r="BK556">
        <v>7</v>
      </c>
      <c r="BL556">
        <v>2</v>
      </c>
      <c r="BM556">
        <v>6</v>
      </c>
      <c r="BN556">
        <v>1</v>
      </c>
      <c r="BO556">
        <v>6</v>
      </c>
      <c r="BP556">
        <v>1</v>
      </c>
      <c r="BQ556">
        <v>2</v>
      </c>
      <c r="BR556">
        <v>4</v>
      </c>
      <c r="BS556">
        <v>9</v>
      </c>
      <c r="BT556">
        <v>2</v>
      </c>
      <c r="BU556">
        <v>8</v>
      </c>
      <c r="BV556">
        <v>10</v>
      </c>
      <c r="BW556">
        <v>9</v>
      </c>
      <c r="BX556">
        <v>4</v>
      </c>
      <c r="BY556">
        <v>5</v>
      </c>
      <c r="BZ556">
        <v>0</v>
      </c>
      <c r="CA556">
        <v>9</v>
      </c>
      <c r="CB556">
        <v>10</v>
      </c>
      <c r="CC556">
        <v>0</v>
      </c>
      <c r="CD556">
        <v>2</v>
      </c>
      <c r="CE556">
        <v>3</v>
      </c>
      <c r="CF556">
        <v>7</v>
      </c>
      <c r="CG556">
        <v>10</v>
      </c>
      <c r="CH556">
        <v>2</v>
      </c>
      <c r="CI556">
        <v>1</v>
      </c>
      <c r="CJ556">
        <v>10</v>
      </c>
      <c r="CK556">
        <v>8</v>
      </c>
      <c r="CL556">
        <v>9</v>
      </c>
      <c r="CM556">
        <v>6</v>
      </c>
      <c r="CN556">
        <v>8</v>
      </c>
      <c r="CO556">
        <v>2</v>
      </c>
      <c r="CP556">
        <v>6</v>
      </c>
      <c r="CQ556">
        <v>4</v>
      </c>
      <c r="CR556">
        <v>4</v>
      </c>
      <c r="CS556">
        <v>10</v>
      </c>
      <c r="CT556">
        <v>6</v>
      </c>
      <c r="CU556">
        <v>0</v>
      </c>
      <c r="CV556">
        <v>1</v>
      </c>
      <c r="CW556">
        <v>3</v>
      </c>
      <c r="CX556">
        <v>4</v>
      </c>
      <c r="CY556">
        <v>6</v>
      </c>
      <c r="CZ556">
        <v>6</v>
      </c>
      <c r="DA556">
        <v>1</v>
      </c>
      <c r="DB556">
        <v>3</v>
      </c>
      <c r="DC556">
        <v>10</v>
      </c>
      <c r="DD556">
        <v>6</v>
      </c>
      <c r="DE556">
        <v>5</v>
      </c>
      <c r="DF556">
        <v>5</v>
      </c>
      <c r="DG556">
        <v>2</v>
      </c>
      <c r="DH556">
        <v>5</v>
      </c>
      <c r="DI556">
        <v>4</v>
      </c>
      <c r="DJ556">
        <v>0</v>
      </c>
      <c r="DK556">
        <v>10</v>
      </c>
    </row>
    <row r="557" spans="1:115">
      <c r="A557" s="173">
        <f>Calculations[[#This Row],[Sum t eCO2]]*IF(Calculations[[#This Row],[GHG Scope]]="BIOGENIC",0,1)</f>
        <v>6140.2461007771499</v>
      </c>
      <c r="O557">
        <f t="shared" si="8"/>
        <v>556</v>
      </c>
      <c r="P557">
        <v>0</v>
      </c>
      <c r="Q557">
        <v>8</v>
      </c>
      <c r="R557">
        <v>0</v>
      </c>
      <c r="S557">
        <v>3</v>
      </c>
      <c r="T557">
        <v>10</v>
      </c>
      <c r="U557">
        <v>5</v>
      </c>
      <c r="V557">
        <v>4</v>
      </c>
      <c r="W557">
        <v>3</v>
      </c>
      <c r="X557">
        <v>4</v>
      </c>
      <c r="Y557">
        <v>6</v>
      </c>
      <c r="Z557">
        <v>3</v>
      </c>
      <c r="AA557">
        <v>5</v>
      </c>
      <c r="AB557">
        <v>2</v>
      </c>
      <c r="AC557">
        <v>5</v>
      </c>
      <c r="AD557">
        <v>2</v>
      </c>
      <c r="AE557">
        <v>7</v>
      </c>
      <c r="AF557">
        <v>1</v>
      </c>
      <c r="AG557">
        <v>2</v>
      </c>
      <c r="AH557">
        <v>9</v>
      </c>
      <c r="AI557">
        <v>9</v>
      </c>
      <c r="AJ557">
        <v>2</v>
      </c>
      <c r="AK557">
        <v>9</v>
      </c>
      <c r="AL557">
        <v>5</v>
      </c>
      <c r="AM557">
        <v>2</v>
      </c>
      <c r="AN557">
        <v>5</v>
      </c>
      <c r="AO557">
        <v>2</v>
      </c>
      <c r="AP557">
        <v>9</v>
      </c>
      <c r="AQ557">
        <v>1</v>
      </c>
      <c r="AR557">
        <v>0</v>
      </c>
      <c r="AS557">
        <v>2</v>
      </c>
      <c r="AT557">
        <v>8</v>
      </c>
      <c r="AU557">
        <v>4</v>
      </c>
      <c r="AV557">
        <v>3</v>
      </c>
      <c r="AW557">
        <v>1</v>
      </c>
      <c r="AX557">
        <v>4</v>
      </c>
      <c r="AY557">
        <v>5</v>
      </c>
      <c r="AZ557">
        <v>1</v>
      </c>
      <c r="BA557">
        <v>0</v>
      </c>
      <c r="BB557">
        <v>8</v>
      </c>
      <c r="BC557">
        <v>9</v>
      </c>
      <c r="BD557">
        <v>3</v>
      </c>
      <c r="BE557">
        <v>5</v>
      </c>
      <c r="BF557">
        <v>7</v>
      </c>
      <c r="BG557">
        <v>3</v>
      </c>
      <c r="BH557">
        <v>1</v>
      </c>
      <c r="BI557">
        <v>7</v>
      </c>
      <c r="BJ557">
        <v>1</v>
      </c>
      <c r="BK557">
        <v>8</v>
      </c>
      <c r="BL557">
        <v>10</v>
      </c>
      <c r="BM557">
        <v>1</v>
      </c>
      <c r="BN557">
        <v>1</v>
      </c>
      <c r="BO557">
        <v>5</v>
      </c>
      <c r="BP557">
        <v>0</v>
      </c>
      <c r="BQ557">
        <v>7</v>
      </c>
      <c r="BR557">
        <v>10</v>
      </c>
      <c r="BS557">
        <v>6</v>
      </c>
      <c r="BT557">
        <v>8</v>
      </c>
      <c r="BU557">
        <v>10</v>
      </c>
      <c r="BV557">
        <v>1</v>
      </c>
      <c r="BW557">
        <v>0</v>
      </c>
      <c r="BX557">
        <v>6</v>
      </c>
      <c r="BY557">
        <v>7</v>
      </c>
      <c r="BZ557">
        <v>5</v>
      </c>
      <c r="CA557">
        <v>7</v>
      </c>
      <c r="CB557">
        <v>9</v>
      </c>
      <c r="CC557">
        <v>1</v>
      </c>
      <c r="CD557">
        <v>1</v>
      </c>
      <c r="CE557">
        <v>5</v>
      </c>
      <c r="CF557">
        <v>2</v>
      </c>
      <c r="CG557">
        <v>0</v>
      </c>
      <c r="CH557">
        <v>0</v>
      </c>
      <c r="CI557">
        <v>2</v>
      </c>
      <c r="CJ557">
        <v>7</v>
      </c>
      <c r="CK557">
        <v>6</v>
      </c>
      <c r="CL557">
        <v>6</v>
      </c>
      <c r="CM557">
        <v>8</v>
      </c>
      <c r="CN557">
        <v>0</v>
      </c>
      <c r="CO557">
        <v>4</v>
      </c>
      <c r="CP557">
        <v>2</v>
      </c>
      <c r="CQ557">
        <v>9</v>
      </c>
      <c r="CR557">
        <v>5</v>
      </c>
      <c r="CS557">
        <v>9</v>
      </c>
      <c r="CT557">
        <v>8</v>
      </c>
      <c r="CU557">
        <v>3</v>
      </c>
      <c r="CV557">
        <v>8</v>
      </c>
      <c r="CW557">
        <v>9</v>
      </c>
      <c r="CX557">
        <v>0</v>
      </c>
      <c r="CY557">
        <v>7</v>
      </c>
      <c r="CZ557">
        <v>10</v>
      </c>
      <c r="DA557">
        <v>8</v>
      </c>
      <c r="DB557">
        <v>7</v>
      </c>
      <c r="DC557">
        <v>7</v>
      </c>
      <c r="DD557">
        <v>10</v>
      </c>
      <c r="DE557">
        <v>2</v>
      </c>
      <c r="DF557">
        <v>0</v>
      </c>
      <c r="DG557">
        <v>2</v>
      </c>
      <c r="DH557">
        <v>10</v>
      </c>
      <c r="DI557">
        <v>3</v>
      </c>
      <c r="DJ557">
        <v>5</v>
      </c>
      <c r="DK557">
        <v>10</v>
      </c>
    </row>
    <row r="558" spans="1:115">
      <c r="A558" s="173">
        <f>Calculations[[#This Row],[Sum t eCO2]]*IF(Calculations[[#This Row],[GHG Scope]]="BIOGENIC",0,1)</f>
        <v>2578.7540228555536</v>
      </c>
      <c r="O558">
        <f t="shared" si="8"/>
        <v>557</v>
      </c>
      <c r="P558">
        <v>9</v>
      </c>
      <c r="Q558">
        <v>0</v>
      </c>
      <c r="R558">
        <v>5</v>
      </c>
      <c r="S558">
        <v>5</v>
      </c>
      <c r="T558">
        <v>10</v>
      </c>
      <c r="U558">
        <v>7</v>
      </c>
      <c r="V558">
        <v>2</v>
      </c>
      <c r="W558">
        <v>3</v>
      </c>
      <c r="X558">
        <v>0</v>
      </c>
      <c r="Y558">
        <v>5</v>
      </c>
      <c r="Z558">
        <v>9</v>
      </c>
      <c r="AA558">
        <v>0</v>
      </c>
      <c r="AB558">
        <v>5</v>
      </c>
      <c r="AC558">
        <v>8</v>
      </c>
      <c r="AD558">
        <v>4</v>
      </c>
      <c r="AE558">
        <v>5</v>
      </c>
      <c r="AF558">
        <v>1</v>
      </c>
      <c r="AG558">
        <v>7</v>
      </c>
      <c r="AH558">
        <v>5</v>
      </c>
      <c r="AI558">
        <v>3</v>
      </c>
      <c r="AJ558">
        <v>4</v>
      </c>
      <c r="AK558">
        <v>7</v>
      </c>
      <c r="AL558">
        <v>0</v>
      </c>
      <c r="AM558">
        <v>7</v>
      </c>
      <c r="AN558">
        <v>9</v>
      </c>
      <c r="AO558">
        <v>1</v>
      </c>
      <c r="AP558">
        <v>10</v>
      </c>
      <c r="AQ558">
        <v>8</v>
      </c>
      <c r="AR558">
        <v>10</v>
      </c>
      <c r="AS558">
        <v>0</v>
      </c>
      <c r="AT558">
        <v>4</v>
      </c>
      <c r="AU558">
        <v>0</v>
      </c>
      <c r="AV558">
        <v>9</v>
      </c>
      <c r="AW558">
        <v>1</v>
      </c>
      <c r="AX558">
        <v>9</v>
      </c>
      <c r="AY558">
        <v>9</v>
      </c>
      <c r="AZ558">
        <v>4</v>
      </c>
      <c r="BA558">
        <v>1</v>
      </c>
      <c r="BB558">
        <v>5</v>
      </c>
      <c r="BC558">
        <v>5</v>
      </c>
      <c r="BD558">
        <v>5</v>
      </c>
      <c r="BE558">
        <v>2</v>
      </c>
      <c r="BF558">
        <v>2</v>
      </c>
      <c r="BG558">
        <v>5</v>
      </c>
      <c r="BH558">
        <v>2</v>
      </c>
      <c r="BI558">
        <v>0</v>
      </c>
      <c r="BJ558">
        <v>3</v>
      </c>
      <c r="BK558">
        <v>6</v>
      </c>
      <c r="BL558">
        <v>0</v>
      </c>
      <c r="BM558">
        <v>9</v>
      </c>
      <c r="BN558">
        <v>9</v>
      </c>
      <c r="BO558">
        <v>3</v>
      </c>
      <c r="BP558">
        <v>0</v>
      </c>
      <c r="BQ558">
        <v>9</v>
      </c>
      <c r="BR558">
        <v>3</v>
      </c>
      <c r="BS558">
        <v>3</v>
      </c>
      <c r="BT558">
        <v>0</v>
      </c>
      <c r="BU558">
        <v>2</v>
      </c>
      <c r="BV558">
        <v>5</v>
      </c>
      <c r="BW558">
        <v>1</v>
      </c>
      <c r="BX558">
        <v>5</v>
      </c>
      <c r="BY558">
        <v>6</v>
      </c>
      <c r="BZ558">
        <v>6</v>
      </c>
      <c r="CA558">
        <v>10</v>
      </c>
      <c r="CB558">
        <v>3</v>
      </c>
      <c r="CC558">
        <v>0</v>
      </c>
      <c r="CD558">
        <v>7</v>
      </c>
      <c r="CE558">
        <v>7</v>
      </c>
      <c r="CF558">
        <v>0</v>
      </c>
      <c r="CG558">
        <v>0</v>
      </c>
      <c r="CH558">
        <v>1</v>
      </c>
      <c r="CI558">
        <v>7</v>
      </c>
      <c r="CJ558">
        <v>7</v>
      </c>
      <c r="CK558">
        <v>1</v>
      </c>
      <c r="CL558">
        <v>2</v>
      </c>
      <c r="CM558">
        <v>0</v>
      </c>
      <c r="CN558">
        <v>5</v>
      </c>
      <c r="CO558">
        <v>6</v>
      </c>
      <c r="CP558">
        <v>5</v>
      </c>
      <c r="CQ558">
        <v>6</v>
      </c>
      <c r="CR558">
        <v>2</v>
      </c>
      <c r="CS558">
        <v>0</v>
      </c>
      <c r="CT558">
        <v>6</v>
      </c>
      <c r="CU558">
        <v>10</v>
      </c>
      <c r="CV558">
        <v>10</v>
      </c>
      <c r="CW558">
        <v>4</v>
      </c>
      <c r="CX558">
        <v>8</v>
      </c>
      <c r="CY558">
        <v>9</v>
      </c>
      <c r="CZ558">
        <v>6</v>
      </c>
      <c r="DA558">
        <v>6</v>
      </c>
      <c r="DB558">
        <v>6</v>
      </c>
      <c r="DC558">
        <v>5</v>
      </c>
      <c r="DD558">
        <v>5</v>
      </c>
      <c r="DE558">
        <v>10</v>
      </c>
      <c r="DF558">
        <v>0</v>
      </c>
      <c r="DG558">
        <v>5</v>
      </c>
      <c r="DH558">
        <v>9</v>
      </c>
      <c r="DI558">
        <v>7</v>
      </c>
      <c r="DJ558">
        <v>6</v>
      </c>
      <c r="DK558">
        <v>5</v>
      </c>
    </row>
    <row r="559" spans="1:115">
      <c r="A559" s="173">
        <f>Calculations[[#This Row],[Sum t eCO2]]*IF(Calculations[[#This Row],[GHG Scope]]="BIOGENIC",0,1)</f>
        <v>133.1019978008845</v>
      </c>
      <c r="O559">
        <f t="shared" si="8"/>
        <v>558</v>
      </c>
      <c r="P559">
        <v>0</v>
      </c>
      <c r="Q559">
        <v>5</v>
      </c>
      <c r="R559">
        <v>10</v>
      </c>
      <c r="S559">
        <v>10</v>
      </c>
      <c r="T559">
        <v>9</v>
      </c>
      <c r="U559">
        <v>5</v>
      </c>
      <c r="V559">
        <v>8</v>
      </c>
      <c r="W559">
        <v>3</v>
      </c>
      <c r="X559">
        <v>6</v>
      </c>
      <c r="Y559">
        <v>0</v>
      </c>
      <c r="Z559">
        <v>8</v>
      </c>
      <c r="AA559">
        <v>6</v>
      </c>
      <c r="AB559">
        <v>0</v>
      </c>
      <c r="AC559">
        <v>6</v>
      </c>
      <c r="AD559">
        <v>3</v>
      </c>
      <c r="AE559">
        <v>3</v>
      </c>
      <c r="AF559">
        <v>2</v>
      </c>
      <c r="AG559">
        <v>7</v>
      </c>
      <c r="AH559">
        <v>7</v>
      </c>
      <c r="AI559">
        <v>7</v>
      </c>
      <c r="AJ559">
        <v>3</v>
      </c>
      <c r="AK559">
        <v>3</v>
      </c>
      <c r="AL559">
        <v>3</v>
      </c>
      <c r="AM559">
        <v>3</v>
      </c>
      <c r="AN559">
        <v>2</v>
      </c>
      <c r="AO559">
        <v>10</v>
      </c>
      <c r="AP559">
        <v>3</v>
      </c>
      <c r="AQ559">
        <v>9</v>
      </c>
      <c r="AR559">
        <v>7</v>
      </c>
      <c r="AS559">
        <v>5</v>
      </c>
      <c r="AT559">
        <v>6</v>
      </c>
      <c r="AU559">
        <v>7</v>
      </c>
      <c r="AV559">
        <v>1</v>
      </c>
      <c r="AW559">
        <v>6</v>
      </c>
      <c r="AX559">
        <v>2</v>
      </c>
      <c r="AY559">
        <v>5</v>
      </c>
      <c r="AZ559">
        <v>5</v>
      </c>
      <c r="BA559">
        <v>7</v>
      </c>
      <c r="BB559">
        <v>0</v>
      </c>
      <c r="BC559">
        <v>7</v>
      </c>
      <c r="BD559">
        <v>6</v>
      </c>
      <c r="BE559">
        <v>8</v>
      </c>
      <c r="BF559">
        <v>8</v>
      </c>
      <c r="BG559">
        <v>10</v>
      </c>
      <c r="BH559">
        <v>8</v>
      </c>
      <c r="BI559">
        <v>4</v>
      </c>
      <c r="BJ559">
        <v>3</v>
      </c>
      <c r="BK559">
        <v>2</v>
      </c>
      <c r="BL559">
        <v>1</v>
      </c>
      <c r="BM559">
        <v>4</v>
      </c>
      <c r="BN559">
        <v>4</v>
      </c>
      <c r="BO559">
        <v>1</v>
      </c>
      <c r="BP559">
        <v>9</v>
      </c>
      <c r="BQ559">
        <v>7</v>
      </c>
      <c r="BR559">
        <v>7</v>
      </c>
      <c r="BS559">
        <v>8</v>
      </c>
      <c r="BT559">
        <v>0</v>
      </c>
      <c r="BU559">
        <v>3</v>
      </c>
      <c r="BV559">
        <v>4</v>
      </c>
      <c r="BW559">
        <v>1</v>
      </c>
      <c r="BX559">
        <v>5</v>
      </c>
      <c r="BY559">
        <v>7</v>
      </c>
      <c r="BZ559">
        <v>10</v>
      </c>
      <c r="CA559">
        <v>5</v>
      </c>
      <c r="CB559">
        <v>1</v>
      </c>
      <c r="CC559">
        <v>9</v>
      </c>
      <c r="CD559">
        <v>4</v>
      </c>
      <c r="CE559">
        <v>7</v>
      </c>
      <c r="CF559">
        <v>6</v>
      </c>
      <c r="CG559">
        <v>0</v>
      </c>
      <c r="CH559">
        <v>0</v>
      </c>
      <c r="CI559">
        <v>4</v>
      </c>
      <c r="CJ559">
        <v>9</v>
      </c>
      <c r="CK559">
        <v>9</v>
      </c>
      <c r="CL559">
        <v>3</v>
      </c>
      <c r="CM559">
        <v>2</v>
      </c>
      <c r="CN559">
        <v>3</v>
      </c>
      <c r="CO559">
        <v>10</v>
      </c>
      <c r="CP559">
        <v>8</v>
      </c>
      <c r="CQ559">
        <v>7</v>
      </c>
      <c r="CR559">
        <v>7</v>
      </c>
      <c r="CS559">
        <v>7</v>
      </c>
      <c r="CT559">
        <v>7</v>
      </c>
      <c r="CU559">
        <v>3</v>
      </c>
      <c r="CV559">
        <v>4</v>
      </c>
      <c r="CW559">
        <v>9</v>
      </c>
      <c r="CX559">
        <v>1</v>
      </c>
      <c r="CY559">
        <v>5</v>
      </c>
      <c r="CZ559">
        <v>3</v>
      </c>
      <c r="DA559">
        <v>1</v>
      </c>
      <c r="DB559">
        <v>3</v>
      </c>
      <c r="DC559">
        <v>2</v>
      </c>
      <c r="DD559">
        <v>3</v>
      </c>
      <c r="DE559">
        <v>1</v>
      </c>
      <c r="DF559">
        <v>6</v>
      </c>
      <c r="DG559">
        <v>7</v>
      </c>
      <c r="DH559">
        <v>1</v>
      </c>
      <c r="DI559">
        <v>6</v>
      </c>
      <c r="DJ559">
        <v>2</v>
      </c>
      <c r="DK559">
        <v>1</v>
      </c>
    </row>
    <row r="560" spans="1:115">
      <c r="A560" s="173">
        <f>Calculations[[#This Row],[Sum t eCO2]]*IF(Calculations[[#This Row],[GHG Scope]]="BIOGENIC",0,1)</f>
        <v>44.334915000000009</v>
      </c>
      <c r="O560">
        <f t="shared" si="8"/>
        <v>559</v>
      </c>
      <c r="P560">
        <v>7</v>
      </c>
      <c r="Q560">
        <v>0</v>
      </c>
      <c r="R560">
        <v>0</v>
      </c>
      <c r="S560">
        <v>9</v>
      </c>
      <c r="T560">
        <v>8</v>
      </c>
      <c r="U560">
        <v>3</v>
      </c>
      <c r="V560">
        <v>1</v>
      </c>
      <c r="W560">
        <v>6</v>
      </c>
      <c r="X560">
        <v>4</v>
      </c>
      <c r="Y560">
        <v>0</v>
      </c>
      <c r="Z560">
        <v>5</v>
      </c>
      <c r="AA560">
        <v>6</v>
      </c>
      <c r="AB560">
        <v>9</v>
      </c>
      <c r="AC560">
        <v>4</v>
      </c>
      <c r="AD560">
        <v>6</v>
      </c>
      <c r="AE560">
        <v>10</v>
      </c>
      <c r="AF560">
        <v>6</v>
      </c>
      <c r="AG560">
        <v>4</v>
      </c>
      <c r="AH560">
        <v>1</v>
      </c>
      <c r="AI560">
        <v>4</v>
      </c>
      <c r="AJ560">
        <v>3</v>
      </c>
      <c r="AK560">
        <v>0</v>
      </c>
      <c r="AL560">
        <v>6</v>
      </c>
      <c r="AM560">
        <v>8</v>
      </c>
      <c r="AN560">
        <v>4</v>
      </c>
      <c r="AO560">
        <v>6</v>
      </c>
      <c r="AP560">
        <v>5</v>
      </c>
      <c r="AQ560">
        <v>6</v>
      </c>
      <c r="AR560">
        <v>5</v>
      </c>
      <c r="AS560">
        <v>7</v>
      </c>
      <c r="AT560">
        <v>0</v>
      </c>
      <c r="AU560">
        <v>0</v>
      </c>
      <c r="AV560">
        <v>1</v>
      </c>
      <c r="AW560">
        <v>9</v>
      </c>
      <c r="AX560">
        <v>10</v>
      </c>
      <c r="AY560">
        <v>10</v>
      </c>
      <c r="AZ560">
        <v>3</v>
      </c>
      <c r="BA560">
        <v>4</v>
      </c>
      <c r="BB560">
        <v>1</v>
      </c>
      <c r="BC560">
        <v>4</v>
      </c>
      <c r="BD560">
        <v>4</v>
      </c>
      <c r="BE560">
        <v>4</v>
      </c>
      <c r="BF560">
        <v>3</v>
      </c>
      <c r="BG560">
        <v>7</v>
      </c>
      <c r="BH560">
        <v>6</v>
      </c>
      <c r="BI560">
        <v>10</v>
      </c>
      <c r="BJ560">
        <v>7</v>
      </c>
      <c r="BK560">
        <v>8</v>
      </c>
      <c r="BL560">
        <v>4</v>
      </c>
      <c r="BM560">
        <v>5</v>
      </c>
      <c r="BN560">
        <v>2</v>
      </c>
      <c r="BO560">
        <v>9</v>
      </c>
      <c r="BP560">
        <v>0</v>
      </c>
      <c r="BQ560">
        <v>6</v>
      </c>
      <c r="BR560">
        <v>7</v>
      </c>
      <c r="BS560">
        <v>3</v>
      </c>
      <c r="BT560">
        <v>1</v>
      </c>
      <c r="BU560">
        <v>0</v>
      </c>
      <c r="BV560">
        <v>3</v>
      </c>
      <c r="BW560">
        <v>10</v>
      </c>
      <c r="BX560">
        <v>4</v>
      </c>
      <c r="BY560">
        <v>6</v>
      </c>
      <c r="BZ560">
        <v>4</v>
      </c>
      <c r="CA560">
        <v>8</v>
      </c>
      <c r="CB560">
        <v>4</v>
      </c>
      <c r="CC560">
        <v>8</v>
      </c>
      <c r="CD560">
        <v>10</v>
      </c>
      <c r="CE560">
        <v>4</v>
      </c>
      <c r="CF560">
        <v>7</v>
      </c>
      <c r="CG560">
        <v>3</v>
      </c>
      <c r="CH560">
        <v>10</v>
      </c>
      <c r="CI560">
        <v>6</v>
      </c>
      <c r="CJ560">
        <v>1</v>
      </c>
      <c r="CK560">
        <v>8</v>
      </c>
      <c r="CL560">
        <v>3</v>
      </c>
      <c r="CM560">
        <v>3</v>
      </c>
      <c r="CN560">
        <v>3</v>
      </c>
      <c r="CO560">
        <v>10</v>
      </c>
      <c r="CP560">
        <v>8</v>
      </c>
      <c r="CQ560">
        <v>2</v>
      </c>
      <c r="CR560">
        <v>0</v>
      </c>
      <c r="CS560">
        <v>10</v>
      </c>
      <c r="CT560">
        <v>10</v>
      </c>
      <c r="CU560">
        <v>1</v>
      </c>
      <c r="CV560">
        <v>1</v>
      </c>
      <c r="CW560">
        <v>9</v>
      </c>
      <c r="CX560">
        <v>7</v>
      </c>
      <c r="CY560">
        <v>5</v>
      </c>
      <c r="CZ560">
        <v>3</v>
      </c>
      <c r="DA560">
        <v>6</v>
      </c>
      <c r="DB560">
        <v>10</v>
      </c>
      <c r="DC560">
        <v>2</v>
      </c>
      <c r="DD560">
        <v>9</v>
      </c>
      <c r="DE560">
        <v>6</v>
      </c>
      <c r="DF560">
        <v>2</v>
      </c>
      <c r="DG560">
        <v>6</v>
      </c>
      <c r="DH560">
        <v>10</v>
      </c>
      <c r="DI560">
        <v>5</v>
      </c>
      <c r="DJ560">
        <v>8</v>
      </c>
      <c r="DK560">
        <v>0</v>
      </c>
    </row>
    <row r="561" spans="1:115">
      <c r="A561" s="173">
        <f>Calculations[[#This Row],[Sum t eCO2]]*IF(Calculations[[#This Row],[GHG Scope]]="BIOGENIC",0,1)</f>
        <v>92.502380080000009</v>
      </c>
      <c r="O561">
        <f t="shared" si="8"/>
        <v>560</v>
      </c>
      <c r="P561">
        <v>2</v>
      </c>
      <c r="Q561">
        <v>3</v>
      </c>
      <c r="R561">
        <v>8</v>
      </c>
      <c r="S561">
        <v>8</v>
      </c>
      <c r="T561">
        <v>7</v>
      </c>
      <c r="U561">
        <v>10</v>
      </c>
      <c r="V561">
        <v>3</v>
      </c>
      <c r="W561">
        <v>10</v>
      </c>
      <c r="X561">
        <v>3</v>
      </c>
      <c r="Y561">
        <v>4</v>
      </c>
      <c r="Z561">
        <v>8</v>
      </c>
      <c r="AA561">
        <v>9</v>
      </c>
      <c r="AB561">
        <v>8</v>
      </c>
      <c r="AC561">
        <v>7</v>
      </c>
      <c r="AD561">
        <v>2</v>
      </c>
      <c r="AE561">
        <v>3</v>
      </c>
      <c r="AF561">
        <v>3</v>
      </c>
      <c r="AG561">
        <v>5</v>
      </c>
      <c r="AH561">
        <v>3</v>
      </c>
      <c r="AI561">
        <v>4</v>
      </c>
      <c r="AJ561">
        <v>8</v>
      </c>
      <c r="AK561">
        <v>5</v>
      </c>
      <c r="AL561">
        <v>3</v>
      </c>
      <c r="AM561">
        <v>2</v>
      </c>
      <c r="AN561">
        <v>6</v>
      </c>
      <c r="AO561">
        <v>7</v>
      </c>
      <c r="AP561">
        <v>2</v>
      </c>
      <c r="AQ561">
        <v>10</v>
      </c>
      <c r="AR561">
        <v>5</v>
      </c>
      <c r="AS561">
        <v>4</v>
      </c>
      <c r="AT561">
        <v>2</v>
      </c>
      <c r="AU561">
        <v>4</v>
      </c>
      <c r="AV561">
        <v>0</v>
      </c>
      <c r="AW561">
        <v>9</v>
      </c>
      <c r="AX561">
        <v>8</v>
      </c>
      <c r="AY561">
        <v>6</v>
      </c>
      <c r="AZ561">
        <v>8</v>
      </c>
      <c r="BA561">
        <v>2</v>
      </c>
      <c r="BB561">
        <v>2</v>
      </c>
      <c r="BC561">
        <v>5</v>
      </c>
      <c r="BD561">
        <v>1</v>
      </c>
      <c r="BE561">
        <v>7</v>
      </c>
      <c r="BF561">
        <v>8</v>
      </c>
      <c r="BG561">
        <v>1</v>
      </c>
      <c r="BH561">
        <v>2</v>
      </c>
      <c r="BI561">
        <v>6</v>
      </c>
      <c r="BJ561">
        <v>2</v>
      </c>
      <c r="BK561">
        <v>5</v>
      </c>
      <c r="BL561">
        <v>5</v>
      </c>
      <c r="BM561">
        <v>5</v>
      </c>
      <c r="BN561">
        <v>3</v>
      </c>
      <c r="BO561">
        <v>5</v>
      </c>
      <c r="BP561">
        <v>5</v>
      </c>
      <c r="BQ561">
        <v>6</v>
      </c>
      <c r="BR561">
        <v>2</v>
      </c>
      <c r="BS561">
        <v>5</v>
      </c>
      <c r="BT561">
        <v>0</v>
      </c>
      <c r="BU561">
        <v>3</v>
      </c>
      <c r="BV561">
        <v>9</v>
      </c>
      <c r="BW561">
        <v>3</v>
      </c>
      <c r="BX561">
        <v>7</v>
      </c>
      <c r="BY561">
        <v>6</v>
      </c>
      <c r="BZ561">
        <v>8</v>
      </c>
      <c r="CA561">
        <v>2</v>
      </c>
      <c r="CB561">
        <v>7</v>
      </c>
      <c r="CC561">
        <v>1</v>
      </c>
      <c r="CD561">
        <v>1</v>
      </c>
      <c r="CE561">
        <v>2</v>
      </c>
      <c r="CF561">
        <v>2</v>
      </c>
      <c r="CG561">
        <v>3</v>
      </c>
      <c r="CH561">
        <v>5</v>
      </c>
      <c r="CI561">
        <v>10</v>
      </c>
      <c r="CJ561">
        <v>7</v>
      </c>
      <c r="CK561">
        <v>6</v>
      </c>
      <c r="CL561">
        <v>9</v>
      </c>
      <c r="CM561">
        <v>10</v>
      </c>
      <c r="CN561">
        <v>10</v>
      </c>
      <c r="CO561">
        <v>7</v>
      </c>
      <c r="CP561">
        <v>5</v>
      </c>
      <c r="CQ561">
        <v>7</v>
      </c>
      <c r="CR561">
        <v>9</v>
      </c>
      <c r="CS561">
        <v>7</v>
      </c>
      <c r="CT561">
        <v>4</v>
      </c>
      <c r="CU561">
        <v>0</v>
      </c>
      <c r="CV561">
        <v>1</v>
      </c>
      <c r="CW561">
        <v>2</v>
      </c>
      <c r="CX561">
        <v>0</v>
      </c>
      <c r="CY561">
        <v>0</v>
      </c>
      <c r="CZ561">
        <v>8</v>
      </c>
      <c r="DA561">
        <v>1</v>
      </c>
      <c r="DB561">
        <v>8</v>
      </c>
      <c r="DC561">
        <v>6</v>
      </c>
      <c r="DD561">
        <v>1</v>
      </c>
      <c r="DE561">
        <v>10</v>
      </c>
      <c r="DF561">
        <v>5</v>
      </c>
      <c r="DG561">
        <v>1</v>
      </c>
      <c r="DH561">
        <v>6</v>
      </c>
      <c r="DI561">
        <v>2</v>
      </c>
      <c r="DJ561">
        <v>4</v>
      </c>
      <c r="DK561">
        <v>10</v>
      </c>
    </row>
    <row r="562" spans="1:115">
      <c r="A562" s="173">
        <f>Calculations[[#This Row],[Sum t eCO2]]*IF(Calculations[[#This Row],[GHG Scope]]="BIOGENIC",0,1)</f>
        <v>0.68969999999999998</v>
      </c>
      <c r="O562">
        <f t="shared" si="8"/>
        <v>561</v>
      </c>
      <c r="P562">
        <v>5</v>
      </c>
      <c r="Q562">
        <v>9</v>
      </c>
      <c r="R562">
        <v>6</v>
      </c>
      <c r="S562">
        <v>5</v>
      </c>
      <c r="T562">
        <v>3</v>
      </c>
      <c r="U562">
        <v>10</v>
      </c>
      <c r="V562">
        <v>10</v>
      </c>
      <c r="W562">
        <v>9</v>
      </c>
      <c r="X562">
        <v>6</v>
      </c>
      <c r="Y562">
        <v>10</v>
      </c>
      <c r="Z562">
        <v>7</v>
      </c>
      <c r="AA562">
        <v>9</v>
      </c>
      <c r="AB562">
        <v>1</v>
      </c>
      <c r="AC562">
        <v>1</v>
      </c>
      <c r="AD562">
        <v>1</v>
      </c>
      <c r="AE562">
        <v>8</v>
      </c>
      <c r="AF562">
        <v>4</v>
      </c>
      <c r="AG562">
        <v>0</v>
      </c>
      <c r="AH562">
        <v>9</v>
      </c>
      <c r="AI562">
        <v>10</v>
      </c>
      <c r="AJ562">
        <v>8</v>
      </c>
      <c r="AK562">
        <v>10</v>
      </c>
      <c r="AL562">
        <v>7</v>
      </c>
      <c r="AM562">
        <v>8</v>
      </c>
      <c r="AN562">
        <v>5</v>
      </c>
      <c r="AO562">
        <v>7</v>
      </c>
      <c r="AP562">
        <v>6</v>
      </c>
      <c r="AQ562">
        <v>0</v>
      </c>
      <c r="AR562">
        <v>2</v>
      </c>
      <c r="AS562">
        <v>0</v>
      </c>
      <c r="AT562">
        <v>9</v>
      </c>
      <c r="AU562">
        <v>5</v>
      </c>
      <c r="AV562">
        <v>9</v>
      </c>
      <c r="AW562">
        <v>5</v>
      </c>
      <c r="AX562">
        <v>1</v>
      </c>
      <c r="AY562">
        <v>1</v>
      </c>
      <c r="AZ562">
        <v>6</v>
      </c>
      <c r="BA562">
        <v>1</v>
      </c>
      <c r="BB562">
        <v>3</v>
      </c>
      <c r="BC562">
        <v>8</v>
      </c>
      <c r="BD562">
        <v>10</v>
      </c>
      <c r="BE562">
        <v>10</v>
      </c>
      <c r="BF562">
        <v>1</v>
      </c>
      <c r="BG562">
        <v>7</v>
      </c>
      <c r="BH562">
        <v>1</v>
      </c>
      <c r="BI562">
        <v>8</v>
      </c>
      <c r="BJ562">
        <v>1</v>
      </c>
      <c r="BK562">
        <v>0</v>
      </c>
      <c r="BL562">
        <v>8</v>
      </c>
      <c r="BM562">
        <v>10</v>
      </c>
      <c r="BN562">
        <v>5</v>
      </c>
      <c r="BO562">
        <v>7</v>
      </c>
      <c r="BP562">
        <v>10</v>
      </c>
      <c r="BQ562">
        <v>0</v>
      </c>
      <c r="BR562">
        <v>10</v>
      </c>
      <c r="BS562">
        <v>1</v>
      </c>
      <c r="BT562">
        <v>9</v>
      </c>
      <c r="BU562">
        <v>7</v>
      </c>
      <c r="BV562">
        <v>7</v>
      </c>
      <c r="BW562">
        <v>6</v>
      </c>
      <c r="BX562">
        <v>1</v>
      </c>
      <c r="BY562">
        <v>4</v>
      </c>
      <c r="BZ562">
        <v>5</v>
      </c>
      <c r="CA562">
        <v>1</v>
      </c>
      <c r="CB562">
        <v>5</v>
      </c>
      <c r="CC562">
        <v>5</v>
      </c>
      <c r="CD562">
        <v>7</v>
      </c>
      <c r="CE562">
        <v>7</v>
      </c>
      <c r="CF562">
        <v>2</v>
      </c>
      <c r="CG562">
        <v>10</v>
      </c>
      <c r="CH562">
        <v>1</v>
      </c>
      <c r="CI562">
        <v>6</v>
      </c>
      <c r="CJ562">
        <v>9</v>
      </c>
      <c r="CK562">
        <v>0</v>
      </c>
      <c r="CL562">
        <v>5</v>
      </c>
      <c r="CM562">
        <v>5</v>
      </c>
      <c r="CN562">
        <v>2</v>
      </c>
      <c r="CO562">
        <v>9</v>
      </c>
      <c r="CP562">
        <v>1</v>
      </c>
      <c r="CQ562">
        <v>10</v>
      </c>
      <c r="CR562">
        <v>0</v>
      </c>
      <c r="CS562">
        <v>8</v>
      </c>
      <c r="CT562">
        <v>8</v>
      </c>
      <c r="CU562">
        <v>5</v>
      </c>
      <c r="CV562">
        <v>5</v>
      </c>
      <c r="CW562">
        <v>10</v>
      </c>
      <c r="CX562">
        <v>5</v>
      </c>
      <c r="CY562">
        <v>7</v>
      </c>
      <c r="CZ562">
        <v>0</v>
      </c>
      <c r="DA562">
        <v>9</v>
      </c>
      <c r="DB562">
        <v>9</v>
      </c>
      <c r="DC562">
        <v>5</v>
      </c>
      <c r="DD562">
        <v>5</v>
      </c>
      <c r="DE562">
        <v>8</v>
      </c>
      <c r="DF562">
        <v>6</v>
      </c>
      <c r="DG562">
        <v>10</v>
      </c>
      <c r="DH562">
        <v>1</v>
      </c>
      <c r="DI562">
        <v>8</v>
      </c>
      <c r="DJ562">
        <v>10</v>
      </c>
      <c r="DK562">
        <v>0</v>
      </c>
    </row>
    <row r="563" spans="1:115">
      <c r="A563" s="173">
        <f>Calculations[[#This Row],[Sum t eCO2]]*IF(Calculations[[#This Row],[GHG Scope]]="BIOGENIC",0,1)</f>
        <v>3.543228</v>
      </c>
      <c r="O563">
        <f t="shared" si="8"/>
        <v>562</v>
      </c>
      <c r="P563">
        <v>3</v>
      </c>
      <c r="Q563">
        <v>0</v>
      </c>
      <c r="R563">
        <v>7</v>
      </c>
      <c r="S563">
        <v>5</v>
      </c>
      <c r="T563">
        <v>8</v>
      </c>
      <c r="U563">
        <v>9</v>
      </c>
      <c r="V563">
        <v>10</v>
      </c>
      <c r="W563">
        <v>9</v>
      </c>
      <c r="X563">
        <v>3</v>
      </c>
      <c r="Y563">
        <v>4</v>
      </c>
      <c r="Z563">
        <v>10</v>
      </c>
      <c r="AA563">
        <v>3</v>
      </c>
      <c r="AB563">
        <v>3</v>
      </c>
      <c r="AC563">
        <v>8</v>
      </c>
      <c r="AD563">
        <v>4</v>
      </c>
      <c r="AE563">
        <v>2</v>
      </c>
      <c r="AF563">
        <v>8</v>
      </c>
      <c r="AG563">
        <v>3</v>
      </c>
      <c r="AH563">
        <v>3</v>
      </c>
      <c r="AI563">
        <v>1</v>
      </c>
      <c r="AJ563">
        <v>6</v>
      </c>
      <c r="AK563">
        <v>9</v>
      </c>
      <c r="AL563">
        <v>2</v>
      </c>
      <c r="AM563">
        <v>3</v>
      </c>
      <c r="AN563">
        <v>1</v>
      </c>
      <c r="AO563">
        <v>0</v>
      </c>
      <c r="AP563">
        <v>10</v>
      </c>
      <c r="AQ563">
        <v>7</v>
      </c>
      <c r="AR563">
        <v>3</v>
      </c>
      <c r="AS563">
        <v>7</v>
      </c>
      <c r="AT563">
        <v>1</v>
      </c>
      <c r="AU563">
        <v>9</v>
      </c>
      <c r="AV563">
        <v>4</v>
      </c>
      <c r="AW563">
        <v>8</v>
      </c>
      <c r="AX563">
        <v>7</v>
      </c>
      <c r="AY563">
        <v>3</v>
      </c>
      <c r="AZ563">
        <v>8</v>
      </c>
      <c r="BA563">
        <v>1</v>
      </c>
      <c r="BB563">
        <v>5</v>
      </c>
      <c r="BC563">
        <v>4</v>
      </c>
      <c r="BD563">
        <v>4</v>
      </c>
      <c r="BE563">
        <v>7</v>
      </c>
      <c r="BF563">
        <v>5</v>
      </c>
      <c r="BG563">
        <v>2</v>
      </c>
      <c r="BH563">
        <v>10</v>
      </c>
      <c r="BI563">
        <v>0</v>
      </c>
      <c r="BJ563">
        <v>6</v>
      </c>
      <c r="BK563">
        <v>5</v>
      </c>
      <c r="BL563">
        <v>0</v>
      </c>
      <c r="BM563">
        <v>5</v>
      </c>
      <c r="BN563">
        <v>1</v>
      </c>
      <c r="BO563">
        <v>2</v>
      </c>
      <c r="BP563">
        <v>4</v>
      </c>
      <c r="BQ563">
        <v>4</v>
      </c>
      <c r="BR563">
        <v>3</v>
      </c>
      <c r="BS563">
        <v>2</v>
      </c>
      <c r="BT563">
        <v>5</v>
      </c>
      <c r="BU563">
        <v>5</v>
      </c>
      <c r="BV563">
        <v>8</v>
      </c>
      <c r="BW563">
        <v>6</v>
      </c>
      <c r="BX563">
        <v>6</v>
      </c>
      <c r="BY563">
        <v>7</v>
      </c>
      <c r="BZ563">
        <v>9</v>
      </c>
      <c r="CA563">
        <v>4</v>
      </c>
      <c r="CB563">
        <v>0</v>
      </c>
      <c r="CC563">
        <v>6</v>
      </c>
      <c r="CD563">
        <v>0</v>
      </c>
      <c r="CE563">
        <v>5</v>
      </c>
      <c r="CF563">
        <v>8</v>
      </c>
      <c r="CG563">
        <v>9</v>
      </c>
      <c r="CH563">
        <v>8</v>
      </c>
      <c r="CI563">
        <v>1</v>
      </c>
      <c r="CJ563">
        <v>0</v>
      </c>
      <c r="CK563">
        <v>5</v>
      </c>
      <c r="CL563">
        <v>9</v>
      </c>
      <c r="CM563">
        <v>4</v>
      </c>
      <c r="CN563">
        <v>6</v>
      </c>
      <c r="CO563">
        <v>8</v>
      </c>
      <c r="CP563">
        <v>4</v>
      </c>
      <c r="CQ563">
        <v>5</v>
      </c>
      <c r="CR563">
        <v>6</v>
      </c>
      <c r="CS563">
        <v>0</v>
      </c>
      <c r="CT563">
        <v>2</v>
      </c>
      <c r="CU563">
        <v>8</v>
      </c>
      <c r="CV563">
        <v>6</v>
      </c>
      <c r="CW563">
        <v>0</v>
      </c>
      <c r="CX563">
        <v>5</v>
      </c>
      <c r="CY563">
        <v>10</v>
      </c>
      <c r="CZ563">
        <v>1</v>
      </c>
      <c r="DA563">
        <v>4</v>
      </c>
      <c r="DB563">
        <v>8</v>
      </c>
      <c r="DC563">
        <v>1</v>
      </c>
      <c r="DD563">
        <v>3</v>
      </c>
      <c r="DE563">
        <v>4</v>
      </c>
      <c r="DF563">
        <v>0</v>
      </c>
      <c r="DG563">
        <v>7</v>
      </c>
      <c r="DH563">
        <v>3</v>
      </c>
      <c r="DI563">
        <v>2</v>
      </c>
      <c r="DJ563">
        <v>10</v>
      </c>
      <c r="DK563">
        <v>10</v>
      </c>
    </row>
    <row r="564" spans="1:115">
      <c r="A564" s="173">
        <f>Calculations[[#This Row],[Sum t eCO2]]*IF(Calculations[[#This Row],[GHG Scope]]="BIOGENIC",0,1)</f>
        <v>3.2563725699999999</v>
      </c>
      <c r="O564">
        <f t="shared" si="8"/>
        <v>563</v>
      </c>
      <c r="P564">
        <v>2</v>
      </c>
      <c r="Q564">
        <v>3</v>
      </c>
      <c r="R564">
        <v>10</v>
      </c>
      <c r="S564">
        <v>5</v>
      </c>
      <c r="T564">
        <v>7</v>
      </c>
      <c r="U564">
        <v>5</v>
      </c>
      <c r="V564">
        <v>8</v>
      </c>
      <c r="W564">
        <v>10</v>
      </c>
      <c r="X564">
        <v>0</v>
      </c>
      <c r="Y564">
        <v>8</v>
      </c>
      <c r="Z564">
        <v>3</v>
      </c>
      <c r="AA564">
        <v>6</v>
      </c>
      <c r="AB564">
        <v>6</v>
      </c>
      <c r="AC564">
        <v>10</v>
      </c>
      <c r="AD564">
        <v>10</v>
      </c>
      <c r="AE564">
        <v>1</v>
      </c>
      <c r="AF564">
        <v>0</v>
      </c>
      <c r="AG564">
        <v>3</v>
      </c>
      <c r="AH564">
        <v>6</v>
      </c>
      <c r="AI564">
        <v>0</v>
      </c>
      <c r="AJ564">
        <v>8</v>
      </c>
      <c r="AK564">
        <v>9</v>
      </c>
      <c r="AL564">
        <v>0</v>
      </c>
      <c r="AM564">
        <v>5</v>
      </c>
      <c r="AN564">
        <v>3</v>
      </c>
      <c r="AO564">
        <v>0</v>
      </c>
      <c r="AP564">
        <v>2</v>
      </c>
      <c r="AQ564">
        <v>6</v>
      </c>
      <c r="AR564">
        <v>6</v>
      </c>
      <c r="AS564">
        <v>9</v>
      </c>
      <c r="AT564">
        <v>10</v>
      </c>
      <c r="AU564">
        <v>10</v>
      </c>
      <c r="AV564">
        <v>8</v>
      </c>
      <c r="AW564">
        <v>6</v>
      </c>
      <c r="AX564">
        <v>2</v>
      </c>
      <c r="AY564">
        <v>8</v>
      </c>
      <c r="AZ564">
        <v>10</v>
      </c>
      <c r="BA564">
        <v>0</v>
      </c>
      <c r="BB564">
        <v>7</v>
      </c>
      <c r="BC564">
        <v>2</v>
      </c>
      <c r="BD564">
        <v>8</v>
      </c>
      <c r="BE564">
        <v>0</v>
      </c>
      <c r="BF564">
        <v>3</v>
      </c>
      <c r="BG564">
        <v>7</v>
      </c>
      <c r="BH564">
        <v>8</v>
      </c>
      <c r="BI564">
        <v>3</v>
      </c>
      <c r="BJ564">
        <v>7</v>
      </c>
      <c r="BK564">
        <v>9</v>
      </c>
      <c r="BL564">
        <v>8</v>
      </c>
      <c r="BM564">
        <v>10</v>
      </c>
      <c r="BN564">
        <v>0</v>
      </c>
      <c r="BO564">
        <v>9</v>
      </c>
      <c r="BP564">
        <v>8</v>
      </c>
      <c r="BQ564">
        <v>5</v>
      </c>
      <c r="BR564">
        <v>10</v>
      </c>
      <c r="BS564">
        <v>6</v>
      </c>
      <c r="BT564">
        <v>8</v>
      </c>
      <c r="BU564">
        <v>5</v>
      </c>
      <c r="BV564">
        <v>6</v>
      </c>
      <c r="BW564">
        <v>10</v>
      </c>
      <c r="BX564">
        <v>5</v>
      </c>
      <c r="BY564">
        <v>9</v>
      </c>
      <c r="BZ564">
        <v>5</v>
      </c>
      <c r="CA564">
        <v>4</v>
      </c>
      <c r="CB564">
        <v>10</v>
      </c>
      <c r="CC564">
        <v>9</v>
      </c>
      <c r="CD564">
        <v>5</v>
      </c>
      <c r="CE564">
        <v>7</v>
      </c>
      <c r="CF564">
        <v>6</v>
      </c>
      <c r="CG564">
        <v>9</v>
      </c>
      <c r="CH564">
        <v>0</v>
      </c>
      <c r="CI564">
        <v>8</v>
      </c>
      <c r="CJ564">
        <v>5</v>
      </c>
      <c r="CK564">
        <v>0</v>
      </c>
      <c r="CL564">
        <v>5</v>
      </c>
      <c r="CM564">
        <v>3</v>
      </c>
      <c r="CN564">
        <v>4</v>
      </c>
      <c r="CO564">
        <v>4</v>
      </c>
      <c r="CP564">
        <v>3</v>
      </c>
      <c r="CQ564">
        <v>0</v>
      </c>
      <c r="CR564">
        <v>9</v>
      </c>
      <c r="CS564">
        <v>3</v>
      </c>
      <c r="CT564">
        <v>6</v>
      </c>
      <c r="CU564">
        <v>4</v>
      </c>
      <c r="CV564">
        <v>1</v>
      </c>
      <c r="CW564">
        <v>10</v>
      </c>
      <c r="CX564">
        <v>4</v>
      </c>
      <c r="CY564">
        <v>5</v>
      </c>
      <c r="CZ564">
        <v>4</v>
      </c>
      <c r="DA564">
        <v>3</v>
      </c>
      <c r="DB564">
        <v>8</v>
      </c>
      <c r="DC564">
        <v>3</v>
      </c>
      <c r="DD564">
        <v>2</v>
      </c>
      <c r="DE564">
        <v>0</v>
      </c>
      <c r="DF564">
        <v>5</v>
      </c>
      <c r="DG564">
        <v>0</v>
      </c>
      <c r="DH564">
        <v>8</v>
      </c>
      <c r="DI564">
        <v>6</v>
      </c>
      <c r="DJ564">
        <v>9</v>
      </c>
      <c r="DK564">
        <v>6</v>
      </c>
    </row>
    <row r="565" spans="1:115">
      <c r="A565" s="173">
        <f>Calculations[[#This Row],[Sum t eCO2]]*IF(Calculations[[#This Row],[GHG Scope]]="BIOGENIC",0,1)</f>
        <v>30.924276984000002</v>
      </c>
      <c r="O565">
        <f t="shared" si="8"/>
        <v>564</v>
      </c>
      <c r="P565">
        <v>7</v>
      </c>
      <c r="Q565">
        <v>5</v>
      </c>
      <c r="R565">
        <v>8</v>
      </c>
      <c r="S565">
        <v>1</v>
      </c>
      <c r="T565">
        <v>8</v>
      </c>
      <c r="U565">
        <v>3</v>
      </c>
      <c r="V565">
        <v>1</v>
      </c>
      <c r="W565">
        <v>5</v>
      </c>
      <c r="X565">
        <v>8</v>
      </c>
      <c r="Y565">
        <v>9</v>
      </c>
      <c r="Z565">
        <v>6</v>
      </c>
      <c r="AA565">
        <v>8</v>
      </c>
      <c r="AB565">
        <v>0</v>
      </c>
      <c r="AC565">
        <v>8</v>
      </c>
      <c r="AD565">
        <v>6</v>
      </c>
      <c r="AE565">
        <v>1</v>
      </c>
      <c r="AF565">
        <v>3</v>
      </c>
      <c r="AG565">
        <v>8</v>
      </c>
      <c r="AH565">
        <v>7</v>
      </c>
      <c r="AI565">
        <v>3</v>
      </c>
      <c r="AJ565">
        <v>3</v>
      </c>
      <c r="AK565">
        <v>4</v>
      </c>
      <c r="AL565">
        <v>1</v>
      </c>
      <c r="AM565">
        <v>5</v>
      </c>
      <c r="AN565">
        <v>9</v>
      </c>
      <c r="AO565">
        <v>9</v>
      </c>
      <c r="AP565">
        <v>3</v>
      </c>
      <c r="AQ565">
        <v>10</v>
      </c>
      <c r="AR565">
        <v>1</v>
      </c>
      <c r="AS565">
        <v>9</v>
      </c>
      <c r="AT565">
        <v>6</v>
      </c>
      <c r="AU565">
        <v>10</v>
      </c>
      <c r="AV565">
        <v>0</v>
      </c>
      <c r="AW565">
        <v>3</v>
      </c>
      <c r="AX565">
        <v>4</v>
      </c>
      <c r="AY565">
        <v>3</v>
      </c>
      <c r="AZ565">
        <v>7</v>
      </c>
      <c r="BA565">
        <v>10</v>
      </c>
      <c r="BB565">
        <v>5</v>
      </c>
      <c r="BC565">
        <v>5</v>
      </c>
      <c r="BD565">
        <v>5</v>
      </c>
      <c r="BE565">
        <v>4</v>
      </c>
      <c r="BF565">
        <v>9</v>
      </c>
      <c r="BG565">
        <v>7</v>
      </c>
      <c r="BH565">
        <v>1</v>
      </c>
      <c r="BI565">
        <v>4</v>
      </c>
      <c r="BJ565">
        <v>7</v>
      </c>
      <c r="BK565">
        <v>4</v>
      </c>
      <c r="BL565">
        <v>8</v>
      </c>
      <c r="BM565">
        <v>9</v>
      </c>
      <c r="BN565">
        <v>9</v>
      </c>
      <c r="BO565">
        <v>2</v>
      </c>
      <c r="BP565">
        <v>4</v>
      </c>
      <c r="BQ565">
        <v>5</v>
      </c>
      <c r="BR565">
        <v>4</v>
      </c>
      <c r="BS565">
        <v>6</v>
      </c>
      <c r="BT565">
        <v>5</v>
      </c>
      <c r="BU565">
        <v>4</v>
      </c>
      <c r="BV565">
        <v>2</v>
      </c>
      <c r="BW565">
        <v>8</v>
      </c>
      <c r="BX565">
        <v>0</v>
      </c>
      <c r="BY565">
        <v>1</v>
      </c>
      <c r="BZ565">
        <v>7</v>
      </c>
      <c r="CA565">
        <v>10</v>
      </c>
      <c r="CB565">
        <v>7</v>
      </c>
      <c r="CC565">
        <v>10</v>
      </c>
      <c r="CD565">
        <v>2</v>
      </c>
      <c r="CE565">
        <v>5</v>
      </c>
      <c r="CF565">
        <v>10</v>
      </c>
      <c r="CG565">
        <v>10</v>
      </c>
      <c r="CH565">
        <v>1</v>
      </c>
      <c r="CI565">
        <v>2</v>
      </c>
      <c r="CJ565">
        <v>7</v>
      </c>
      <c r="CK565">
        <v>5</v>
      </c>
      <c r="CL565">
        <v>0</v>
      </c>
      <c r="CM565">
        <v>3</v>
      </c>
      <c r="CN565">
        <v>6</v>
      </c>
      <c r="CO565">
        <v>2</v>
      </c>
      <c r="CP565">
        <v>6</v>
      </c>
      <c r="CQ565">
        <v>1</v>
      </c>
      <c r="CR565">
        <v>1</v>
      </c>
      <c r="CS565">
        <v>9</v>
      </c>
      <c r="CT565">
        <v>7</v>
      </c>
      <c r="CU565">
        <v>7</v>
      </c>
      <c r="CV565">
        <v>9</v>
      </c>
      <c r="CW565">
        <v>4</v>
      </c>
      <c r="CX565">
        <v>10</v>
      </c>
      <c r="CY565">
        <v>0</v>
      </c>
      <c r="CZ565">
        <v>0</v>
      </c>
      <c r="DA565">
        <v>6</v>
      </c>
      <c r="DB565">
        <v>1</v>
      </c>
      <c r="DC565">
        <v>6</v>
      </c>
      <c r="DD565">
        <v>4</v>
      </c>
      <c r="DE565">
        <v>7</v>
      </c>
      <c r="DF565">
        <v>9</v>
      </c>
      <c r="DG565">
        <v>0</v>
      </c>
      <c r="DH565">
        <v>1</v>
      </c>
      <c r="DI565">
        <v>0</v>
      </c>
      <c r="DJ565">
        <v>8</v>
      </c>
      <c r="DK565">
        <v>7</v>
      </c>
    </row>
    <row r="566" spans="1:115">
      <c r="A566" s="173">
        <f>Calculations[[#This Row],[Sum t eCO2]]*IF(Calculations[[#This Row],[GHG Scope]]="BIOGENIC",0,1)</f>
        <v>4.6572208259999996</v>
      </c>
      <c r="O566">
        <f t="shared" si="8"/>
        <v>565</v>
      </c>
      <c r="P566">
        <v>10</v>
      </c>
      <c r="Q566">
        <v>5</v>
      </c>
      <c r="R566">
        <v>0</v>
      </c>
      <c r="S566">
        <v>0</v>
      </c>
      <c r="T566">
        <v>10</v>
      </c>
      <c r="U566">
        <v>7</v>
      </c>
      <c r="V566">
        <v>2</v>
      </c>
      <c r="W566">
        <v>4</v>
      </c>
      <c r="X566">
        <v>7</v>
      </c>
      <c r="Y566">
        <v>9</v>
      </c>
      <c r="Z566">
        <v>7</v>
      </c>
      <c r="AA566">
        <v>5</v>
      </c>
      <c r="AB566">
        <v>10</v>
      </c>
      <c r="AC566">
        <v>0</v>
      </c>
      <c r="AD566">
        <v>7</v>
      </c>
      <c r="AE566">
        <v>4</v>
      </c>
      <c r="AF566">
        <v>9</v>
      </c>
      <c r="AG566">
        <v>7</v>
      </c>
      <c r="AH566">
        <v>8</v>
      </c>
      <c r="AI566">
        <v>10</v>
      </c>
      <c r="AJ566">
        <v>3</v>
      </c>
      <c r="AK566">
        <v>8</v>
      </c>
      <c r="AL566">
        <v>2</v>
      </c>
      <c r="AM566">
        <v>2</v>
      </c>
      <c r="AN566">
        <v>10</v>
      </c>
      <c r="AO566">
        <v>4</v>
      </c>
      <c r="AP566">
        <v>6</v>
      </c>
      <c r="AQ566">
        <v>2</v>
      </c>
      <c r="AR566">
        <v>6</v>
      </c>
      <c r="AS566">
        <v>9</v>
      </c>
      <c r="AT566">
        <v>6</v>
      </c>
      <c r="AU566">
        <v>10</v>
      </c>
      <c r="AV566">
        <v>10</v>
      </c>
      <c r="AW566">
        <v>9</v>
      </c>
      <c r="AX566">
        <v>3</v>
      </c>
      <c r="AY566">
        <v>2</v>
      </c>
      <c r="AZ566">
        <v>4</v>
      </c>
      <c r="BA566">
        <v>7</v>
      </c>
      <c r="BB566">
        <v>1</v>
      </c>
      <c r="BC566">
        <v>5</v>
      </c>
      <c r="BD566">
        <v>8</v>
      </c>
      <c r="BE566">
        <v>5</v>
      </c>
      <c r="BF566">
        <v>0</v>
      </c>
      <c r="BG566">
        <v>3</v>
      </c>
      <c r="BH566">
        <v>6</v>
      </c>
      <c r="BI566">
        <v>10</v>
      </c>
      <c r="BJ566">
        <v>2</v>
      </c>
      <c r="BK566">
        <v>9</v>
      </c>
      <c r="BL566">
        <v>5</v>
      </c>
      <c r="BM566">
        <v>7</v>
      </c>
      <c r="BN566">
        <v>7</v>
      </c>
      <c r="BO566">
        <v>0</v>
      </c>
      <c r="BP566">
        <v>1</v>
      </c>
      <c r="BQ566">
        <v>3</v>
      </c>
      <c r="BR566">
        <v>9</v>
      </c>
      <c r="BS566">
        <v>9</v>
      </c>
      <c r="BT566">
        <v>9</v>
      </c>
      <c r="BU566">
        <v>6</v>
      </c>
      <c r="BV566">
        <v>4</v>
      </c>
      <c r="BW566">
        <v>8</v>
      </c>
      <c r="BX566">
        <v>4</v>
      </c>
      <c r="BY566">
        <v>5</v>
      </c>
      <c r="BZ566">
        <v>3</v>
      </c>
      <c r="CA566">
        <v>2</v>
      </c>
      <c r="CB566">
        <v>0</v>
      </c>
      <c r="CC566">
        <v>10</v>
      </c>
      <c r="CD566">
        <v>0</v>
      </c>
      <c r="CE566">
        <v>4</v>
      </c>
      <c r="CF566">
        <v>7</v>
      </c>
      <c r="CG566">
        <v>0</v>
      </c>
      <c r="CH566">
        <v>3</v>
      </c>
      <c r="CI566">
        <v>4</v>
      </c>
      <c r="CJ566">
        <v>9</v>
      </c>
      <c r="CK566">
        <v>7</v>
      </c>
      <c r="CL566">
        <v>2</v>
      </c>
      <c r="CM566">
        <v>3</v>
      </c>
      <c r="CN566">
        <v>4</v>
      </c>
      <c r="CO566">
        <v>1</v>
      </c>
      <c r="CP566">
        <v>10</v>
      </c>
      <c r="CQ566">
        <v>10</v>
      </c>
      <c r="CR566">
        <v>7</v>
      </c>
      <c r="CS566">
        <v>0</v>
      </c>
      <c r="CT566">
        <v>7</v>
      </c>
      <c r="CU566">
        <v>1</v>
      </c>
      <c r="CV566">
        <v>2</v>
      </c>
      <c r="CW566">
        <v>6</v>
      </c>
      <c r="CX566">
        <v>6</v>
      </c>
      <c r="CY566">
        <v>8</v>
      </c>
      <c r="CZ566">
        <v>9</v>
      </c>
      <c r="DA566">
        <v>4</v>
      </c>
      <c r="DB566">
        <v>3</v>
      </c>
      <c r="DC566">
        <v>4</v>
      </c>
      <c r="DD566">
        <v>10</v>
      </c>
      <c r="DE566">
        <v>3</v>
      </c>
      <c r="DF566">
        <v>2</v>
      </c>
      <c r="DG566">
        <v>8</v>
      </c>
      <c r="DH566">
        <v>4</v>
      </c>
      <c r="DI566">
        <v>10</v>
      </c>
      <c r="DJ566">
        <v>0</v>
      </c>
      <c r="DK566">
        <v>0</v>
      </c>
    </row>
    <row r="567" spans="1:115">
      <c r="A567" s="173">
        <f>Calculations[[#This Row],[Sum t eCO2]]*IF(Calculations[[#This Row],[GHG Scope]]="BIOGENIC",0,1)</f>
        <v>9.6420322800000005</v>
      </c>
      <c r="O567">
        <f t="shared" si="8"/>
        <v>566</v>
      </c>
      <c r="P567">
        <v>9</v>
      </c>
      <c r="Q567">
        <v>10</v>
      </c>
      <c r="R567">
        <v>10</v>
      </c>
      <c r="S567">
        <v>10</v>
      </c>
      <c r="T567">
        <v>10</v>
      </c>
      <c r="U567">
        <v>6</v>
      </c>
      <c r="V567">
        <v>10</v>
      </c>
      <c r="W567">
        <v>0</v>
      </c>
      <c r="X567">
        <v>5</v>
      </c>
      <c r="Y567">
        <v>2</v>
      </c>
      <c r="Z567">
        <v>9</v>
      </c>
      <c r="AA567">
        <v>9</v>
      </c>
      <c r="AB567">
        <v>5</v>
      </c>
      <c r="AC567">
        <v>9</v>
      </c>
      <c r="AD567">
        <v>4</v>
      </c>
      <c r="AE567">
        <v>7</v>
      </c>
      <c r="AF567">
        <v>8</v>
      </c>
      <c r="AG567">
        <v>9</v>
      </c>
      <c r="AH567">
        <v>5</v>
      </c>
      <c r="AI567">
        <v>6</v>
      </c>
      <c r="AJ567">
        <v>8</v>
      </c>
      <c r="AK567">
        <v>4</v>
      </c>
      <c r="AL567">
        <v>3</v>
      </c>
      <c r="AM567">
        <v>6</v>
      </c>
      <c r="AN567">
        <v>6</v>
      </c>
      <c r="AO567">
        <v>8</v>
      </c>
      <c r="AP567">
        <v>6</v>
      </c>
      <c r="AQ567">
        <v>3</v>
      </c>
      <c r="AR567">
        <v>10</v>
      </c>
      <c r="AS567">
        <v>3</v>
      </c>
      <c r="AT567">
        <v>5</v>
      </c>
      <c r="AU567">
        <v>5</v>
      </c>
      <c r="AV567">
        <v>6</v>
      </c>
      <c r="AW567">
        <v>8</v>
      </c>
      <c r="AX567">
        <v>7</v>
      </c>
      <c r="AY567">
        <v>3</v>
      </c>
      <c r="AZ567">
        <v>6</v>
      </c>
      <c r="BA567">
        <v>2</v>
      </c>
      <c r="BB567">
        <v>2</v>
      </c>
      <c r="BC567">
        <v>8</v>
      </c>
      <c r="BD567">
        <v>9</v>
      </c>
      <c r="BE567">
        <v>10</v>
      </c>
      <c r="BF567">
        <v>3</v>
      </c>
      <c r="BG567">
        <v>4</v>
      </c>
      <c r="BH567">
        <v>6</v>
      </c>
      <c r="BI567">
        <v>10</v>
      </c>
      <c r="BJ567">
        <v>0</v>
      </c>
      <c r="BK567">
        <v>8</v>
      </c>
      <c r="BL567">
        <v>3</v>
      </c>
      <c r="BM567">
        <v>3</v>
      </c>
      <c r="BN567">
        <v>10</v>
      </c>
      <c r="BO567">
        <v>10</v>
      </c>
      <c r="BP567">
        <v>8</v>
      </c>
      <c r="BQ567">
        <v>0</v>
      </c>
      <c r="BR567">
        <v>3</v>
      </c>
      <c r="BS567">
        <v>4</v>
      </c>
      <c r="BT567">
        <v>9</v>
      </c>
      <c r="BU567">
        <v>4</v>
      </c>
      <c r="BV567">
        <v>5</v>
      </c>
      <c r="BW567">
        <v>8</v>
      </c>
      <c r="BX567">
        <v>1</v>
      </c>
      <c r="BY567">
        <v>6</v>
      </c>
      <c r="BZ567">
        <v>1</v>
      </c>
      <c r="CA567">
        <v>4</v>
      </c>
      <c r="CB567">
        <v>1</v>
      </c>
      <c r="CC567">
        <v>5</v>
      </c>
      <c r="CD567">
        <v>10</v>
      </c>
      <c r="CE567">
        <v>7</v>
      </c>
      <c r="CF567">
        <v>7</v>
      </c>
      <c r="CG567">
        <v>8</v>
      </c>
      <c r="CH567">
        <v>10</v>
      </c>
      <c r="CI567">
        <v>1</v>
      </c>
      <c r="CJ567">
        <v>3</v>
      </c>
      <c r="CK567">
        <v>10</v>
      </c>
      <c r="CL567">
        <v>8</v>
      </c>
      <c r="CM567">
        <v>1</v>
      </c>
      <c r="CN567">
        <v>5</v>
      </c>
      <c r="CO567">
        <v>7</v>
      </c>
      <c r="CP567">
        <v>6</v>
      </c>
      <c r="CQ567">
        <v>3</v>
      </c>
      <c r="CR567">
        <v>8</v>
      </c>
      <c r="CS567">
        <v>10</v>
      </c>
      <c r="CT567">
        <v>2</v>
      </c>
      <c r="CU567">
        <v>1</v>
      </c>
      <c r="CV567">
        <v>8</v>
      </c>
      <c r="CW567">
        <v>8</v>
      </c>
      <c r="CX567">
        <v>9</v>
      </c>
      <c r="CY567">
        <v>3</v>
      </c>
      <c r="CZ567">
        <v>10</v>
      </c>
      <c r="DA567">
        <v>4</v>
      </c>
      <c r="DB567">
        <v>6</v>
      </c>
      <c r="DC567">
        <v>2</v>
      </c>
      <c r="DD567">
        <v>7</v>
      </c>
      <c r="DE567">
        <v>2</v>
      </c>
      <c r="DF567">
        <v>1</v>
      </c>
      <c r="DG567">
        <v>5</v>
      </c>
      <c r="DH567">
        <v>4</v>
      </c>
      <c r="DI567">
        <v>5</v>
      </c>
      <c r="DJ567">
        <v>2</v>
      </c>
      <c r="DK567">
        <v>7</v>
      </c>
    </row>
    <row r="568" spans="1:115">
      <c r="A568" s="173">
        <f>Calculations[[#This Row],[Sum t eCO2]]*IF(Calculations[[#This Row],[GHG Scope]]="BIOGENIC",0,1)</f>
        <v>176.745904</v>
      </c>
      <c r="O568">
        <f t="shared" si="8"/>
        <v>567</v>
      </c>
      <c r="P568">
        <v>3</v>
      </c>
      <c r="Q568">
        <v>3</v>
      </c>
      <c r="R568">
        <v>1</v>
      </c>
      <c r="S568">
        <v>0</v>
      </c>
      <c r="T568">
        <v>3</v>
      </c>
      <c r="U568">
        <v>0</v>
      </c>
      <c r="V568">
        <v>2</v>
      </c>
      <c r="W568">
        <v>5</v>
      </c>
      <c r="X568">
        <v>8</v>
      </c>
      <c r="Y568">
        <v>3</v>
      </c>
      <c r="Z568">
        <v>4</v>
      </c>
      <c r="AA568">
        <v>5</v>
      </c>
      <c r="AB568">
        <v>1</v>
      </c>
      <c r="AC568">
        <v>3</v>
      </c>
      <c r="AD568">
        <v>10</v>
      </c>
      <c r="AE568">
        <v>2</v>
      </c>
      <c r="AF568">
        <v>4</v>
      </c>
      <c r="AG568">
        <v>10</v>
      </c>
      <c r="AH568">
        <v>0</v>
      </c>
      <c r="AI568">
        <v>9</v>
      </c>
      <c r="AJ568">
        <v>10</v>
      </c>
      <c r="AK568">
        <v>7</v>
      </c>
      <c r="AL568">
        <v>3</v>
      </c>
      <c r="AM568">
        <v>1</v>
      </c>
      <c r="AN568">
        <v>0</v>
      </c>
      <c r="AO568">
        <v>9</v>
      </c>
      <c r="AP568">
        <v>6</v>
      </c>
      <c r="AQ568">
        <v>6</v>
      </c>
      <c r="AR568">
        <v>2</v>
      </c>
      <c r="AS568">
        <v>8</v>
      </c>
      <c r="AT568">
        <v>10</v>
      </c>
      <c r="AU568">
        <v>3</v>
      </c>
      <c r="AV568">
        <v>8</v>
      </c>
      <c r="AW568">
        <v>8</v>
      </c>
      <c r="AX568">
        <v>6</v>
      </c>
      <c r="AY568">
        <v>5</v>
      </c>
      <c r="AZ568">
        <v>3</v>
      </c>
      <c r="BA568">
        <v>10</v>
      </c>
      <c r="BB568">
        <v>8</v>
      </c>
      <c r="BC568">
        <v>7</v>
      </c>
      <c r="BD568">
        <v>10</v>
      </c>
      <c r="BE568">
        <v>2</v>
      </c>
      <c r="BF568">
        <v>7</v>
      </c>
      <c r="BG568">
        <v>6</v>
      </c>
      <c r="BH568">
        <v>0</v>
      </c>
      <c r="BI568">
        <v>5</v>
      </c>
      <c r="BJ568">
        <v>1</v>
      </c>
      <c r="BK568">
        <v>4</v>
      </c>
      <c r="BL568">
        <v>8</v>
      </c>
      <c r="BM568">
        <v>1</v>
      </c>
      <c r="BN568">
        <v>5</v>
      </c>
      <c r="BO568">
        <v>7</v>
      </c>
      <c r="BP568">
        <v>9</v>
      </c>
      <c r="BQ568">
        <v>9</v>
      </c>
      <c r="BR568">
        <v>7</v>
      </c>
      <c r="BS568">
        <v>4</v>
      </c>
      <c r="BT568">
        <v>2</v>
      </c>
      <c r="BU568">
        <v>0</v>
      </c>
      <c r="BV568">
        <v>7</v>
      </c>
      <c r="BW568">
        <v>4</v>
      </c>
      <c r="BX568">
        <v>5</v>
      </c>
      <c r="BY568">
        <v>10</v>
      </c>
      <c r="BZ568">
        <v>7</v>
      </c>
      <c r="CA568">
        <v>5</v>
      </c>
      <c r="CB568">
        <v>8</v>
      </c>
      <c r="CC568">
        <v>0</v>
      </c>
      <c r="CD568">
        <v>6</v>
      </c>
      <c r="CE568">
        <v>2</v>
      </c>
      <c r="CF568">
        <v>3</v>
      </c>
      <c r="CG568">
        <v>9</v>
      </c>
      <c r="CH568">
        <v>9</v>
      </c>
      <c r="CI568">
        <v>4</v>
      </c>
      <c r="CJ568">
        <v>0</v>
      </c>
      <c r="CK568">
        <v>10</v>
      </c>
      <c r="CL568">
        <v>9</v>
      </c>
      <c r="CM568">
        <v>10</v>
      </c>
      <c r="CN568">
        <v>8</v>
      </c>
      <c r="CO568">
        <v>3</v>
      </c>
      <c r="CP568">
        <v>5</v>
      </c>
      <c r="CQ568">
        <v>9</v>
      </c>
      <c r="CR568">
        <v>1</v>
      </c>
      <c r="CS568">
        <v>9</v>
      </c>
      <c r="CT568">
        <v>10</v>
      </c>
      <c r="CU568">
        <v>0</v>
      </c>
      <c r="CV568">
        <v>9</v>
      </c>
      <c r="CW568">
        <v>10</v>
      </c>
      <c r="CX568">
        <v>5</v>
      </c>
      <c r="CY568">
        <v>0</v>
      </c>
      <c r="CZ568">
        <v>2</v>
      </c>
      <c r="DA568">
        <v>4</v>
      </c>
      <c r="DB568">
        <v>0</v>
      </c>
      <c r="DC568">
        <v>7</v>
      </c>
      <c r="DD568">
        <v>2</v>
      </c>
      <c r="DE568">
        <v>6</v>
      </c>
      <c r="DF568">
        <v>1</v>
      </c>
      <c r="DG568">
        <v>10</v>
      </c>
      <c r="DH568">
        <v>7</v>
      </c>
      <c r="DI568">
        <v>1</v>
      </c>
      <c r="DJ568">
        <v>0</v>
      </c>
      <c r="DK568">
        <v>5</v>
      </c>
    </row>
    <row r="569" spans="1:115">
      <c r="A569" s="173">
        <f>Calculations[[#This Row],[Sum t eCO2]]*IF(Calculations[[#This Row],[GHG Scope]]="BIOGENIC",0,1)</f>
        <v>2.5657317972000002</v>
      </c>
      <c r="O569">
        <f t="shared" si="8"/>
        <v>568</v>
      </c>
      <c r="P569">
        <v>5</v>
      </c>
      <c r="Q569">
        <v>4</v>
      </c>
      <c r="R569">
        <v>8</v>
      </c>
      <c r="S569">
        <v>8</v>
      </c>
      <c r="T569">
        <v>8</v>
      </c>
      <c r="U569">
        <v>9</v>
      </c>
      <c r="V569">
        <v>4</v>
      </c>
      <c r="W569">
        <v>9</v>
      </c>
      <c r="X569">
        <v>2</v>
      </c>
      <c r="Y569">
        <v>5</v>
      </c>
      <c r="Z569">
        <v>2</v>
      </c>
      <c r="AA569">
        <v>1</v>
      </c>
      <c r="AB569">
        <v>9</v>
      </c>
      <c r="AC569">
        <v>10</v>
      </c>
      <c r="AD569">
        <v>8</v>
      </c>
      <c r="AE569">
        <v>9</v>
      </c>
      <c r="AF569">
        <v>5</v>
      </c>
      <c r="AG569">
        <v>5</v>
      </c>
      <c r="AH569">
        <v>5</v>
      </c>
      <c r="AI569">
        <v>0</v>
      </c>
      <c r="AJ569">
        <v>6</v>
      </c>
      <c r="AK569">
        <v>1</v>
      </c>
      <c r="AL569">
        <v>7</v>
      </c>
      <c r="AM569">
        <v>4</v>
      </c>
      <c r="AN569">
        <v>8</v>
      </c>
      <c r="AO569">
        <v>9</v>
      </c>
      <c r="AP569">
        <v>0</v>
      </c>
      <c r="AQ569">
        <v>4</v>
      </c>
      <c r="AR569">
        <v>4</v>
      </c>
      <c r="AS569">
        <v>4</v>
      </c>
      <c r="AT569">
        <v>5</v>
      </c>
      <c r="AU569">
        <v>4</v>
      </c>
      <c r="AV569">
        <v>0</v>
      </c>
      <c r="AW569">
        <v>2</v>
      </c>
      <c r="AX569">
        <v>6</v>
      </c>
      <c r="AY569">
        <v>10</v>
      </c>
      <c r="AZ569">
        <v>3</v>
      </c>
      <c r="BA569">
        <v>3</v>
      </c>
      <c r="BB569">
        <v>0</v>
      </c>
      <c r="BC569">
        <v>10</v>
      </c>
      <c r="BD569">
        <v>3</v>
      </c>
      <c r="BE569">
        <v>4</v>
      </c>
      <c r="BF569">
        <v>1</v>
      </c>
      <c r="BG569">
        <v>8</v>
      </c>
      <c r="BH569">
        <v>8</v>
      </c>
      <c r="BI569">
        <v>5</v>
      </c>
      <c r="BJ569">
        <v>10</v>
      </c>
      <c r="BK569">
        <v>4</v>
      </c>
      <c r="BL569">
        <v>9</v>
      </c>
      <c r="BM569">
        <v>6</v>
      </c>
      <c r="BN569">
        <v>8</v>
      </c>
      <c r="BO569">
        <v>8</v>
      </c>
      <c r="BP569">
        <v>0</v>
      </c>
      <c r="BQ569">
        <v>2</v>
      </c>
      <c r="BR569">
        <v>2</v>
      </c>
      <c r="BS569">
        <v>5</v>
      </c>
      <c r="BT569">
        <v>6</v>
      </c>
      <c r="BU569">
        <v>0</v>
      </c>
      <c r="BV569">
        <v>2</v>
      </c>
      <c r="BW569">
        <v>1</v>
      </c>
      <c r="BX569">
        <v>7</v>
      </c>
      <c r="BY569">
        <v>8</v>
      </c>
      <c r="BZ569">
        <v>0</v>
      </c>
      <c r="CA569">
        <v>6</v>
      </c>
      <c r="CB569">
        <v>0</v>
      </c>
      <c r="CC569">
        <v>6</v>
      </c>
      <c r="CD569">
        <v>10</v>
      </c>
      <c r="CE569">
        <v>6</v>
      </c>
      <c r="CF569">
        <v>5</v>
      </c>
      <c r="CG569">
        <v>4</v>
      </c>
      <c r="CH569">
        <v>1</v>
      </c>
      <c r="CI569">
        <v>9</v>
      </c>
      <c r="CJ569">
        <v>8</v>
      </c>
      <c r="CK569">
        <v>3</v>
      </c>
      <c r="CL569">
        <v>1</v>
      </c>
      <c r="CM569">
        <v>0</v>
      </c>
      <c r="CN569">
        <v>10</v>
      </c>
      <c r="CO569">
        <v>0</v>
      </c>
      <c r="CP569">
        <v>4</v>
      </c>
      <c r="CQ569">
        <v>4</v>
      </c>
      <c r="CR569">
        <v>10</v>
      </c>
      <c r="CS569">
        <v>2</v>
      </c>
      <c r="CT569">
        <v>7</v>
      </c>
      <c r="CU569">
        <v>8</v>
      </c>
      <c r="CV569">
        <v>5</v>
      </c>
      <c r="CW569">
        <v>10</v>
      </c>
      <c r="CX569">
        <v>3</v>
      </c>
      <c r="CY569">
        <v>8</v>
      </c>
      <c r="CZ569">
        <v>3</v>
      </c>
      <c r="DA569">
        <v>0</v>
      </c>
      <c r="DB569">
        <v>0</v>
      </c>
      <c r="DC569">
        <v>2</v>
      </c>
      <c r="DD569">
        <v>7</v>
      </c>
      <c r="DE569">
        <v>1</v>
      </c>
      <c r="DF569">
        <v>8</v>
      </c>
      <c r="DG569">
        <v>10</v>
      </c>
      <c r="DH569">
        <v>3</v>
      </c>
      <c r="DI569">
        <v>8</v>
      </c>
      <c r="DJ569">
        <v>0</v>
      </c>
      <c r="DK569">
        <v>0</v>
      </c>
    </row>
    <row r="570" spans="1:115">
      <c r="A570" s="173">
        <f>Calculations[[#This Row],[Sum t eCO2]]*IF(Calculations[[#This Row],[GHG Scope]]="BIOGENIC",0,1)</f>
        <v>5.4936720079999999</v>
      </c>
      <c r="O570">
        <f t="shared" si="8"/>
        <v>569</v>
      </c>
      <c r="P570">
        <v>0</v>
      </c>
      <c r="Q570">
        <v>2</v>
      </c>
      <c r="R570">
        <v>1</v>
      </c>
      <c r="S570">
        <v>4</v>
      </c>
      <c r="T570">
        <v>5</v>
      </c>
      <c r="U570">
        <v>7</v>
      </c>
      <c r="V570">
        <v>3</v>
      </c>
      <c r="W570">
        <v>10</v>
      </c>
      <c r="X570">
        <v>1</v>
      </c>
      <c r="Y570">
        <v>3</v>
      </c>
      <c r="Z570">
        <v>7</v>
      </c>
      <c r="AA570">
        <v>2</v>
      </c>
      <c r="AB570">
        <v>2</v>
      </c>
      <c r="AC570">
        <v>10</v>
      </c>
      <c r="AD570">
        <v>3</v>
      </c>
      <c r="AE570">
        <v>0</v>
      </c>
      <c r="AF570">
        <v>2</v>
      </c>
      <c r="AG570">
        <v>8</v>
      </c>
      <c r="AH570">
        <v>3</v>
      </c>
      <c r="AI570">
        <v>10</v>
      </c>
      <c r="AJ570">
        <v>0</v>
      </c>
      <c r="AK570">
        <v>8</v>
      </c>
      <c r="AL570">
        <v>5</v>
      </c>
      <c r="AM570">
        <v>5</v>
      </c>
      <c r="AN570">
        <v>6</v>
      </c>
      <c r="AO570">
        <v>6</v>
      </c>
      <c r="AP570">
        <v>5</v>
      </c>
      <c r="AQ570">
        <v>0</v>
      </c>
      <c r="AR570">
        <v>0</v>
      </c>
      <c r="AS570">
        <v>7</v>
      </c>
      <c r="AT570">
        <v>6</v>
      </c>
      <c r="AU570">
        <v>0</v>
      </c>
      <c r="AV570">
        <v>3</v>
      </c>
      <c r="AW570">
        <v>10</v>
      </c>
      <c r="AX570">
        <v>1</v>
      </c>
      <c r="AY570">
        <v>7</v>
      </c>
      <c r="AZ570">
        <v>10</v>
      </c>
      <c r="BA570">
        <v>1</v>
      </c>
      <c r="BB570">
        <v>0</v>
      </c>
      <c r="BC570">
        <v>3</v>
      </c>
      <c r="BD570">
        <v>10</v>
      </c>
      <c r="BE570">
        <v>9</v>
      </c>
      <c r="BF570">
        <v>10</v>
      </c>
      <c r="BG570">
        <v>0</v>
      </c>
      <c r="BH570">
        <v>5</v>
      </c>
      <c r="BI570">
        <v>0</v>
      </c>
      <c r="BJ570">
        <v>0</v>
      </c>
      <c r="BK570">
        <v>2</v>
      </c>
      <c r="BL570">
        <v>7</v>
      </c>
      <c r="BM570">
        <v>6</v>
      </c>
      <c r="BN570">
        <v>10</v>
      </c>
      <c r="BO570">
        <v>5</v>
      </c>
      <c r="BP570">
        <v>9</v>
      </c>
      <c r="BQ570">
        <v>6</v>
      </c>
      <c r="BR570">
        <v>3</v>
      </c>
      <c r="BS570">
        <v>2</v>
      </c>
      <c r="BT570">
        <v>4</v>
      </c>
      <c r="BU570">
        <v>5</v>
      </c>
      <c r="BV570">
        <v>4</v>
      </c>
      <c r="BW570">
        <v>5</v>
      </c>
      <c r="BX570">
        <v>0</v>
      </c>
      <c r="BY570">
        <v>4</v>
      </c>
      <c r="BZ570">
        <v>2</v>
      </c>
      <c r="CA570">
        <v>5</v>
      </c>
      <c r="CB570">
        <v>1</v>
      </c>
      <c r="CC570">
        <v>3</v>
      </c>
      <c r="CD570">
        <v>1</v>
      </c>
      <c r="CE570">
        <v>10</v>
      </c>
      <c r="CF570">
        <v>7</v>
      </c>
      <c r="CG570">
        <v>5</v>
      </c>
      <c r="CH570">
        <v>6</v>
      </c>
      <c r="CI570">
        <v>0</v>
      </c>
      <c r="CJ570">
        <v>6</v>
      </c>
      <c r="CK570">
        <v>7</v>
      </c>
      <c r="CL570">
        <v>10</v>
      </c>
      <c r="CM570">
        <v>2</v>
      </c>
      <c r="CN570">
        <v>9</v>
      </c>
      <c r="CO570">
        <v>3</v>
      </c>
      <c r="CP570">
        <v>1</v>
      </c>
      <c r="CQ570">
        <v>6</v>
      </c>
      <c r="CR570">
        <v>7</v>
      </c>
      <c r="CS570">
        <v>8</v>
      </c>
      <c r="CT570">
        <v>2</v>
      </c>
      <c r="CU570">
        <v>10</v>
      </c>
      <c r="CV570">
        <v>9</v>
      </c>
      <c r="CW570">
        <v>7</v>
      </c>
      <c r="CX570">
        <v>6</v>
      </c>
      <c r="CY570">
        <v>0</v>
      </c>
      <c r="CZ570">
        <v>7</v>
      </c>
      <c r="DA570">
        <v>5</v>
      </c>
      <c r="DB570">
        <v>7</v>
      </c>
      <c r="DC570">
        <v>0</v>
      </c>
      <c r="DD570">
        <v>9</v>
      </c>
      <c r="DE570">
        <v>5</v>
      </c>
      <c r="DF570">
        <v>2</v>
      </c>
      <c r="DG570">
        <v>5</v>
      </c>
      <c r="DH570">
        <v>8</v>
      </c>
      <c r="DI570">
        <v>9</v>
      </c>
      <c r="DJ570">
        <v>10</v>
      </c>
      <c r="DK570">
        <v>10</v>
      </c>
    </row>
    <row r="571" spans="1:115">
      <c r="A571" s="173">
        <f>Calculations[[#This Row],[Sum t eCO2]]*IF(Calculations[[#This Row],[GHG Scope]]="BIOGENIC",0,1)</f>
        <v>0.19898020799999999</v>
      </c>
      <c r="O571">
        <f t="shared" si="8"/>
        <v>570</v>
      </c>
      <c r="P571">
        <v>8</v>
      </c>
      <c r="Q571">
        <v>4</v>
      </c>
      <c r="R571">
        <v>3</v>
      </c>
      <c r="S571">
        <v>6</v>
      </c>
      <c r="T571">
        <v>8</v>
      </c>
      <c r="U571">
        <v>8</v>
      </c>
      <c r="V571">
        <v>2</v>
      </c>
      <c r="W571">
        <v>2</v>
      </c>
      <c r="X571">
        <v>5</v>
      </c>
      <c r="Y571">
        <v>9</v>
      </c>
      <c r="Z571">
        <v>8</v>
      </c>
      <c r="AA571">
        <v>5</v>
      </c>
      <c r="AB571">
        <v>5</v>
      </c>
      <c r="AC571">
        <v>5</v>
      </c>
      <c r="AD571">
        <v>2</v>
      </c>
      <c r="AE571">
        <v>2</v>
      </c>
      <c r="AF571">
        <v>2</v>
      </c>
      <c r="AG571">
        <v>3</v>
      </c>
      <c r="AH571">
        <v>4</v>
      </c>
      <c r="AI571">
        <v>9</v>
      </c>
      <c r="AJ571">
        <v>9</v>
      </c>
      <c r="AK571">
        <v>1</v>
      </c>
      <c r="AL571">
        <v>6</v>
      </c>
      <c r="AM571">
        <v>10</v>
      </c>
      <c r="AN571">
        <v>6</v>
      </c>
      <c r="AO571">
        <v>4</v>
      </c>
      <c r="AP571">
        <v>8</v>
      </c>
      <c r="AQ571">
        <v>6</v>
      </c>
      <c r="AR571">
        <v>1</v>
      </c>
      <c r="AS571">
        <v>4</v>
      </c>
      <c r="AT571">
        <v>3</v>
      </c>
      <c r="AU571">
        <v>6</v>
      </c>
      <c r="AV571">
        <v>6</v>
      </c>
      <c r="AW571">
        <v>9</v>
      </c>
      <c r="AX571">
        <v>10</v>
      </c>
      <c r="AY571">
        <v>4</v>
      </c>
      <c r="AZ571">
        <v>6</v>
      </c>
      <c r="BA571">
        <v>2</v>
      </c>
      <c r="BB571">
        <v>9</v>
      </c>
      <c r="BC571">
        <v>1</v>
      </c>
      <c r="BD571">
        <v>10</v>
      </c>
      <c r="BE571">
        <v>3</v>
      </c>
      <c r="BF571">
        <v>6</v>
      </c>
      <c r="BG571">
        <v>5</v>
      </c>
      <c r="BH571">
        <v>6</v>
      </c>
      <c r="BI571">
        <v>1</v>
      </c>
      <c r="BJ571">
        <v>4</v>
      </c>
      <c r="BK571">
        <v>3</v>
      </c>
      <c r="BL571">
        <v>5</v>
      </c>
      <c r="BM571">
        <v>1</v>
      </c>
      <c r="BN571">
        <v>6</v>
      </c>
      <c r="BO571">
        <v>7</v>
      </c>
      <c r="BP571">
        <v>4</v>
      </c>
      <c r="BQ571">
        <v>8</v>
      </c>
      <c r="BR571">
        <v>10</v>
      </c>
      <c r="BS571">
        <v>3</v>
      </c>
      <c r="BT571">
        <v>10</v>
      </c>
      <c r="BU571">
        <v>1</v>
      </c>
      <c r="BV571">
        <v>3</v>
      </c>
      <c r="BW571">
        <v>10</v>
      </c>
      <c r="BX571">
        <v>9</v>
      </c>
      <c r="BY571">
        <v>9</v>
      </c>
      <c r="BZ571">
        <v>4</v>
      </c>
      <c r="CA571">
        <v>0</v>
      </c>
      <c r="CB571">
        <v>4</v>
      </c>
      <c r="CC571">
        <v>2</v>
      </c>
      <c r="CD571">
        <v>6</v>
      </c>
      <c r="CE571">
        <v>5</v>
      </c>
      <c r="CF571">
        <v>8</v>
      </c>
      <c r="CG571">
        <v>6</v>
      </c>
      <c r="CH571">
        <v>5</v>
      </c>
      <c r="CI571">
        <v>10</v>
      </c>
      <c r="CJ571">
        <v>0</v>
      </c>
      <c r="CK571">
        <v>3</v>
      </c>
      <c r="CL571">
        <v>7</v>
      </c>
      <c r="CM571">
        <v>6</v>
      </c>
      <c r="CN571">
        <v>7</v>
      </c>
      <c r="CO571">
        <v>9</v>
      </c>
      <c r="CP571">
        <v>4</v>
      </c>
      <c r="CQ571">
        <v>7</v>
      </c>
      <c r="CR571">
        <v>3</v>
      </c>
      <c r="CS571">
        <v>3</v>
      </c>
      <c r="CT571">
        <v>2</v>
      </c>
      <c r="CU571">
        <v>10</v>
      </c>
      <c r="CV571">
        <v>2</v>
      </c>
      <c r="CW571">
        <v>7</v>
      </c>
      <c r="CX571">
        <v>8</v>
      </c>
      <c r="CY571">
        <v>1</v>
      </c>
      <c r="CZ571">
        <v>2</v>
      </c>
      <c r="DA571">
        <v>3</v>
      </c>
      <c r="DB571">
        <v>10</v>
      </c>
      <c r="DC571">
        <v>2</v>
      </c>
      <c r="DD571">
        <v>10</v>
      </c>
      <c r="DE571">
        <v>3</v>
      </c>
      <c r="DF571">
        <v>6</v>
      </c>
      <c r="DG571">
        <v>0</v>
      </c>
      <c r="DH571">
        <v>9</v>
      </c>
      <c r="DI571">
        <v>1</v>
      </c>
      <c r="DJ571">
        <v>7</v>
      </c>
      <c r="DK571">
        <v>8</v>
      </c>
    </row>
    <row r="572" spans="1:115">
      <c r="A572" s="173">
        <f>Calculations[[#This Row],[Sum t eCO2]]*IF(Calculations[[#This Row],[GHG Scope]]="BIOGENIC",0,1)</f>
        <v>16036.989702288749</v>
      </c>
      <c r="O572">
        <f t="shared" si="8"/>
        <v>571</v>
      </c>
      <c r="P572">
        <v>8</v>
      </c>
      <c r="Q572">
        <v>10</v>
      </c>
      <c r="R572">
        <v>5</v>
      </c>
      <c r="S572">
        <v>10</v>
      </c>
      <c r="T572">
        <v>8</v>
      </c>
      <c r="U572">
        <v>2</v>
      </c>
      <c r="V572">
        <v>3</v>
      </c>
      <c r="W572">
        <v>3</v>
      </c>
      <c r="X572">
        <v>4</v>
      </c>
      <c r="Y572">
        <v>1</v>
      </c>
      <c r="Z572">
        <v>6</v>
      </c>
      <c r="AA572">
        <v>8</v>
      </c>
      <c r="AB572">
        <v>1</v>
      </c>
      <c r="AC572">
        <v>0</v>
      </c>
      <c r="AD572">
        <v>2</v>
      </c>
      <c r="AE572">
        <v>9</v>
      </c>
      <c r="AF572">
        <v>6</v>
      </c>
      <c r="AG572">
        <v>10</v>
      </c>
      <c r="AH572">
        <v>7</v>
      </c>
      <c r="AI572">
        <v>0</v>
      </c>
      <c r="AJ572">
        <v>0</v>
      </c>
      <c r="AK572">
        <v>4</v>
      </c>
      <c r="AL572">
        <v>9</v>
      </c>
      <c r="AM572">
        <v>9</v>
      </c>
      <c r="AN572">
        <v>2</v>
      </c>
      <c r="AO572">
        <v>7</v>
      </c>
      <c r="AP572">
        <v>0</v>
      </c>
      <c r="AQ572">
        <v>6</v>
      </c>
      <c r="AR572">
        <v>10</v>
      </c>
      <c r="AS572">
        <v>2</v>
      </c>
      <c r="AT572">
        <v>4</v>
      </c>
      <c r="AU572">
        <v>2</v>
      </c>
      <c r="AV572">
        <v>2</v>
      </c>
      <c r="AW572">
        <v>2</v>
      </c>
      <c r="AX572">
        <v>0</v>
      </c>
      <c r="AY572">
        <v>2</v>
      </c>
      <c r="AZ572">
        <v>9</v>
      </c>
      <c r="BA572">
        <v>0</v>
      </c>
      <c r="BB572">
        <v>2</v>
      </c>
      <c r="BC572">
        <v>0</v>
      </c>
      <c r="BD572">
        <v>5</v>
      </c>
      <c r="BE572">
        <v>4</v>
      </c>
      <c r="BF572">
        <v>1</v>
      </c>
      <c r="BG572">
        <v>10</v>
      </c>
      <c r="BH572">
        <v>10</v>
      </c>
      <c r="BI572">
        <v>3</v>
      </c>
      <c r="BJ572">
        <v>7</v>
      </c>
      <c r="BK572">
        <v>1</v>
      </c>
      <c r="BL572">
        <v>9</v>
      </c>
      <c r="BM572">
        <v>1</v>
      </c>
      <c r="BN572">
        <v>6</v>
      </c>
      <c r="BO572">
        <v>3</v>
      </c>
      <c r="BP572">
        <v>8</v>
      </c>
      <c r="BQ572">
        <v>9</v>
      </c>
      <c r="BR572">
        <v>9</v>
      </c>
      <c r="BS572">
        <v>10</v>
      </c>
      <c r="BT572">
        <v>6</v>
      </c>
      <c r="BU572">
        <v>4</v>
      </c>
      <c r="BV572">
        <v>3</v>
      </c>
      <c r="BW572">
        <v>3</v>
      </c>
      <c r="BX572">
        <v>9</v>
      </c>
      <c r="BY572">
        <v>1</v>
      </c>
      <c r="BZ572">
        <v>8</v>
      </c>
      <c r="CA572">
        <v>5</v>
      </c>
      <c r="CB572">
        <v>10</v>
      </c>
      <c r="CC572">
        <v>7</v>
      </c>
      <c r="CD572">
        <v>7</v>
      </c>
      <c r="CE572">
        <v>0</v>
      </c>
      <c r="CF572">
        <v>5</v>
      </c>
      <c r="CG572">
        <v>0</v>
      </c>
      <c r="CH572">
        <v>9</v>
      </c>
      <c r="CI572">
        <v>4</v>
      </c>
      <c r="CJ572">
        <v>7</v>
      </c>
      <c r="CK572">
        <v>3</v>
      </c>
      <c r="CL572">
        <v>0</v>
      </c>
      <c r="CM572">
        <v>10</v>
      </c>
      <c r="CN572">
        <v>1</v>
      </c>
      <c r="CO572">
        <v>3</v>
      </c>
      <c r="CP572">
        <v>2</v>
      </c>
      <c r="CQ572">
        <v>0</v>
      </c>
      <c r="CR572">
        <v>6</v>
      </c>
      <c r="CS572">
        <v>4</v>
      </c>
      <c r="CT572">
        <v>5</v>
      </c>
      <c r="CU572">
        <v>5</v>
      </c>
      <c r="CV572">
        <v>3</v>
      </c>
      <c r="CW572">
        <v>2</v>
      </c>
      <c r="CX572">
        <v>3</v>
      </c>
      <c r="CY572">
        <v>6</v>
      </c>
      <c r="CZ572">
        <v>1</v>
      </c>
      <c r="DA572">
        <v>4</v>
      </c>
      <c r="DB572">
        <v>0</v>
      </c>
      <c r="DC572">
        <v>8</v>
      </c>
      <c r="DD572">
        <v>0</v>
      </c>
      <c r="DE572">
        <v>5</v>
      </c>
      <c r="DF572">
        <v>3</v>
      </c>
      <c r="DG572">
        <v>3</v>
      </c>
      <c r="DH572">
        <v>4</v>
      </c>
      <c r="DI572">
        <v>10</v>
      </c>
      <c r="DJ572">
        <v>3</v>
      </c>
      <c r="DK572">
        <v>1</v>
      </c>
    </row>
    <row r="573" spans="1:115">
      <c r="A573" s="173">
        <f>Calculations[[#This Row],[Sum t eCO2]]*IF(Calculations[[#This Row],[GHG Scope]]="BIOGENIC",0,1)</f>
        <v>4.3167337920000008</v>
      </c>
      <c r="O573">
        <f t="shared" si="8"/>
        <v>572</v>
      </c>
      <c r="P573">
        <v>7</v>
      </c>
      <c r="Q573">
        <v>4</v>
      </c>
      <c r="R573">
        <v>2</v>
      </c>
      <c r="S573">
        <v>3</v>
      </c>
      <c r="T573">
        <v>0</v>
      </c>
      <c r="U573">
        <v>9</v>
      </c>
      <c r="V573">
        <v>6</v>
      </c>
      <c r="W573">
        <v>3</v>
      </c>
      <c r="X573">
        <v>0</v>
      </c>
      <c r="Y573">
        <v>6</v>
      </c>
      <c r="Z573">
        <v>8</v>
      </c>
      <c r="AA573">
        <v>9</v>
      </c>
      <c r="AB573">
        <v>5</v>
      </c>
      <c r="AC573">
        <v>3</v>
      </c>
      <c r="AD573">
        <v>6</v>
      </c>
      <c r="AE573">
        <v>5</v>
      </c>
      <c r="AF573">
        <v>7</v>
      </c>
      <c r="AG573">
        <v>4</v>
      </c>
      <c r="AH573">
        <v>0</v>
      </c>
      <c r="AI573">
        <v>4</v>
      </c>
      <c r="AJ573">
        <v>9</v>
      </c>
      <c r="AK573">
        <v>5</v>
      </c>
      <c r="AL573">
        <v>4</v>
      </c>
      <c r="AM573">
        <v>5</v>
      </c>
      <c r="AN573">
        <v>9</v>
      </c>
      <c r="AO573">
        <v>10</v>
      </c>
      <c r="AP573">
        <v>1</v>
      </c>
      <c r="AQ573">
        <v>9</v>
      </c>
      <c r="AR573">
        <v>4</v>
      </c>
      <c r="AS573">
        <v>4</v>
      </c>
      <c r="AT573">
        <v>10</v>
      </c>
      <c r="AU573">
        <v>9</v>
      </c>
      <c r="AV573">
        <v>7</v>
      </c>
      <c r="AW573">
        <v>9</v>
      </c>
      <c r="AX573">
        <v>6</v>
      </c>
      <c r="AY573">
        <v>6</v>
      </c>
      <c r="AZ573">
        <v>1</v>
      </c>
      <c r="BA573">
        <v>0</v>
      </c>
      <c r="BB573">
        <v>8</v>
      </c>
      <c r="BC573">
        <v>9</v>
      </c>
      <c r="BD573">
        <v>4</v>
      </c>
      <c r="BE573">
        <v>5</v>
      </c>
      <c r="BF573">
        <v>7</v>
      </c>
      <c r="BG573">
        <v>7</v>
      </c>
      <c r="BH573">
        <v>5</v>
      </c>
      <c r="BI573">
        <v>0</v>
      </c>
      <c r="BJ573">
        <v>7</v>
      </c>
      <c r="BK573">
        <v>8</v>
      </c>
      <c r="BL573">
        <v>6</v>
      </c>
      <c r="BM573">
        <v>10</v>
      </c>
      <c r="BN573">
        <v>3</v>
      </c>
      <c r="BO573">
        <v>9</v>
      </c>
      <c r="BP573">
        <v>6</v>
      </c>
      <c r="BQ573">
        <v>4</v>
      </c>
      <c r="BR573">
        <v>8</v>
      </c>
      <c r="BS573">
        <v>8</v>
      </c>
      <c r="BT573">
        <v>7</v>
      </c>
      <c r="BU573">
        <v>3</v>
      </c>
      <c r="BV573">
        <v>6</v>
      </c>
      <c r="BW573">
        <v>3</v>
      </c>
      <c r="BX573">
        <v>2</v>
      </c>
      <c r="BY573">
        <v>8</v>
      </c>
      <c r="BZ573">
        <v>2</v>
      </c>
      <c r="CA573">
        <v>1</v>
      </c>
      <c r="CB573">
        <v>3</v>
      </c>
      <c r="CC573">
        <v>10</v>
      </c>
      <c r="CD573">
        <v>9</v>
      </c>
      <c r="CE573">
        <v>5</v>
      </c>
      <c r="CF573">
        <v>3</v>
      </c>
      <c r="CG573">
        <v>2</v>
      </c>
      <c r="CH573">
        <v>8</v>
      </c>
      <c r="CI573">
        <v>2</v>
      </c>
      <c r="CJ573">
        <v>10</v>
      </c>
      <c r="CK573">
        <v>4</v>
      </c>
      <c r="CL573">
        <v>2</v>
      </c>
      <c r="CM573">
        <v>7</v>
      </c>
      <c r="CN573">
        <v>7</v>
      </c>
      <c r="CO573">
        <v>3</v>
      </c>
      <c r="CP573">
        <v>4</v>
      </c>
      <c r="CQ573">
        <v>5</v>
      </c>
      <c r="CR573">
        <v>3</v>
      </c>
      <c r="CS573">
        <v>6</v>
      </c>
      <c r="CT573">
        <v>4</v>
      </c>
      <c r="CU573">
        <v>1</v>
      </c>
      <c r="CV573">
        <v>8</v>
      </c>
      <c r="CW573">
        <v>10</v>
      </c>
      <c r="CX573">
        <v>2</v>
      </c>
      <c r="CY573">
        <v>8</v>
      </c>
      <c r="CZ573">
        <v>2</v>
      </c>
      <c r="DA573">
        <v>2</v>
      </c>
      <c r="DB573">
        <v>4</v>
      </c>
      <c r="DC573">
        <v>9</v>
      </c>
      <c r="DD573">
        <v>9</v>
      </c>
      <c r="DE573">
        <v>7</v>
      </c>
      <c r="DF573">
        <v>1</v>
      </c>
      <c r="DG573">
        <v>4</v>
      </c>
      <c r="DH573">
        <v>6</v>
      </c>
      <c r="DI573">
        <v>8</v>
      </c>
      <c r="DJ573">
        <v>0</v>
      </c>
      <c r="DK573">
        <v>4</v>
      </c>
    </row>
    <row r="574" spans="1:115">
      <c r="A574" s="173">
        <f>Calculations[[#This Row],[Sum t eCO2]]*IF(Calculations[[#This Row],[GHG Scope]]="BIOGENIC",0,1)</f>
        <v>789.25188672000002</v>
      </c>
      <c r="O574">
        <f t="shared" si="8"/>
        <v>573</v>
      </c>
      <c r="P574">
        <v>5</v>
      </c>
      <c r="Q574">
        <v>5</v>
      </c>
      <c r="R574">
        <v>7</v>
      </c>
      <c r="S574">
        <v>2</v>
      </c>
      <c r="T574">
        <v>4</v>
      </c>
      <c r="U574">
        <v>3</v>
      </c>
      <c r="V574">
        <v>0</v>
      </c>
      <c r="W574">
        <v>2</v>
      </c>
      <c r="X574">
        <v>6</v>
      </c>
      <c r="Y574">
        <v>8</v>
      </c>
      <c r="Z574">
        <v>5</v>
      </c>
      <c r="AA574">
        <v>8</v>
      </c>
      <c r="AB574">
        <v>2</v>
      </c>
      <c r="AC574">
        <v>6</v>
      </c>
      <c r="AD574">
        <v>5</v>
      </c>
      <c r="AE574">
        <v>10</v>
      </c>
      <c r="AF574">
        <v>0</v>
      </c>
      <c r="AG574">
        <v>10</v>
      </c>
      <c r="AH574">
        <v>10</v>
      </c>
      <c r="AI574">
        <v>4</v>
      </c>
      <c r="AJ574">
        <v>10</v>
      </c>
      <c r="AK574">
        <v>6</v>
      </c>
      <c r="AL574">
        <v>4</v>
      </c>
      <c r="AM574">
        <v>6</v>
      </c>
      <c r="AN574">
        <v>5</v>
      </c>
      <c r="AO574">
        <v>4</v>
      </c>
      <c r="AP574">
        <v>2</v>
      </c>
      <c r="AQ574">
        <v>9</v>
      </c>
      <c r="AR574">
        <v>9</v>
      </c>
      <c r="AS574">
        <v>5</v>
      </c>
      <c r="AT574">
        <v>7</v>
      </c>
      <c r="AU574">
        <v>5</v>
      </c>
      <c r="AV574">
        <v>5</v>
      </c>
      <c r="AW574">
        <v>2</v>
      </c>
      <c r="AX574">
        <v>7</v>
      </c>
      <c r="AY574">
        <v>7</v>
      </c>
      <c r="AZ574">
        <v>9</v>
      </c>
      <c r="BA574">
        <v>10</v>
      </c>
      <c r="BB574">
        <v>7</v>
      </c>
      <c r="BC574">
        <v>1</v>
      </c>
      <c r="BD574">
        <v>6</v>
      </c>
      <c r="BE574">
        <v>7</v>
      </c>
      <c r="BF574">
        <v>5</v>
      </c>
      <c r="BG574">
        <v>3</v>
      </c>
      <c r="BH574">
        <v>2</v>
      </c>
      <c r="BI574">
        <v>6</v>
      </c>
      <c r="BJ574">
        <v>3</v>
      </c>
      <c r="BK574">
        <v>2</v>
      </c>
      <c r="BL574">
        <v>8</v>
      </c>
      <c r="BM574">
        <v>3</v>
      </c>
      <c r="BN574">
        <v>3</v>
      </c>
      <c r="BO574">
        <v>2</v>
      </c>
      <c r="BP574">
        <v>10</v>
      </c>
      <c r="BQ574">
        <v>7</v>
      </c>
      <c r="BR574">
        <v>6</v>
      </c>
      <c r="BS574">
        <v>8</v>
      </c>
      <c r="BT574">
        <v>1</v>
      </c>
      <c r="BU574">
        <v>3</v>
      </c>
      <c r="BV574">
        <v>0</v>
      </c>
      <c r="BW574">
        <v>6</v>
      </c>
      <c r="BX574">
        <v>1</v>
      </c>
      <c r="BY574">
        <v>9</v>
      </c>
      <c r="BZ574">
        <v>1</v>
      </c>
      <c r="CA574">
        <v>0</v>
      </c>
      <c r="CB574">
        <v>1</v>
      </c>
      <c r="CC574">
        <v>2</v>
      </c>
      <c r="CD574">
        <v>0</v>
      </c>
      <c r="CE574">
        <v>9</v>
      </c>
      <c r="CF574">
        <v>4</v>
      </c>
      <c r="CG574">
        <v>8</v>
      </c>
      <c r="CH574">
        <v>10</v>
      </c>
      <c r="CI574">
        <v>3</v>
      </c>
      <c r="CJ574">
        <v>6</v>
      </c>
      <c r="CK574">
        <v>4</v>
      </c>
      <c r="CL574">
        <v>3</v>
      </c>
      <c r="CM574">
        <v>5</v>
      </c>
      <c r="CN574">
        <v>4</v>
      </c>
      <c r="CO574">
        <v>4</v>
      </c>
      <c r="CP574">
        <v>9</v>
      </c>
      <c r="CQ574">
        <v>10</v>
      </c>
      <c r="CR574">
        <v>3</v>
      </c>
      <c r="CS574">
        <v>0</v>
      </c>
      <c r="CT574">
        <v>10</v>
      </c>
      <c r="CU574">
        <v>0</v>
      </c>
      <c r="CV574">
        <v>8</v>
      </c>
      <c r="CW574">
        <v>8</v>
      </c>
      <c r="CX574">
        <v>10</v>
      </c>
      <c r="CY574">
        <v>10</v>
      </c>
      <c r="CZ574">
        <v>9</v>
      </c>
      <c r="DA574">
        <v>6</v>
      </c>
      <c r="DB574">
        <v>4</v>
      </c>
      <c r="DC574">
        <v>7</v>
      </c>
      <c r="DD574">
        <v>10</v>
      </c>
      <c r="DE574">
        <v>8</v>
      </c>
      <c r="DF574">
        <v>1</v>
      </c>
      <c r="DG574">
        <v>7</v>
      </c>
      <c r="DH574">
        <v>5</v>
      </c>
      <c r="DI574">
        <v>3</v>
      </c>
      <c r="DJ574">
        <v>8</v>
      </c>
      <c r="DK574">
        <v>10</v>
      </c>
    </row>
    <row r="575" spans="1:115">
      <c r="A575" s="173">
        <f>Calculations[[#This Row],[Sum t eCO2]]*IF(Calculations[[#This Row],[GHG Scope]]="BIOGENIC",0,1)</f>
        <v>7.7330025000000004</v>
      </c>
      <c r="O575">
        <f t="shared" si="8"/>
        <v>574</v>
      </c>
      <c r="P575">
        <v>5</v>
      </c>
      <c r="Q575">
        <v>10</v>
      </c>
      <c r="R575">
        <v>8</v>
      </c>
      <c r="S575">
        <v>5</v>
      </c>
      <c r="T575">
        <v>7</v>
      </c>
      <c r="U575">
        <v>7</v>
      </c>
      <c r="V575">
        <v>10</v>
      </c>
      <c r="W575">
        <v>9</v>
      </c>
      <c r="X575">
        <v>7</v>
      </c>
      <c r="Y575">
        <v>5</v>
      </c>
      <c r="Z575">
        <v>9</v>
      </c>
      <c r="AA575">
        <v>7</v>
      </c>
      <c r="AB575">
        <v>6</v>
      </c>
      <c r="AC575">
        <v>5</v>
      </c>
      <c r="AD575">
        <v>8</v>
      </c>
      <c r="AE575">
        <v>1</v>
      </c>
      <c r="AF575">
        <v>3</v>
      </c>
      <c r="AG575">
        <v>9</v>
      </c>
      <c r="AH575">
        <v>9</v>
      </c>
      <c r="AI575">
        <v>7</v>
      </c>
      <c r="AJ575">
        <v>6</v>
      </c>
      <c r="AK575">
        <v>9</v>
      </c>
      <c r="AL575">
        <v>5</v>
      </c>
      <c r="AM575">
        <v>9</v>
      </c>
      <c r="AN575">
        <v>6</v>
      </c>
      <c r="AO575">
        <v>7</v>
      </c>
      <c r="AP575">
        <v>1</v>
      </c>
      <c r="AQ575">
        <v>4</v>
      </c>
      <c r="AR575">
        <v>7</v>
      </c>
      <c r="AS575">
        <v>7</v>
      </c>
      <c r="AT575">
        <v>8</v>
      </c>
      <c r="AU575">
        <v>3</v>
      </c>
      <c r="AV575">
        <v>10</v>
      </c>
      <c r="AW575">
        <v>10</v>
      </c>
      <c r="AX575">
        <v>0</v>
      </c>
      <c r="AY575">
        <v>3</v>
      </c>
      <c r="AZ575">
        <v>8</v>
      </c>
      <c r="BA575">
        <v>10</v>
      </c>
      <c r="BB575">
        <v>3</v>
      </c>
      <c r="BC575">
        <v>3</v>
      </c>
      <c r="BD575">
        <v>4</v>
      </c>
      <c r="BE575">
        <v>3</v>
      </c>
      <c r="BF575">
        <v>0</v>
      </c>
      <c r="BG575">
        <v>8</v>
      </c>
      <c r="BH575">
        <v>6</v>
      </c>
      <c r="BI575">
        <v>10</v>
      </c>
      <c r="BJ575">
        <v>6</v>
      </c>
      <c r="BK575">
        <v>9</v>
      </c>
      <c r="BL575">
        <v>7</v>
      </c>
      <c r="BM575">
        <v>3</v>
      </c>
      <c r="BN575">
        <v>8</v>
      </c>
      <c r="BO575">
        <v>6</v>
      </c>
      <c r="BP575">
        <v>10</v>
      </c>
      <c r="BQ575">
        <v>8</v>
      </c>
      <c r="BR575">
        <v>1</v>
      </c>
      <c r="BS575">
        <v>4</v>
      </c>
      <c r="BT575">
        <v>10</v>
      </c>
      <c r="BU575">
        <v>9</v>
      </c>
      <c r="BV575">
        <v>9</v>
      </c>
      <c r="BW575">
        <v>6</v>
      </c>
      <c r="BX575">
        <v>1</v>
      </c>
      <c r="BY575">
        <v>3</v>
      </c>
      <c r="BZ575">
        <v>3</v>
      </c>
      <c r="CA575">
        <v>1</v>
      </c>
      <c r="CB575">
        <v>9</v>
      </c>
      <c r="CC575">
        <v>2</v>
      </c>
      <c r="CD575">
        <v>3</v>
      </c>
      <c r="CE575">
        <v>1</v>
      </c>
      <c r="CF575">
        <v>4</v>
      </c>
      <c r="CG575">
        <v>5</v>
      </c>
      <c r="CH575">
        <v>10</v>
      </c>
      <c r="CI575">
        <v>3</v>
      </c>
      <c r="CJ575">
        <v>7</v>
      </c>
      <c r="CK575">
        <v>4</v>
      </c>
      <c r="CL575">
        <v>8</v>
      </c>
      <c r="CM575">
        <v>6</v>
      </c>
      <c r="CN575">
        <v>4</v>
      </c>
      <c r="CO575">
        <v>4</v>
      </c>
      <c r="CP575">
        <v>0</v>
      </c>
      <c r="CQ575">
        <v>3</v>
      </c>
      <c r="CR575">
        <v>6</v>
      </c>
      <c r="CS575">
        <v>3</v>
      </c>
      <c r="CT575">
        <v>8</v>
      </c>
      <c r="CU575">
        <v>5</v>
      </c>
      <c r="CV575">
        <v>9</v>
      </c>
      <c r="CW575">
        <v>5</v>
      </c>
      <c r="CX575">
        <v>0</v>
      </c>
      <c r="CY575">
        <v>0</v>
      </c>
      <c r="CZ575">
        <v>4</v>
      </c>
      <c r="DA575">
        <v>7</v>
      </c>
      <c r="DB575">
        <v>5</v>
      </c>
      <c r="DC575">
        <v>4</v>
      </c>
      <c r="DD575">
        <v>6</v>
      </c>
      <c r="DE575">
        <v>3</v>
      </c>
      <c r="DF575">
        <v>9</v>
      </c>
      <c r="DG575">
        <v>2</v>
      </c>
      <c r="DH575">
        <v>10</v>
      </c>
      <c r="DI575">
        <v>10</v>
      </c>
      <c r="DJ575">
        <v>6</v>
      </c>
      <c r="DK575">
        <v>10</v>
      </c>
    </row>
    <row r="576" spans="1:115">
      <c r="A576" s="173">
        <f>Calculations[[#This Row],[Sum t eCO2]]*IF(Calculations[[#This Row],[GHG Scope]]="BIOGENIC",0,1)</f>
        <v>23.605695190000002</v>
      </c>
      <c r="O576">
        <f t="shared" si="8"/>
        <v>575</v>
      </c>
      <c r="P576">
        <v>9</v>
      </c>
      <c r="Q576">
        <v>9</v>
      </c>
      <c r="R576">
        <v>3</v>
      </c>
      <c r="S576">
        <v>4</v>
      </c>
      <c r="T576">
        <v>0</v>
      </c>
      <c r="U576">
        <v>3</v>
      </c>
      <c r="V576">
        <v>3</v>
      </c>
      <c r="W576">
        <v>2</v>
      </c>
      <c r="X576">
        <v>4</v>
      </c>
      <c r="Y576">
        <v>5</v>
      </c>
      <c r="Z576">
        <v>8</v>
      </c>
      <c r="AA576">
        <v>1</v>
      </c>
      <c r="AB576">
        <v>3</v>
      </c>
      <c r="AC576">
        <v>6</v>
      </c>
      <c r="AD576">
        <v>7</v>
      </c>
      <c r="AE576">
        <v>3</v>
      </c>
      <c r="AF576">
        <v>7</v>
      </c>
      <c r="AG576">
        <v>4</v>
      </c>
      <c r="AH576">
        <v>0</v>
      </c>
      <c r="AI576">
        <v>6</v>
      </c>
      <c r="AJ576">
        <v>10</v>
      </c>
      <c r="AK576">
        <v>4</v>
      </c>
      <c r="AL576">
        <v>0</v>
      </c>
      <c r="AM576">
        <v>7</v>
      </c>
      <c r="AN576">
        <v>6</v>
      </c>
      <c r="AO576">
        <v>2</v>
      </c>
      <c r="AP576">
        <v>9</v>
      </c>
      <c r="AQ576">
        <v>9</v>
      </c>
      <c r="AR576">
        <v>3</v>
      </c>
      <c r="AS576">
        <v>2</v>
      </c>
      <c r="AT576">
        <v>6</v>
      </c>
      <c r="AU576">
        <v>0</v>
      </c>
      <c r="AV576">
        <v>10</v>
      </c>
      <c r="AW576">
        <v>8</v>
      </c>
      <c r="AX576">
        <v>10</v>
      </c>
      <c r="AY576">
        <v>9</v>
      </c>
      <c r="AZ576">
        <v>9</v>
      </c>
      <c r="BA576">
        <v>10</v>
      </c>
      <c r="BB576">
        <v>6</v>
      </c>
      <c r="BC576">
        <v>4</v>
      </c>
      <c r="BD576">
        <v>0</v>
      </c>
      <c r="BE576">
        <v>5</v>
      </c>
      <c r="BF576">
        <v>10</v>
      </c>
      <c r="BG576">
        <v>10</v>
      </c>
      <c r="BH576">
        <v>0</v>
      </c>
      <c r="BI576">
        <v>5</v>
      </c>
      <c r="BJ576">
        <v>4</v>
      </c>
      <c r="BK576">
        <v>4</v>
      </c>
      <c r="BL576">
        <v>2</v>
      </c>
      <c r="BM576">
        <v>10</v>
      </c>
      <c r="BN576">
        <v>10</v>
      </c>
      <c r="BO576">
        <v>4</v>
      </c>
      <c r="BP576">
        <v>4</v>
      </c>
      <c r="BQ576">
        <v>8</v>
      </c>
      <c r="BR576">
        <v>1</v>
      </c>
      <c r="BS576">
        <v>6</v>
      </c>
      <c r="BT576">
        <v>3</v>
      </c>
      <c r="BU576">
        <v>6</v>
      </c>
      <c r="BV576">
        <v>9</v>
      </c>
      <c r="BW576">
        <v>4</v>
      </c>
      <c r="BX576">
        <v>6</v>
      </c>
      <c r="BY576">
        <v>1</v>
      </c>
      <c r="BZ576">
        <v>7</v>
      </c>
      <c r="CA576">
        <v>10</v>
      </c>
      <c r="CB576">
        <v>8</v>
      </c>
      <c r="CC576">
        <v>8</v>
      </c>
      <c r="CD576">
        <v>3</v>
      </c>
      <c r="CE576">
        <v>10</v>
      </c>
      <c r="CF576">
        <v>2</v>
      </c>
      <c r="CG576">
        <v>7</v>
      </c>
      <c r="CH576">
        <v>6</v>
      </c>
      <c r="CI576">
        <v>8</v>
      </c>
      <c r="CJ576">
        <v>7</v>
      </c>
      <c r="CK576">
        <v>8</v>
      </c>
      <c r="CL576">
        <v>4</v>
      </c>
      <c r="CM576">
        <v>3</v>
      </c>
      <c r="CN576">
        <v>2</v>
      </c>
      <c r="CO576">
        <v>4</v>
      </c>
      <c r="CP576">
        <v>6</v>
      </c>
      <c r="CQ576">
        <v>8</v>
      </c>
      <c r="CR576">
        <v>5</v>
      </c>
      <c r="CS576">
        <v>10</v>
      </c>
      <c r="CT576">
        <v>1</v>
      </c>
      <c r="CU576">
        <v>8</v>
      </c>
      <c r="CV576">
        <v>0</v>
      </c>
      <c r="CW576">
        <v>10</v>
      </c>
      <c r="CX576">
        <v>3</v>
      </c>
      <c r="CY576">
        <v>1</v>
      </c>
      <c r="CZ576">
        <v>2</v>
      </c>
      <c r="DA576">
        <v>1</v>
      </c>
      <c r="DB576">
        <v>4</v>
      </c>
      <c r="DC576">
        <v>4</v>
      </c>
      <c r="DD576">
        <v>3</v>
      </c>
      <c r="DE576">
        <v>4</v>
      </c>
      <c r="DF576">
        <v>8</v>
      </c>
      <c r="DG576">
        <v>1</v>
      </c>
      <c r="DH576">
        <v>6</v>
      </c>
      <c r="DI576">
        <v>10</v>
      </c>
      <c r="DJ576">
        <v>4</v>
      </c>
      <c r="DK576">
        <v>3</v>
      </c>
    </row>
    <row r="577" spans="1:115">
      <c r="A577" s="173">
        <f>Calculations[[#This Row],[Sum t eCO2]]*IF(Calculations[[#This Row],[GHG Scope]]="BIOGENIC",0,1)</f>
        <v>0.24200427199999999</v>
      </c>
      <c r="O577">
        <f t="shared" si="8"/>
        <v>576</v>
      </c>
      <c r="P577">
        <v>9</v>
      </c>
      <c r="Q577">
        <v>9</v>
      </c>
      <c r="R577">
        <v>6</v>
      </c>
      <c r="S577">
        <v>2</v>
      </c>
      <c r="T577">
        <v>9</v>
      </c>
      <c r="U577">
        <v>2</v>
      </c>
      <c r="V577">
        <v>10</v>
      </c>
      <c r="W577">
        <v>7</v>
      </c>
      <c r="X577">
        <v>3</v>
      </c>
      <c r="Y577">
        <v>3</v>
      </c>
      <c r="Z577">
        <v>6</v>
      </c>
      <c r="AA577">
        <v>0</v>
      </c>
      <c r="AB577">
        <v>9</v>
      </c>
      <c r="AC577">
        <v>1</v>
      </c>
      <c r="AD577">
        <v>1</v>
      </c>
      <c r="AE577">
        <v>6</v>
      </c>
      <c r="AF577">
        <v>5</v>
      </c>
      <c r="AG577">
        <v>6</v>
      </c>
      <c r="AH577">
        <v>0</v>
      </c>
      <c r="AI577">
        <v>9</v>
      </c>
      <c r="AJ577">
        <v>10</v>
      </c>
      <c r="AK577">
        <v>6</v>
      </c>
      <c r="AL577">
        <v>6</v>
      </c>
      <c r="AM577">
        <v>2</v>
      </c>
      <c r="AN577">
        <v>5</v>
      </c>
      <c r="AO577">
        <v>10</v>
      </c>
      <c r="AP577">
        <v>1</v>
      </c>
      <c r="AQ577">
        <v>10</v>
      </c>
      <c r="AR577">
        <v>9</v>
      </c>
      <c r="AS577">
        <v>6</v>
      </c>
      <c r="AT577">
        <v>2</v>
      </c>
      <c r="AU577">
        <v>7</v>
      </c>
      <c r="AV577">
        <v>8</v>
      </c>
      <c r="AW577">
        <v>7</v>
      </c>
      <c r="AX577">
        <v>0</v>
      </c>
      <c r="AY577">
        <v>6</v>
      </c>
      <c r="AZ577">
        <v>9</v>
      </c>
      <c r="BA577">
        <v>2</v>
      </c>
      <c r="BB577">
        <v>1</v>
      </c>
      <c r="BC577">
        <v>10</v>
      </c>
      <c r="BD577">
        <v>7</v>
      </c>
      <c r="BE577">
        <v>10</v>
      </c>
      <c r="BF577">
        <v>4</v>
      </c>
      <c r="BG577">
        <v>4</v>
      </c>
      <c r="BH577">
        <v>8</v>
      </c>
      <c r="BI577">
        <v>6</v>
      </c>
      <c r="BJ577">
        <v>0</v>
      </c>
      <c r="BK577">
        <v>0</v>
      </c>
      <c r="BL577">
        <v>2</v>
      </c>
      <c r="BM577">
        <v>4</v>
      </c>
      <c r="BN577">
        <v>10</v>
      </c>
      <c r="BO577">
        <v>6</v>
      </c>
      <c r="BP577">
        <v>6</v>
      </c>
      <c r="BQ577">
        <v>6</v>
      </c>
      <c r="BR577">
        <v>6</v>
      </c>
      <c r="BS577">
        <v>9</v>
      </c>
      <c r="BT577">
        <v>3</v>
      </c>
      <c r="BU577">
        <v>5</v>
      </c>
      <c r="BV577">
        <v>5</v>
      </c>
      <c r="BW577">
        <v>6</v>
      </c>
      <c r="BX577">
        <v>6</v>
      </c>
      <c r="BY577">
        <v>1</v>
      </c>
      <c r="BZ577">
        <v>4</v>
      </c>
      <c r="CA577">
        <v>2</v>
      </c>
      <c r="CB577">
        <v>3</v>
      </c>
      <c r="CC577">
        <v>5</v>
      </c>
      <c r="CD577">
        <v>1</v>
      </c>
      <c r="CE577">
        <v>8</v>
      </c>
      <c r="CF577">
        <v>1</v>
      </c>
      <c r="CG577">
        <v>7</v>
      </c>
      <c r="CH577">
        <v>7</v>
      </c>
      <c r="CI577">
        <v>5</v>
      </c>
      <c r="CJ577">
        <v>8</v>
      </c>
      <c r="CK577">
        <v>1</v>
      </c>
      <c r="CL577">
        <v>2</v>
      </c>
      <c r="CM577">
        <v>2</v>
      </c>
      <c r="CN577">
        <v>2</v>
      </c>
      <c r="CO577">
        <v>8</v>
      </c>
      <c r="CP577">
        <v>6</v>
      </c>
      <c r="CQ577">
        <v>1</v>
      </c>
      <c r="CR577">
        <v>3</v>
      </c>
      <c r="CS577">
        <v>9</v>
      </c>
      <c r="CT577">
        <v>7</v>
      </c>
      <c r="CU577">
        <v>8</v>
      </c>
      <c r="CV577">
        <v>3</v>
      </c>
      <c r="CW577">
        <v>3</v>
      </c>
      <c r="CX577">
        <v>8</v>
      </c>
      <c r="CY577">
        <v>1</v>
      </c>
      <c r="CZ577">
        <v>9</v>
      </c>
      <c r="DA577">
        <v>1</v>
      </c>
      <c r="DB577">
        <v>10</v>
      </c>
      <c r="DC577">
        <v>3</v>
      </c>
      <c r="DD577">
        <v>5</v>
      </c>
      <c r="DE577">
        <v>9</v>
      </c>
      <c r="DF577">
        <v>2</v>
      </c>
      <c r="DG577">
        <v>8</v>
      </c>
      <c r="DH577">
        <v>5</v>
      </c>
      <c r="DI577">
        <v>5</v>
      </c>
      <c r="DJ577">
        <v>10</v>
      </c>
      <c r="DK577">
        <v>6</v>
      </c>
    </row>
    <row r="578" spans="1:115">
      <c r="A578" s="173">
        <f>Calculations[[#This Row],[Sum t eCO2]]*IF(Calculations[[#This Row],[GHG Scope]]="BIOGENIC",0,1)</f>
        <v>0.31847690160000003</v>
      </c>
      <c r="O578">
        <f t="shared" si="8"/>
        <v>577</v>
      </c>
      <c r="P578">
        <v>1</v>
      </c>
      <c r="Q578">
        <v>3</v>
      </c>
      <c r="R578">
        <v>8</v>
      </c>
      <c r="S578">
        <v>10</v>
      </c>
      <c r="T578">
        <v>9</v>
      </c>
      <c r="U578">
        <v>3</v>
      </c>
      <c r="V578">
        <v>3</v>
      </c>
      <c r="W578">
        <v>5</v>
      </c>
      <c r="X578">
        <v>5</v>
      </c>
      <c r="Y578">
        <v>7</v>
      </c>
      <c r="Z578">
        <v>0</v>
      </c>
      <c r="AA578">
        <v>6</v>
      </c>
      <c r="AB578">
        <v>1</v>
      </c>
      <c r="AC578">
        <v>6</v>
      </c>
      <c r="AD578">
        <v>9</v>
      </c>
      <c r="AE578">
        <v>6</v>
      </c>
      <c r="AF578">
        <v>2</v>
      </c>
      <c r="AG578">
        <v>3</v>
      </c>
      <c r="AH578">
        <v>2</v>
      </c>
      <c r="AI578">
        <v>3</v>
      </c>
      <c r="AJ578">
        <v>1</v>
      </c>
      <c r="AK578">
        <v>10</v>
      </c>
      <c r="AL578">
        <v>1</v>
      </c>
      <c r="AM578">
        <v>5</v>
      </c>
      <c r="AN578">
        <v>8</v>
      </c>
      <c r="AO578">
        <v>2</v>
      </c>
      <c r="AP578">
        <v>5</v>
      </c>
      <c r="AQ578">
        <v>1</v>
      </c>
      <c r="AR578">
        <v>5</v>
      </c>
      <c r="AS578">
        <v>7</v>
      </c>
      <c r="AT578">
        <v>3</v>
      </c>
      <c r="AU578">
        <v>7</v>
      </c>
      <c r="AV578">
        <v>10</v>
      </c>
      <c r="AW578">
        <v>6</v>
      </c>
      <c r="AX578">
        <v>8</v>
      </c>
      <c r="AY578">
        <v>2</v>
      </c>
      <c r="AZ578">
        <v>3</v>
      </c>
      <c r="BA578">
        <v>9</v>
      </c>
      <c r="BB578">
        <v>3</v>
      </c>
      <c r="BC578">
        <v>10</v>
      </c>
      <c r="BD578">
        <v>6</v>
      </c>
      <c r="BE578">
        <v>6</v>
      </c>
      <c r="BF578">
        <v>0</v>
      </c>
      <c r="BG578">
        <v>3</v>
      </c>
      <c r="BH578">
        <v>5</v>
      </c>
      <c r="BI578">
        <v>5</v>
      </c>
      <c r="BJ578">
        <v>9</v>
      </c>
      <c r="BK578">
        <v>2</v>
      </c>
      <c r="BL578">
        <v>0</v>
      </c>
      <c r="BM578">
        <v>7</v>
      </c>
      <c r="BN578">
        <v>0</v>
      </c>
      <c r="BO578">
        <v>6</v>
      </c>
      <c r="BP578">
        <v>1</v>
      </c>
      <c r="BQ578">
        <v>7</v>
      </c>
      <c r="BR578">
        <v>9</v>
      </c>
      <c r="BS578">
        <v>0</v>
      </c>
      <c r="BT578">
        <v>6</v>
      </c>
      <c r="BU578">
        <v>1</v>
      </c>
      <c r="BV578">
        <v>6</v>
      </c>
      <c r="BW578">
        <v>2</v>
      </c>
      <c r="BX578">
        <v>3</v>
      </c>
      <c r="BY578">
        <v>6</v>
      </c>
      <c r="BZ578">
        <v>10</v>
      </c>
      <c r="CA578">
        <v>4</v>
      </c>
      <c r="CB578">
        <v>0</v>
      </c>
      <c r="CC578">
        <v>7</v>
      </c>
      <c r="CD578">
        <v>5</v>
      </c>
      <c r="CE578">
        <v>7</v>
      </c>
      <c r="CF578">
        <v>2</v>
      </c>
      <c r="CG578">
        <v>6</v>
      </c>
      <c r="CH578">
        <v>1</v>
      </c>
      <c r="CI578">
        <v>5</v>
      </c>
      <c r="CJ578">
        <v>6</v>
      </c>
      <c r="CK578">
        <v>5</v>
      </c>
      <c r="CL578">
        <v>4</v>
      </c>
      <c r="CM578">
        <v>6</v>
      </c>
      <c r="CN578">
        <v>10</v>
      </c>
      <c r="CO578">
        <v>0</v>
      </c>
      <c r="CP578">
        <v>0</v>
      </c>
      <c r="CQ578">
        <v>8</v>
      </c>
      <c r="CR578">
        <v>1</v>
      </c>
      <c r="CS578">
        <v>0</v>
      </c>
      <c r="CT578">
        <v>0</v>
      </c>
      <c r="CU578">
        <v>10</v>
      </c>
      <c r="CV578">
        <v>2</v>
      </c>
      <c r="CW578">
        <v>6</v>
      </c>
      <c r="CX578">
        <v>6</v>
      </c>
      <c r="CY578">
        <v>7</v>
      </c>
      <c r="CZ578">
        <v>10</v>
      </c>
      <c r="DA578">
        <v>2</v>
      </c>
      <c r="DB578">
        <v>8</v>
      </c>
      <c r="DC578">
        <v>9</v>
      </c>
      <c r="DD578">
        <v>4</v>
      </c>
      <c r="DE578">
        <v>4</v>
      </c>
      <c r="DF578">
        <v>4</v>
      </c>
      <c r="DG578">
        <v>2</v>
      </c>
      <c r="DH578">
        <v>10</v>
      </c>
      <c r="DI578">
        <v>5</v>
      </c>
      <c r="DJ578">
        <v>6</v>
      </c>
      <c r="DK578">
        <v>3</v>
      </c>
    </row>
    <row r="579" spans="1:115">
      <c r="A579" s="173">
        <f>Calculations[[#This Row],[Sum t eCO2]]*IF(Calculations[[#This Row],[GHG Scope]]="BIOGENIC",0,1)</f>
        <v>25.652040335999999</v>
      </c>
      <c r="O579">
        <f t="shared" si="8"/>
        <v>578</v>
      </c>
      <c r="P579">
        <v>10</v>
      </c>
      <c r="Q579">
        <v>2</v>
      </c>
      <c r="R579">
        <v>4</v>
      </c>
      <c r="S579">
        <v>3</v>
      </c>
      <c r="T579">
        <v>6</v>
      </c>
      <c r="U579">
        <v>4</v>
      </c>
      <c r="V579">
        <v>2</v>
      </c>
      <c r="W579">
        <v>9</v>
      </c>
      <c r="X579">
        <v>6</v>
      </c>
      <c r="Y579">
        <v>4</v>
      </c>
      <c r="Z579">
        <v>5</v>
      </c>
      <c r="AA579">
        <v>5</v>
      </c>
      <c r="AB579">
        <v>1</v>
      </c>
      <c r="AC579">
        <v>2</v>
      </c>
      <c r="AD579">
        <v>1</v>
      </c>
      <c r="AE579">
        <v>5</v>
      </c>
      <c r="AF579">
        <v>3</v>
      </c>
      <c r="AG579">
        <v>9</v>
      </c>
      <c r="AH579">
        <v>1</v>
      </c>
      <c r="AI579">
        <v>3</v>
      </c>
      <c r="AJ579">
        <v>7</v>
      </c>
      <c r="AK579">
        <v>4</v>
      </c>
      <c r="AL579">
        <v>6</v>
      </c>
      <c r="AM579">
        <v>0</v>
      </c>
      <c r="AN579">
        <v>7</v>
      </c>
      <c r="AO579">
        <v>2</v>
      </c>
      <c r="AP579">
        <v>7</v>
      </c>
      <c r="AQ579">
        <v>8</v>
      </c>
      <c r="AR579">
        <v>9</v>
      </c>
      <c r="AS579">
        <v>7</v>
      </c>
      <c r="AT579">
        <v>7</v>
      </c>
      <c r="AU579">
        <v>6</v>
      </c>
      <c r="AV579">
        <v>7</v>
      </c>
      <c r="AW579">
        <v>2</v>
      </c>
      <c r="AX579">
        <v>9</v>
      </c>
      <c r="AY579">
        <v>5</v>
      </c>
      <c r="AZ579">
        <v>5</v>
      </c>
      <c r="BA579">
        <v>1</v>
      </c>
      <c r="BB579">
        <v>3</v>
      </c>
      <c r="BC579">
        <v>10</v>
      </c>
      <c r="BD579">
        <v>10</v>
      </c>
      <c r="BE579">
        <v>8</v>
      </c>
      <c r="BF579">
        <v>9</v>
      </c>
      <c r="BG579">
        <v>3</v>
      </c>
      <c r="BH579">
        <v>3</v>
      </c>
      <c r="BI579">
        <v>4</v>
      </c>
      <c r="BJ579">
        <v>5</v>
      </c>
      <c r="BK579">
        <v>2</v>
      </c>
      <c r="BL579">
        <v>6</v>
      </c>
      <c r="BM579">
        <v>1</v>
      </c>
      <c r="BN579">
        <v>10</v>
      </c>
      <c r="BO579">
        <v>9</v>
      </c>
      <c r="BP579">
        <v>9</v>
      </c>
      <c r="BQ579">
        <v>4</v>
      </c>
      <c r="BR579">
        <v>2</v>
      </c>
      <c r="BS579">
        <v>2</v>
      </c>
      <c r="BT579">
        <v>9</v>
      </c>
      <c r="BU579">
        <v>3</v>
      </c>
      <c r="BV579">
        <v>6</v>
      </c>
      <c r="BW579">
        <v>2</v>
      </c>
      <c r="BX579">
        <v>5</v>
      </c>
      <c r="BY579">
        <v>5</v>
      </c>
      <c r="BZ579">
        <v>3</v>
      </c>
      <c r="CA579">
        <v>3</v>
      </c>
      <c r="CB579">
        <v>2</v>
      </c>
      <c r="CC579">
        <v>10</v>
      </c>
      <c r="CD579">
        <v>2</v>
      </c>
      <c r="CE579">
        <v>5</v>
      </c>
      <c r="CF579">
        <v>3</v>
      </c>
      <c r="CG579">
        <v>1</v>
      </c>
      <c r="CH579">
        <v>1</v>
      </c>
      <c r="CI579">
        <v>3</v>
      </c>
      <c r="CJ579">
        <v>7</v>
      </c>
      <c r="CK579">
        <v>4</v>
      </c>
      <c r="CL579">
        <v>8</v>
      </c>
      <c r="CM579">
        <v>9</v>
      </c>
      <c r="CN579">
        <v>7</v>
      </c>
      <c r="CO579">
        <v>7</v>
      </c>
      <c r="CP579">
        <v>9</v>
      </c>
      <c r="CQ579">
        <v>0</v>
      </c>
      <c r="CR579">
        <v>8</v>
      </c>
      <c r="CS579">
        <v>4</v>
      </c>
      <c r="CT579">
        <v>7</v>
      </c>
      <c r="CU579">
        <v>1</v>
      </c>
      <c r="CV579">
        <v>6</v>
      </c>
      <c r="CW579">
        <v>8</v>
      </c>
      <c r="CX579">
        <v>1</v>
      </c>
      <c r="CY579">
        <v>3</v>
      </c>
      <c r="CZ579">
        <v>9</v>
      </c>
      <c r="DA579">
        <v>10</v>
      </c>
      <c r="DB579">
        <v>3</v>
      </c>
      <c r="DC579">
        <v>7</v>
      </c>
      <c r="DD579">
        <v>1</v>
      </c>
      <c r="DE579">
        <v>4</v>
      </c>
      <c r="DF579">
        <v>2</v>
      </c>
      <c r="DG579">
        <v>9</v>
      </c>
      <c r="DH579">
        <v>6</v>
      </c>
      <c r="DI579">
        <v>9</v>
      </c>
      <c r="DJ579">
        <v>8</v>
      </c>
      <c r="DK579">
        <v>8</v>
      </c>
    </row>
    <row r="580" spans="1:115">
      <c r="A580" s="173">
        <f>Calculations[[#This Row],[Sum t eCO2]]*IF(Calculations[[#This Row],[GHG Scope]]="BIOGENIC",0,1)</f>
        <v>84.158951150000007</v>
      </c>
      <c r="O580">
        <f t="shared" ref="O580:O643" si="9">O579+1</f>
        <v>579</v>
      </c>
      <c r="P580">
        <v>3</v>
      </c>
      <c r="Q580">
        <v>9</v>
      </c>
      <c r="R580">
        <v>10</v>
      </c>
      <c r="S580">
        <v>2</v>
      </c>
      <c r="T580">
        <v>4</v>
      </c>
      <c r="U580">
        <v>7</v>
      </c>
      <c r="V580">
        <v>6</v>
      </c>
      <c r="W580">
        <v>1</v>
      </c>
      <c r="X580">
        <v>10</v>
      </c>
      <c r="Y580">
        <v>10</v>
      </c>
      <c r="Z580">
        <v>5</v>
      </c>
      <c r="AA580">
        <v>0</v>
      </c>
      <c r="AB580">
        <v>10</v>
      </c>
      <c r="AC580">
        <v>0</v>
      </c>
      <c r="AD580">
        <v>8</v>
      </c>
      <c r="AE580">
        <v>3</v>
      </c>
      <c r="AF580">
        <v>4</v>
      </c>
      <c r="AG580">
        <v>5</v>
      </c>
      <c r="AH580">
        <v>2</v>
      </c>
      <c r="AI580">
        <v>9</v>
      </c>
      <c r="AJ580">
        <v>0</v>
      </c>
      <c r="AK580">
        <v>6</v>
      </c>
      <c r="AL580">
        <v>7</v>
      </c>
      <c r="AM580">
        <v>5</v>
      </c>
      <c r="AN580">
        <v>7</v>
      </c>
      <c r="AO580">
        <v>2</v>
      </c>
      <c r="AP580">
        <v>1</v>
      </c>
      <c r="AQ580">
        <v>5</v>
      </c>
      <c r="AR580">
        <v>3</v>
      </c>
      <c r="AS580">
        <v>0</v>
      </c>
      <c r="AT580">
        <v>1</v>
      </c>
      <c r="AU580">
        <v>9</v>
      </c>
      <c r="AV580">
        <v>3</v>
      </c>
      <c r="AW580">
        <v>8</v>
      </c>
      <c r="AX580">
        <v>9</v>
      </c>
      <c r="AY580">
        <v>7</v>
      </c>
      <c r="AZ580">
        <v>3</v>
      </c>
      <c r="BA580">
        <v>9</v>
      </c>
      <c r="BB580">
        <v>10</v>
      </c>
      <c r="BC580">
        <v>1</v>
      </c>
      <c r="BD580">
        <v>4</v>
      </c>
      <c r="BE580">
        <v>4</v>
      </c>
      <c r="BF580">
        <v>7</v>
      </c>
      <c r="BG580">
        <v>2</v>
      </c>
      <c r="BH580">
        <v>2</v>
      </c>
      <c r="BI580">
        <v>7</v>
      </c>
      <c r="BJ580">
        <v>5</v>
      </c>
      <c r="BK580">
        <v>4</v>
      </c>
      <c r="BL580">
        <v>6</v>
      </c>
      <c r="BM580">
        <v>2</v>
      </c>
      <c r="BN580">
        <v>2</v>
      </c>
      <c r="BO580">
        <v>6</v>
      </c>
      <c r="BP580">
        <v>8</v>
      </c>
      <c r="BQ580">
        <v>10</v>
      </c>
      <c r="BR580">
        <v>5</v>
      </c>
      <c r="BS580">
        <v>3</v>
      </c>
      <c r="BT580">
        <v>2</v>
      </c>
      <c r="BU580">
        <v>8</v>
      </c>
      <c r="BV580">
        <v>5</v>
      </c>
      <c r="BW580">
        <v>1</v>
      </c>
      <c r="BX580">
        <v>3</v>
      </c>
      <c r="BY580">
        <v>10</v>
      </c>
      <c r="BZ580">
        <v>3</v>
      </c>
      <c r="CA580">
        <v>7</v>
      </c>
      <c r="CB580">
        <v>7</v>
      </c>
      <c r="CC580">
        <v>2</v>
      </c>
      <c r="CD580">
        <v>7</v>
      </c>
      <c r="CE580">
        <v>6</v>
      </c>
      <c r="CF580">
        <v>7</v>
      </c>
      <c r="CG580">
        <v>4</v>
      </c>
      <c r="CH580">
        <v>2</v>
      </c>
      <c r="CI580">
        <v>5</v>
      </c>
      <c r="CJ580">
        <v>1</v>
      </c>
      <c r="CK580">
        <v>7</v>
      </c>
      <c r="CL580">
        <v>4</v>
      </c>
      <c r="CM580">
        <v>10</v>
      </c>
      <c r="CN580">
        <v>9</v>
      </c>
      <c r="CO580">
        <v>1</v>
      </c>
      <c r="CP580">
        <v>2</v>
      </c>
      <c r="CQ580">
        <v>2</v>
      </c>
      <c r="CR580">
        <v>0</v>
      </c>
      <c r="CS580">
        <v>3</v>
      </c>
      <c r="CT580">
        <v>3</v>
      </c>
      <c r="CU580">
        <v>2</v>
      </c>
      <c r="CV580">
        <v>1</v>
      </c>
      <c r="CW580">
        <v>3</v>
      </c>
      <c r="CX580">
        <v>0</v>
      </c>
      <c r="CY580">
        <v>4</v>
      </c>
      <c r="CZ580">
        <v>8</v>
      </c>
      <c r="DA580">
        <v>1</v>
      </c>
      <c r="DB580">
        <v>1</v>
      </c>
      <c r="DC580">
        <v>0</v>
      </c>
      <c r="DD580">
        <v>3</v>
      </c>
      <c r="DE580">
        <v>1</v>
      </c>
      <c r="DF580">
        <v>9</v>
      </c>
      <c r="DG580">
        <v>10</v>
      </c>
      <c r="DH580">
        <v>6</v>
      </c>
      <c r="DI580">
        <v>9</v>
      </c>
      <c r="DJ580">
        <v>8</v>
      </c>
      <c r="DK580">
        <v>10</v>
      </c>
    </row>
    <row r="581" spans="1:115">
      <c r="A581" s="173">
        <f>Calculations[[#This Row],[Sum t eCO2]]*IF(Calculations[[#This Row],[GHG Scope]]="BIOGENIC",0,1)</f>
        <v>1.9604400000000002</v>
      </c>
      <c r="O581">
        <f t="shared" si="9"/>
        <v>580</v>
      </c>
      <c r="P581">
        <v>1</v>
      </c>
      <c r="Q581">
        <v>9</v>
      </c>
      <c r="R581">
        <v>9</v>
      </c>
      <c r="S581">
        <v>3</v>
      </c>
      <c r="T581">
        <v>2</v>
      </c>
      <c r="U581">
        <v>10</v>
      </c>
      <c r="V581">
        <v>1</v>
      </c>
      <c r="W581">
        <v>1</v>
      </c>
      <c r="X581">
        <v>2</v>
      </c>
      <c r="Y581">
        <v>7</v>
      </c>
      <c r="Z581">
        <v>5</v>
      </c>
      <c r="AA581">
        <v>3</v>
      </c>
      <c r="AB581">
        <v>7</v>
      </c>
      <c r="AC581">
        <v>4</v>
      </c>
      <c r="AD581">
        <v>4</v>
      </c>
      <c r="AE581">
        <v>9</v>
      </c>
      <c r="AF581">
        <v>0</v>
      </c>
      <c r="AG581">
        <v>1</v>
      </c>
      <c r="AH581">
        <v>10</v>
      </c>
      <c r="AI581">
        <v>8</v>
      </c>
      <c r="AJ581">
        <v>6</v>
      </c>
      <c r="AK581">
        <v>10</v>
      </c>
      <c r="AL581">
        <v>3</v>
      </c>
      <c r="AM581">
        <v>4</v>
      </c>
      <c r="AN581">
        <v>7</v>
      </c>
      <c r="AO581">
        <v>1</v>
      </c>
      <c r="AP581">
        <v>5</v>
      </c>
      <c r="AQ581">
        <v>2</v>
      </c>
      <c r="AR581">
        <v>2</v>
      </c>
      <c r="AS581">
        <v>1</v>
      </c>
      <c r="AT581">
        <v>5</v>
      </c>
      <c r="AU581">
        <v>4</v>
      </c>
      <c r="AV581">
        <v>4</v>
      </c>
      <c r="AW581">
        <v>1</v>
      </c>
      <c r="AX581">
        <v>8</v>
      </c>
      <c r="AY581">
        <v>1</v>
      </c>
      <c r="AZ581">
        <v>2</v>
      </c>
      <c r="BA581">
        <v>5</v>
      </c>
      <c r="BB581">
        <v>10</v>
      </c>
      <c r="BC581">
        <v>1</v>
      </c>
      <c r="BD581">
        <v>7</v>
      </c>
      <c r="BE581">
        <v>3</v>
      </c>
      <c r="BF581">
        <v>1</v>
      </c>
      <c r="BG581">
        <v>6</v>
      </c>
      <c r="BH581">
        <v>10</v>
      </c>
      <c r="BI581">
        <v>1</v>
      </c>
      <c r="BJ581">
        <v>8</v>
      </c>
      <c r="BK581">
        <v>4</v>
      </c>
      <c r="BL581">
        <v>6</v>
      </c>
      <c r="BM581">
        <v>0</v>
      </c>
      <c r="BN581">
        <v>6</v>
      </c>
      <c r="BO581">
        <v>7</v>
      </c>
      <c r="BP581">
        <v>0</v>
      </c>
      <c r="BQ581">
        <v>10</v>
      </c>
      <c r="BR581">
        <v>0</v>
      </c>
      <c r="BS581">
        <v>9</v>
      </c>
      <c r="BT581">
        <v>0</v>
      </c>
      <c r="BU581">
        <v>9</v>
      </c>
      <c r="BV581">
        <v>1</v>
      </c>
      <c r="BW581">
        <v>5</v>
      </c>
      <c r="BX581">
        <v>7</v>
      </c>
      <c r="BY581">
        <v>7</v>
      </c>
      <c r="BZ581">
        <v>7</v>
      </c>
      <c r="CA581">
        <v>9</v>
      </c>
      <c r="CB581">
        <v>5</v>
      </c>
      <c r="CC581">
        <v>3</v>
      </c>
      <c r="CD581">
        <v>7</v>
      </c>
      <c r="CE581">
        <v>0</v>
      </c>
      <c r="CF581">
        <v>4</v>
      </c>
      <c r="CG581">
        <v>3</v>
      </c>
      <c r="CH581">
        <v>10</v>
      </c>
      <c r="CI581">
        <v>2</v>
      </c>
      <c r="CJ581">
        <v>7</v>
      </c>
      <c r="CK581">
        <v>2</v>
      </c>
      <c r="CL581">
        <v>3</v>
      </c>
      <c r="CM581">
        <v>3</v>
      </c>
      <c r="CN581">
        <v>4</v>
      </c>
      <c r="CO581">
        <v>5</v>
      </c>
      <c r="CP581">
        <v>6</v>
      </c>
      <c r="CQ581">
        <v>3</v>
      </c>
      <c r="CR581">
        <v>3</v>
      </c>
      <c r="CS581">
        <v>2</v>
      </c>
      <c r="CT581">
        <v>9</v>
      </c>
      <c r="CU581">
        <v>7</v>
      </c>
      <c r="CV581">
        <v>10</v>
      </c>
      <c r="CW581">
        <v>6</v>
      </c>
      <c r="CX581">
        <v>10</v>
      </c>
      <c r="CY581">
        <v>9</v>
      </c>
      <c r="CZ581">
        <v>7</v>
      </c>
      <c r="DA581">
        <v>4</v>
      </c>
      <c r="DB581">
        <v>6</v>
      </c>
      <c r="DC581">
        <v>0</v>
      </c>
      <c r="DD581">
        <v>5</v>
      </c>
      <c r="DE581">
        <v>8</v>
      </c>
      <c r="DF581">
        <v>10</v>
      </c>
      <c r="DG581">
        <v>2</v>
      </c>
      <c r="DH581">
        <v>0</v>
      </c>
      <c r="DI581">
        <v>6</v>
      </c>
      <c r="DJ581">
        <v>6</v>
      </c>
      <c r="DK581">
        <v>6</v>
      </c>
    </row>
    <row r="582" spans="1:115">
      <c r="A582" s="173">
        <f>Calculations[[#This Row],[Sum t eCO2]]*IF(Calculations[[#This Row],[GHG Scope]]="BIOGENIC",0,1)</f>
        <v>0</v>
      </c>
      <c r="O582">
        <f t="shared" si="9"/>
        <v>581</v>
      </c>
      <c r="P582">
        <v>0</v>
      </c>
      <c r="Q582">
        <v>3</v>
      </c>
      <c r="R582">
        <v>9</v>
      </c>
      <c r="S582">
        <v>2</v>
      </c>
      <c r="T582">
        <v>2</v>
      </c>
      <c r="U582">
        <v>6</v>
      </c>
      <c r="V582">
        <v>5</v>
      </c>
      <c r="W582">
        <v>1</v>
      </c>
      <c r="X582">
        <v>3</v>
      </c>
      <c r="Y582">
        <v>5</v>
      </c>
      <c r="Z582">
        <v>4</v>
      </c>
      <c r="AA582">
        <v>4</v>
      </c>
      <c r="AB582">
        <v>8</v>
      </c>
      <c r="AC582">
        <v>8</v>
      </c>
      <c r="AD582">
        <v>10</v>
      </c>
      <c r="AE582">
        <v>7</v>
      </c>
      <c r="AF582">
        <v>6</v>
      </c>
      <c r="AG582">
        <v>1</v>
      </c>
      <c r="AH582">
        <v>7</v>
      </c>
      <c r="AI582">
        <v>6</v>
      </c>
      <c r="AJ582">
        <v>4</v>
      </c>
      <c r="AK582">
        <v>3</v>
      </c>
      <c r="AL582">
        <v>3</v>
      </c>
      <c r="AM582">
        <v>0</v>
      </c>
      <c r="AN582">
        <v>4</v>
      </c>
      <c r="AO582">
        <v>2</v>
      </c>
      <c r="AP582">
        <v>0</v>
      </c>
      <c r="AQ582">
        <v>5</v>
      </c>
      <c r="AR582">
        <v>3</v>
      </c>
      <c r="AS582">
        <v>2</v>
      </c>
      <c r="AT582">
        <v>9</v>
      </c>
      <c r="AU582">
        <v>4</v>
      </c>
      <c r="AV582">
        <v>0</v>
      </c>
      <c r="AW582">
        <v>5</v>
      </c>
      <c r="AX582">
        <v>7</v>
      </c>
      <c r="AY582">
        <v>10</v>
      </c>
      <c r="AZ582">
        <v>3</v>
      </c>
      <c r="BA582">
        <v>1</v>
      </c>
      <c r="BB582">
        <v>5</v>
      </c>
      <c r="BC582">
        <v>0</v>
      </c>
      <c r="BD582">
        <v>3</v>
      </c>
      <c r="BE582">
        <v>3</v>
      </c>
      <c r="BF582">
        <v>8</v>
      </c>
      <c r="BG582">
        <v>10</v>
      </c>
      <c r="BH582">
        <v>1</v>
      </c>
      <c r="BI582">
        <v>3</v>
      </c>
      <c r="BJ582">
        <v>0</v>
      </c>
      <c r="BK582">
        <v>7</v>
      </c>
      <c r="BL582">
        <v>8</v>
      </c>
      <c r="BM582">
        <v>9</v>
      </c>
      <c r="BN582">
        <v>5</v>
      </c>
      <c r="BO582">
        <v>1</v>
      </c>
      <c r="BP582">
        <v>7</v>
      </c>
      <c r="BQ582">
        <v>10</v>
      </c>
      <c r="BR582">
        <v>5</v>
      </c>
      <c r="BS582">
        <v>1</v>
      </c>
      <c r="BT582">
        <v>10</v>
      </c>
      <c r="BU582">
        <v>7</v>
      </c>
      <c r="BV582">
        <v>7</v>
      </c>
      <c r="BW582">
        <v>4</v>
      </c>
      <c r="BX582">
        <v>1</v>
      </c>
      <c r="BY582">
        <v>6</v>
      </c>
      <c r="BZ582">
        <v>3</v>
      </c>
      <c r="CA582">
        <v>7</v>
      </c>
      <c r="CB582">
        <v>8</v>
      </c>
      <c r="CC582">
        <v>2</v>
      </c>
      <c r="CD582">
        <v>3</v>
      </c>
      <c r="CE582">
        <v>4</v>
      </c>
      <c r="CF582">
        <v>2</v>
      </c>
      <c r="CG582">
        <v>6</v>
      </c>
      <c r="CH582">
        <v>9</v>
      </c>
      <c r="CI582">
        <v>7</v>
      </c>
      <c r="CJ582">
        <v>1</v>
      </c>
      <c r="CK582">
        <v>4</v>
      </c>
      <c r="CL582">
        <v>4</v>
      </c>
      <c r="CM582">
        <v>0</v>
      </c>
      <c r="CN582">
        <v>5</v>
      </c>
      <c r="CO582">
        <v>4</v>
      </c>
      <c r="CP582">
        <v>10</v>
      </c>
      <c r="CQ582">
        <v>10</v>
      </c>
      <c r="CR582">
        <v>10</v>
      </c>
      <c r="CS582">
        <v>7</v>
      </c>
      <c r="CT582">
        <v>6</v>
      </c>
      <c r="CU582">
        <v>6</v>
      </c>
      <c r="CV582">
        <v>8</v>
      </c>
      <c r="CW582">
        <v>2</v>
      </c>
      <c r="CX582">
        <v>1</v>
      </c>
      <c r="CY582">
        <v>10</v>
      </c>
      <c r="CZ582">
        <v>0</v>
      </c>
      <c r="DA582">
        <v>2</v>
      </c>
      <c r="DB582">
        <v>6</v>
      </c>
      <c r="DC582">
        <v>7</v>
      </c>
      <c r="DD582">
        <v>1</v>
      </c>
      <c r="DE582">
        <v>6</v>
      </c>
      <c r="DF582">
        <v>4</v>
      </c>
      <c r="DG582">
        <v>7</v>
      </c>
      <c r="DH582">
        <v>4</v>
      </c>
      <c r="DI582">
        <v>0</v>
      </c>
      <c r="DJ582">
        <v>9</v>
      </c>
      <c r="DK582">
        <v>3</v>
      </c>
    </row>
    <row r="583" spans="1:115">
      <c r="A583" s="173">
        <f>Calculations[[#This Row],[Sum t eCO2]]*IF(Calculations[[#This Row],[GHG Scope]]="BIOGENIC",0,1)</f>
        <v>24.1751758248</v>
      </c>
      <c r="O583">
        <f t="shared" si="9"/>
        <v>582</v>
      </c>
      <c r="P583">
        <v>2</v>
      </c>
      <c r="Q583">
        <v>7</v>
      </c>
      <c r="R583">
        <v>1</v>
      </c>
      <c r="S583">
        <v>10</v>
      </c>
      <c r="T583">
        <v>6</v>
      </c>
      <c r="U583">
        <v>2</v>
      </c>
      <c r="V583">
        <v>2</v>
      </c>
      <c r="W583">
        <v>0</v>
      </c>
      <c r="X583">
        <v>7</v>
      </c>
      <c r="Y583">
        <v>2</v>
      </c>
      <c r="Z583">
        <v>5</v>
      </c>
      <c r="AA583">
        <v>5</v>
      </c>
      <c r="AB583">
        <v>1</v>
      </c>
      <c r="AC583">
        <v>4</v>
      </c>
      <c r="AD583">
        <v>8</v>
      </c>
      <c r="AE583">
        <v>4</v>
      </c>
      <c r="AF583">
        <v>0</v>
      </c>
      <c r="AG583">
        <v>4</v>
      </c>
      <c r="AH583">
        <v>8</v>
      </c>
      <c r="AI583">
        <v>10</v>
      </c>
      <c r="AJ583">
        <v>7</v>
      </c>
      <c r="AK583">
        <v>4</v>
      </c>
      <c r="AL583">
        <v>2</v>
      </c>
      <c r="AM583">
        <v>1</v>
      </c>
      <c r="AN583">
        <v>10</v>
      </c>
      <c r="AO583">
        <v>6</v>
      </c>
      <c r="AP583">
        <v>8</v>
      </c>
      <c r="AQ583">
        <v>5</v>
      </c>
      <c r="AR583">
        <v>7</v>
      </c>
      <c r="AS583">
        <v>10</v>
      </c>
      <c r="AT583">
        <v>3</v>
      </c>
      <c r="AU583">
        <v>8</v>
      </c>
      <c r="AV583">
        <v>2</v>
      </c>
      <c r="AW583">
        <v>10</v>
      </c>
      <c r="AX583">
        <v>3</v>
      </c>
      <c r="AY583">
        <v>2</v>
      </c>
      <c r="AZ583">
        <v>1</v>
      </c>
      <c r="BA583">
        <v>8</v>
      </c>
      <c r="BB583">
        <v>3</v>
      </c>
      <c r="BC583">
        <v>1</v>
      </c>
      <c r="BD583">
        <v>6</v>
      </c>
      <c r="BE583">
        <v>4</v>
      </c>
      <c r="BF583">
        <v>7</v>
      </c>
      <c r="BG583">
        <v>7</v>
      </c>
      <c r="BH583">
        <v>7</v>
      </c>
      <c r="BI583">
        <v>3</v>
      </c>
      <c r="BJ583">
        <v>8</v>
      </c>
      <c r="BK583">
        <v>10</v>
      </c>
      <c r="BL583">
        <v>9</v>
      </c>
      <c r="BM583">
        <v>8</v>
      </c>
      <c r="BN583">
        <v>6</v>
      </c>
      <c r="BO583">
        <v>2</v>
      </c>
      <c r="BP583">
        <v>6</v>
      </c>
      <c r="BQ583">
        <v>6</v>
      </c>
      <c r="BR583">
        <v>5</v>
      </c>
      <c r="BS583">
        <v>6</v>
      </c>
      <c r="BT583">
        <v>0</v>
      </c>
      <c r="BU583">
        <v>8</v>
      </c>
      <c r="BV583">
        <v>3</v>
      </c>
      <c r="BW583">
        <v>8</v>
      </c>
      <c r="BX583">
        <v>0</v>
      </c>
      <c r="BY583">
        <v>8</v>
      </c>
      <c r="BZ583">
        <v>4</v>
      </c>
      <c r="CA583">
        <v>2</v>
      </c>
      <c r="CB583">
        <v>5</v>
      </c>
      <c r="CC583">
        <v>4</v>
      </c>
      <c r="CD583">
        <v>1</v>
      </c>
      <c r="CE583">
        <v>5</v>
      </c>
      <c r="CF583">
        <v>7</v>
      </c>
      <c r="CG583">
        <v>8</v>
      </c>
      <c r="CH583">
        <v>10</v>
      </c>
      <c r="CI583">
        <v>2</v>
      </c>
      <c r="CJ583">
        <v>3</v>
      </c>
      <c r="CK583">
        <v>2</v>
      </c>
      <c r="CL583">
        <v>10</v>
      </c>
      <c r="CM583">
        <v>7</v>
      </c>
      <c r="CN583">
        <v>9</v>
      </c>
      <c r="CO583">
        <v>1</v>
      </c>
      <c r="CP583">
        <v>1</v>
      </c>
      <c r="CQ583">
        <v>5</v>
      </c>
      <c r="CR583">
        <v>8</v>
      </c>
      <c r="CS583">
        <v>4</v>
      </c>
      <c r="CT583">
        <v>10</v>
      </c>
      <c r="CU583">
        <v>4</v>
      </c>
      <c r="CV583">
        <v>1</v>
      </c>
      <c r="CW583">
        <v>9</v>
      </c>
      <c r="CX583">
        <v>1</v>
      </c>
      <c r="CY583">
        <v>1</v>
      </c>
      <c r="CZ583">
        <v>7</v>
      </c>
      <c r="DA583">
        <v>3</v>
      </c>
      <c r="DB583">
        <v>5</v>
      </c>
      <c r="DC583">
        <v>0</v>
      </c>
      <c r="DD583">
        <v>6</v>
      </c>
      <c r="DE583">
        <v>6</v>
      </c>
      <c r="DF583">
        <v>5</v>
      </c>
      <c r="DG583">
        <v>10</v>
      </c>
      <c r="DH583">
        <v>2</v>
      </c>
      <c r="DI583">
        <v>10</v>
      </c>
      <c r="DJ583">
        <v>5</v>
      </c>
      <c r="DK583">
        <v>2</v>
      </c>
    </row>
    <row r="584" spans="1:115">
      <c r="A584" s="173">
        <f>Calculations[[#This Row],[Sum t eCO2]]*IF(Calculations[[#This Row],[GHG Scope]]="BIOGENIC",0,1)</f>
        <v>41.940535821786</v>
      </c>
      <c r="O584">
        <f t="shared" si="9"/>
        <v>583</v>
      </c>
      <c r="P584">
        <v>7</v>
      </c>
      <c r="Q584">
        <v>2</v>
      </c>
      <c r="R584">
        <v>6</v>
      </c>
      <c r="S584">
        <v>1</v>
      </c>
      <c r="T584">
        <v>8</v>
      </c>
      <c r="U584">
        <v>8</v>
      </c>
      <c r="V584">
        <v>7</v>
      </c>
      <c r="W584">
        <v>9</v>
      </c>
      <c r="X584">
        <v>0</v>
      </c>
      <c r="Y584">
        <v>2</v>
      </c>
      <c r="Z584">
        <v>0</v>
      </c>
      <c r="AA584">
        <v>4</v>
      </c>
      <c r="AB584">
        <v>4</v>
      </c>
      <c r="AC584">
        <v>5</v>
      </c>
      <c r="AD584">
        <v>3</v>
      </c>
      <c r="AE584">
        <v>10</v>
      </c>
      <c r="AF584">
        <v>3</v>
      </c>
      <c r="AG584">
        <v>7</v>
      </c>
      <c r="AH584">
        <v>5</v>
      </c>
      <c r="AI584">
        <v>10</v>
      </c>
      <c r="AJ584">
        <v>5</v>
      </c>
      <c r="AK584">
        <v>3</v>
      </c>
      <c r="AL584">
        <v>0</v>
      </c>
      <c r="AM584">
        <v>2</v>
      </c>
      <c r="AN584">
        <v>9</v>
      </c>
      <c r="AO584">
        <v>9</v>
      </c>
      <c r="AP584">
        <v>9</v>
      </c>
      <c r="AQ584">
        <v>2</v>
      </c>
      <c r="AR584">
        <v>4</v>
      </c>
      <c r="AS584">
        <v>7</v>
      </c>
      <c r="AT584">
        <v>5</v>
      </c>
      <c r="AU584">
        <v>1</v>
      </c>
      <c r="AV584">
        <v>8</v>
      </c>
      <c r="AW584">
        <v>4</v>
      </c>
      <c r="AX584">
        <v>6</v>
      </c>
      <c r="AY584">
        <v>8</v>
      </c>
      <c r="AZ584">
        <v>4</v>
      </c>
      <c r="BA584">
        <v>6</v>
      </c>
      <c r="BB584">
        <v>2</v>
      </c>
      <c r="BC584">
        <v>5</v>
      </c>
      <c r="BD584">
        <v>4</v>
      </c>
      <c r="BE584">
        <v>0</v>
      </c>
      <c r="BF584">
        <v>7</v>
      </c>
      <c r="BG584">
        <v>10</v>
      </c>
      <c r="BH584">
        <v>10</v>
      </c>
      <c r="BI584">
        <v>9</v>
      </c>
      <c r="BJ584">
        <v>7</v>
      </c>
      <c r="BK584">
        <v>8</v>
      </c>
      <c r="BL584">
        <v>2</v>
      </c>
      <c r="BM584">
        <v>4</v>
      </c>
      <c r="BN584">
        <v>10</v>
      </c>
      <c r="BO584">
        <v>5</v>
      </c>
      <c r="BP584">
        <v>5</v>
      </c>
      <c r="BQ584">
        <v>2</v>
      </c>
      <c r="BR584">
        <v>1</v>
      </c>
      <c r="BS584">
        <v>6</v>
      </c>
      <c r="BT584">
        <v>3</v>
      </c>
      <c r="BU584">
        <v>5</v>
      </c>
      <c r="BV584">
        <v>3</v>
      </c>
      <c r="BW584">
        <v>0</v>
      </c>
      <c r="BX584">
        <v>7</v>
      </c>
      <c r="BY584">
        <v>7</v>
      </c>
      <c r="BZ584">
        <v>10</v>
      </c>
      <c r="CA584">
        <v>2</v>
      </c>
      <c r="CB584">
        <v>4</v>
      </c>
      <c r="CC584">
        <v>4</v>
      </c>
      <c r="CD584">
        <v>7</v>
      </c>
      <c r="CE584">
        <v>8</v>
      </c>
      <c r="CF584">
        <v>9</v>
      </c>
      <c r="CG584">
        <v>2</v>
      </c>
      <c r="CH584">
        <v>6</v>
      </c>
      <c r="CI584">
        <v>2</v>
      </c>
      <c r="CJ584">
        <v>3</v>
      </c>
      <c r="CK584">
        <v>0</v>
      </c>
      <c r="CL584">
        <v>3</v>
      </c>
      <c r="CM584">
        <v>8</v>
      </c>
      <c r="CN584">
        <v>8</v>
      </c>
      <c r="CO584">
        <v>2</v>
      </c>
      <c r="CP584">
        <v>7</v>
      </c>
      <c r="CQ584">
        <v>3</v>
      </c>
      <c r="CR584">
        <v>8</v>
      </c>
      <c r="CS584">
        <v>0</v>
      </c>
      <c r="CT584">
        <v>0</v>
      </c>
      <c r="CU584">
        <v>9</v>
      </c>
      <c r="CV584">
        <v>3</v>
      </c>
      <c r="CW584">
        <v>0</v>
      </c>
      <c r="CX584">
        <v>3</v>
      </c>
      <c r="CY584">
        <v>4</v>
      </c>
      <c r="CZ584">
        <v>8</v>
      </c>
      <c r="DA584">
        <v>7</v>
      </c>
      <c r="DB584">
        <v>10</v>
      </c>
      <c r="DC584">
        <v>5</v>
      </c>
      <c r="DD584">
        <v>7</v>
      </c>
      <c r="DE584">
        <v>0</v>
      </c>
      <c r="DF584">
        <v>10</v>
      </c>
      <c r="DG584">
        <v>6</v>
      </c>
      <c r="DH584">
        <v>6</v>
      </c>
      <c r="DI584">
        <v>3</v>
      </c>
      <c r="DJ584">
        <v>9</v>
      </c>
      <c r="DK584">
        <v>8</v>
      </c>
    </row>
    <row r="585" spans="1:115">
      <c r="A585" s="173">
        <f>Calculations[[#This Row],[Sum t eCO2]]*IF(Calculations[[#This Row],[GHG Scope]]="BIOGENIC",0,1)</f>
        <v>3.6518039999999994</v>
      </c>
      <c r="O585">
        <f t="shared" si="9"/>
        <v>584</v>
      </c>
      <c r="P585">
        <v>9</v>
      </c>
      <c r="Q585">
        <v>8</v>
      </c>
      <c r="R585">
        <v>7</v>
      </c>
      <c r="S585">
        <v>9</v>
      </c>
      <c r="T585">
        <v>9</v>
      </c>
      <c r="U585">
        <v>0</v>
      </c>
      <c r="V585">
        <v>4</v>
      </c>
      <c r="W585">
        <v>8</v>
      </c>
      <c r="X585">
        <v>8</v>
      </c>
      <c r="Y585">
        <v>8</v>
      </c>
      <c r="Z585">
        <v>7</v>
      </c>
      <c r="AA585">
        <v>10</v>
      </c>
      <c r="AB585">
        <v>4</v>
      </c>
      <c r="AC585">
        <v>9</v>
      </c>
      <c r="AD585">
        <v>1</v>
      </c>
      <c r="AE585">
        <v>9</v>
      </c>
      <c r="AF585">
        <v>7</v>
      </c>
      <c r="AG585">
        <v>8</v>
      </c>
      <c r="AH585">
        <v>9</v>
      </c>
      <c r="AI585">
        <v>3</v>
      </c>
      <c r="AJ585">
        <v>9</v>
      </c>
      <c r="AK585">
        <v>9</v>
      </c>
      <c r="AL585">
        <v>4</v>
      </c>
      <c r="AM585">
        <v>7</v>
      </c>
      <c r="AN585">
        <v>10</v>
      </c>
      <c r="AO585">
        <v>2</v>
      </c>
      <c r="AP585">
        <v>6</v>
      </c>
      <c r="AQ585">
        <v>8</v>
      </c>
      <c r="AR585">
        <v>3</v>
      </c>
      <c r="AS585">
        <v>3</v>
      </c>
      <c r="AT585">
        <v>9</v>
      </c>
      <c r="AU585">
        <v>3</v>
      </c>
      <c r="AV585">
        <v>4</v>
      </c>
      <c r="AW585">
        <v>2</v>
      </c>
      <c r="AX585">
        <v>5</v>
      </c>
      <c r="AY585">
        <v>1</v>
      </c>
      <c r="AZ585">
        <v>7</v>
      </c>
      <c r="BA585">
        <v>0</v>
      </c>
      <c r="BB585">
        <v>6</v>
      </c>
      <c r="BC585">
        <v>3</v>
      </c>
      <c r="BD585">
        <v>7</v>
      </c>
      <c r="BE585">
        <v>1</v>
      </c>
      <c r="BF585">
        <v>7</v>
      </c>
      <c r="BG585">
        <v>10</v>
      </c>
      <c r="BH585">
        <v>3</v>
      </c>
      <c r="BI585">
        <v>10</v>
      </c>
      <c r="BJ585">
        <v>4</v>
      </c>
      <c r="BK585">
        <v>3</v>
      </c>
      <c r="BL585">
        <v>2</v>
      </c>
      <c r="BM585">
        <v>4</v>
      </c>
      <c r="BN585">
        <v>7</v>
      </c>
      <c r="BO585">
        <v>1</v>
      </c>
      <c r="BP585">
        <v>2</v>
      </c>
      <c r="BQ585">
        <v>4</v>
      </c>
      <c r="BR585">
        <v>6</v>
      </c>
      <c r="BS585">
        <v>1</v>
      </c>
      <c r="BT585">
        <v>5</v>
      </c>
      <c r="BU585">
        <v>10</v>
      </c>
      <c r="BV585">
        <v>6</v>
      </c>
      <c r="BW585">
        <v>1</v>
      </c>
      <c r="BX585">
        <v>2</v>
      </c>
      <c r="BY585">
        <v>2</v>
      </c>
      <c r="BZ585">
        <v>0</v>
      </c>
      <c r="CA585">
        <v>7</v>
      </c>
      <c r="CB585">
        <v>0</v>
      </c>
      <c r="CC585">
        <v>4</v>
      </c>
      <c r="CD585">
        <v>0</v>
      </c>
      <c r="CE585">
        <v>1</v>
      </c>
      <c r="CF585">
        <v>10</v>
      </c>
      <c r="CG585">
        <v>3</v>
      </c>
      <c r="CH585">
        <v>10</v>
      </c>
      <c r="CI585">
        <v>0</v>
      </c>
      <c r="CJ585">
        <v>5</v>
      </c>
      <c r="CK585">
        <v>7</v>
      </c>
      <c r="CL585">
        <v>8</v>
      </c>
      <c r="CM585">
        <v>7</v>
      </c>
      <c r="CN585">
        <v>2</v>
      </c>
      <c r="CO585">
        <v>2</v>
      </c>
      <c r="CP585">
        <v>6</v>
      </c>
      <c r="CQ585">
        <v>4</v>
      </c>
      <c r="CR585">
        <v>10</v>
      </c>
      <c r="CS585">
        <v>0</v>
      </c>
      <c r="CT585">
        <v>0</v>
      </c>
      <c r="CU585">
        <v>7</v>
      </c>
      <c r="CV585">
        <v>8</v>
      </c>
      <c r="CW585">
        <v>4</v>
      </c>
      <c r="CX585">
        <v>5</v>
      </c>
      <c r="CY585">
        <v>5</v>
      </c>
      <c r="CZ585">
        <v>1</v>
      </c>
      <c r="DA585">
        <v>5</v>
      </c>
      <c r="DB585">
        <v>7</v>
      </c>
      <c r="DC585">
        <v>5</v>
      </c>
      <c r="DD585">
        <v>3</v>
      </c>
      <c r="DE585">
        <v>0</v>
      </c>
      <c r="DF585">
        <v>8</v>
      </c>
      <c r="DG585">
        <v>6</v>
      </c>
      <c r="DH585">
        <v>0</v>
      </c>
      <c r="DI585">
        <v>8</v>
      </c>
      <c r="DJ585">
        <v>0</v>
      </c>
      <c r="DK585">
        <v>4</v>
      </c>
    </row>
    <row r="586" spans="1:115">
      <c r="A586" s="173">
        <f>Calculations[[#This Row],[Sum t eCO2]]*IF(Calculations[[#This Row],[GHG Scope]]="BIOGENIC",0,1)</f>
        <v>7.3204478999999996</v>
      </c>
      <c r="O586">
        <f t="shared" si="9"/>
        <v>585</v>
      </c>
      <c r="P586">
        <v>9</v>
      </c>
      <c r="Q586">
        <v>9</v>
      </c>
      <c r="R586">
        <v>9</v>
      </c>
      <c r="S586">
        <v>6</v>
      </c>
      <c r="T586">
        <v>5</v>
      </c>
      <c r="U586">
        <v>6</v>
      </c>
      <c r="V586">
        <v>5</v>
      </c>
      <c r="W586">
        <v>6</v>
      </c>
      <c r="X586">
        <v>2</v>
      </c>
      <c r="Y586">
        <v>6</v>
      </c>
      <c r="Z586">
        <v>4</v>
      </c>
      <c r="AA586">
        <v>5</v>
      </c>
      <c r="AB586">
        <v>5</v>
      </c>
      <c r="AC586">
        <v>0</v>
      </c>
      <c r="AD586">
        <v>4</v>
      </c>
      <c r="AE586">
        <v>6</v>
      </c>
      <c r="AF586">
        <v>7</v>
      </c>
      <c r="AG586">
        <v>2</v>
      </c>
      <c r="AH586">
        <v>5</v>
      </c>
      <c r="AI586">
        <v>0</v>
      </c>
      <c r="AJ586">
        <v>0</v>
      </c>
      <c r="AK586">
        <v>8</v>
      </c>
      <c r="AL586">
        <v>5</v>
      </c>
      <c r="AM586">
        <v>2</v>
      </c>
      <c r="AN586">
        <v>3</v>
      </c>
      <c r="AO586">
        <v>7</v>
      </c>
      <c r="AP586">
        <v>7</v>
      </c>
      <c r="AQ586">
        <v>6</v>
      </c>
      <c r="AR586">
        <v>7</v>
      </c>
      <c r="AS586">
        <v>7</v>
      </c>
      <c r="AT586">
        <v>8</v>
      </c>
      <c r="AU586">
        <v>5</v>
      </c>
      <c r="AV586">
        <v>3</v>
      </c>
      <c r="AW586">
        <v>8</v>
      </c>
      <c r="AX586">
        <v>2</v>
      </c>
      <c r="AY586">
        <v>4</v>
      </c>
      <c r="AZ586">
        <v>10</v>
      </c>
      <c r="BA586">
        <v>9</v>
      </c>
      <c r="BB586">
        <v>9</v>
      </c>
      <c r="BC586">
        <v>5</v>
      </c>
      <c r="BD586">
        <v>9</v>
      </c>
      <c r="BE586">
        <v>5</v>
      </c>
      <c r="BF586">
        <v>4</v>
      </c>
      <c r="BG586">
        <v>9</v>
      </c>
      <c r="BH586">
        <v>8</v>
      </c>
      <c r="BI586">
        <v>4</v>
      </c>
      <c r="BJ586">
        <v>10</v>
      </c>
      <c r="BK586">
        <v>4</v>
      </c>
      <c r="BL586">
        <v>4</v>
      </c>
      <c r="BM586">
        <v>2</v>
      </c>
      <c r="BN586">
        <v>8</v>
      </c>
      <c r="BO586">
        <v>5</v>
      </c>
      <c r="BP586">
        <v>8</v>
      </c>
      <c r="BQ586">
        <v>9</v>
      </c>
      <c r="BR586">
        <v>7</v>
      </c>
      <c r="BS586">
        <v>9</v>
      </c>
      <c r="BT586">
        <v>0</v>
      </c>
      <c r="BU586">
        <v>1</v>
      </c>
      <c r="BV586">
        <v>4</v>
      </c>
      <c r="BW586">
        <v>7</v>
      </c>
      <c r="BX586">
        <v>6</v>
      </c>
      <c r="BY586">
        <v>9</v>
      </c>
      <c r="BZ586">
        <v>4</v>
      </c>
      <c r="CA586">
        <v>2</v>
      </c>
      <c r="CB586">
        <v>3</v>
      </c>
      <c r="CC586">
        <v>5</v>
      </c>
      <c r="CD586">
        <v>5</v>
      </c>
      <c r="CE586">
        <v>2</v>
      </c>
      <c r="CF586">
        <v>1</v>
      </c>
      <c r="CG586">
        <v>1</v>
      </c>
      <c r="CH586">
        <v>0</v>
      </c>
      <c r="CI586">
        <v>0</v>
      </c>
      <c r="CJ586">
        <v>8</v>
      </c>
      <c r="CK586">
        <v>7</v>
      </c>
      <c r="CL586">
        <v>1</v>
      </c>
      <c r="CM586">
        <v>8</v>
      </c>
      <c r="CN586">
        <v>0</v>
      </c>
      <c r="CO586">
        <v>5</v>
      </c>
      <c r="CP586">
        <v>3</v>
      </c>
      <c r="CQ586">
        <v>10</v>
      </c>
      <c r="CR586">
        <v>2</v>
      </c>
      <c r="CS586">
        <v>2</v>
      </c>
      <c r="CT586">
        <v>7</v>
      </c>
      <c r="CU586">
        <v>5</v>
      </c>
      <c r="CV586">
        <v>4</v>
      </c>
      <c r="CW586">
        <v>1</v>
      </c>
      <c r="CX586">
        <v>7</v>
      </c>
      <c r="CY586">
        <v>0</v>
      </c>
      <c r="CZ586">
        <v>2</v>
      </c>
      <c r="DA586">
        <v>10</v>
      </c>
      <c r="DB586">
        <v>3</v>
      </c>
      <c r="DC586">
        <v>4</v>
      </c>
      <c r="DD586">
        <v>0</v>
      </c>
      <c r="DE586">
        <v>1</v>
      </c>
      <c r="DF586">
        <v>4</v>
      </c>
      <c r="DG586">
        <v>9</v>
      </c>
      <c r="DH586">
        <v>2</v>
      </c>
      <c r="DI586">
        <v>2</v>
      </c>
      <c r="DJ586">
        <v>4</v>
      </c>
      <c r="DK586">
        <v>10</v>
      </c>
    </row>
    <row r="587" spans="1:115">
      <c r="A587" s="173">
        <f>Calculations[[#This Row],[Sum t eCO2]]*IF(Calculations[[#This Row],[GHG Scope]]="BIOGENIC",0,1)</f>
        <v>189.61749526700001</v>
      </c>
      <c r="O587">
        <f t="shared" si="9"/>
        <v>586</v>
      </c>
      <c r="P587">
        <v>5</v>
      </c>
      <c r="Q587">
        <v>7</v>
      </c>
      <c r="R587">
        <v>4</v>
      </c>
      <c r="S587">
        <v>7</v>
      </c>
      <c r="T587">
        <v>8</v>
      </c>
      <c r="U587">
        <v>4</v>
      </c>
      <c r="V587">
        <v>8</v>
      </c>
      <c r="W587">
        <v>1</v>
      </c>
      <c r="X587">
        <v>5</v>
      </c>
      <c r="Y587">
        <v>8</v>
      </c>
      <c r="Z587">
        <v>5</v>
      </c>
      <c r="AA587">
        <v>6</v>
      </c>
      <c r="AB587">
        <v>2</v>
      </c>
      <c r="AC587">
        <v>2</v>
      </c>
      <c r="AD587">
        <v>5</v>
      </c>
      <c r="AE587">
        <v>4</v>
      </c>
      <c r="AF587">
        <v>6</v>
      </c>
      <c r="AG587">
        <v>1</v>
      </c>
      <c r="AH587">
        <v>4</v>
      </c>
      <c r="AI587">
        <v>1</v>
      </c>
      <c r="AJ587">
        <v>0</v>
      </c>
      <c r="AK587">
        <v>6</v>
      </c>
      <c r="AL587">
        <v>6</v>
      </c>
      <c r="AM587">
        <v>5</v>
      </c>
      <c r="AN587">
        <v>3</v>
      </c>
      <c r="AO587">
        <v>7</v>
      </c>
      <c r="AP587">
        <v>0</v>
      </c>
      <c r="AQ587">
        <v>4</v>
      </c>
      <c r="AR587">
        <v>3</v>
      </c>
      <c r="AS587">
        <v>10</v>
      </c>
      <c r="AT587">
        <v>4</v>
      </c>
      <c r="AU587">
        <v>9</v>
      </c>
      <c r="AV587">
        <v>10</v>
      </c>
      <c r="AW587">
        <v>9</v>
      </c>
      <c r="AX587">
        <v>6</v>
      </c>
      <c r="AY587">
        <v>3</v>
      </c>
      <c r="AZ587">
        <v>1</v>
      </c>
      <c r="BA587">
        <v>8</v>
      </c>
      <c r="BB587">
        <v>1</v>
      </c>
      <c r="BC587">
        <v>2</v>
      </c>
      <c r="BD587">
        <v>8</v>
      </c>
      <c r="BE587">
        <v>9</v>
      </c>
      <c r="BF587">
        <v>10</v>
      </c>
      <c r="BG587">
        <v>1</v>
      </c>
      <c r="BH587">
        <v>1</v>
      </c>
      <c r="BI587">
        <v>7</v>
      </c>
      <c r="BJ587">
        <v>0</v>
      </c>
      <c r="BK587">
        <v>0</v>
      </c>
      <c r="BL587">
        <v>6</v>
      </c>
      <c r="BM587">
        <v>4</v>
      </c>
      <c r="BN587">
        <v>4</v>
      </c>
      <c r="BO587">
        <v>4</v>
      </c>
      <c r="BP587">
        <v>2</v>
      </c>
      <c r="BQ587">
        <v>2</v>
      </c>
      <c r="BR587">
        <v>6</v>
      </c>
      <c r="BS587">
        <v>9</v>
      </c>
      <c r="BT587">
        <v>1</v>
      </c>
      <c r="BU587">
        <v>5</v>
      </c>
      <c r="BV587">
        <v>0</v>
      </c>
      <c r="BW587">
        <v>2</v>
      </c>
      <c r="BX587">
        <v>5</v>
      </c>
      <c r="BY587">
        <v>10</v>
      </c>
      <c r="BZ587">
        <v>7</v>
      </c>
      <c r="CA587">
        <v>1</v>
      </c>
      <c r="CB587">
        <v>3</v>
      </c>
      <c r="CC587">
        <v>0</v>
      </c>
      <c r="CD587">
        <v>9</v>
      </c>
      <c r="CE587">
        <v>6</v>
      </c>
      <c r="CF587">
        <v>10</v>
      </c>
      <c r="CG587">
        <v>1</v>
      </c>
      <c r="CH587">
        <v>7</v>
      </c>
      <c r="CI587">
        <v>2</v>
      </c>
      <c r="CJ587">
        <v>3</v>
      </c>
      <c r="CK587">
        <v>8</v>
      </c>
      <c r="CL587">
        <v>7</v>
      </c>
      <c r="CM587">
        <v>3</v>
      </c>
      <c r="CN587">
        <v>1</v>
      </c>
      <c r="CO587">
        <v>1</v>
      </c>
      <c r="CP587">
        <v>3</v>
      </c>
      <c r="CQ587">
        <v>7</v>
      </c>
      <c r="CR587">
        <v>2</v>
      </c>
      <c r="CS587">
        <v>10</v>
      </c>
      <c r="CT587">
        <v>4</v>
      </c>
      <c r="CU587">
        <v>2</v>
      </c>
      <c r="CV587">
        <v>0</v>
      </c>
      <c r="CW587">
        <v>2</v>
      </c>
      <c r="CX587">
        <v>5</v>
      </c>
      <c r="CY587">
        <v>0</v>
      </c>
      <c r="CZ587">
        <v>5</v>
      </c>
      <c r="DA587">
        <v>6</v>
      </c>
      <c r="DB587">
        <v>4</v>
      </c>
      <c r="DC587">
        <v>1</v>
      </c>
      <c r="DD587">
        <v>2</v>
      </c>
      <c r="DE587">
        <v>8</v>
      </c>
      <c r="DF587">
        <v>9</v>
      </c>
      <c r="DG587">
        <v>0</v>
      </c>
      <c r="DH587">
        <v>4</v>
      </c>
      <c r="DI587">
        <v>8</v>
      </c>
      <c r="DJ587">
        <v>2</v>
      </c>
      <c r="DK587">
        <v>0</v>
      </c>
    </row>
    <row r="588" spans="1:115">
      <c r="A588" s="173">
        <f>Calculations[[#This Row],[Sum t eCO2]]*IF(Calculations[[#This Row],[GHG Scope]]="BIOGENIC",0,1)</f>
        <v>3.2690192000000002</v>
      </c>
      <c r="O588">
        <f t="shared" si="9"/>
        <v>587</v>
      </c>
      <c r="P588">
        <v>2</v>
      </c>
      <c r="Q588">
        <v>6</v>
      </c>
      <c r="R588">
        <v>10</v>
      </c>
      <c r="S588">
        <v>7</v>
      </c>
      <c r="T588">
        <v>0</v>
      </c>
      <c r="U588">
        <v>9</v>
      </c>
      <c r="V588">
        <v>10</v>
      </c>
      <c r="W588">
        <v>0</v>
      </c>
      <c r="X588">
        <v>1</v>
      </c>
      <c r="Y588">
        <v>9</v>
      </c>
      <c r="Z588">
        <v>3</v>
      </c>
      <c r="AA588">
        <v>7</v>
      </c>
      <c r="AB588">
        <v>6</v>
      </c>
      <c r="AC588">
        <v>10</v>
      </c>
      <c r="AD588">
        <v>7</v>
      </c>
      <c r="AE588">
        <v>10</v>
      </c>
      <c r="AF588">
        <v>10</v>
      </c>
      <c r="AG588">
        <v>10</v>
      </c>
      <c r="AH588">
        <v>4</v>
      </c>
      <c r="AI588">
        <v>2</v>
      </c>
      <c r="AJ588">
        <v>4</v>
      </c>
      <c r="AK588">
        <v>1</v>
      </c>
      <c r="AL588">
        <v>8</v>
      </c>
      <c r="AM588">
        <v>2</v>
      </c>
      <c r="AN588">
        <v>7</v>
      </c>
      <c r="AO588">
        <v>5</v>
      </c>
      <c r="AP588">
        <v>3</v>
      </c>
      <c r="AQ588">
        <v>7</v>
      </c>
      <c r="AR588">
        <v>1</v>
      </c>
      <c r="AS588">
        <v>6</v>
      </c>
      <c r="AT588">
        <v>3</v>
      </c>
      <c r="AU588">
        <v>8</v>
      </c>
      <c r="AV588">
        <v>8</v>
      </c>
      <c r="AW588">
        <v>7</v>
      </c>
      <c r="AX588">
        <v>2</v>
      </c>
      <c r="AY588">
        <v>10</v>
      </c>
      <c r="AZ588">
        <v>2</v>
      </c>
      <c r="BA588">
        <v>5</v>
      </c>
      <c r="BB588">
        <v>10</v>
      </c>
      <c r="BC588">
        <v>0</v>
      </c>
      <c r="BD588">
        <v>7</v>
      </c>
      <c r="BE588">
        <v>5</v>
      </c>
      <c r="BF588">
        <v>0</v>
      </c>
      <c r="BG588">
        <v>6</v>
      </c>
      <c r="BH588">
        <v>0</v>
      </c>
      <c r="BI588">
        <v>10</v>
      </c>
      <c r="BJ588">
        <v>7</v>
      </c>
      <c r="BK588">
        <v>3</v>
      </c>
      <c r="BL588">
        <v>2</v>
      </c>
      <c r="BM588">
        <v>0</v>
      </c>
      <c r="BN588">
        <v>3</v>
      </c>
      <c r="BO588">
        <v>3</v>
      </c>
      <c r="BP588">
        <v>9</v>
      </c>
      <c r="BQ588">
        <v>0</v>
      </c>
      <c r="BR588">
        <v>7</v>
      </c>
      <c r="BS588">
        <v>2</v>
      </c>
      <c r="BT588">
        <v>5</v>
      </c>
      <c r="BU588">
        <v>3</v>
      </c>
      <c r="BV588">
        <v>0</v>
      </c>
      <c r="BW588">
        <v>7</v>
      </c>
      <c r="BX588">
        <v>5</v>
      </c>
      <c r="BY588">
        <v>9</v>
      </c>
      <c r="BZ588">
        <v>9</v>
      </c>
      <c r="CA588">
        <v>10</v>
      </c>
      <c r="CB588">
        <v>1</v>
      </c>
      <c r="CC588">
        <v>2</v>
      </c>
      <c r="CD588">
        <v>6</v>
      </c>
      <c r="CE588">
        <v>4</v>
      </c>
      <c r="CF588">
        <v>9</v>
      </c>
      <c r="CG588">
        <v>2</v>
      </c>
      <c r="CH588">
        <v>0</v>
      </c>
      <c r="CI588">
        <v>1</v>
      </c>
      <c r="CJ588">
        <v>7</v>
      </c>
      <c r="CK588">
        <v>3</v>
      </c>
      <c r="CL588">
        <v>4</v>
      </c>
      <c r="CM588">
        <v>9</v>
      </c>
      <c r="CN588">
        <v>8</v>
      </c>
      <c r="CO588">
        <v>5</v>
      </c>
      <c r="CP588">
        <v>7</v>
      </c>
      <c r="CQ588">
        <v>5</v>
      </c>
      <c r="CR588">
        <v>4</v>
      </c>
      <c r="CS588">
        <v>10</v>
      </c>
      <c r="CT588">
        <v>4</v>
      </c>
      <c r="CU588">
        <v>2</v>
      </c>
      <c r="CV588">
        <v>3</v>
      </c>
      <c r="CW588">
        <v>4</v>
      </c>
      <c r="CX588">
        <v>10</v>
      </c>
      <c r="CY588">
        <v>6</v>
      </c>
      <c r="CZ588">
        <v>3</v>
      </c>
      <c r="DA588">
        <v>8</v>
      </c>
      <c r="DB588">
        <v>7</v>
      </c>
      <c r="DC588">
        <v>0</v>
      </c>
      <c r="DD588">
        <v>2</v>
      </c>
      <c r="DE588">
        <v>10</v>
      </c>
      <c r="DF588">
        <v>4</v>
      </c>
      <c r="DG588">
        <v>1</v>
      </c>
      <c r="DH588">
        <v>5</v>
      </c>
      <c r="DI588">
        <v>0</v>
      </c>
      <c r="DJ588">
        <v>2</v>
      </c>
      <c r="DK588">
        <v>10</v>
      </c>
    </row>
    <row r="589" spans="1:115">
      <c r="A589" s="173">
        <f>Calculations[[#This Row],[Sum t eCO2]]*IF(Calculations[[#This Row],[GHG Scope]]="BIOGENIC",0,1)</f>
        <v>13.516942912000001</v>
      </c>
      <c r="O589">
        <f t="shared" si="9"/>
        <v>588</v>
      </c>
      <c r="P589">
        <v>1</v>
      </c>
      <c r="Q589">
        <v>3</v>
      </c>
      <c r="R589">
        <v>3</v>
      </c>
      <c r="S589">
        <v>3</v>
      </c>
      <c r="T589">
        <v>10</v>
      </c>
      <c r="U589">
        <v>5</v>
      </c>
      <c r="V589">
        <v>6</v>
      </c>
      <c r="W589">
        <v>0</v>
      </c>
      <c r="X589">
        <v>1</v>
      </c>
      <c r="Y589">
        <v>7</v>
      </c>
      <c r="Z589">
        <v>3</v>
      </c>
      <c r="AA589">
        <v>10</v>
      </c>
      <c r="AB589">
        <v>7</v>
      </c>
      <c r="AC589">
        <v>9</v>
      </c>
      <c r="AD589">
        <v>10</v>
      </c>
      <c r="AE589">
        <v>2</v>
      </c>
      <c r="AF589">
        <v>7</v>
      </c>
      <c r="AG589">
        <v>7</v>
      </c>
      <c r="AH589">
        <v>10</v>
      </c>
      <c r="AI589">
        <v>10</v>
      </c>
      <c r="AJ589">
        <v>9</v>
      </c>
      <c r="AK589">
        <v>4</v>
      </c>
      <c r="AL589">
        <v>2</v>
      </c>
      <c r="AM589">
        <v>7</v>
      </c>
      <c r="AN589">
        <v>6</v>
      </c>
      <c r="AO589">
        <v>1</v>
      </c>
      <c r="AP589">
        <v>7</v>
      </c>
      <c r="AQ589">
        <v>3</v>
      </c>
      <c r="AR589">
        <v>3</v>
      </c>
      <c r="AS589">
        <v>5</v>
      </c>
      <c r="AT589">
        <v>4</v>
      </c>
      <c r="AU589">
        <v>3</v>
      </c>
      <c r="AV589">
        <v>3</v>
      </c>
      <c r="AW589">
        <v>1</v>
      </c>
      <c r="AX589">
        <v>5</v>
      </c>
      <c r="AY589">
        <v>0</v>
      </c>
      <c r="AZ589">
        <v>1</v>
      </c>
      <c r="BA589">
        <v>3</v>
      </c>
      <c r="BB589">
        <v>0</v>
      </c>
      <c r="BC589">
        <v>5</v>
      </c>
      <c r="BD589">
        <v>2</v>
      </c>
      <c r="BE589">
        <v>9</v>
      </c>
      <c r="BF589">
        <v>6</v>
      </c>
      <c r="BG589">
        <v>6</v>
      </c>
      <c r="BH589">
        <v>10</v>
      </c>
      <c r="BI589">
        <v>5</v>
      </c>
      <c r="BJ589">
        <v>7</v>
      </c>
      <c r="BK589">
        <v>3</v>
      </c>
      <c r="BL589">
        <v>5</v>
      </c>
      <c r="BM589">
        <v>10</v>
      </c>
      <c r="BN589">
        <v>7</v>
      </c>
      <c r="BO589">
        <v>10</v>
      </c>
      <c r="BP589">
        <v>8</v>
      </c>
      <c r="BQ589">
        <v>8</v>
      </c>
      <c r="BR589">
        <v>1</v>
      </c>
      <c r="BS589">
        <v>4</v>
      </c>
      <c r="BT589">
        <v>7</v>
      </c>
      <c r="BU589">
        <v>2</v>
      </c>
      <c r="BV589">
        <v>8</v>
      </c>
      <c r="BW589">
        <v>4</v>
      </c>
      <c r="BX589">
        <v>7</v>
      </c>
      <c r="BY589">
        <v>2</v>
      </c>
      <c r="BZ589">
        <v>2</v>
      </c>
      <c r="CA589">
        <v>4</v>
      </c>
      <c r="CB589">
        <v>4</v>
      </c>
      <c r="CC589">
        <v>4</v>
      </c>
      <c r="CD589">
        <v>10</v>
      </c>
      <c r="CE589">
        <v>9</v>
      </c>
      <c r="CF589">
        <v>7</v>
      </c>
      <c r="CG589">
        <v>1</v>
      </c>
      <c r="CH589">
        <v>2</v>
      </c>
      <c r="CI589">
        <v>5</v>
      </c>
      <c r="CJ589">
        <v>6</v>
      </c>
      <c r="CK589">
        <v>2</v>
      </c>
      <c r="CL589">
        <v>7</v>
      </c>
      <c r="CM589">
        <v>3</v>
      </c>
      <c r="CN589">
        <v>10</v>
      </c>
      <c r="CO589">
        <v>10</v>
      </c>
      <c r="CP589">
        <v>10</v>
      </c>
      <c r="CQ589">
        <v>3</v>
      </c>
      <c r="CR589">
        <v>4</v>
      </c>
      <c r="CS589">
        <v>1</v>
      </c>
      <c r="CT589">
        <v>6</v>
      </c>
      <c r="CU589">
        <v>1</v>
      </c>
      <c r="CV589">
        <v>6</v>
      </c>
      <c r="CW589">
        <v>10</v>
      </c>
      <c r="CX589">
        <v>10</v>
      </c>
      <c r="CY589">
        <v>10</v>
      </c>
      <c r="CZ589">
        <v>2</v>
      </c>
      <c r="DA589">
        <v>7</v>
      </c>
      <c r="DB589">
        <v>9</v>
      </c>
      <c r="DC589">
        <v>1</v>
      </c>
      <c r="DD589">
        <v>9</v>
      </c>
      <c r="DE589">
        <v>2</v>
      </c>
      <c r="DF589">
        <v>4</v>
      </c>
      <c r="DG589">
        <v>0</v>
      </c>
      <c r="DH589">
        <v>4</v>
      </c>
      <c r="DI589">
        <v>7</v>
      </c>
      <c r="DJ589">
        <v>7</v>
      </c>
      <c r="DK589">
        <v>3</v>
      </c>
    </row>
    <row r="590" spans="1:115">
      <c r="A590" s="173">
        <f>Calculations[[#This Row],[Sum t eCO2]]*IF(Calculations[[#This Row],[GHG Scope]]="BIOGENIC",0,1)</f>
        <v>0.56367090000000009</v>
      </c>
      <c r="O590">
        <f t="shared" si="9"/>
        <v>589</v>
      </c>
      <c r="P590">
        <v>2</v>
      </c>
      <c r="Q590">
        <v>5</v>
      </c>
      <c r="R590">
        <v>9</v>
      </c>
      <c r="S590">
        <v>6</v>
      </c>
      <c r="T590">
        <v>6</v>
      </c>
      <c r="U590">
        <v>1</v>
      </c>
      <c r="V590">
        <v>7</v>
      </c>
      <c r="W590">
        <v>5</v>
      </c>
      <c r="X590">
        <v>9</v>
      </c>
      <c r="Y590">
        <v>1</v>
      </c>
      <c r="Z590">
        <v>3</v>
      </c>
      <c r="AA590">
        <v>6</v>
      </c>
      <c r="AB590">
        <v>8</v>
      </c>
      <c r="AC590">
        <v>1</v>
      </c>
      <c r="AD590">
        <v>1</v>
      </c>
      <c r="AE590">
        <v>5</v>
      </c>
      <c r="AF590">
        <v>1</v>
      </c>
      <c r="AG590">
        <v>6</v>
      </c>
      <c r="AH590">
        <v>6</v>
      </c>
      <c r="AI590">
        <v>3</v>
      </c>
      <c r="AJ590">
        <v>7</v>
      </c>
      <c r="AK590">
        <v>6</v>
      </c>
      <c r="AL590">
        <v>10</v>
      </c>
      <c r="AM590">
        <v>10</v>
      </c>
      <c r="AN590">
        <v>4</v>
      </c>
      <c r="AO590">
        <v>10</v>
      </c>
      <c r="AP590">
        <v>1</v>
      </c>
      <c r="AQ590">
        <v>8</v>
      </c>
      <c r="AR590">
        <v>2</v>
      </c>
      <c r="AS590">
        <v>4</v>
      </c>
      <c r="AT590">
        <v>5</v>
      </c>
      <c r="AU590">
        <v>3</v>
      </c>
      <c r="AV590">
        <v>0</v>
      </c>
      <c r="AW590">
        <v>0</v>
      </c>
      <c r="AX590">
        <v>8</v>
      </c>
      <c r="AY590">
        <v>7</v>
      </c>
      <c r="AZ590">
        <v>4</v>
      </c>
      <c r="BA590">
        <v>10</v>
      </c>
      <c r="BB590">
        <v>7</v>
      </c>
      <c r="BC590">
        <v>2</v>
      </c>
      <c r="BD590">
        <v>10</v>
      </c>
      <c r="BE590">
        <v>6</v>
      </c>
      <c r="BF590">
        <v>8</v>
      </c>
      <c r="BG590">
        <v>5</v>
      </c>
      <c r="BH590">
        <v>1</v>
      </c>
      <c r="BI590">
        <v>7</v>
      </c>
      <c r="BJ590">
        <v>3</v>
      </c>
      <c r="BK590">
        <v>1</v>
      </c>
      <c r="BL590">
        <v>5</v>
      </c>
      <c r="BM590">
        <v>8</v>
      </c>
      <c r="BN590">
        <v>3</v>
      </c>
      <c r="BO590">
        <v>8</v>
      </c>
      <c r="BP590">
        <v>9</v>
      </c>
      <c r="BQ590">
        <v>3</v>
      </c>
      <c r="BR590">
        <v>3</v>
      </c>
      <c r="BS590">
        <v>4</v>
      </c>
      <c r="BT590">
        <v>5</v>
      </c>
      <c r="BU590">
        <v>3</v>
      </c>
      <c r="BV590">
        <v>1</v>
      </c>
      <c r="BW590">
        <v>1</v>
      </c>
      <c r="BX590">
        <v>4</v>
      </c>
      <c r="BY590">
        <v>6</v>
      </c>
      <c r="BZ590">
        <v>4</v>
      </c>
      <c r="CA590">
        <v>6</v>
      </c>
      <c r="CB590">
        <v>10</v>
      </c>
      <c r="CC590">
        <v>4</v>
      </c>
      <c r="CD590">
        <v>5</v>
      </c>
      <c r="CE590">
        <v>2</v>
      </c>
      <c r="CF590">
        <v>7</v>
      </c>
      <c r="CG590">
        <v>3</v>
      </c>
      <c r="CH590">
        <v>6</v>
      </c>
      <c r="CI590">
        <v>3</v>
      </c>
      <c r="CJ590">
        <v>1</v>
      </c>
      <c r="CK590">
        <v>9</v>
      </c>
      <c r="CL590">
        <v>4</v>
      </c>
      <c r="CM590">
        <v>2</v>
      </c>
      <c r="CN590">
        <v>7</v>
      </c>
      <c r="CO590">
        <v>6</v>
      </c>
      <c r="CP590">
        <v>7</v>
      </c>
      <c r="CQ590">
        <v>7</v>
      </c>
      <c r="CR590">
        <v>4</v>
      </c>
      <c r="CS590">
        <v>3</v>
      </c>
      <c r="CT590">
        <v>5</v>
      </c>
      <c r="CU590">
        <v>3</v>
      </c>
      <c r="CV590">
        <v>6</v>
      </c>
      <c r="CW590">
        <v>4</v>
      </c>
      <c r="CX590">
        <v>1</v>
      </c>
      <c r="CY590">
        <v>10</v>
      </c>
      <c r="CZ590">
        <v>8</v>
      </c>
      <c r="DA590">
        <v>1</v>
      </c>
      <c r="DB590">
        <v>8</v>
      </c>
      <c r="DC590">
        <v>4</v>
      </c>
      <c r="DD590">
        <v>2</v>
      </c>
      <c r="DE590">
        <v>8</v>
      </c>
      <c r="DF590">
        <v>10</v>
      </c>
      <c r="DG590">
        <v>0</v>
      </c>
      <c r="DH590">
        <v>3</v>
      </c>
      <c r="DI590">
        <v>3</v>
      </c>
      <c r="DJ590">
        <v>9</v>
      </c>
      <c r="DK590">
        <v>10</v>
      </c>
    </row>
    <row r="591" spans="1:115">
      <c r="A591" s="173">
        <f>Calculations[[#This Row],[Sum t eCO2]]*IF(Calculations[[#This Row],[GHG Scope]]="BIOGENIC",0,1)</f>
        <v>2.32701</v>
      </c>
      <c r="O591">
        <f t="shared" si="9"/>
        <v>590</v>
      </c>
      <c r="P591">
        <v>4</v>
      </c>
      <c r="Q591">
        <v>9</v>
      </c>
      <c r="R591">
        <v>10</v>
      </c>
      <c r="S591">
        <v>9</v>
      </c>
      <c r="T591">
        <v>4</v>
      </c>
      <c r="U591">
        <v>5</v>
      </c>
      <c r="V591">
        <v>0</v>
      </c>
      <c r="W591">
        <v>7</v>
      </c>
      <c r="X591">
        <v>10</v>
      </c>
      <c r="Y591">
        <v>2</v>
      </c>
      <c r="Z591">
        <v>9</v>
      </c>
      <c r="AA591">
        <v>8</v>
      </c>
      <c r="AB591">
        <v>8</v>
      </c>
      <c r="AC591">
        <v>8</v>
      </c>
      <c r="AD591">
        <v>9</v>
      </c>
      <c r="AE591">
        <v>7</v>
      </c>
      <c r="AF591">
        <v>8</v>
      </c>
      <c r="AG591">
        <v>4</v>
      </c>
      <c r="AH591">
        <v>6</v>
      </c>
      <c r="AI591">
        <v>4</v>
      </c>
      <c r="AJ591">
        <v>2</v>
      </c>
      <c r="AK591">
        <v>0</v>
      </c>
      <c r="AL591">
        <v>9</v>
      </c>
      <c r="AM591">
        <v>0</v>
      </c>
      <c r="AN591">
        <v>10</v>
      </c>
      <c r="AO591">
        <v>7</v>
      </c>
      <c r="AP591">
        <v>3</v>
      </c>
      <c r="AQ591">
        <v>5</v>
      </c>
      <c r="AR591">
        <v>7</v>
      </c>
      <c r="AS591">
        <v>8</v>
      </c>
      <c r="AT591">
        <v>3</v>
      </c>
      <c r="AU591">
        <v>2</v>
      </c>
      <c r="AV591">
        <v>2</v>
      </c>
      <c r="AW591">
        <v>2</v>
      </c>
      <c r="AX591">
        <v>9</v>
      </c>
      <c r="AY591">
        <v>3</v>
      </c>
      <c r="AZ591">
        <v>6</v>
      </c>
      <c r="BA591">
        <v>10</v>
      </c>
      <c r="BB591">
        <v>3</v>
      </c>
      <c r="BC591">
        <v>0</v>
      </c>
      <c r="BD591">
        <v>2</v>
      </c>
      <c r="BE591">
        <v>5</v>
      </c>
      <c r="BF591">
        <v>1</v>
      </c>
      <c r="BG591">
        <v>6</v>
      </c>
      <c r="BH591">
        <v>1</v>
      </c>
      <c r="BI591">
        <v>6</v>
      </c>
      <c r="BJ591">
        <v>0</v>
      </c>
      <c r="BK591">
        <v>4</v>
      </c>
      <c r="BL591">
        <v>2</v>
      </c>
      <c r="BM591">
        <v>9</v>
      </c>
      <c r="BN591">
        <v>4</v>
      </c>
      <c r="BO591">
        <v>5</v>
      </c>
      <c r="BP591">
        <v>9</v>
      </c>
      <c r="BQ591">
        <v>0</v>
      </c>
      <c r="BR591">
        <v>0</v>
      </c>
      <c r="BS591">
        <v>5</v>
      </c>
      <c r="BT591">
        <v>9</v>
      </c>
      <c r="BU591">
        <v>1</v>
      </c>
      <c r="BV591">
        <v>4</v>
      </c>
      <c r="BW591">
        <v>9</v>
      </c>
      <c r="BX591">
        <v>2</v>
      </c>
      <c r="BY591">
        <v>0</v>
      </c>
      <c r="BZ591">
        <v>8</v>
      </c>
      <c r="CA591">
        <v>1</v>
      </c>
      <c r="CB591">
        <v>6</v>
      </c>
      <c r="CC591">
        <v>5</v>
      </c>
      <c r="CD591">
        <v>6</v>
      </c>
      <c r="CE591">
        <v>1</v>
      </c>
      <c r="CF591">
        <v>1</v>
      </c>
      <c r="CG591">
        <v>8</v>
      </c>
      <c r="CH591">
        <v>10</v>
      </c>
      <c r="CI591">
        <v>4</v>
      </c>
      <c r="CJ591">
        <v>6</v>
      </c>
      <c r="CK591">
        <v>7</v>
      </c>
      <c r="CL591">
        <v>8</v>
      </c>
      <c r="CM591">
        <v>10</v>
      </c>
      <c r="CN591">
        <v>3</v>
      </c>
      <c r="CO591">
        <v>9</v>
      </c>
      <c r="CP591">
        <v>3</v>
      </c>
      <c r="CQ591">
        <v>7</v>
      </c>
      <c r="CR591">
        <v>3</v>
      </c>
      <c r="CS591">
        <v>8</v>
      </c>
      <c r="CT591">
        <v>1</v>
      </c>
      <c r="CU591">
        <v>1</v>
      </c>
      <c r="CV591">
        <v>4</v>
      </c>
      <c r="CW591">
        <v>0</v>
      </c>
      <c r="CX591">
        <v>6</v>
      </c>
      <c r="CY591">
        <v>6</v>
      </c>
      <c r="CZ591">
        <v>2</v>
      </c>
      <c r="DA591">
        <v>3</v>
      </c>
      <c r="DB591">
        <v>8</v>
      </c>
      <c r="DC591">
        <v>2</v>
      </c>
      <c r="DD591">
        <v>5</v>
      </c>
      <c r="DE591">
        <v>9</v>
      </c>
      <c r="DF591">
        <v>10</v>
      </c>
      <c r="DG591">
        <v>2</v>
      </c>
      <c r="DH591">
        <v>1</v>
      </c>
      <c r="DI591">
        <v>8</v>
      </c>
      <c r="DJ591">
        <v>7</v>
      </c>
      <c r="DK591">
        <v>1</v>
      </c>
    </row>
    <row r="592" spans="1:115">
      <c r="A592" s="173">
        <f>Calculations[[#This Row],[Sum t eCO2]]*IF(Calculations[[#This Row],[GHG Scope]]="BIOGENIC",0,1)</f>
        <v>82.933112499999993</v>
      </c>
      <c r="O592">
        <f t="shared" si="9"/>
        <v>591</v>
      </c>
      <c r="P592">
        <v>3</v>
      </c>
      <c r="Q592">
        <v>7</v>
      </c>
      <c r="R592">
        <v>1</v>
      </c>
      <c r="S592">
        <v>2</v>
      </c>
      <c r="T592">
        <v>0</v>
      </c>
      <c r="U592">
        <v>4</v>
      </c>
      <c r="V592">
        <v>10</v>
      </c>
      <c r="W592">
        <v>7</v>
      </c>
      <c r="X592">
        <v>10</v>
      </c>
      <c r="Y592">
        <v>6</v>
      </c>
      <c r="Z592">
        <v>4</v>
      </c>
      <c r="AA592">
        <v>0</v>
      </c>
      <c r="AB592">
        <v>3</v>
      </c>
      <c r="AC592">
        <v>0</v>
      </c>
      <c r="AD592">
        <v>4</v>
      </c>
      <c r="AE592">
        <v>0</v>
      </c>
      <c r="AF592">
        <v>7</v>
      </c>
      <c r="AG592">
        <v>1</v>
      </c>
      <c r="AH592">
        <v>10</v>
      </c>
      <c r="AI592">
        <v>4</v>
      </c>
      <c r="AJ592">
        <v>5</v>
      </c>
      <c r="AK592">
        <v>6</v>
      </c>
      <c r="AL592">
        <v>9</v>
      </c>
      <c r="AM592">
        <v>2</v>
      </c>
      <c r="AN592">
        <v>10</v>
      </c>
      <c r="AO592">
        <v>0</v>
      </c>
      <c r="AP592">
        <v>10</v>
      </c>
      <c r="AQ592">
        <v>9</v>
      </c>
      <c r="AR592">
        <v>0</v>
      </c>
      <c r="AS592">
        <v>5</v>
      </c>
      <c r="AT592">
        <v>1</v>
      </c>
      <c r="AU592">
        <v>6</v>
      </c>
      <c r="AV592">
        <v>2</v>
      </c>
      <c r="AW592">
        <v>6</v>
      </c>
      <c r="AX592">
        <v>5</v>
      </c>
      <c r="AY592">
        <v>5</v>
      </c>
      <c r="AZ592">
        <v>8</v>
      </c>
      <c r="BA592">
        <v>6</v>
      </c>
      <c r="BB592">
        <v>8</v>
      </c>
      <c r="BC592">
        <v>7</v>
      </c>
      <c r="BD592">
        <v>7</v>
      </c>
      <c r="BE592">
        <v>1</v>
      </c>
      <c r="BF592">
        <v>10</v>
      </c>
      <c r="BG592">
        <v>0</v>
      </c>
      <c r="BH592">
        <v>6</v>
      </c>
      <c r="BI592">
        <v>0</v>
      </c>
      <c r="BJ592">
        <v>6</v>
      </c>
      <c r="BK592">
        <v>4</v>
      </c>
      <c r="BL592">
        <v>8</v>
      </c>
      <c r="BM592">
        <v>6</v>
      </c>
      <c r="BN592">
        <v>5</v>
      </c>
      <c r="BO592">
        <v>5</v>
      </c>
      <c r="BP592">
        <v>10</v>
      </c>
      <c r="BQ592">
        <v>2</v>
      </c>
      <c r="BR592">
        <v>5</v>
      </c>
      <c r="BS592">
        <v>9</v>
      </c>
      <c r="BT592">
        <v>6</v>
      </c>
      <c r="BU592">
        <v>7</v>
      </c>
      <c r="BV592">
        <v>3</v>
      </c>
      <c r="BW592">
        <v>5</v>
      </c>
      <c r="BX592">
        <v>3</v>
      </c>
      <c r="BY592">
        <v>2</v>
      </c>
      <c r="BZ592">
        <v>0</v>
      </c>
      <c r="CA592">
        <v>9</v>
      </c>
      <c r="CB592">
        <v>5</v>
      </c>
      <c r="CC592">
        <v>10</v>
      </c>
      <c r="CD592">
        <v>9</v>
      </c>
      <c r="CE592">
        <v>5</v>
      </c>
      <c r="CF592">
        <v>4</v>
      </c>
      <c r="CG592">
        <v>4</v>
      </c>
      <c r="CH592">
        <v>4</v>
      </c>
      <c r="CI592">
        <v>9</v>
      </c>
      <c r="CJ592">
        <v>7</v>
      </c>
      <c r="CK592">
        <v>0</v>
      </c>
      <c r="CL592">
        <v>9</v>
      </c>
      <c r="CM592">
        <v>1</v>
      </c>
      <c r="CN592">
        <v>5</v>
      </c>
      <c r="CO592">
        <v>0</v>
      </c>
      <c r="CP592">
        <v>8</v>
      </c>
      <c r="CQ592">
        <v>10</v>
      </c>
      <c r="CR592">
        <v>8</v>
      </c>
      <c r="CS592">
        <v>4</v>
      </c>
      <c r="CT592">
        <v>8</v>
      </c>
      <c r="CU592">
        <v>6</v>
      </c>
      <c r="CV592">
        <v>3</v>
      </c>
      <c r="CW592">
        <v>6</v>
      </c>
      <c r="CX592">
        <v>1</v>
      </c>
      <c r="CY592">
        <v>10</v>
      </c>
      <c r="CZ592">
        <v>8</v>
      </c>
      <c r="DA592">
        <v>7</v>
      </c>
      <c r="DB592">
        <v>4</v>
      </c>
      <c r="DC592">
        <v>3</v>
      </c>
      <c r="DD592">
        <v>3</v>
      </c>
      <c r="DE592">
        <v>8</v>
      </c>
      <c r="DF592">
        <v>1</v>
      </c>
      <c r="DG592">
        <v>3</v>
      </c>
      <c r="DH592">
        <v>10</v>
      </c>
      <c r="DI592">
        <v>6</v>
      </c>
      <c r="DJ592">
        <v>3</v>
      </c>
      <c r="DK592">
        <v>9</v>
      </c>
    </row>
    <row r="593" spans="1:115">
      <c r="A593" s="173">
        <f>Calculations[[#This Row],[Sum t eCO2]]*IF(Calculations[[#This Row],[GHG Scope]]="BIOGENIC",0,1)</f>
        <v>2401.9232467680004</v>
      </c>
      <c r="O593">
        <f t="shared" si="9"/>
        <v>592</v>
      </c>
      <c r="P593">
        <v>6</v>
      </c>
      <c r="Q593">
        <v>3</v>
      </c>
      <c r="R593">
        <v>1</v>
      </c>
      <c r="S593">
        <v>2</v>
      </c>
      <c r="T593">
        <v>6</v>
      </c>
      <c r="U593">
        <v>2</v>
      </c>
      <c r="V593">
        <v>10</v>
      </c>
      <c r="W593">
        <v>4</v>
      </c>
      <c r="X593">
        <v>0</v>
      </c>
      <c r="Y593">
        <v>4</v>
      </c>
      <c r="Z593">
        <v>9</v>
      </c>
      <c r="AA593">
        <v>6</v>
      </c>
      <c r="AB593">
        <v>8</v>
      </c>
      <c r="AC593">
        <v>5</v>
      </c>
      <c r="AD593">
        <v>4</v>
      </c>
      <c r="AE593">
        <v>0</v>
      </c>
      <c r="AF593">
        <v>0</v>
      </c>
      <c r="AG593">
        <v>9</v>
      </c>
      <c r="AH593">
        <v>1</v>
      </c>
      <c r="AI593">
        <v>7</v>
      </c>
      <c r="AJ593">
        <v>6</v>
      </c>
      <c r="AK593">
        <v>9</v>
      </c>
      <c r="AL593">
        <v>10</v>
      </c>
      <c r="AM593">
        <v>0</v>
      </c>
      <c r="AN593">
        <v>1</v>
      </c>
      <c r="AO593">
        <v>8</v>
      </c>
      <c r="AP593">
        <v>4</v>
      </c>
      <c r="AQ593">
        <v>3</v>
      </c>
      <c r="AR593">
        <v>9</v>
      </c>
      <c r="AS593">
        <v>2</v>
      </c>
      <c r="AT593">
        <v>8</v>
      </c>
      <c r="AU593">
        <v>7</v>
      </c>
      <c r="AV593">
        <v>10</v>
      </c>
      <c r="AW593">
        <v>0</v>
      </c>
      <c r="AX593">
        <v>10</v>
      </c>
      <c r="AY593">
        <v>0</v>
      </c>
      <c r="AZ593">
        <v>5</v>
      </c>
      <c r="BA593">
        <v>5</v>
      </c>
      <c r="BB593">
        <v>1</v>
      </c>
      <c r="BC593">
        <v>7</v>
      </c>
      <c r="BD593">
        <v>6</v>
      </c>
      <c r="BE593">
        <v>4</v>
      </c>
      <c r="BF593">
        <v>0</v>
      </c>
      <c r="BG593">
        <v>7</v>
      </c>
      <c r="BH593">
        <v>10</v>
      </c>
      <c r="BI593">
        <v>7</v>
      </c>
      <c r="BJ593">
        <v>1</v>
      </c>
      <c r="BK593">
        <v>5</v>
      </c>
      <c r="BL593">
        <v>10</v>
      </c>
      <c r="BM593">
        <v>4</v>
      </c>
      <c r="BN593">
        <v>1</v>
      </c>
      <c r="BO593">
        <v>7</v>
      </c>
      <c r="BP593">
        <v>4</v>
      </c>
      <c r="BQ593">
        <v>9</v>
      </c>
      <c r="BR593">
        <v>0</v>
      </c>
      <c r="BS593">
        <v>9</v>
      </c>
      <c r="BT593">
        <v>0</v>
      </c>
      <c r="BU593">
        <v>0</v>
      </c>
      <c r="BV593">
        <v>7</v>
      </c>
      <c r="BW593">
        <v>4</v>
      </c>
      <c r="BX593">
        <v>10</v>
      </c>
      <c r="BY593">
        <v>10</v>
      </c>
      <c r="BZ593">
        <v>0</v>
      </c>
      <c r="CA593">
        <v>4</v>
      </c>
      <c r="CB593">
        <v>0</v>
      </c>
      <c r="CC593">
        <v>2</v>
      </c>
      <c r="CD593">
        <v>2</v>
      </c>
      <c r="CE593">
        <v>7</v>
      </c>
      <c r="CF593">
        <v>3</v>
      </c>
      <c r="CG593">
        <v>6</v>
      </c>
      <c r="CH593">
        <v>8</v>
      </c>
      <c r="CI593">
        <v>8</v>
      </c>
      <c r="CJ593">
        <v>1</v>
      </c>
      <c r="CK593">
        <v>3</v>
      </c>
      <c r="CL593">
        <v>1</v>
      </c>
      <c r="CM593">
        <v>1</v>
      </c>
      <c r="CN593">
        <v>3</v>
      </c>
      <c r="CO593">
        <v>10</v>
      </c>
      <c r="CP593">
        <v>2</v>
      </c>
      <c r="CQ593">
        <v>10</v>
      </c>
      <c r="CR593">
        <v>1</v>
      </c>
      <c r="CS593">
        <v>8</v>
      </c>
      <c r="CT593">
        <v>5</v>
      </c>
      <c r="CU593">
        <v>2</v>
      </c>
      <c r="CV593">
        <v>7</v>
      </c>
      <c r="CW593">
        <v>6</v>
      </c>
      <c r="CX593">
        <v>6</v>
      </c>
      <c r="CY593">
        <v>7</v>
      </c>
      <c r="CZ593">
        <v>10</v>
      </c>
      <c r="DA593">
        <v>8</v>
      </c>
      <c r="DB593">
        <v>0</v>
      </c>
      <c r="DC593">
        <v>5</v>
      </c>
      <c r="DD593">
        <v>9</v>
      </c>
      <c r="DE593">
        <v>1</v>
      </c>
      <c r="DF593">
        <v>10</v>
      </c>
      <c r="DG593">
        <v>1</v>
      </c>
      <c r="DH593">
        <v>2</v>
      </c>
      <c r="DI593">
        <v>0</v>
      </c>
      <c r="DJ593">
        <v>5</v>
      </c>
      <c r="DK593">
        <v>2</v>
      </c>
    </row>
    <row r="594" spans="1:115">
      <c r="A594" s="173">
        <f>Calculations[[#This Row],[Sum t eCO2]]*IF(Calculations[[#This Row],[GHG Scope]]="BIOGENIC",0,1)</f>
        <v>49.178849115449999</v>
      </c>
      <c r="O594">
        <f t="shared" si="9"/>
        <v>593</v>
      </c>
      <c r="P594">
        <v>1</v>
      </c>
      <c r="Q594">
        <v>9</v>
      </c>
      <c r="R594">
        <v>8</v>
      </c>
      <c r="S594">
        <v>2</v>
      </c>
      <c r="T594">
        <v>7</v>
      </c>
      <c r="U594">
        <v>1</v>
      </c>
      <c r="V594">
        <v>4</v>
      </c>
      <c r="W594">
        <v>2</v>
      </c>
      <c r="X594">
        <v>2</v>
      </c>
      <c r="Y594">
        <v>10</v>
      </c>
      <c r="Z594">
        <v>9</v>
      </c>
      <c r="AA594">
        <v>2</v>
      </c>
      <c r="AB594">
        <v>2</v>
      </c>
      <c r="AC594">
        <v>7</v>
      </c>
      <c r="AD594">
        <v>2</v>
      </c>
      <c r="AE594">
        <v>1</v>
      </c>
      <c r="AF594">
        <v>3</v>
      </c>
      <c r="AG594">
        <v>9</v>
      </c>
      <c r="AH594">
        <v>10</v>
      </c>
      <c r="AI594">
        <v>7</v>
      </c>
      <c r="AJ594">
        <v>1</v>
      </c>
      <c r="AK594">
        <v>4</v>
      </c>
      <c r="AL594">
        <v>6</v>
      </c>
      <c r="AM594">
        <v>2</v>
      </c>
      <c r="AN594">
        <v>6</v>
      </c>
      <c r="AO594">
        <v>0</v>
      </c>
      <c r="AP594">
        <v>3</v>
      </c>
      <c r="AQ594">
        <v>1</v>
      </c>
      <c r="AR594">
        <v>9</v>
      </c>
      <c r="AS594">
        <v>8</v>
      </c>
      <c r="AT594">
        <v>4</v>
      </c>
      <c r="AU594">
        <v>3</v>
      </c>
      <c r="AV594">
        <v>2</v>
      </c>
      <c r="AW594">
        <v>0</v>
      </c>
      <c r="AX594">
        <v>6</v>
      </c>
      <c r="AY594">
        <v>7</v>
      </c>
      <c r="AZ594">
        <v>7</v>
      </c>
      <c r="BA594">
        <v>9</v>
      </c>
      <c r="BB594">
        <v>3</v>
      </c>
      <c r="BC594">
        <v>8</v>
      </c>
      <c r="BD594">
        <v>3</v>
      </c>
      <c r="BE594">
        <v>10</v>
      </c>
      <c r="BF594">
        <v>10</v>
      </c>
      <c r="BG594">
        <v>8</v>
      </c>
      <c r="BH594">
        <v>0</v>
      </c>
      <c r="BI594">
        <v>4</v>
      </c>
      <c r="BJ594">
        <v>8</v>
      </c>
      <c r="BK594">
        <v>1</v>
      </c>
      <c r="BL594">
        <v>9</v>
      </c>
      <c r="BM594">
        <v>1</v>
      </c>
      <c r="BN594">
        <v>5</v>
      </c>
      <c r="BO594">
        <v>2</v>
      </c>
      <c r="BP594">
        <v>8</v>
      </c>
      <c r="BQ594">
        <v>4</v>
      </c>
      <c r="BR594">
        <v>10</v>
      </c>
      <c r="BS594">
        <v>7</v>
      </c>
      <c r="BT594">
        <v>0</v>
      </c>
      <c r="BU594">
        <v>10</v>
      </c>
      <c r="BV594">
        <v>1</v>
      </c>
      <c r="BW594">
        <v>4</v>
      </c>
      <c r="BX594">
        <v>0</v>
      </c>
      <c r="BY594">
        <v>7</v>
      </c>
      <c r="BZ594">
        <v>7</v>
      </c>
      <c r="CA594">
        <v>5</v>
      </c>
      <c r="CB594">
        <v>10</v>
      </c>
      <c r="CC594">
        <v>5</v>
      </c>
      <c r="CD594">
        <v>5</v>
      </c>
      <c r="CE594">
        <v>5</v>
      </c>
      <c r="CF594">
        <v>5</v>
      </c>
      <c r="CG594">
        <v>6</v>
      </c>
      <c r="CH594">
        <v>2</v>
      </c>
      <c r="CI594">
        <v>8</v>
      </c>
      <c r="CJ594">
        <v>3</v>
      </c>
      <c r="CK594">
        <v>6</v>
      </c>
      <c r="CL594">
        <v>1</v>
      </c>
      <c r="CM594">
        <v>2</v>
      </c>
      <c r="CN594">
        <v>3</v>
      </c>
      <c r="CO594">
        <v>7</v>
      </c>
      <c r="CP594">
        <v>3</v>
      </c>
      <c r="CQ594">
        <v>7</v>
      </c>
      <c r="CR594">
        <v>7</v>
      </c>
      <c r="CS594">
        <v>4</v>
      </c>
      <c r="CT594">
        <v>5</v>
      </c>
      <c r="CU594">
        <v>6</v>
      </c>
      <c r="CV594">
        <v>2</v>
      </c>
      <c r="CW594">
        <v>1</v>
      </c>
      <c r="CX594">
        <v>0</v>
      </c>
      <c r="CY594">
        <v>9</v>
      </c>
      <c r="CZ594">
        <v>8</v>
      </c>
      <c r="DA594">
        <v>3</v>
      </c>
      <c r="DB594">
        <v>4</v>
      </c>
      <c r="DC594">
        <v>1</v>
      </c>
      <c r="DD594">
        <v>5</v>
      </c>
      <c r="DE594">
        <v>5</v>
      </c>
      <c r="DF594">
        <v>1</v>
      </c>
      <c r="DG594">
        <v>9</v>
      </c>
      <c r="DH594">
        <v>10</v>
      </c>
      <c r="DI594">
        <v>0</v>
      </c>
      <c r="DJ594">
        <v>8</v>
      </c>
      <c r="DK594">
        <v>3</v>
      </c>
    </row>
    <row r="595" spans="1:115">
      <c r="A595" s="173">
        <f>Calculations[[#This Row],[Sum t eCO2]]*IF(Calculations[[#This Row],[GHG Scope]]="BIOGENIC",0,1)</f>
        <v>241.99397400000001</v>
      </c>
      <c r="O595">
        <f t="shared" si="9"/>
        <v>594</v>
      </c>
      <c r="P595">
        <v>3</v>
      </c>
      <c r="Q595">
        <v>9</v>
      </c>
      <c r="R595">
        <v>7</v>
      </c>
      <c r="S595">
        <v>1</v>
      </c>
      <c r="T595">
        <v>5</v>
      </c>
      <c r="U595">
        <v>10</v>
      </c>
      <c r="V595">
        <v>10</v>
      </c>
      <c r="W595">
        <v>1</v>
      </c>
      <c r="X595">
        <v>1</v>
      </c>
      <c r="Y595">
        <v>10</v>
      </c>
      <c r="Z595">
        <v>10</v>
      </c>
      <c r="AA595">
        <v>2</v>
      </c>
      <c r="AB595">
        <v>2</v>
      </c>
      <c r="AC595">
        <v>10</v>
      </c>
      <c r="AD595">
        <v>3</v>
      </c>
      <c r="AE595">
        <v>0</v>
      </c>
      <c r="AF595">
        <v>8</v>
      </c>
      <c r="AG595">
        <v>8</v>
      </c>
      <c r="AH595">
        <v>0</v>
      </c>
      <c r="AI595">
        <v>4</v>
      </c>
      <c r="AJ595">
        <v>2</v>
      </c>
      <c r="AK595">
        <v>4</v>
      </c>
      <c r="AL595">
        <v>6</v>
      </c>
      <c r="AM595">
        <v>0</v>
      </c>
      <c r="AN595">
        <v>0</v>
      </c>
      <c r="AO595">
        <v>3</v>
      </c>
      <c r="AP595">
        <v>8</v>
      </c>
      <c r="AQ595">
        <v>5</v>
      </c>
      <c r="AR595">
        <v>10</v>
      </c>
      <c r="AS595">
        <v>10</v>
      </c>
      <c r="AT595">
        <v>5</v>
      </c>
      <c r="AU595">
        <v>9</v>
      </c>
      <c r="AV595">
        <v>10</v>
      </c>
      <c r="AW595">
        <v>9</v>
      </c>
      <c r="AX595">
        <v>7</v>
      </c>
      <c r="AY595">
        <v>3</v>
      </c>
      <c r="AZ595">
        <v>10</v>
      </c>
      <c r="BA595">
        <v>9</v>
      </c>
      <c r="BB595">
        <v>8</v>
      </c>
      <c r="BC595">
        <v>7</v>
      </c>
      <c r="BD595">
        <v>5</v>
      </c>
      <c r="BE595">
        <v>0</v>
      </c>
      <c r="BF595">
        <v>2</v>
      </c>
      <c r="BG595">
        <v>10</v>
      </c>
      <c r="BH595">
        <v>8</v>
      </c>
      <c r="BI595">
        <v>4</v>
      </c>
      <c r="BJ595">
        <v>8</v>
      </c>
      <c r="BK595">
        <v>6</v>
      </c>
      <c r="BL595">
        <v>10</v>
      </c>
      <c r="BM595">
        <v>4</v>
      </c>
      <c r="BN595">
        <v>0</v>
      </c>
      <c r="BO595">
        <v>8</v>
      </c>
      <c r="BP595">
        <v>0</v>
      </c>
      <c r="BQ595">
        <v>5</v>
      </c>
      <c r="BR595">
        <v>2</v>
      </c>
      <c r="BS595">
        <v>9</v>
      </c>
      <c r="BT595">
        <v>5</v>
      </c>
      <c r="BU595">
        <v>1</v>
      </c>
      <c r="BV595">
        <v>6</v>
      </c>
      <c r="BW595">
        <v>1</v>
      </c>
      <c r="BX595">
        <v>1</v>
      </c>
      <c r="BY595">
        <v>2</v>
      </c>
      <c r="BZ595">
        <v>7</v>
      </c>
      <c r="CA595">
        <v>4</v>
      </c>
      <c r="CB595">
        <v>4</v>
      </c>
      <c r="CC595">
        <v>0</v>
      </c>
      <c r="CD595">
        <v>1</v>
      </c>
      <c r="CE595">
        <v>1</v>
      </c>
      <c r="CF595">
        <v>2</v>
      </c>
      <c r="CG595">
        <v>8</v>
      </c>
      <c r="CH595">
        <v>6</v>
      </c>
      <c r="CI595">
        <v>3</v>
      </c>
      <c r="CJ595">
        <v>3</v>
      </c>
      <c r="CK595">
        <v>8</v>
      </c>
      <c r="CL595">
        <v>1</v>
      </c>
      <c r="CM595">
        <v>6</v>
      </c>
      <c r="CN595">
        <v>0</v>
      </c>
      <c r="CO595">
        <v>6</v>
      </c>
      <c r="CP595">
        <v>1</v>
      </c>
      <c r="CQ595">
        <v>9</v>
      </c>
      <c r="CR595">
        <v>4</v>
      </c>
      <c r="CS595">
        <v>3</v>
      </c>
      <c r="CT595">
        <v>5</v>
      </c>
      <c r="CU595">
        <v>9</v>
      </c>
      <c r="CV595">
        <v>0</v>
      </c>
      <c r="CW595">
        <v>3</v>
      </c>
      <c r="CX595">
        <v>1</v>
      </c>
      <c r="CY595">
        <v>5</v>
      </c>
      <c r="CZ595">
        <v>9</v>
      </c>
      <c r="DA595">
        <v>9</v>
      </c>
      <c r="DB595">
        <v>1</v>
      </c>
      <c r="DC595">
        <v>10</v>
      </c>
      <c r="DD595">
        <v>4</v>
      </c>
      <c r="DE595">
        <v>7</v>
      </c>
      <c r="DF595">
        <v>5</v>
      </c>
      <c r="DG595">
        <v>1</v>
      </c>
      <c r="DH595">
        <v>7</v>
      </c>
      <c r="DI595">
        <v>3</v>
      </c>
      <c r="DJ595">
        <v>2</v>
      </c>
      <c r="DK595">
        <v>7</v>
      </c>
    </row>
    <row r="596" spans="1:115">
      <c r="A596" s="173">
        <f>Calculations[[#This Row],[Sum t eCO2]]*IF(Calculations[[#This Row],[GHG Scope]]="BIOGENIC",0,1)</f>
        <v>178.42829913</v>
      </c>
      <c r="O596">
        <f t="shared" si="9"/>
        <v>595</v>
      </c>
      <c r="P596">
        <v>2</v>
      </c>
      <c r="Q596">
        <v>0</v>
      </c>
      <c r="R596">
        <v>10</v>
      </c>
      <c r="S596">
        <v>1</v>
      </c>
      <c r="T596">
        <v>10</v>
      </c>
      <c r="U596">
        <v>7</v>
      </c>
      <c r="V596">
        <v>1</v>
      </c>
      <c r="W596">
        <v>1</v>
      </c>
      <c r="X596">
        <v>0</v>
      </c>
      <c r="Y596">
        <v>3</v>
      </c>
      <c r="Z596">
        <v>6</v>
      </c>
      <c r="AA596">
        <v>7</v>
      </c>
      <c r="AB596">
        <v>2</v>
      </c>
      <c r="AC596">
        <v>5</v>
      </c>
      <c r="AD596">
        <v>6</v>
      </c>
      <c r="AE596">
        <v>2</v>
      </c>
      <c r="AF596">
        <v>6</v>
      </c>
      <c r="AG596">
        <v>9</v>
      </c>
      <c r="AH596">
        <v>2</v>
      </c>
      <c r="AI596">
        <v>5</v>
      </c>
      <c r="AJ596">
        <v>4</v>
      </c>
      <c r="AK596">
        <v>2</v>
      </c>
      <c r="AL596">
        <v>8</v>
      </c>
      <c r="AM596">
        <v>7</v>
      </c>
      <c r="AN596">
        <v>8</v>
      </c>
      <c r="AO596">
        <v>2</v>
      </c>
      <c r="AP596">
        <v>2</v>
      </c>
      <c r="AQ596">
        <v>4</v>
      </c>
      <c r="AR596">
        <v>7</v>
      </c>
      <c r="AS596">
        <v>7</v>
      </c>
      <c r="AT596">
        <v>10</v>
      </c>
      <c r="AU596">
        <v>4</v>
      </c>
      <c r="AV596">
        <v>6</v>
      </c>
      <c r="AW596">
        <v>5</v>
      </c>
      <c r="AX596">
        <v>2</v>
      </c>
      <c r="AY596">
        <v>0</v>
      </c>
      <c r="AZ596">
        <v>4</v>
      </c>
      <c r="BA596">
        <v>7</v>
      </c>
      <c r="BB596">
        <v>0</v>
      </c>
      <c r="BC596">
        <v>6</v>
      </c>
      <c r="BD596">
        <v>4</v>
      </c>
      <c r="BE596">
        <v>6</v>
      </c>
      <c r="BF596">
        <v>7</v>
      </c>
      <c r="BG596">
        <v>9</v>
      </c>
      <c r="BH596">
        <v>3</v>
      </c>
      <c r="BI596">
        <v>8</v>
      </c>
      <c r="BJ596">
        <v>0</v>
      </c>
      <c r="BK596">
        <v>2</v>
      </c>
      <c r="BL596">
        <v>0</v>
      </c>
      <c r="BM596">
        <v>5</v>
      </c>
      <c r="BN596">
        <v>1</v>
      </c>
      <c r="BO596">
        <v>6</v>
      </c>
      <c r="BP596">
        <v>8</v>
      </c>
      <c r="BQ596">
        <v>2</v>
      </c>
      <c r="BR596">
        <v>9</v>
      </c>
      <c r="BS596">
        <v>9</v>
      </c>
      <c r="BT596">
        <v>0</v>
      </c>
      <c r="BU596">
        <v>0</v>
      </c>
      <c r="BV596">
        <v>3</v>
      </c>
      <c r="BW596">
        <v>5</v>
      </c>
      <c r="BX596">
        <v>9</v>
      </c>
      <c r="BY596">
        <v>5</v>
      </c>
      <c r="BZ596">
        <v>0</v>
      </c>
      <c r="CA596">
        <v>7</v>
      </c>
      <c r="CB596">
        <v>7</v>
      </c>
      <c r="CC596">
        <v>1</v>
      </c>
      <c r="CD596">
        <v>4</v>
      </c>
      <c r="CE596">
        <v>5</v>
      </c>
      <c r="CF596">
        <v>8</v>
      </c>
      <c r="CG596">
        <v>8</v>
      </c>
      <c r="CH596">
        <v>9</v>
      </c>
      <c r="CI596">
        <v>0</v>
      </c>
      <c r="CJ596">
        <v>1</v>
      </c>
      <c r="CK596">
        <v>10</v>
      </c>
      <c r="CL596">
        <v>7</v>
      </c>
      <c r="CM596">
        <v>4</v>
      </c>
      <c r="CN596">
        <v>5</v>
      </c>
      <c r="CO596">
        <v>3</v>
      </c>
      <c r="CP596">
        <v>10</v>
      </c>
      <c r="CQ596">
        <v>3</v>
      </c>
      <c r="CR596">
        <v>2</v>
      </c>
      <c r="CS596">
        <v>6</v>
      </c>
      <c r="CT596">
        <v>6</v>
      </c>
      <c r="CU596">
        <v>5</v>
      </c>
      <c r="CV596">
        <v>6</v>
      </c>
      <c r="CW596">
        <v>7</v>
      </c>
      <c r="CX596">
        <v>9</v>
      </c>
      <c r="CY596">
        <v>3</v>
      </c>
      <c r="CZ596">
        <v>6</v>
      </c>
      <c r="DA596">
        <v>3</v>
      </c>
      <c r="DB596">
        <v>5</v>
      </c>
      <c r="DC596">
        <v>7</v>
      </c>
      <c r="DD596">
        <v>9</v>
      </c>
      <c r="DE596">
        <v>5</v>
      </c>
      <c r="DF596">
        <v>8</v>
      </c>
      <c r="DG596">
        <v>0</v>
      </c>
      <c r="DH596">
        <v>5</v>
      </c>
      <c r="DI596">
        <v>5</v>
      </c>
      <c r="DJ596">
        <v>1</v>
      </c>
      <c r="DK596">
        <v>6</v>
      </c>
    </row>
    <row r="597" spans="1:115">
      <c r="A597" s="173">
        <f>Calculations[[#This Row],[Sum t eCO2]]*IF(Calculations[[#This Row],[GHG Scope]]="BIOGENIC",0,1)</f>
        <v>71.243412577049995</v>
      </c>
      <c r="O597">
        <f t="shared" si="9"/>
        <v>596</v>
      </c>
      <c r="P597">
        <v>7</v>
      </c>
      <c r="Q597">
        <v>0</v>
      </c>
      <c r="R597">
        <v>4</v>
      </c>
      <c r="S597">
        <v>1</v>
      </c>
      <c r="T597">
        <v>6</v>
      </c>
      <c r="U597">
        <v>4</v>
      </c>
      <c r="V597">
        <v>10</v>
      </c>
      <c r="W597">
        <v>7</v>
      </c>
      <c r="X597">
        <v>3</v>
      </c>
      <c r="Y597">
        <v>2</v>
      </c>
      <c r="Z597">
        <v>9</v>
      </c>
      <c r="AA597">
        <v>1</v>
      </c>
      <c r="AB597">
        <v>1</v>
      </c>
      <c r="AC597">
        <v>5</v>
      </c>
      <c r="AD597">
        <v>3</v>
      </c>
      <c r="AE597">
        <v>4</v>
      </c>
      <c r="AF597">
        <v>0</v>
      </c>
      <c r="AG597">
        <v>4</v>
      </c>
      <c r="AH597">
        <v>2</v>
      </c>
      <c r="AI597">
        <v>7</v>
      </c>
      <c r="AJ597">
        <v>10</v>
      </c>
      <c r="AK597">
        <v>3</v>
      </c>
      <c r="AL597">
        <v>3</v>
      </c>
      <c r="AM597">
        <v>2</v>
      </c>
      <c r="AN597">
        <v>3</v>
      </c>
      <c r="AO597">
        <v>7</v>
      </c>
      <c r="AP597">
        <v>2</v>
      </c>
      <c r="AQ597">
        <v>2</v>
      </c>
      <c r="AR597">
        <v>0</v>
      </c>
      <c r="AS597">
        <v>10</v>
      </c>
      <c r="AT597">
        <v>0</v>
      </c>
      <c r="AU597">
        <v>0</v>
      </c>
      <c r="AV597">
        <v>9</v>
      </c>
      <c r="AW597">
        <v>0</v>
      </c>
      <c r="AX597">
        <v>9</v>
      </c>
      <c r="AY597">
        <v>7</v>
      </c>
      <c r="AZ597">
        <v>10</v>
      </c>
      <c r="BA597">
        <v>2</v>
      </c>
      <c r="BB597">
        <v>0</v>
      </c>
      <c r="BC597">
        <v>10</v>
      </c>
      <c r="BD597">
        <v>7</v>
      </c>
      <c r="BE597">
        <v>10</v>
      </c>
      <c r="BF597">
        <v>3</v>
      </c>
      <c r="BG597">
        <v>9</v>
      </c>
      <c r="BH597">
        <v>6</v>
      </c>
      <c r="BI597">
        <v>2</v>
      </c>
      <c r="BJ597">
        <v>8</v>
      </c>
      <c r="BK597">
        <v>7</v>
      </c>
      <c r="BL597">
        <v>6</v>
      </c>
      <c r="BM597">
        <v>2</v>
      </c>
      <c r="BN597">
        <v>10</v>
      </c>
      <c r="BO597">
        <v>4</v>
      </c>
      <c r="BP597">
        <v>5</v>
      </c>
      <c r="BQ597">
        <v>3</v>
      </c>
      <c r="BR597">
        <v>8</v>
      </c>
      <c r="BS597">
        <v>6</v>
      </c>
      <c r="BT597">
        <v>5</v>
      </c>
      <c r="BU597">
        <v>1</v>
      </c>
      <c r="BV597">
        <v>3</v>
      </c>
      <c r="BW597">
        <v>1</v>
      </c>
      <c r="BX597">
        <v>3</v>
      </c>
      <c r="BY597">
        <v>8</v>
      </c>
      <c r="BZ597">
        <v>1</v>
      </c>
      <c r="CA597">
        <v>7</v>
      </c>
      <c r="CB597">
        <v>5</v>
      </c>
      <c r="CC597">
        <v>4</v>
      </c>
      <c r="CD597">
        <v>1</v>
      </c>
      <c r="CE597">
        <v>5</v>
      </c>
      <c r="CF597">
        <v>0</v>
      </c>
      <c r="CG597">
        <v>6</v>
      </c>
      <c r="CH597">
        <v>8</v>
      </c>
      <c r="CI597">
        <v>4</v>
      </c>
      <c r="CJ597">
        <v>3</v>
      </c>
      <c r="CK597">
        <v>9</v>
      </c>
      <c r="CL597">
        <v>10</v>
      </c>
      <c r="CM597">
        <v>0</v>
      </c>
      <c r="CN597">
        <v>10</v>
      </c>
      <c r="CO597">
        <v>5</v>
      </c>
      <c r="CP597">
        <v>10</v>
      </c>
      <c r="CQ597">
        <v>1</v>
      </c>
      <c r="CR597">
        <v>3</v>
      </c>
      <c r="CS597">
        <v>10</v>
      </c>
      <c r="CT597">
        <v>6</v>
      </c>
      <c r="CU597">
        <v>6</v>
      </c>
      <c r="CV597">
        <v>7</v>
      </c>
      <c r="CW597">
        <v>7</v>
      </c>
      <c r="CX597">
        <v>5</v>
      </c>
      <c r="CY597">
        <v>7</v>
      </c>
      <c r="CZ597">
        <v>0</v>
      </c>
      <c r="DA597">
        <v>4</v>
      </c>
      <c r="DB597">
        <v>3</v>
      </c>
      <c r="DC597">
        <v>5</v>
      </c>
      <c r="DD597">
        <v>5</v>
      </c>
      <c r="DE597">
        <v>10</v>
      </c>
      <c r="DF597">
        <v>5</v>
      </c>
      <c r="DG597">
        <v>6</v>
      </c>
      <c r="DH597">
        <v>2</v>
      </c>
      <c r="DI597">
        <v>3</v>
      </c>
      <c r="DJ597">
        <v>3</v>
      </c>
      <c r="DK597">
        <v>6</v>
      </c>
    </row>
    <row r="598" spans="1:115">
      <c r="A598" s="173">
        <f>Calculations[[#This Row],[Sum t eCO2]]*IF(Calculations[[#This Row],[GHG Scope]]="BIOGENIC",0,1)</f>
        <v>2.4300000000000002</v>
      </c>
      <c r="O598">
        <f t="shared" si="9"/>
        <v>597</v>
      </c>
      <c r="P598">
        <v>4</v>
      </c>
      <c r="Q598">
        <v>0</v>
      </c>
      <c r="R598">
        <v>3</v>
      </c>
      <c r="S598">
        <v>1</v>
      </c>
      <c r="T598">
        <v>2</v>
      </c>
      <c r="U598">
        <v>9</v>
      </c>
      <c r="V598">
        <v>9</v>
      </c>
      <c r="W598">
        <v>5</v>
      </c>
      <c r="X598">
        <v>9</v>
      </c>
      <c r="Y598">
        <v>10</v>
      </c>
      <c r="Z598">
        <v>1</v>
      </c>
      <c r="AA598">
        <v>1</v>
      </c>
      <c r="AB598">
        <v>10</v>
      </c>
      <c r="AC598">
        <v>2</v>
      </c>
      <c r="AD598">
        <v>5</v>
      </c>
      <c r="AE598">
        <v>0</v>
      </c>
      <c r="AF598">
        <v>8</v>
      </c>
      <c r="AG598">
        <v>1</v>
      </c>
      <c r="AH598">
        <v>1</v>
      </c>
      <c r="AI598">
        <v>9</v>
      </c>
      <c r="AJ598">
        <v>9</v>
      </c>
      <c r="AK598">
        <v>7</v>
      </c>
      <c r="AL598">
        <v>7</v>
      </c>
      <c r="AM598">
        <v>6</v>
      </c>
      <c r="AN598">
        <v>3</v>
      </c>
      <c r="AO598">
        <v>7</v>
      </c>
      <c r="AP598">
        <v>0</v>
      </c>
      <c r="AQ598">
        <v>6</v>
      </c>
      <c r="AR598">
        <v>9</v>
      </c>
      <c r="AS598">
        <v>8</v>
      </c>
      <c r="AT598">
        <v>2</v>
      </c>
      <c r="AU598">
        <v>5</v>
      </c>
      <c r="AV598">
        <v>3</v>
      </c>
      <c r="AW598">
        <v>6</v>
      </c>
      <c r="AX598">
        <v>10</v>
      </c>
      <c r="AY598">
        <v>9</v>
      </c>
      <c r="AZ598">
        <v>7</v>
      </c>
      <c r="BA598">
        <v>0</v>
      </c>
      <c r="BB598">
        <v>9</v>
      </c>
      <c r="BC598">
        <v>10</v>
      </c>
      <c r="BD598">
        <v>1</v>
      </c>
      <c r="BE598">
        <v>4</v>
      </c>
      <c r="BF598">
        <v>0</v>
      </c>
      <c r="BG598">
        <v>1</v>
      </c>
      <c r="BH598">
        <v>10</v>
      </c>
      <c r="BI598">
        <v>9</v>
      </c>
      <c r="BJ598">
        <v>1</v>
      </c>
      <c r="BK598">
        <v>6</v>
      </c>
      <c r="BL598">
        <v>1</v>
      </c>
      <c r="BM598">
        <v>5</v>
      </c>
      <c r="BN598">
        <v>4</v>
      </c>
      <c r="BO598">
        <v>10</v>
      </c>
      <c r="BP598">
        <v>10</v>
      </c>
      <c r="BQ598">
        <v>1</v>
      </c>
      <c r="BR598">
        <v>1</v>
      </c>
      <c r="BS598">
        <v>5</v>
      </c>
      <c r="BT598">
        <v>2</v>
      </c>
      <c r="BU598">
        <v>3</v>
      </c>
      <c r="BV598">
        <v>5</v>
      </c>
      <c r="BW598">
        <v>1</v>
      </c>
      <c r="BX598">
        <v>1</v>
      </c>
      <c r="BY598">
        <v>7</v>
      </c>
      <c r="BZ598">
        <v>3</v>
      </c>
      <c r="CA598">
        <v>4</v>
      </c>
      <c r="CB598">
        <v>4</v>
      </c>
      <c r="CC598">
        <v>3</v>
      </c>
      <c r="CD598">
        <v>6</v>
      </c>
      <c r="CE598">
        <v>4</v>
      </c>
      <c r="CF598">
        <v>1</v>
      </c>
      <c r="CG598">
        <v>2</v>
      </c>
      <c r="CH598">
        <v>9</v>
      </c>
      <c r="CI598">
        <v>1</v>
      </c>
      <c r="CJ598">
        <v>8</v>
      </c>
      <c r="CK598">
        <v>7</v>
      </c>
      <c r="CL598">
        <v>6</v>
      </c>
      <c r="CM598">
        <v>2</v>
      </c>
      <c r="CN598">
        <v>9</v>
      </c>
      <c r="CO598">
        <v>0</v>
      </c>
      <c r="CP598">
        <v>2</v>
      </c>
      <c r="CQ598">
        <v>5</v>
      </c>
      <c r="CR598">
        <v>3</v>
      </c>
      <c r="CS598">
        <v>5</v>
      </c>
      <c r="CT598">
        <v>6</v>
      </c>
      <c r="CU598">
        <v>3</v>
      </c>
      <c r="CV598">
        <v>8</v>
      </c>
      <c r="CW598">
        <v>5</v>
      </c>
      <c r="CX598">
        <v>6</v>
      </c>
      <c r="CY598">
        <v>9</v>
      </c>
      <c r="CZ598">
        <v>6</v>
      </c>
      <c r="DA598">
        <v>9</v>
      </c>
      <c r="DB598">
        <v>0</v>
      </c>
      <c r="DC598">
        <v>7</v>
      </c>
      <c r="DD598">
        <v>5</v>
      </c>
      <c r="DE598">
        <v>5</v>
      </c>
      <c r="DF598">
        <v>6</v>
      </c>
      <c r="DG598">
        <v>2</v>
      </c>
      <c r="DH598">
        <v>3</v>
      </c>
      <c r="DI598">
        <v>1</v>
      </c>
      <c r="DJ598">
        <v>5</v>
      </c>
      <c r="DK598">
        <v>0</v>
      </c>
    </row>
    <row r="599" spans="1:115">
      <c r="A599" s="173">
        <f>Calculations[[#This Row],[Sum t eCO2]]*IF(Calculations[[#This Row],[GHG Scope]]="BIOGENIC",0,1)</f>
        <v>1.671373</v>
      </c>
      <c r="O599">
        <f t="shared" si="9"/>
        <v>598</v>
      </c>
      <c r="P599">
        <v>4</v>
      </c>
      <c r="Q599">
        <v>8</v>
      </c>
      <c r="R599">
        <v>10</v>
      </c>
      <c r="S599">
        <v>10</v>
      </c>
      <c r="T599">
        <v>10</v>
      </c>
      <c r="U599">
        <v>7</v>
      </c>
      <c r="V599">
        <v>7</v>
      </c>
      <c r="W599">
        <v>7</v>
      </c>
      <c r="X599">
        <v>0</v>
      </c>
      <c r="Y599">
        <v>9</v>
      </c>
      <c r="Z599">
        <v>1</v>
      </c>
      <c r="AA599">
        <v>3</v>
      </c>
      <c r="AB599">
        <v>3</v>
      </c>
      <c r="AC599">
        <v>0</v>
      </c>
      <c r="AD599">
        <v>0</v>
      </c>
      <c r="AE599">
        <v>9</v>
      </c>
      <c r="AF599">
        <v>0</v>
      </c>
      <c r="AG599">
        <v>8</v>
      </c>
      <c r="AH599">
        <v>4</v>
      </c>
      <c r="AI599">
        <v>0</v>
      </c>
      <c r="AJ599">
        <v>7</v>
      </c>
      <c r="AK599">
        <v>7</v>
      </c>
      <c r="AL599">
        <v>7</v>
      </c>
      <c r="AM599">
        <v>5</v>
      </c>
      <c r="AN599">
        <v>7</v>
      </c>
      <c r="AO599">
        <v>8</v>
      </c>
      <c r="AP599">
        <v>4</v>
      </c>
      <c r="AQ599">
        <v>7</v>
      </c>
      <c r="AR599">
        <v>4</v>
      </c>
      <c r="AS599">
        <v>1</v>
      </c>
      <c r="AT599">
        <v>7</v>
      </c>
      <c r="AU599">
        <v>6</v>
      </c>
      <c r="AV599">
        <v>7</v>
      </c>
      <c r="AW599">
        <v>0</v>
      </c>
      <c r="AX599">
        <v>10</v>
      </c>
      <c r="AY599">
        <v>2</v>
      </c>
      <c r="AZ599">
        <v>5</v>
      </c>
      <c r="BA599">
        <v>5</v>
      </c>
      <c r="BB599">
        <v>6</v>
      </c>
      <c r="BC599">
        <v>5</v>
      </c>
      <c r="BD599">
        <v>3</v>
      </c>
      <c r="BE599">
        <v>7</v>
      </c>
      <c r="BF599">
        <v>2</v>
      </c>
      <c r="BG599">
        <v>5</v>
      </c>
      <c r="BH599">
        <v>7</v>
      </c>
      <c r="BI599">
        <v>0</v>
      </c>
      <c r="BJ599">
        <v>6</v>
      </c>
      <c r="BK599">
        <v>5</v>
      </c>
      <c r="BL599">
        <v>10</v>
      </c>
      <c r="BM599">
        <v>8</v>
      </c>
      <c r="BN599">
        <v>6</v>
      </c>
      <c r="BO599">
        <v>0</v>
      </c>
      <c r="BP599">
        <v>7</v>
      </c>
      <c r="BQ599">
        <v>5</v>
      </c>
      <c r="BR599">
        <v>6</v>
      </c>
      <c r="BS599">
        <v>2</v>
      </c>
      <c r="BT599">
        <v>3</v>
      </c>
      <c r="BU599">
        <v>7</v>
      </c>
      <c r="BV599">
        <v>9</v>
      </c>
      <c r="BW599">
        <v>10</v>
      </c>
      <c r="BX599">
        <v>2</v>
      </c>
      <c r="BY599">
        <v>5</v>
      </c>
      <c r="BZ599">
        <v>2</v>
      </c>
      <c r="CA599">
        <v>1</v>
      </c>
      <c r="CB599">
        <v>9</v>
      </c>
      <c r="CC599">
        <v>6</v>
      </c>
      <c r="CD599">
        <v>6</v>
      </c>
      <c r="CE599">
        <v>2</v>
      </c>
      <c r="CF599">
        <v>10</v>
      </c>
      <c r="CG599">
        <v>1</v>
      </c>
      <c r="CH599">
        <v>0</v>
      </c>
      <c r="CI599">
        <v>8</v>
      </c>
      <c r="CJ599">
        <v>1</v>
      </c>
      <c r="CK599">
        <v>4</v>
      </c>
      <c r="CL599">
        <v>6</v>
      </c>
      <c r="CM599">
        <v>8</v>
      </c>
      <c r="CN599">
        <v>9</v>
      </c>
      <c r="CO599">
        <v>7</v>
      </c>
      <c r="CP599">
        <v>6</v>
      </c>
      <c r="CQ599">
        <v>0</v>
      </c>
      <c r="CR599">
        <v>1</v>
      </c>
      <c r="CS599">
        <v>4</v>
      </c>
      <c r="CT599">
        <v>4</v>
      </c>
      <c r="CU599">
        <v>9</v>
      </c>
      <c r="CV599">
        <v>5</v>
      </c>
      <c r="CW599">
        <v>10</v>
      </c>
      <c r="CX599">
        <v>4</v>
      </c>
      <c r="CY599">
        <v>2</v>
      </c>
      <c r="CZ599">
        <v>9</v>
      </c>
      <c r="DA599">
        <v>5</v>
      </c>
      <c r="DB599">
        <v>10</v>
      </c>
      <c r="DC599">
        <v>7</v>
      </c>
      <c r="DD599">
        <v>9</v>
      </c>
      <c r="DE599">
        <v>7</v>
      </c>
      <c r="DF599">
        <v>6</v>
      </c>
      <c r="DG599">
        <v>7</v>
      </c>
      <c r="DH599">
        <v>6</v>
      </c>
      <c r="DI599">
        <v>8</v>
      </c>
      <c r="DJ599">
        <v>4</v>
      </c>
      <c r="DK599">
        <v>7</v>
      </c>
    </row>
    <row r="600" spans="1:115">
      <c r="A600" s="173">
        <f>Calculations[[#This Row],[Sum t eCO2]]*IF(Calculations[[#This Row],[GHG Scope]]="BIOGENIC",0,1)</f>
        <v>3.3549405480000001</v>
      </c>
      <c r="O600">
        <f t="shared" si="9"/>
        <v>599</v>
      </c>
      <c r="P600">
        <v>4</v>
      </c>
      <c r="Q600">
        <v>8</v>
      </c>
      <c r="R600">
        <v>6</v>
      </c>
      <c r="S600">
        <v>9</v>
      </c>
      <c r="T600">
        <v>2</v>
      </c>
      <c r="U600">
        <v>0</v>
      </c>
      <c r="V600">
        <v>3</v>
      </c>
      <c r="W600">
        <v>7</v>
      </c>
      <c r="X600">
        <v>10</v>
      </c>
      <c r="Y600">
        <v>1</v>
      </c>
      <c r="Z600">
        <v>1</v>
      </c>
      <c r="AA600">
        <v>6</v>
      </c>
      <c r="AB600">
        <v>7</v>
      </c>
      <c r="AC600">
        <v>1</v>
      </c>
      <c r="AD600">
        <v>10</v>
      </c>
      <c r="AE600">
        <v>6</v>
      </c>
      <c r="AF600">
        <v>6</v>
      </c>
      <c r="AG600">
        <v>0</v>
      </c>
      <c r="AH600">
        <v>7</v>
      </c>
      <c r="AI600">
        <v>0</v>
      </c>
      <c r="AJ600">
        <v>1</v>
      </c>
      <c r="AK600">
        <v>6</v>
      </c>
      <c r="AL600">
        <v>10</v>
      </c>
      <c r="AM600">
        <v>4</v>
      </c>
      <c r="AN600">
        <v>8</v>
      </c>
      <c r="AO600">
        <v>10</v>
      </c>
      <c r="AP600">
        <v>2</v>
      </c>
      <c r="AQ600">
        <v>3</v>
      </c>
      <c r="AR600">
        <v>7</v>
      </c>
      <c r="AS600">
        <v>7</v>
      </c>
      <c r="AT600">
        <v>6</v>
      </c>
      <c r="AU600">
        <v>6</v>
      </c>
      <c r="AV600">
        <v>10</v>
      </c>
      <c r="AW600">
        <v>2</v>
      </c>
      <c r="AX600">
        <v>6</v>
      </c>
      <c r="AY600">
        <v>9</v>
      </c>
      <c r="AZ600">
        <v>10</v>
      </c>
      <c r="BA600">
        <v>5</v>
      </c>
      <c r="BB600">
        <v>6</v>
      </c>
      <c r="BC600">
        <v>10</v>
      </c>
      <c r="BD600">
        <v>10</v>
      </c>
      <c r="BE600">
        <v>2</v>
      </c>
      <c r="BF600">
        <v>7</v>
      </c>
      <c r="BG600">
        <v>2</v>
      </c>
      <c r="BH600">
        <v>7</v>
      </c>
      <c r="BI600">
        <v>1</v>
      </c>
      <c r="BJ600">
        <v>2</v>
      </c>
      <c r="BK600">
        <v>0</v>
      </c>
      <c r="BL600">
        <v>9</v>
      </c>
      <c r="BM600">
        <v>9</v>
      </c>
      <c r="BN600">
        <v>3</v>
      </c>
      <c r="BO600">
        <v>1</v>
      </c>
      <c r="BP600">
        <v>1</v>
      </c>
      <c r="BQ600">
        <v>0</v>
      </c>
      <c r="BR600">
        <v>1</v>
      </c>
      <c r="BS600">
        <v>8</v>
      </c>
      <c r="BT600">
        <v>5</v>
      </c>
      <c r="BU600">
        <v>1</v>
      </c>
      <c r="BV600">
        <v>1</v>
      </c>
      <c r="BW600">
        <v>2</v>
      </c>
      <c r="BX600">
        <v>7</v>
      </c>
      <c r="BY600">
        <v>3</v>
      </c>
      <c r="BZ600">
        <v>10</v>
      </c>
      <c r="CA600">
        <v>4</v>
      </c>
      <c r="CB600">
        <v>5</v>
      </c>
      <c r="CC600">
        <v>6</v>
      </c>
      <c r="CD600">
        <v>2</v>
      </c>
      <c r="CE600">
        <v>6</v>
      </c>
      <c r="CF600">
        <v>6</v>
      </c>
      <c r="CG600">
        <v>3</v>
      </c>
      <c r="CH600">
        <v>1</v>
      </c>
      <c r="CI600">
        <v>3</v>
      </c>
      <c r="CJ600">
        <v>6</v>
      </c>
      <c r="CK600">
        <v>10</v>
      </c>
      <c r="CL600">
        <v>9</v>
      </c>
      <c r="CM600">
        <v>3</v>
      </c>
      <c r="CN600">
        <v>10</v>
      </c>
      <c r="CO600">
        <v>10</v>
      </c>
      <c r="CP600">
        <v>4</v>
      </c>
      <c r="CQ600">
        <v>8</v>
      </c>
      <c r="CR600">
        <v>2</v>
      </c>
      <c r="CS600">
        <v>7</v>
      </c>
      <c r="CT600">
        <v>7</v>
      </c>
      <c r="CU600">
        <v>6</v>
      </c>
      <c r="CV600">
        <v>8</v>
      </c>
      <c r="CW600">
        <v>5</v>
      </c>
      <c r="CX600">
        <v>10</v>
      </c>
      <c r="CY600">
        <v>10</v>
      </c>
      <c r="CZ600">
        <v>5</v>
      </c>
      <c r="DA600">
        <v>9</v>
      </c>
      <c r="DB600">
        <v>6</v>
      </c>
      <c r="DC600">
        <v>4</v>
      </c>
      <c r="DD600">
        <v>2</v>
      </c>
      <c r="DE600">
        <v>7</v>
      </c>
      <c r="DF600">
        <v>0</v>
      </c>
      <c r="DG600">
        <v>1</v>
      </c>
      <c r="DH600">
        <v>4</v>
      </c>
      <c r="DI600">
        <v>0</v>
      </c>
      <c r="DJ600">
        <v>0</v>
      </c>
      <c r="DK600">
        <v>4</v>
      </c>
    </row>
    <row r="601" spans="1:115">
      <c r="A601" s="173">
        <f>Calculations[[#This Row],[Sum t eCO2]]*IF(Calculations[[#This Row],[GHG Scope]]="BIOGENIC",0,1)</f>
        <v>3.516</v>
      </c>
      <c r="O601">
        <f t="shared" si="9"/>
        <v>600</v>
      </c>
      <c r="P601">
        <v>6</v>
      </c>
      <c r="Q601">
        <v>1</v>
      </c>
      <c r="R601">
        <v>6</v>
      </c>
      <c r="S601">
        <v>4</v>
      </c>
      <c r="T601">
        <v>3</v>
      </c>
      <c r="U601">
        <v>5</v>
      </c>
      <c r="V601">
        <v>9</v>
      </c>
      <c r="W601">
        <v>1</v>
      </c>
      <c r="X601">
        <v>3</v>
      </c>
      <c r="Y601">
        <v>8</v>
      </c>
      <c r="Z601">
        <v>0</v>
      </c>
      <c r="AA601">
        <v>3</v>
      </c>
      <c r="AB601">
        <v>1</v>
      </c>
      <c r="AC601">
        <v>2</v>
      </c>
      <c r="AD601">
        <v>10</v>
      </c>
      <c r="AE601">
        <v>8</v>
      </c>
      <c r="AF601">
        <v>2</v>
      </c>
      <c r="AG601">
        <v>4</v>
      </c>
      <c r="AH601">
        <v>10</v>
      </c>
      <c r="AI601">
        <v>1</v>
      </c>
      <c r="AJ601">
        <v>0</v>
      </c>
      <c r="AK601">
        <v>7</v>
      </c>
      <c r="AL601">
        <v>3</v>
      </c>
      <c r="AM601">
        <v>8</v>
      </c>
      <c r="AN601">
        <v>4</v>
      </c>
      <c r="AO601">
        <v>9</v>
      </c>
      <c r="AP601">
        <v>2</v>
      </c>
      <c r="AQ601">
        <v>2</v>
      </c>
      <c r="AR601">
        <v>4</v>
      </c>
      <c r="AS601">
        <v>10</v>
      </c>
      <c r="AT601">
        <v>4</v>
      </c>
      <c r="AU601">
        <v>8</v>
      </c>
      <c r="AV601">
        <v>1</v>
      </c>
      <c r="AW601">
        <v>5</v>
      </c>
      <c r="AX601">
        <v>0</v>
      </c>
      <c r="AY601">
        <v>6</v>
      </c>
      <c r="AZ601">
        <v>4</v>
      </c>
      <c r="BA601">
        <v>7</v>
      </c>
      <c r="BB601">
        <v>9</v>
      </c>
      <c r="BC601">
        <v>7</v>
      </c>
      <c r="BD601">
        <v>1</v>
      </c>
      <c r="BE601">
        <v>7</v>
      </c>
      <c r="BF601">
        <v>3</v>
      </c>
      <c r="BG601">
        <v>8</v>
      </c>
      <c r="BH601">
        <v>1</v>
      </c>
      <c r="BI601">
        <v>9</v>
      </c>
      <c r="BJ601">
        <v>9</v>
      </c>
      <c r="BK601">
        <v>10</v>
      </c>
      <c r="BL601">
        <v>1</v>
      </c>
      <c r="BM601">
        <v>2</v>
      </c>
      <c r="BN601">
        <v>5</v>
      </c>
      <c r="BO601">
        <v>1</v>
      </c>
      <c r="BP601">
        <v>2</v>
      </c>
      <c r="BQ601">
        <v>0</v>
      </c>
      <c r="BR601">
        <v>1</v>
      </c>
      <c r="BS601">
        <v>10</v>
      </c>
      <c r="BT601">
        <v>4</v>
      </c>
      <c r="BU601">
        <v>5</v>
      </c>
      <c r="BV601">
        <v>1</v>
      </c>
      <c r="BW601">
        <v>3</v>
      </c>
      <c r="BX601">
        <v>10</v>
      </c>
      <c r="BY601">
        <v>2</v>
      </c>
      <c r="BZ601">
        <v>1</v>
      </c>
      <c r="CA601">
        <v>4</v>
      </c>
      <c r="CB601">
        <v>5</v>
      </c>
      <c r="CC601">
        <v>2</v>
      </c>
      <c r="CD601">
        <v>3</v>
      </c>
      <c r="CE601">
        <v>7</v>
      </c>
      <c r="CF601">
        <v>3</v>
      </c>
      <c r="CG601">
        <v>7</v>
      </c>
      <c r="CH601">
        <v>7</v>
      </c>
      <c r="CI601">
        <v>3</v>
      </c>
      <c r="CJ601">
        <v>8</v>
      </c>
      <c r="CK601">
        <v>1</v>
      </c>
      <c r="CL601">
        <v>3</v>
      </c>
      <c r="CM601">
        <v>9</v>
      </c>
      <c r="CN601">
        <v>0</v>
      </c>
      <c r="CO601">
        <v>2</v>
      </c>
      <c r="CP601">
        <v>7</v>
      </c>
      <c r="CQ601">
        <v>9</v>
      </c>
      <c r="CR601">
        <v>7</v>
      </c>
      <c r="CS601">
        <v>4</v>
      </c>
      <c r="CT601">
        <v>3</v>
      </c>
      <c r="CU601">
        <v>9</v>
      </c>
      <c r="CV601">
        <v>7</v>
      </c>
      <c r="CW601">
        <v>2</v>
      </c>
      <c r="CX601">
        <v>7</v>
      </c>
      <c r="CY601">
        <v>10</v>
      </c>
      <c r="CZ601">
        <v>3</v>
      </c>
      <c r="DA601">
        <v>8</v>
      </c>
      <c r="DB601">
        <v>8</v>
      </c>
      <c r="DC601">
        <v>1</v>
      </c>
      <c r="DD601">
        <v>1</v>
      </c>
      <c r="DE601">
        <v>4</v>
      </c>
      <c r="DF601">
        <v>5</v>
      </c>
      <c r="DG601">
        <v>3</v>
      </c>
      <c r="DH601">
        <v>7</v>
      </c>
      <c r="DI601">
        <v>2</v>
      </c>
      <c r="DJ601">
        <v>6</v>
      </c>
      <c r="DK601">
        <v>8</v>
      </c>
    </row>
    <row r="602" spans="1:115">
      <c r="A602" s="173">
        <f>Calculations[[#This Row],[Sum t eCO2]]*IF(Calculations[[#This Row],[GHG Scope]]="BIOGENIC",0,1)</f>
        <v>1.820495336</v>
      </c>
      <c r="O602">
        <f t="shared" si="9"/>
        <v>601</v>
      </c>
      <c r="P602">
        <v>0</v>
      </c>
      <c r="Q602">
        <v>10</v>
      </c>
      <c r="R602">
        <v>8</v>
      </c>
      <c r="S602">
        <v>6</v>
      </c>
      <c r="T602">
        <v>0</v>
      </c>
      <c r="U602">
        <v>1</v>
      </c>
      <c r="V602">
        <v>0</v>
      </c>
      <c r="W602">
        <v>10</v>
      </c>
      <c r="X602">
        <v>5</v>
      </c>
      <c r="Y602">
        <v>10</v>
      </c>
      <c r="Z602">
        <v>10</v>
      </c>
      <c r="AA602">
        <v>6</v>
      </c>
      <c r="AB602">
        <v>9</v>
      </c>
      <c r="AC602">
        <v>9</v>
      </c>
      <c r="AD602">
        <v>4</v>
      </c>
      <c r="AE602">
        <v>7</v>
      </c>
      <c r="AF602">
        <v>1</v>
      </c>
      <c r="AG602">
        <v>10</v>
      </c>
      <c r="AH602">
        <v>3</v>
      </c>
      <c r="AI602">
        <v>4</v>
      </c>
      <c r="AJ602">
        <v>0</v>
      </c>
      <c r="AK602">
        <v>4</v>
      </c>
      <c r="AL602">
        <v>0</v>
      </c>
      <c r="AM602">
        <v>3</v>
      </c>
      <c r="AN602">
        <v>7</v>
      </c>
      <c r="AO602">
        <v>7</v>
      </c>
      <c r="AP602">
        <v>5</v>
      </c>
      <c r="AQ602">
        <v>0</v>
      </c>
      <c r="AR602">
        <v>8</v>
      </c>
      <c r="AS602">
        <v>2</v>
      </c>
      <c r="AT602">
        <v>7</v>
      </c>
      <c r="AU602">
        <v>0</v>
      </c>
      <c r="AV602">
        <v>8</v>
      </c>
      <c r="AW602">
        <v>10</v>
      </c>
      <c r="AX602">
        <v>4</v>
      </c>
      <c r="AY602">
        <v>1</v>
      </c>
      <c r="AZ602">
        <v>0</v>
      </c>
      <c r="BA602">
        <v>3</v>
      </c>
      <c r="BB602">
        <v>6</v>
      </c>
      <c r="BC602">
        <v>8</v>
      </c>
      <c r="BD602">
        <v>1</v>
      </c>
      <c r="BE602">
        <v>2</v>
      </c>
      <c r="BF602">
        <v>0</v>
      </c>
      <c r="BG602">
        <v>9</v>
      </c>
      <c r="BH602">
        <v>1</v>
      </c>
      <c r="BI602">
        <v>1</v>
      </c>
      <c r="BJ602">
        <v>3</v>
      </c>
      <c r="BK602">
        <v>7</v>
      </c>
      <c r="BL602">
        <v>3</v>
      </c>
      <c r="BM602">
        <v>1</v>
      </c>
      <c r="BN602">
        <v>6</v>
      </c>
      <c r="BO602">
        <v>7</v>
      </c>
      <c r="BP602">
        <v>9</v>
      </c>
      <c r="BQ602">
        <v>2</v>
      </c>
      <c r="BR602">
        <v>3</v>
      </c>
      <c r="BS602">
        <v>6</v>
      </c>
      <c r="BT602">
        <v>10</v>
      </c>
      <c r="BU602">
        <v>2</v>
      </c>
      <c r="BV602">
        <v>5</v>
      </c>
      <c r="BW602">
        <v>5</v>
      </c>
      <c r="BX602">
        <v>2</v>
      </c>
      <c r="BY602">
        <v>0</v>
      </c>
      <c r="BZ602">
        <v>7</v>
      </c>
      <c r="CA602">
        <v>1</v>
      </c>
      <c r="CB602">
        <v>5</v>
      </c>
      <c r="CC602">
        <v>7</v>
      </c>
      <c r="CD602">
        <v>4</v>
      </c>
      <c r="CE602">
        <v>3</v>
      </c>
      <c r="CF602">
        <v>2</v>
      </c>
      <c r="CG602">
        <v>6</v>
      </c>
      <c r="CH602">
        <v>9</v>
      </c>
      <c r="CI602">
        <v>1</v>
      </c>
      <c r="CJ602">
        <v>1</v>
      </c>
      <c r="CK602">
        <v>2</v>
      </c>
      <c r="CL602">
        <v>4</v>
      </c>
      <c r="CM602">
        <v>9</v>
      </c>
      <c r="CN602">
        <v>8</v>
      </c>
      <c r="CO602">
        <v>7</v>
      </c>
      <c r="CP602">
        <v>5</v>
      </c>
      <c r="CQ602">
        <v>4</v>
      </c>
      <c r="CR602">
        <v>2</v>
      </c>
      <c r="CS602">
        <v>7</v>
      </c>
      <c r="CT602">
        <v>6</v>
      </c>
      <c r="CU602">
        <v>3</v>
      </c>
      <c r="CV602">
        <v>8</v>
      </c>
      <c r="CW602">
        <v>4</v>
      </c>
      <c r="CX602">
        <v>10</v>
      </c>
      <c r="CY602">
        <v>3</v>
      </c>
      <c r="CZ602">
        <v>7</v>
      </c>
      <c r="DA602">
        <v>1</v>
      </c>
      <c r="DB602">
        <v>0</v>
      </c>
      <c r="DC602">
        <v>2</v>
      </c>
      <c r="DD602">
        <v>4</v>
      </c>
      <c r="DE602">
        <v>6</v>
      </c>
      <c r="DF602">
        <v>6</v>
      </c>
      <c r="DG602">
        <v>5</v>
      </c>
      <c r="DH602">
        <v>9</v>
      </c>
      <c r="DI602">
        <v>7</v>
      </c>
      <c r="DJ602">
        <v>7</v>
      </c>
      <c r="DK602">
        <v>3</v>
      </c>
    </row>
    <row r="603" spans="1:115">
      <c r="A603" s="173">
        <f>Calculations[[#This Row],[Sum t eCO2]]*IF(Calculations[[#This Row],[GHG Scope]]="BIOGENIC",0,1)</f>
        <v>30.985023694399999</v>
      </c>
      <c r="O603">
        <f t="shared" si="9"/>
        <v>602</v>
      </c>
      <c r="P603">
        <v>10</v>
      </c>
      <c r="Q603">
        <v>2</v>
      </c>
      <c r="R603">
        <v>6</v>
      </c>
      <c r="S603">
        <v>8</v>
      </c>
      <c r="T603">
        <v>8</v>
      </c>
      <c r="U603">
        <v>4</v>
      </c>
      <c r="V603">
        <v>5</v>
      </c>
      <c r="W603">
        <v>6</v>
      </c>
      <c r="X603">
        <v>5</v>
      </c>
      <c r="Y603">
        <v>1</v>
      </c>
      <c r="Z603">
        <v>7</v>
      </c>
      <c r="AA603">
        <v>0</v>
      </c>
      <c r="AB603">
        <v>7</v>
      </c>
      <c r="AC603">
        <v>0</v>
      </c>
      <c r="AD603">
        <v>9</v>
      </c>
      <c r="AE603">
        <v>10</v>
      </c>
      <c r="AF603">
        <v>4</v>
      </c>
      <c r="AG603">
        <v>6</v>
      </c>
      <c r="AH603">
        <v>6</v>
      </c>
      <c r="AI603">
        <v>1</v>
      </c>
      <c r="AJ603">
        <v>8</v>
      </c>
      <c r="AK603">
        <v>2</v>
      </c>
      <c r="AL603">
        <v>1</v>
      </c>
      <c r="AM603">
        <v>2</v>
      </c>
      <c r="AN603">
        <v>5</v>
      </c>
      <c r="AO603">
        <v>1</v>
      </c>
      <c r="AP603">
        <v>2</v>
      </c>
      <c r="AQ603">
        <v>2</v>
      </c>
      <c r="AR603">
        <v>4</v>
      </c>
      <c r="AS603">
        <v>1</v>
      </c>
      <c r="AT603">
        <v>9</v>
      </c>
      <c r="AU603">
        <v>1</v>
      </c>
      <c r="AV603">
        <v>2</v>
      </c>
      <c r="AW603">
        <v>7</v>
      </c>
      <c r="AX603">
        <v>5</v>
      </c>
      <c r="AY603">
        <v>3</v>
      </c>
      <c r="AZ603">
        <v>4</v>
      </c>
      <c r="BA603">
        <v>4</v>
      </c>
      <c r="BB603">
        <v>2</v>
      </c>
      <c r="BC603">
        <v>0</v>
      </c>
      <c r="BD603">
        <v>0</v>
      </c>
      <c r="BE603">
        <v>4</v>
      </c>
      <c r="BF603">
        <v>8</v>
      </c>
      <c r="BG603">
        <v>7</v>
      </c>
      <c r="BH603">
        <v>7</v>
      </c>
      <c r="BI603">
        <v>8</v>
      </c>
      <c r="BJ603">
        <v>2</v>
      </c>
      <c r="BK603">
        <v>4</v>
      </c>
      <c r="BL603">
        <v>6</v>
      </c>
      <c r="BM603">
        <v>5</v>
      </c>
      <c r="BN603">
        <v>0</v>
      </c>
      <c r="BO603">
        <v>9</v>
      </c>
      <c r="BP603">
        <v>6</v>
      </c>
      <c r="BQ603">
        <v>8</v>
      </c>
      <c r="BR603">
        <v>5</v>
      </c>
      <c r="BS603">
        <v>6</v>
      </c>
      <c r="BT603">
        <v>10</v>
      </c>
      <c r="BU603">
        <v>5</v>
      </c>
      <c r="BV603">
        <v>3</v>
      </c>
      <c r="BW603">
        <v>5</v>
      </c>
      <c r="BX603">
        <v>1</v>
      </c>
      <c r="BY603">
        <v>0</v>
      </c>
      <c r="BZ603">
        <v>5</v>
      </c>
      <c r="CA603">
        <v>8</v>
      </c>
      <c r="CB603">
        <v>4</v>
      </c>
      <c r="CC603">
        <v>7</v>
      </c>
      <c r="CD603">
        <v>3</v>
      </c>
      <c r="CE603">
        <v>1</v>
      </c>
      <c r="CF603">
        <v>8</v>
      </c>
      <c r="CG603">
        <v>7</v>
      </c>
      <c r="CH603">
        <v>10</v>
      </c>
      <c r="CI603">
        <v>8</v>
      </c>
      <c r="CJ603">
        <v>8</v>
      </c>
      <c r="CK603">
        <v>2</v>
      </c>
      <c r="CL603">
        <v>9</v>
      </c>
      <c r="CM603">
        <v>9</v>
      </c>
      <c r="CN603">
        <v>9</v>
      </c>
      <c r="CO603">
        <v>9</v>
      </c>
      <c r="CP603">
        <v>4</v>
      </c>
      <c r="CQ603">
        <v>10</v>
      </c>
      <c r="CR603">
        <v>4</v>
      </c>
      <c r="CS603">
        <v>2</v>
      </c>
      <c r="CT603">
        <v>7</v>
      </c>
      <c r="CU603">
        <v>2</v>
      </c>
      <c r="CV603">
        <v>4</v>
      </c>
      <c r="CW603">
        <v>8</v>
      </c>
      <c r="CX603">
        <v>2</v>
      </c>
      <c r="CY603">
        <v>9</v>
      </c>
      <c r="CZ603">
        <v>8</v>
      </c>
      <c r="DA603">
        <v>8</v>
      </c>
      <c r="DB603">
        <v>1</v>
      </c>
      <c r="DC603">
        <v>6</v>
      </c>
      <c r="DD603">
        <v>2</v>
      </c>
      <c r="DE603">
        <v>10</v>
      </c>
      <c r="DF603">
        <v>0</v>
      </c>
      <c r="DG603">
        <v>0</v>
      </c>
      <c r="DH603">
        <v>0</v>
      </c>
      <c r="DI603">
        <v>9</v>
      </c>
      <c r="DJ603">
        <v>0</v>
      </c>
      <c r="DK603">
        <v>0</v>
      </c>
    </row>
    <row r="604" spans="1:115">
      <c r="A604" s="173">
        <f>Calculations[[#This Row],[Sum t eCO2]]*IF(Calculations[[#This Row],[GHG Scope]]="BIOGENIC",0,1)</f>
        <v>16.342274960000001</v>
      </c>
      <c r="O604">
        <f t="shared" si="9"/>
        <v>603</v>
      </c>
      <c r="P604">
        <v>6</v>
      </c>
      <c r="Q604">
        <v>2</v>
      </c>
      <c r="R604">
        <v>4</v>
      </c>
      <c r="S604">
        <v>5</v>
      </c>
      <c r="T604">
        <v>3</v>
      </c>
      <c r="U604">
        <v>9</v>
      </c>
      <c r="V604">
        <v>4</v>
      </c>
      <c r="W604">
        <v>1</v>
      </c>
      <c r="X604">
        <v>0</v>
      </c>
      <c r="Y604">
        <v>0</v>
      </c>
      <c r="Z604">
        <v>9</v>
      </c>
      <c r="AA604">
        <v>5</v>
      </c>
      <c r="AB604">
        <v>2</v>
      </c>
      <c r="AC604">
        <v>8</v>
      </c>
      <c r="AD604">
        <v>3</v>
      </c>
      <c r="AE604">
        <v>9</v>
      </c>
      <c r="AF604">
        <v>6</v>
      </c>
      <c r="AG604">
        <v>4</v>
      </c>
      <c r="AH604">
        <v>9</v>
      </c>
      <c r="AI604">
        <v>7</v>
      </c>
      <c r="AJ604">
        <v>2</v>
      </c>
      <c r="AK604">
        <v>2</v>
      </c>
      <c r="AL604">
        <v>7</v>
      </c>
      <c r="AM604">
        <v>4</v>
      </c>
      <c r="AN604">
        <v>2</v>
      </c>
      <c r="AO604">
        <v>0</v>
      </c>
      <c r="AP604">
        <v>10</v>
      </c>
      <c r="AQ604">
        <v>4</v>
      </c>
      <c r="AR604">
        <v>3</v>
      </c>
      <c r="AS604">
        <v>8</v>
      </c>
      <c r="AT604">
        <v>4</v>
      </c>
      <c r="AU604">
        <v>8</v>
      </c>
      <c r="AV604">
        <v>1</v>
      </c>
      <c r="AW604">
        <v>9</v>
      </c>
      <c r="AX604">
        <v>0</v>
      </c>
      <c r="AY604">
        <v>3</v>
      </c>
      <c r="AZ604">
        <v>1</v>
      </c>
      <c r="BA604">
        <v>3</v>
      </c>
      <c r="BB604">
        <v>4</v>
      </c>
      <c r="BC604">
        <v>2</v>
      </c>
      <c r="BD604">
        <v>0</v>
      </c>
      <c r="BE604">
        <v>5</v>
      </c>
      <c r="BF604">
        <v>9</v>
      </c>
      <c r="BG604">
        <v>0</v>
      </c>
      <c r="BH604">
        <v>8</v>
      </c>
      <c r="BI604">
        <v>9</v>
      </c>
      <c r="BJ604">
        <v>3</v>
      </c>
      <c r="BK604">
        <v>3</v>
      </c>
      <c r="BL604">
        <v>2</v>
      </c>
      <c r="BM604">
        <v>3</v>
      </c>
      <c r="BN604">
        <v>7</v>
      </c>
      <c r="BO604">
        <v>8</v>
      </c>
      <c r="BP604">
        <v>9</v>
      </c>
      <c r="BQ604">
        <v>0</v>
      </c>
      <c r="BR604">
        <v>7</v>
      </c>
      <c r="BS604">
        <v>3</v>
      </c>
      <c r="BT604">
        <v>7</v>
      </c>
      <c r="BU604">
        <v>1</v>
      </c>
      <c r="BV604">
        <v>2</v>
      </c>
      <c r="BW604">
        <v>2</v>
      </c>
      <c r="BX604">
        <v>8</v>
      </c>
      <c r="BY604">
        <v>3</v>
      </c>
      <c r="BZ604">
        <v>1</v>
      </c>
      <c r="CA604">
        <v>5</v>
      </c>
      <c r="CB604">
        <v>2</v>
      </c>
      <c r="CC604">
        <v>10</v>
      </c>
      <c r="CD604">
        <v>2</v>
      </c>
      <c r="CE604">
        <v>5</v>
      </c>
      <c r="CF604">
        <v>7</v>
      </c>
      <c r="CG604">
        <v>7</v>
      </c>
      <c r="CH604">
        <v>4</v>
      </c>
      <c r="CI604">
        <v>8</v>
      </c>
      <c r="CJ604">
        <v>1</v>
      </c>
      <c r="CK604">
        <v>5</v>
      </c>
      <c r="CL604">
        <v>7</v>
      </c>
      <c r="CM604">
        <v>7</v>
      </c>
      <c r="CN604">
        <v>0</v>
      </c>
      <c r="CO604">
        <v>6</v>
      </c>
      <c r="CP604">
        <v>8</v>
      </c>
      <c r="CQ604">
        <v>4</v>
      </c>
      <c r="CR604">
        <v>3</v>
      </c>
      <c r="CS604">
        <v>1</v>
      </c>
      <c r="CT604">
        <v>10</v>
      </c>
      <c r="CU604">
        <v>0</v>
      </c>
      <c r="CV604">
        <v>4</v>
      </c>
      <c r="CW604">
        <v>1</v>
      </c>
      <c r="CX604">
        <v>2</v>
      </c>
      <c r="CY604">
        <v>3</v>
      </c>
      <c r="CZ604">
        <v>7</v>
      </c>
      <c r="DA604">
        <v>10</v>
      </c>
      <c r="DB604">
        <v>5</v>
      </c>
      <c r="DC604">
        <v>1</v>
      </c>
      <c r="DD604">
        <v>1</v>
      </c>
      <c r="DE604">
        <v>6</v>
      </c>
      <c r="DF604">
        <v>0</v>
      </c>
      <c r="DG604">
        <v>0</v>
      </c>
      <c r="DH604">
        <v>7</v>
      </c>
      <c r="DI604">
        <v>4</v>
      </c>
      <c r="DJ604">
        <v>3</v>
      </c>
      <c r="DK604">
        <v>6</v>
      </c>
    </row>
    <row r="605" spans="1:115">
      <c r="A605" s="173">
        <f>Calculations[[#This Row],[Sum t eCO2]]*IF(Calculations[[#This Row],[GHG Scope]]="BIOGENIC",0,1)</f>
        <v>0</v>
      </c>
      <c r="O605">
        <f t="shared" si="9"/>
        <v>604</v>
      </c>
      <c r="P605">
        <v>4</v>
      </c>
      <c r="Q605">
        <v>10</v>
      </c>
      <c r="R605">
        <v>7</v>
      </c>
      <c r="S605">
        <v>3</v>
      </c>
      <c r="T605">
        <v>1</v>
      </c>
      <c r="U605">
        <v>5</v>
      </c>
      <c r="V605">
        <v>7</v>
      </c>
      <c r="W605">
        <v>4</v>
      </c>
      <c r="X605">
        <v>6</v>
      </c>
      <c r="Y605">
        <v>3</v>
      </c>
      <c r="Z605">
        <v>7</v>
      </c>
      <c r="AA605">
        <v>2</v>
      </c>
      <c r="AB605">
        <v>10</v>
      </c>
      <c r="AC605">
        <v>6</v>
      </c>
      <c r="AD605">
        <v>9</v>
      </c>
      <c r="AE605">
        <v>0</v>
      </c>
      <c r="AF605">
        <v>10</v>
      </c>
      <c r="AG605">
        <v>4</v>
      </c>
      <c r="AH605">
        <v>8</v>
      </c>
      <c r="AI605">
        <v>2</v>
      </c>
      <c r="AJ605">
        <v>3</v>
      </c>
      <c r="AK605">
        <v>7</v>
      </c>
      <c r="AL605">
        <v>4</v>
      </c>
      <c r="AM605">
        <v>6</v>
      </c>
      <c r="AN605">
        <v>4</v>
      </c>
      <c r="AO605">
        <v>9</v>
      </c>
      <c r="AP605">
        <v>10</v>
      </c>
      <c r="AQ605">
        <v>1</v>
      </c>
      <c r="AR605">
        <v>1</v>
      </c>
      <c r="AS605">
        <v>1</v>
      </c>
      <c r="AT605">
        <v>4</v>
      </c>
      <c r="AU605">
        <v>0</v>
      </c>
      <c r="AV605">
        <v>0</v>
      </c>
      <c r="AW605">
        <v>6</v>
      </c>
      <c r="AX605">
        <v>1</v>
      </c>
      <c r="AY605">
        <v>2</v>
      </c>
      <c r="AZ605">
        <v>4</v>
      </c>
      <c r="BA605">
        <v>3</v>
      </c>
      <c r="BB605">
        <v>6</v>
      </c>
      <c r="BC605">
        <v>8</v>
      </c>
      <c r="BD605">
        <v>7</v>
      </c>
      <c r="BE605">
        <v>2</v>
      </c>
      <c r="BF605">
        <v>2</v>
      </c>
      <c r="BG605">
        <v>10</v>
      </c>
      <c r="BH605">
        <v>0</v>
      </c>
      <c r="BI605">
        <v>1</v>
      </c>
      <c r="BJ605">
        <v>9</v>
      </c>
      <c r="BK605">
        <v>5</v>
      </c>
      <c r="BL605">
        <v>9</v>
      </c>
      <c r="BM605">
        <v>10</v>
      </c>
      <c r="BN605">
        <v>4</v>
      </c>
      <c r="BO605">
        <v>7</v>
      </c>
      <c r="BP605">
        <v>1</v>
      </c>
      <c r="BQ605">
        <v>6</v>
      </c>
      <c r="BR605">
        <v>0</v>
      </c>
      <c r="BS605">
        <v>8</v>
      </c>
      <c r="BT605">
        <v>2</v>
      </c>
      <c r="BU605">
        <v>0</v>
      </c>
      <c r="BV605">
        <v>9</v>
      </c>
      <c r="BW605">
        <v>2</v>
      </c>
      <c r="BX605">
        <v>6</v>
      </c>
      <c r="BY605">
        <v>6</v>
      </c>
      <c r="BZ605">
        <v>8</v>
      </c>
      <c r="CA605">
        <v>0</v>
      </c>
      <c r="CB605">
        <v>5</v>
      </c>
      <c r="CC605">
        <v>2</v>
      </c>
      <c r="CD605">
        <v>4</v>
      </c>
      <c r="CE605">
        <v>7</v>
      </c>
      <c r="CF605">
        <v>5</v>
      </c>
      <c r="CG605">
        <v>5</v>
      </c>
      <c r="CH605">
        <v>5</v>
      </c>
      <c r="CI605">
        <v>0</v>
      </c>
      <c r="CJ605">
        <v>5</v>
      </c>
      <c r="CK605">
        <v>7</v>
      </c>
      <c r="CL605">
        <v>9</v>
      </c>
      <c r="CM605">
        <v>6</v>
      </c>
      <c r="CN605">
        <v>2</v>
      </c>
      <c r="CO605">
        <v>2</v>
      </c>
      <c r="CP605">
        <v>3</v>
      </c>
      <c r="CQ605">
        <v>6</v>
      </c>
      <c r="CR605">
        <v>8</v>
      </c>
      <c r="CS605">
        <v>1</v>
      </c>
      <c r="CT605">
        <v>6</v>
      </c>
      <c r="CU605">
        <v>0</v>
      </c>
      <c r="CV605">
        <v>7</v>
      </c>
      <c r="CW605">
        <v>4</v>
      </c>
      <c r="CX605">
        <v>1</v>
      </c>
      <c r="CY605">
        <v>4</v>
      </c>
      <c r="CZ605">
        <v>7</v>
      </c>
      <c r="DA605">
        <v>2</v>
      </c>
      <c r="DB605">
        <v>5</v>
      </c>
      <c r="DC605">
        <v>1</v>
      </c>
      <c r="DD605">
        <v>6</v>
      </c>
      <c r="DE605">
        <v>10</v>
      </c>
      <c r="DF605">
        <v>6</v>
      </c>
      <c r="DG605">
        <v>7</v>
      </c>
      <c r="DH605">
        <v>6</v>
      </c>
      <c r="DI605">
        <v>1</v>
      </c>
      <c r="DJ605">
        <v>1</v>
      </c>
      <c r="DK605">
        <v>2</v>
      </c>
    </row>
    <row r="606" spans="1:115">
      <c r="A606" s="173">
        <f>Calculations[[#This Row],[Sum t eCO2]]*IF(Calculations[[#This Row],[GHG Scope]]="BIOGENIC",0,1)</f>
        <v>20.550457776800002</v>
      </c>
      <c r="O606">
        <f t="shared" si="9"/>
        <v>605</v>
      </c>
      <c r="P606">
        <v>8</v>
      </c>
      <c r="Q606">
        <v>1</v>
      </c>
      <c r="R606">
        <v>0</v>
      </c>
      <c r="S606">
        <v>4</v>
      </c>
      <c r="T606">
        <v>4</v>
      </c>
      <c r="U606">
        <v>2</v>
      </c>
      <c r="V606">
        <v>3</v>
      </c>
      <c r="W606">
        <v>3</v>
      </c>
      <c r="X606">
        <v>6</v>
      </c>
      <c r="Y606">
        <v>4</v>
      </c>
      <c r="Z606">
        <v>7</v>
      </c>
      <c r="AA606">
        <v>2</v>
      </c>
      <c r="AB606">
        <v>2</v>
      </c>
      <c r="AC606">
        <v>0</v>
      </c>
      <c r="AD606">
        <v>7</v>
      </c>
      <c r="AE606">
        <v>2</v>
      </c>
      <c r="AF606">
        <v>9</v>
      </c>
      <c r="AG606">
        <v>9</v>
      </c>
      <c r="AH606">
        <v>0</v>
      </c>
      <c r="AI606">
        <v>2</v>
      </c>
      <c r="AJ606">
        <v>8</v>
      </c>
      <c r="AK606">
        <v>9</v>
      </c>
      <c r="AL606">
        <v>6</v>
      </c>
      <c r="AM606">
        <v>8</v>
      </c>
      <c r="AN606">
        <v>5</v>
      </c>
      <c r="AO606">
        <v>7</v>
      </c>
      <c r="AP606">
        <v>3</v>
      </c>
      <c r="AQ606">
        <v>8</v>
      </c>
      <c r="AR606">
        <v>0</v>
      </c>
      <c r="AS606">
        <v>4</v>
      </c>
      <c r="AT606">
        <v>10</v>
      </c>
      <c r="AU606">
        <v>5</v>
      </c>
      <c r="AV606">
        <v>3</v>
      </c>
      <c r="AW606">
        <v>0</v>
      </c>
      <c r="AX606">
        <v>4</v>
      </c>
      <c r="AY606">
        <v>1</v>
      </c>
      <c r="AZ606">
        <v>5</v>
      </c>
      <c r="BA606">
        <v>5</v>
      </c>
      <c r="BB606">
        <v>9</v>
      </c>
      <c r="BC606">
        <v>1</v>
      </c>
      <c r="BD606">
        <v>5</v>
      </c>
      <c r="BE606">
        <v>7</v>
      </c>
      <c r="BF606">
        <v>9</v>
      </c>
      <c r="BG606">
        <v>2</v>
      </c>
      <c r="BH606">
        <v>1</v>
      </c>
      <c r="BI606">
        <v>0</v>
      </c>
      <c r="BJ606">
        <v>7</v>
      </c>
      <c r="BK606">
        <v>1</v>
      </c>
      <c r="BL606">
        <v>6</v>
      </c>
      <c r="BM606">
        <v>3</v>
      </c>
      <c r="BN606">
        <v>0</v>
      </c>
      <c r="BO606">
        <v>3</v>
      </c>
      <c r="BP606">
        <v>4</v>
      </c>
      <c r="BQ606">
        <v>5</v>
      </c>
      <c r="BR606">
        <v>7</v>
      </c>
      <c r="BS606">
        <v>7</v>
      </c>
      <c r="BT606">
        <v>6</v>
      </c>
      <c r="BU606">
        <v>5</v>
      </c>
      <c r="BV606">
        <v>6</v>
      </c>
      <c r="BW606">
        <v>7</v>
      </c>
      <c r="BX606">
        <v>7</v>
      </c>
      <c r="BY606">
        <v>8</v>
      </c>
      <c r="BZ606">
        <v>5</v>
      </c>
      <c r="CA606">
        <v>2</v>
      </c>
      <c r="CB606">
        <v>8</v>
      </c>
      <c r="CC606">
        <v>2</v>
      </c>
      <c r="CD606">
        <v>10</v>
      </c>
      <c r="CE606">
        <v>10</v>
      </c>
      <c r="CF606">
        <v>1</v>
      </c>
      <c r="CG606">
        <v>7</v>
      </c>
      <c r="CH606">
        <v>3</v>
      </c>
      <c r="CI606">
        <v>3</v>
      </c>
      <c r="CJ606">
        <v>2</v>
      </c>
      <c r="CK606">
        <v>9</v>
      </c>
      <c r="CL606">
        <v>10</v>
      </c>
      <c r="CM606">
        <v>4</v>
      </c>
      <c r="CN606">
        <v>1</v>
      </c>
      <c r="CO606">
        <v>10</v>
      </c>
      <c r="CP606">
        <v>4</v>
      </c>
      <c r="CQ606">
        <v>5</v>
      </c>
      <c r="CR606">
        <v>1</v>
      </c>
      <c r="CS606">
        <v>6</v>
      </c>
      <c r="CT606">
        <v>0</v>
      </c>
      <c r="CU606">
        <v>7</v>
      </c>
      <c r="CV606">
        <v>7</v>
      </c>
      <c r="CW606">
        <v>1</v>
      </c>
      <c r="CX606">
        <v>8</v>
      </c>
      <c r="CY606">
        <v>3</v>
      </c>
      <c r="CZ606">
        <v>1</v>
      </c>
      <c r="DA606">
        <v>10</v>
      </c>
      <c r="DB606">
        <v>4</v>
      </c>
      <c r="DC606">
        <v>4</v>
      </c>
      <c r="DD606">
        <v>0</v>
      </c>
      <c r="DE606">
        <v>6</v>
      </c>
      <c r="DF606">
        <v>4</v>
      </c>
      <c r="DG606">
        <v>10</v>
      </c>
      <c r="DH606">
        <v>6</v>
      </c>
      <c r="DI606">
        <v>0</v>
      </c>
      <c r="DJ606">
        <v>5</v>
      </c>
      <c r="DK606">
        <v>0</v>
      </c>
    </row>
    <row r="607" spans="1:115">
      <c r="A607" s="173">
        <f>Calculations[[#This Row],[Sum t eCO2]]*IF(Calculations[[#This Row],[GHG Scope]]="BIOGENIC",0,1)</f>
        <v>21.091344067200001</v>
      </c>
      <c r="O607">
        <f t="shared" si="9"/>
        <v>606</v>
      </c>
      <c r="P607">
        <v>7</v>
      </c>
      <c r="Q607">
        <v>7</v>
      </c>
      <c r="R607">
        <v>10</v>
      </c>
      <c r="S607">
        <v>6</v>
      </c>
      <c r="T607">
        <v>4</v>
      </c>
      <c r="U607">
        <v>0</v>
      </c>
      <c r="V607">
        <v>5</v>
      </c>
      <c r="W607">
        <v>6</v>
      </c>
      <c r="X607">
        <v>1</v>
      </c>
      <c r="Y607">
        <v>10</v>
      </c>
      <c r="Z607">
        <v>2</v>
      </c>
      <c r="AA607">
        <v>7</v>
      </c>
      <c r="AB607">
        <v>2</v>
      </c>
      <c r="AC607">
        <v>10</v>
      </c>
      <c r="AD607">
        <v>8</v>
      </c>
      <c r="AE607">
        <v>4</v>
      </c>
      <c r="AF607">
        <v>9</v>
      </c>
      <c r="AG607">
        <v>2</v>
      </c>
      <c r="AH607">
        <v>6</v>
      </c>
      <c r="AI607">
        <v>3</v>
      </c>
      <c r="AJ607">
        <v>7</v>
      </c>
      <c r="AK607">
        <v>1</v>
      </c>
      <c r="AL607">
        <v>0</v>
      </c>
      <c r="AM607">
        <v>2</v>
      </c>
      <c r="AN607">
        <v>6</v>
      </c>
      <c r="AO607">
        <v>5</v>
      </c>
      <c r="AP607">
        <v>7</v>
      </c>
      <c r="AQ607">
        <v>8</v>
      </c>
      <c r="AR607">
        <v>3</v>
      </c>
      <c r="AS607">
        <v>10</v>
      </c>
      <c r="AT607">
        <v>9</v>
      </c>
      <c r="AU607">
        <v>3</v>
      </c>
      <c r="AV607">
        <v>9</v>
      </c>
      <c r="AW607">
        <v>5</v>
      </c>
      <c r="AX607">
        <v>2</v>
      </c>
      <c r="AY607">
        <v>6</v>
      </c>
      <c r="AZ607">
        <v>1</v>
      </c>
      <c r="BA607">
        <v>9</v>
      </c>
      <c r="BB607">
        <v>0</v>
      </c>
      <c r="BC607">
        <v>4</v>
      </c>
      <c r="BD607">
        <v>5</v>
      </c>
      <c r="BE607">
        <v>3</v>
      </c>
      <c r="BF607">
        <v>5</v>
      </c>
      <c r="BG607">
        <v>3</v>
      </c>
      <c r="BH607">
        <v>10</v>
      </c>
      <c r="BI607">
        <v>0</v>
      </c>
      <c r="BJ607">
        <v>5</v>
      </c>
      <c r="BK607">
        <v>9</v>
      </c>
      <c r="BL607">
        <v>7</v>
      </c>
      <c r="BM607">
        <v>5</v>
      </c>
      <c r="BN607">
        <v>9</v>
      </c>
      <c r="BO607">
        <v>0</v>
      </c>
      <c r="BP607">
        <v>3</v>
      </c>
      <c r="BQ607">
        <v>0</v>
      </c>
      <c r="BR607">
        <v>0</v>
      </c>
      <c r="BS607">
        <v>2</v>
      </c>
      <c r="BT607">
        <v>7</v>
      </c>
      <c r="BU607">
        <v>8</v>
      </c>
      <c r="BV607">
        <v>7</v>
      </c>
      <c r="BW607">
        <v>7</v>
      </c>
      <c r="BX607">
        <v>0</v>
      </c>
      <c r="BY607">
        <v>7</v>
      </c>
      <c r="BZ607">
        <v>10</v>
      </c>
      <c r="CA607">
        <v>8</v>
      </c>
      <c r="CB607">
        <v>9</v>
      </c>
      <c r="CC607">
        <v>8</v>
      </c>
      <c r="CD607">
        <v>7</v>
      </c>
      <c r="CE607">
        <v>7</v>
      </c>
      <c r="CF607">
        <v>7</v>
      </c>
      <c r="CG607">
        <v>7</v>
      </c>
      <c r="CH607">
        <v>0</v>
      </c>
      <c r="CI607">
        <v>1</v>
      </c>
      <c r="CJ607">
        <v>9</v>
      </c>
      <c r="CK607">
        <v>10</v>
      </c>
      <c r="CL607">
        <v>6</v>
      </c>
      <c r="CM607">
        <v>0</v>
      </c>
      <c r="CN607">
        <v>3</v>
      </c>
      <c r="CO607">
        <v>8</v>
      </c>
      <c r="CP607">
        <v>5</v>
      </c>
      <c r="CQ607">
        <v>8</v>
      </c>
      <c r="CR607">
        <v>9</v>
      </c>
      <c r="CS607">
        <v>0</v>
      </c>
      <c r="CT607">
        <v>3</v>
      </c>
      <c r="CU607">
        <v>4</v>
      </c>
      <c r="CV607">
        <v>8</v>
      </c>
      <c r="CW607">
        <v>2</v>
      </c>
      <c r="CX607">
        <v>5</v>
      </c>
      <c r="CY607">
        <v>4</v>
      </c>
      <c r="CZ607">
        <v>10</v>
      </c>
      <c r="DA607">
        <v>8</v>
      </c>
      <c r="DB607">
        <v>3</v>
      </c>
      <c r="DC607">
        <v>10</v>
      </c>
      <c r="DD607">
        <v>0</v>
      </c>
      <c r="DE607">
        <v>7</v>
      </c>
      <c r="DF607">
        <v>8</v>
      </c>
      <c r="DG607">
        <v>6</v>
      </c>
      <c r="DH607">
        <v>4</v>
      </c>
      <c r="DI607">
        <v>4</v>
      </c>
      <c r="DJ607">
        <v>0</v>
      </c>
      <c r="DK607">
        <v>3</v>
      </c>
    </row>
    <row r="608" spans="1:115">
      <c r="A608" s="173">
        <f>Calculations[[#This Row],[Sum t eCO2]]*IF(Calculations[[#This Row],[GHG Scope]]="BIOGENIC",0,1)</f>
        <v>1.5552975655999999</v>
      </c>
      <c r="O608">
        <f t="shared" si="9"/>
        <v>607</v>
      </c>
      <c r="P608">
        <v>4</v>
      </c>
      <c r="Q608">
        <v>4</v>
      </c>
      <c r="R608">
        <v>7</v>
      </c>
      <c r="S608">
        <v>9</v>
      </c>
      <c r="T608">
        <v>6</v>
      </c>
      <c r="U608">
        <v>8</v>
      </c>
      <c r="V608">
        <v>9</v>
      </c>
      <c r="W608">
        <v>2</v>
      </c>
      <c r="X608">
        <v>3</v>
      </c>
      <c r="Y608">
        <v>6</v>
      </c>
      <c r="Z608">
        <v>6</v>
      </c>
      <c r="AA608">
        <v>4</v>
      </c>
      <c r="AB608">
        <v>8</v>
      </c>
      <c r="AC608">
        <v>4</v>
      </c>
      <c r="AD608">
        <v>4</v>
      </c>
      <c r="AE608">
        <v>2</v>
      </c>
      <c r="AF608">
        <v>0</v>
      </c>
      <c r="AG608">
        <v>3</v>
      </c>
      <c r="AH608">
        <v>10</v>
      </c>
      <c r="AI608">
        <v>6</v>
      </c>
      <c r="AJ608">
        <v>4</v>
      </c>
      <c r="AK608">
        <v>3</v>
      </c>
      <c r="AL608">
        <v>3</v>
      </c>
      <c r="AM608">
        <v>9</v>
      </c>
      <c r="AN608">
        <v>5</v>
      </c>
      <c r="AO608">
        <v>5</v>
      </c>
      <c r="AP608">
        <v>3</v>
      </c>
      <c r="AQ608">
        <v>0</v>
      </c>
      <c r="AR608">
        <v>5</v>
      </c>
      <c r="AS608">
        <v>6</v>
      </c>
      <c r="AT608">
        <v>8</v>
      </c>
      <c r="AU608">
        <v>8</v>
      </c>
      <c r="AV608">
        <v>6</v>
      </c>
      <c r="AW608">
        <v>5</v>
      </c>
      <c r="AX608">
        <v>4</v>
      </c>
      <c r="AY608">
        <v>7</v>
      </c>
      <c r="AZ608">
        <v>3</v>
      </c>
      <c r="BA608">
        <v>7</v>
      </c>
      <c r="BB608">
        <v>3</v>
      </c>
      <c r="BC608">
        <v>7</v>
      </c>
      <c r="BD608">
        <v>0</v>
      </c>
      <c r="BE608">
        <v>2</v>
      </c>
      <c r="BF608">
        <v>1</v>
      </c>
      <c r="BG608">
        <v>2</v>
      </c>
      <c r="BH608">
        <v>0</v>
      </c>
      <c r="BI608">
        <v>4</v>
      </c>
      <c r="BJ608">
        <v>9</v>
      </c>
      <c r="BK608">
        <v>6</v>
      </c>
      <c r="BL608">
        <v>6</v>
      </c>
      <c r="BM608">
        <v>8</v>
      </c>
      <c r="BN608">
        <v>9</v>
      </c>
      <c r="BO608">
        <v>10</v>
      </c>
      <c r="BP608">
        <v>5</v>
      </c>
      <c r="BQ608">
        <v>1</v>
      </c>
      <c r="BR608">
        <v>6</v>
      </c>
      <c r="BS608">
        <v>4</v>
      </c>
      <c r="BT608">
        <v>0</v>
      </c>
      <c r="BU608">
        <v>10</v>
      </c>
      <c r="BV608">
        <v>2</v>
      </c>
      <c r="BW608">
        <v>4</v>
      </c>
      <c r="BX608">
        <v>9</v>
      </c>
      <c r="BY608">
        <v>9</v>
      </c>
      <c r="BZ608">
        <v>6</v>
      </c>
      <c r="CA608">
        <v>9</v>
      </c>
      <c r="CB608">
        <v>4</v>
      </c>
      <c r="CC608">
        <v>0</v>
      </c>
      <c r="CD608">
        <v>9</v>
      </c>
      <c r="CE608">
        <v>7</v>
      </c>
      <c r="CF608">
        <v>8</v>
      </c>
      <c r="CG608">
        <v>1</v>
      </c>
      <c r="CH608">
        <v>9</v>
      </c>
      <c r="CI608">
        <v>7</v>
      </c>
      <c r="CJ608">
        <v>8</v>
      </c>
      <c r="CK608">
        <v>4</v>
      </c>
      <c r="CL608">
        <v>6</v>
      </c>
      <c r="CM608">
        <v>1</v>
      </c>
      <c r="CN608">
        <v>9</v>
      </c>
      <c r="CO608">
        <v>5</v>
      </c>
      <c r="CP608">
        <v>7</v>
      </c>
      <c r="CQ608">
        <v>2</v>
      </c>
      <c r="CR608">
        <v>7</v>
      </c>
      <c r="CS608">
        <v>4</v>
      </c>
      <c r="CT608">
        <v>6</v>
      </c>
      <c r="CU608">
        <v>2</v>
      </c>
      <c r="CV608">
        <v>2</v>
      </c>
      <c r="CW608">
        <v>3</v>
      </c>
      <c r="CX608">
        <v>4</v>
      </c>
      <c r="CY608">
        <v>6</v>
      </c>
      <c r="CZ608">
        <v>5</v>
      </c>
      <c r="DA608">
        <v>0</v>
      </c>
      <c r="DB608">
        <v>3</v>
      </c>
      <c r="DC608">
        <v>7</v>
      </c>
      <c r="DD608">
        <v>2</v>
      </c>
      <c r="DE608">
        <v>0</v>
      </c>
      <c r="DF608">
        <v>10</v>
      </c>
      <c r="DG608">
        <v>3</v>
      </c>
      <c r="DH608">
        <v>6</v>
      </c>
      <c r="DI608">
        <v>1</v>
      </c>
      <c r="DJ608">
        <v>7</v>
      </c>
      <c r="DK608">
        <v>7</v>
      </c>
    </row>
    <row r="609" spans="1:115">
      <c r="A609" s="173">
        <f>Calculations[[#This Row],[Sum t eCO2]]*IF(Calculations[[#This Row],[GHG Scope]]="BIOGENIC",0,1)</f>
        <v>0.30990975750000005</v>
      </c>
      <c r="O609">
        <f t="shared" si="9"/>
        <v>608</v>
      </c>
      <c r="P609">
        <v>0</v>
      </c>
      <c r="Q609">
        <v>8</v>
      </c>
      <c r="R609">
        <v>3</v>
      </c>
      <c r="S609">
        <v>9</v>
      </c>
      <c r="T609">
        <v>9</v>
      </c>
      <c r="U609">
        <v>10</v>
      </c>
      <c r="V609">
        <v>9</v>
      </c>
      <c r="W609">
        <v>8</v>
      </c>
      <c r="X609">
        <v>8</v>
      </c>
      <c r="Y609">
        <v>1</v>
      </c>
      <c r="Z609">
        <v>8</v>
      </c>
      <c r="AA609">
        <v>6</v>
      </c>
      <c r="AB609">
        <v>4</v>
      </c>
      <c r="AC609">
        <v>8</v>
      </c>
      <c r="AD609">
        <v>9</v>
      </c>
      <c r="AE609">
        <v>0</v>
      </c>
      <c r="AF609">
        <v>5</v>
      </c>
      <c r="AG609">
        <v>9</v>
      </c>
      <c r="AH609">
        <v>0</v>
      </c>
      <c r="AI609">
        <v>3</v>
      </c>
      <c r="AJ609">
        <v>5</v>
      </c>
      <c r="AK609">
        <v>9</v>
      </c>
      <c r="AL609">
        <v>9</v>
      </c>
      <c r="AM609">
        <v>5</v>
      </c>
      <c r="AN609">
        <v>3</v>
      </c>
      <c r="AO609">
        <v>1</v>
      </c>
      <c r="AP609">
        <v>0</v>
      </c>
      <c r="AQ609">
        <v>7</v>
      </c>
      <c r="AR609">
        <v>10</v>
      </c>
      <c r="AS609">
        <v>7</v>
      </c>
      <c r="AT609">
        <v>2</v>
      </c>
      <c r="AU609">
        <v>6</v>
      </c>
      <c r="AV609">
        <v>4</v>
      </c>
      <c r="AW609">
        <v>2</v>
      </c>
      <c r="AX609">
        <v>1</v>
      </c>
      <c r="AY609">
        <v>6</v>
      </c>
      <c r="AZ609">
        <v>4</v>
      </c>
      <c r="BA609">
        <v>9</v>
      </c>
      <c r="BB609">
        <v>3</v>
      </c>
      <c r="BC609">
        <v>8</v>
      </c>
      <c r="BD609">
        <v>8</v>
      </c>
      <c r="BE609">
        <v>5</v>
      </c>
      <c r="BF609">
        <v>0</v>
      </c>
      <c r="BG609">
        <v>5</v>
      </c>
      <c r="BH609">
        <v>10</v>
      </c>
      <c r="BI609">
        <v>1</v>
      </c>
      <c r="BJ609">
        <v>4</v>
      </c>
      <c r="BK609">
        <v>3</v>
      </c>
      <c r="BL609">
        <v>5</v>
      </c>
      <c r="BM609">
        <v>2</v>
      </c>
      <c r="BN609">
        <v>0</v>
      </c>
      <c r="BO609">
        <v>2</v>
      </c>
      <c r="BP609">
        <v>2</v>
      </c>
      <c r="BQ609">
        <v>9</v>
      </c>
      <c r="BR609">
        <v>3</v>
      </c>
      <c r="BS609">
        <v>2</v>
      </c>
      <c r="BT609">
        <v>8</v>
      </c>
      <c r="BU609">
        <v>10</v>
      </c>
      <c r="BV609">
        <v>5</v>
      </c>
      <c r="BW609">
        <v>5</v>
      </c>
      <c r="BX609">
        <v>4</v>
      </c>
      <c r="BY609">
        <v>4</v>
      </c>
      <c r="BZ609">
        <v>1</v>
      </c>
      <c r="CA609">
        <v>2</v>
      </c>
      <c r="CB609">
        <v>4</v>
      </c>
      <c r="CC609">
        <v>3</v>
      </c>
      <c r="CD609">
        <v>9</v>
      </c>
      <c r="CE609">
        <v>6</v>
      </c>
      <c r="CF609">
        <v>5</v>
      </c>
      <c r="CG609">
        <v>1</v>
      </c>
      <c r="CH609">
        <v>8</v>
      </c>
      <c r="CI609">
        <v>6</v>
      </c>
      <c r="CJ609">
        <v>5</v>
      </c>
      <c r="CK609">
        <v>10</v>
      </c>
      <c r="CL609">
        <v>7</v>
      </c>
      <c r="CM609">
        <v>6</v>
      </c>
      <c r="CN609">
        <v>5</v>
      </c>
      <c r="CO609">
        <v>5</v>
      </c>
      <c r="CP609">
        <v>6</v>
      </c>
      <c r="CQ609">
        <v>7</v>
      </c>
      <c r="CR609">
        <v>7</v>
      </c>
      <c r="CS609">
        <v>2</v>
      </c>
      <c r="CT609">
        <v>2</v>
      </c>
      <c r="CU609">
        <v>8</v>
      </c>
      <c r="CV609">
        <v>5</v>
      </c>
      <c r="CW609">
        <v>7</v>
      </c>
      <c r="CX609">
        <v>2</v>
      </c>
      <c r="CY609">
        <v>1</v>
      </c>
      <c r="CZ609">
        <v>4</v>
      </c>
      <c r="DA609">
        <v>2</v>
      </c>
      <c r="DB609">
        <v>9</v>
      </c>
      <c r="DC609">
        <v>6</v>
      </c>
      <c r="DD609">
        <v>2</v>
      </c>
      <c r="DE609">
        <v>10</v>
      </c>
      <c r="DF609">
        <v>6</v>
      </c>
      <c r="DG609">
        <v>2</v>
      </c>
      <c r="DH609">
        <v>2</v>
      </c>
      <c r="DI609">
        <v>7</v>
      </c>
      <c r="DJ609">
        <v>9</v>
      </c>
      <c r="DK609">
        <v>8</v>
      </c>
    </row>
    <row r="610" spans="1:115">
      <c r="A610" s="173">
        <f>Calculations[[#This Row],[Sum t eCO2]]*IF(Calculations[[#This Row],[GHG Scope]]="BIOGENIC",0,1)</f>
        <v>0.80621849359999997</v>
      </c>
      <c r="O610">
        <f t="shared" si="9"/>
        <v>609</v>
      </c>
      <c r="P610">
        <v>3</v>
      </c>
      <c r="Q610">
        <v>1</v>
      </c>
      <c r="R610">
        <v>3</v>
      </c>
      <c r="S610">
        <v>2</v>
      </c>
      <c r="T610">
        <v>3</v>
      </c>
      <c r="U610">
        <v>7</v>
      </c>
      <c r="V610">
        <v>3</v>
      </c>
      <c r="W610">
        <v>1</v>
      </c>
      <c r="X610">
        <v>6</v>
      </c>
      <c r="Y610">
        <v>5</v>
      </c>
      <c r="Z610">
        <v>4</v>
      </c>
      <c r="AA610">
        <v>1</v>
      </c>
      <c r="AB610">
        <v>4</v>
      </c>
      <c r="AC610">
        <v>7</v>
      </c>
      <c r="AD610">
        <v>1</v>
      </c>
      <c r="AE610">
        <v>8</v>
      </c>
      <c r="AF610">
        <v>8</v>
      </c>
      <c r="AG610">
        <v>2</v>
      </c>
      <c r="AH610">
        <v>5</v>
      </c>
      <c r="AI610">
        <v>3</v>
      </c>
      <c r="AJ610">
        <v>5</v>
      </c>
      <c r="AK610">
        <v>10</v>
      </c>
      <c r="AL610">
        <v>0</v>
      </c>
      <c r="AM610">
        <v>9</v>
      </c>
      <c r="AN610">
        <v>3</v>
      </c>
      <c r="AO610">
        <v>1</v>
      </c>
      <c r="AP610">
        <v>7</v>
      </c>
      <c r="AQ610">
        <v>2</v>
      </c>
      <c r="AR610">
        <v>3</v>
      </c>
      <c r="AS610">
        <v>1</v>
      </c>
      <c r="AT610">
        <v>6</v>
      </c>
      <c r="AU610">
        <v>0</v>
      </c>
      <c r="AV610">
        <v>5</v>
      </c>
      <c r="AW610">
        <v>4</v>
      </c>
      <c r="AX610">
        <v>1</v>
      </c>
      <c r="AY610">
        <v>9</v>
      </c>
      <c r="AZ610">
        <v>4</v>
      </c>
      <c r="BA610">
        <v>7</v>
      </c>
      <c r="BB610">
        <v>1</v>
      </c>
      <c r="BC610">
        <v>6</v>
      </c>
      <c r="BD610">
        <v>6</v>
      </c>
      <c r="BE610">
        <v>0</v>
      </c>
      <c r="BF610">
        <v>6</v>
      </c>
      <c r="BG610">
        <v>3</v>
      </c>
      <c r="BH610">
        <v>5</v>
      </c>
      <c r="BI610">
        <v>1</v>
      </c>
      <c r="BJ610">
        <v>6</v>
      </c>
      <c r="BK610">
        <v>9</v>
      </c>
      <c r="BL610">
        <v>4</v>
      </c>
      <c r="BM610">
        <v>6</v>
      </c>
      <c r="BN610">
        <v>7</v>
      </c>
      <c r="BO610">
        <v>10</v>
      </c>
      <c r="BP610">
        <v>9</v>
      </c>
      <c r="BQ610">
        <v>9</v>
      </c>
      <c r="BR610">
        <v>5</v>
      </c>
      <c r="BS610">
        <v>8</v>
      </c>
      <c r="BT610">
        <v>7</v>
      </c>
      <c r="BU610">
        <v>5</v>
      </c>
      <c r="BV610">
        <v>7</v>
      </c>
      <c r="BW610">
        <v>3</v>
      </c>
      <c r="BX610">
        <v>8</v>
      </c>
      <c r="BY610">
        <v>2</v>
      </c>
      <c r="BZ610">
        <v>2</v>
      </c>
      <c r="CA610">
        <v>5</v>
      </c>
      <c r="CB610">
        <v>9</v>
      </c>
      <c r="CC610">
        <v>3</v>
      </c>
      <c r="CD610">
        <v>0</v>
      </c>
      <c r="CE610">
        <v>5</v>
      </c>
      <c r="CF610">
        <v>0</v>
      </c>
      <c r="CG610">
        <v>5</v>
      </c>
      <c r="CH610">
        <v>0</v>
      </c>
      <c r="CI610">
        <v>5</v>
      </c>
      <c r="CJ610">
        <v>4</v>
      </c>
      <c r="CK610">
        <v>10</v>
      </c>
      <c r="CL610">
        <v>2</v>
      </c>
      <c r="CM610">
        <v>8</v>
      </c>
      <c r="CN610">
        <v>2</v>
      </c>
      <c r="CO610">
        <v>5</v>
      </c>
      <c r="CP610">
        <v>2</v>
      </c>
      <c r="CQ610">
        <v>6</v>
      </c>
      <c r="CR610">
        <v>2</v>
      </c>
      <c r="CS610">
        <v>2</v>
      </c>
      <c r="CT610">
        <v>7</v>
      </c>
      <c r="CU610">
        <v>5</v>
      </c>
      <c r="CV610">
        <v>10</v>
      </c>
      <c r="CW610">
        <v>6</v>
      </c>
      <c r="CX610">
        <v>3</v>
      </c>
      <c r="CY610">
        <v>10</v>
      </c>
      <c r="CZ610">
        <v>6</v>
      </c>
      <c r="DA610">
        <v>4</v>
      </c>
      <c r="DB610">
        <v>2</v>
      </c>
      <c r="DC610">
        <v>3</v>
      </c>
      <c r="DD610">
        <v>3</v>
      </c>
      <c r="DE610">
        <v>10</v>
      </c>
      <c r="DF610">
        <v>7</v>
      </c>
      <c r="DG610">
        <v>0</v>
      </c>
      <c r="DH610">
        <v>4</v>
      </c>
      <c r="DI610">
        <v>2</v>
      </c>
      <c r="DJ610">
        <v>8</v>
      </c>
      <c r="DK610">
        <v>2</v>
      </c>
    </row>
    <row r="611" spans="1:115">
      <c r="A611" s="173">
        <f>Calculations[[#This Row],[Sum t eCO2]]*IF(Calculations[[#This Row],[GHG Scope]]="BIOGENIC",0,1)</f>
        <v>0.62023480239999995</v>
      </c>
      <c r="O611">
        <f t="shared" si="9"/>
        <v>610</v>
      </c>
      <c r="P611">
        <v>2</v>
      </c>
      <c r="Q611">
        <v>1</v>
      </c>
      <c r="R611">
        <v>4</v>
      </c>
      <c r="S611">
        <v>6</v>
      </c>
      <c r="T611">
        <v>10</v>
      </c>
      <c r="U611">
        <v>0</v>
      </c>
      <c r="V611">
        <v>4</v>
      </c>
      <c r="W611">
        <v>7</v>
      </c>
      <c r="X611">
        <v>3</v>
      </c>
      <c r="Y611">
        <v>5</v>
      </c>
      <c r="Z611">
        <v>3</v>
      </c>
      <c r="AA611">
        <v>6</v>
      </c>
      <c r="AB611">
        <v>1</v>
      </c>
      <c r="AC611">
        <v>0</v>
      </c>
      <c r="AD611">
        <v>9</v>
      </c>
      <c r="AE611">
        <v>3</v>
      </c>
      <c r="AF611">
        <v>2</v>
      </c>
      <c r="AG611">
        <v>5</v>
      </c>
      <c r="AH611">
        <v>2</v>
      </c>
      <c r="AI611">
        <v>3</v>
      </c>
      <c r="AJ611">
        <v>2</v>
      </c>
      <c r="AK611">
        <v>5</v>
      </c>
      <c r="AL611">
        <v>4</v>
      </c>
      <c r="AM611">
        <v>6</v>
      </c>
      <c r="AN611">
        <v>6</v>
      </c>
      <c r="AO611">
        <v>1</v>
      </c>
      <c r="AP611">
        <v>8</v>
      </c>
      <c r="AQ611">
        <v>10</v>
      </c>
      <c r="AR611">
        <v>8</v>
      </c>
      <c r="AS611">
        <v>1</v>
      </c>
      <c r="AT611">
        <v>5</v>
      </c>
      <c r="AU611">
        <v>7</v>
      </c>
      <c r="AV611">
        <v>7</v>
      </c>
      <c r="AW611">
        <v>8</v>
      </c>
      <c r="AX611">
        <v>1</v>
      </c>
      <c r="AY611">
        <v>6</v>
      </c>
      <c r="AZ611">
        <v>3</v>
      </c>
      <c r="BA611">
        <v>4</v>
      </c>
      <c r="BB611">
        <v>3</v>
      </c>
      <c r="BC611">
        <v>9</v>
      </c>
      <c r="BD611">
        <v>9</v>
      </c>
      <c r="BE611">
        <v>6</v>
      </c>
      <c r="BF611">
        <v>7</v>
      </c>
      <c r="BG611">
        <v>9</v>
      </c>
      <c r="BH611">
        <v>4</v>
      </c>
      <c r="BI611">
        <v>3</v>
      </c>
      <c r="BJ611">
        <v>2</v>
      </c>
      <c r="BK611">
        <v>2</v>
      </c>
      <c r="BL611">
        <v>1</v>
      </c>
      <c r="BM611">
        <v>7</v>
      </c>
      <c r="BN611">
        <v>3</v>
      </c>
      <c r="BO611">
        <v>0</v>
      </c>
      <c r="BP611">
        <v>4</v>
      </c>
      <c r="BQ611">
        <v>3</v>
      </c>
      <c r="BR611">
        <v>3</v>
      </c>
      <c r="BS611">
        <v>8</v>
      </c>
      <c r="BT611">
        <v>0</v>
      </c>
      <c r="BU611">
        <v>7</v>
      </c>
      <c r="BV611">
        <v>9</v>
      </c>
      <c r="BW611">
        <v>10</v>
      </c>
      <c r="BX611">
        <v>3</v>
      </c>
      <c r="BY611">
        <v>2</v>
      </c>
      <c r="BZ611">
        <v>3</v>
      </c>
      <c r="CA611">
        <v>7</v>
      </c>
      <c r="CB611">
        <v>9</v>
      </c>
      <c r="CC611">
        <v>5</v>
      </c>
      <c r="CD611">
        <v>4</v>
      </c>
      <c r="CE611">
        <v>9</v>
      </c>
      <c r="CF611">
        <v>6</v>
      </c>
      <c r="CG611">
        <v>3</v>
      </c>
      <c r="CH611">
        <v>5</v>
      </c>
      <c r="CI611">
        <v>6</v>
      </c>
      <c r="CJ611">
        <v>9</v>
      </c>
      <c r="CK611">
        <v>2</v>
      </c>
      <c r="CL611">
        <v>4</v>
      </c>
      <c r="CM611">
        <v>4</v>
      </c>
      <c r="CN611">
        <v>7</v>
      </c>
      <c r="CO611">
        <v>9</v>
      </c>
      <c r="CP611">
        <v>9</v>
      </c>
      <c r="CQ611">
        <v>9</v>
      </c>
      <c r="CR611">
        <v>7</v>
      </c>
      <c r="CS611">
        <v>0</v>
      </c>
      <c r="CT611">
        <v>7</v>
      </c>
      <c r="CU611">
        <v>6</v>
      </c>
      <c r="CV611">
        <v>10</v>
      </c>
      <c r="CW611">
        <v>9</v>
      </c>
      <c r="CX611">
        <v>6</v>
      </c>
      <c r="CY611">
        <v>7</v>
      </c>
      <c r="CZ611">
        <v>0</v>
      </c>
      <c r="DA611">
        <v>1</v>
      </c>
      <c r="DB611">
        <v>10</v>
      </c>
      <c r="DC611">
        <v>6</v>
      </c>
      <c r="DD611">
        <v>4</v>
      </c>
      <c r="DE611">
        <v>2</v>
      </c>
      <c r="DF611">
        <v>2</v>
      </c>
      <c r="DG611">
        <v>9</v>
      </c>
      <c r="DH611">
        <v>9</v>
      </c>
      <c r="DI611">
        <v>10</v>
      </c>
      <c r="DJ611">
        <v>1</v>
      </c>
      <c r="DK611">
        <v>5</v>
      </c>
    </row>
    <row r="612" spans="1:115">
      <c r="A612" s="173">
        <f>Calculations[[#This Row],[Sum t eCO2]]*IF(Calculations[[#This Row],[GHG Scope]]="BIOGENIC",0,1)</f>
        <v>752.20140171150013</v>
      </c>
      <c r="O612">
        <f t="shared" si="9"/>
        <v>611</v>
      </c>
      <c r="P612">
        <v>2</v>
      </c>
      <c r="Q612">
        <v>0</v>
      </c>
      <c r="R612">
        <v>6</v>
      </c>
      <c r="S612">
        <v>8</v>
      </c>
      <c r="T612">
        <v>2</v>
      </c>
      <c r="U612">
        <v>1</v>
      </c>
      <c r="V612">
        <v>1</v>
      </c>
      <c r="W612">
        <v>4</v>
      </c>
      <c r="X612">
        <v>3</v>
      </c>
      <c r="Y612">
        <v>9</v>
      </c>
      <c r="Z612">
        <v>1</v>
      </c>
      <c r="AA612">
        <v>5</v>
      </c>
      <c r="AB612">
        <v>5</v>
      </c>
      <c r="AC612">
        <v>7</v>
      </c>
      <c r="AD612">
        <v>0</v>
      </c>
      <c r="AE612">
        <v>7</v>
      </c>
      <c r="AF612">
        <v>3</v>
      </c>
      <c r="AG612">
        <v>4</v>
      </c>
      <c r="AH612">
        <v>2</v>
      </c>
      <c r="AI612">
        <v>6</v>
      </c>
      <c r="AJ612">
        <v>0</v>
      </c>
      <c r="AK612">
        <v>1</v>
      </c>
      <c r="AL612">
        <v>7</v>
      </c>
      <c r="AM612">
        <v>3</v>
      </c>
      <c r="AN612">
        <v>7</v>
      </c>
      <c r="AO612">
        <v>2</v>
      </c>
      <c r="AP612">
        <v>0</v>
      </c>
      <c r="AQ612">
        <v>7</v>
      </c>
      <c r="AR612">
        <v>0</v>
      </c>
      <c r="AS612">
        <v>9</v>
      </c>
      <c r="AT612">
        <v>8</v>
      </c>
      <c r="AU612">
        <v>5</v>
      </c>
      <c r="AV612">
        <v>1</v>
      </c>
      <c r="AW612">
        <v>10</v>
      </c>
      <c r="AX612">
        <v>10</v>
      </c>
      <c r="AY612">
        <v>4</v>
      </c>
      <c r="AZ612">
        <v>8</v>
      </c>
      <c r="BA612">
        <v>6</v>
      </c>
      <c r="BB612">
        <v>3</v>
      </c>
      <c r="BC612">
        <v>0</v>
      </c>
      <c r="BD612">
        <v>5</v>
      </c>
      <c r="BE612">
        <v>7</v>
      </c>
      <c r="BF612">
        <v>5</v>
      </c>
      <c r="BG612">
        <v>5</v>
      </c>
      <c r="BH612">
        <v>3</v>
      </c>
      <c r="BI612">
        <v>7</v>
      </c>
      <c r="BJ612">
        <v>8</v>
      </c>
      <c r="BK612">
        <v>7</v>
      </c>
      <c r="BL612">
        <v>3</v>
      </c>
      <c r="BM612">
        <v>6</v>
      </c>
      <c r="BN612">
        <v>6</v>
      </c>
      <c r="BO612">
        <v>2</v>
      </c>
      <c r="BP612">
        <v>0</v>
      </c>
      <c r="BQ612">
        <v>6</v>
      </c>
      <c r="BR612">
        <v>2</v>
      </c>
      <c r="BS612">
        <v>0</v>
      </c>
      <c r="BT612">
        <v>3</v>
      </c>
      <c r="BU612">
        <v>8</v>
      </c>
      <c r="BV612">
        <v>10</v>
      </c>
      <c r="BW612">
        <v>8</v>
      </c>
      <c r="BX612">
        <v>9</v>
      </c>
      <c r="BY612">
        <v>8</v>
      </c>
      <c r="BZ612">
        <v>0</v>
      </c>
      <c r="CA612">
        <v>3</v>
      </c>
      <c r="CB612">
        <v>5</v>
      </c>
      <c r="CC612">
        <v>1</v>
      </c>
      <c r="CD612">
        <v>7</v>
      </c>
      <c r="CE612">
        <v>10</v>
      </c>
      <c r="CF612">
        <v>4</v>
      </c>
      <c r="CG612">
        <v>7</v>
      </c>
      <c r="CH612">
        <v>5</v>
      </c>
      <c r="CI612">
        <v>10</v>
      </c>
      <c r="CJ612">
        <v>9</v>
      </c>
      <c r="CK612">
        <v>3</v>
      </c>
      <c r="CL612">
        <v>0</v>
      </c>
      <c r="CM612">
        <v>8</v>
      </c>
      <c r="CN612">
        <v>9</v>
      </c>
      <c r="CO612">
        <v>10</v>
      </c>
      <c r="CP612">
        <v>1</v>
      </c>
      <c r="CQ612">
        <v>2</v>
      </c>
      <c r="CR612">
        <v>7</v>
      </c>
      <c r="CS612">
        <v>3</v>
      </c>
      <c r="CT612">
        <v>5</v>
      </c>
      <c r="CU612">
        <v>7</v>
      </c>
      <c r="CV612">
        <v>1</v>
      </c>
      <c r="CW612">
        <v>6</v>
      </c>
      <c r="CX612">
        <v>10</v>
      </c>
      <c r="CY612">
        <v>5</v>
      </c>
      <c r="CZ612">
        <v>9</v>
      </c>
      <c r="DA612">
        <v>5</v>
      </c>
      <c r="DB612">
        <v>8</v>
      </c>
      <c r="DC612">
        <v>6</v>
      </c>
      <c r="DD612">
        <v>3</v>
      </c>
      <c r="DE612">
        <v>6</v>
      </c>
      <c r="DF612">
        <v>7</v>
      </c>
      <c r="DG612">
        <v>2</v>
      </c>
      <c r="DH612">
        <v>6</v>
      </c>
      <c r="DI612">
        <v>2</v>
      </c>
      <c r="DJ612">
        <v>6</v>
      </c>
      <c r="DK612">
        <v>9</v>
      </c>
    </row>
    <row r="613" spans="1:115">
      <c r="A613" s="173">
        <f>Calculations[[#This Row],[Sum t eCO2]]*IF(Calculations[[#This Row],[GHG Scope]]="BIOGENIC",0,1)</f>
        <v>256.15509385000001</v>
      </c>
      <c r="O613">
        <f t="shared" si="9"/>
        <v>612</v>
      </c>
      <c r="P613">
        <v>9</v>
      </c>
      <c r="Q613">
        <v>10</v>
      </c>
      <c r="R613">
        <v>8</v>
      </c>
      <c r="S613">
        <v>7</v>
      </c>
      <c r="T613">
        <v>9</v>
      </c>
      <c r="U613">
        <v>2</v>
      </c>
      <c r="V613">
        <v>1</v>
      </c>
      <c r="W613">
        <v>7</v>
      </c>
      <c r="X613">
        <v>8</v>
      </c>
      <c r="Y613">
        <v>5</v>
      </c>
      <c r="Z613">
        <v>4</v>
      </c>
      <c r="AA613">
        <v>1</v>
      </c>
      <c r="AB613">
        <v>2</v>
      </c>
      <c r="AC613">
        <v>5</v>
      </c>
      <c r="AD613">
        <v>1</v>
      </c>
      <c r="AE613">
        <v>2</v>
      </c>
      <c r="AF613">
        <v>0</v>
      </c>
      <c r="AG613">
        <v>3</v>
      </c>
      <c r="AH613">
        <v>8</v>
      </c>
      <c r="AI613">
        <v>10</v>
      </c>
      <c r="AJ613">
        <v>5</v>
      </c>
      <c r="AK613">
        <v>10</v>
      </c>
      <c r="AL613">
        <v>9</v>
      </c>
      <c r="AM613">
        <v>8</v>
      </c>
      <c r="AN613">
        <v>3</v>
      </c>
      <c r="AO613">
        <v>9</v>
      </c>
      <c r="AP613">
        <v>2</v>
      </c>
      <c r="AQ613">
        <v>8</v>
      </c>
      <c r="AR613">
        <v>10</v>
      </c>
      <c r="AS613">
        <v>5</v>
      </c>
      <c r="AT613">
        <v>0</v>
      </c>
      <c r="AU613">
        <v>10</v>
      </c>
      <c r="AV613">
        <v>10</v>
      </c>
      <c r="AW613">
        <v>0</v>
      </c>
      <c r="AX613">
        <v>8</v>
      </c>
      <c r="AY613">
        <v>0</v>
      </c>
      <c r="AZ613">
        <v>0</v>
      </c>
      <c r="BA613">
        <v>10</v>
      </c>
      <c r="BB613">
        <v>3</v>
      </c>
      <c r="BC613">
        <v>10</v>
      </c>
      <c r="BD613">
        <v>4</v>
      </c>
      <c r="BE613">
        <v>6</v>
      </c>
      <c r="BF613">
        <v>8</v>
      </c>
      <c r="BG613">
        <v>4</v>
      </c>
      <c r="BH613">
        <v>0</v>
      </c>
      <c r="BI613">
        <v>6</v>
      </c>
      <c r="BJ613">
        <v>9</v>
      </c>
      <c r="BK613">
        <v>1</v>
      </c>
      <c r="BL613">
        <v>7</v>
      </c>
      <c r="BM613">
        <v>6</v>
      </c>
      <c r="BN613">
        <v>8</v>
      </c>
      <c r="BO613">
        <v>7</v>
      </c>
      <c r="BP613">
        <v>2</v>
      </c>
      <c r="BQ613">
        <v>10</v>
      </c>
      <c r="BR613">
        <v>7</v>
      </c>
      <c r="BS613">
        <v>6</v>
      </c>
      <c r="BT613">
        <v>1</v>
      </c>
      <c r="BU613">
        <v>2</v>
      </c>
      <c r="BV613">
        <v>3</v>
      </c>
      <c r="BW613">
        <v>2</v>
      </c>
      <c r="BX613">
        <v>1</v>
      </c>
      <c r="BY613">
        <v>0</v>
      </c>
      <c r="BZ613">
        <v>10</v>
      </c>
      <c r="CA613">
        <v>3</v>
      </c>
      <c r="CB613">
        <v>8</v>
      </c>
      <c r="CC613">
        <v>2</v>
      </c>
      <c r="CD613">
        <v>0</v>
      </c>
      <c r="CE613">
        <v>5</v>
      </c>
      <c r="CF613">
        <v>6</v>
      </c>
      <c r="CG613">
        <v>1</v>
      </c>
      <c r="CH613">
        <v>8</v>
      </c>
      <c r="CI613">
        <v>10</v>
      </c>
      <c r="CJ613">
        <v>9</v>
      </c>
      <c r="CK613">
        <v>8</v>
      </c>
      <c r="CL613">
        <v>7</v>
      </c>
      <c r="CM613">
        <v>2</v>
      </c>
      <c r="CN613">
        <v>9</v>
      </c>
      <c r="CO613">
        <v>5</v>
      </c>
      <c r="CP613">
        <v>0</v>
      </c>
      <c r="CQ613">
        <v>9</v>
      </c>
      <c r="CR613">
        <v>3</v>
      </c>
      <c r="CS613">
        <v>10</v>
      </c>
      <c r="CT613">
        <v>7</v>
      </c>
      <c r="CU613">
        <v>6</v>
      </c>
      <c r="CV613">
        <v>8</v>
      </c>
      <c r="CW613">
        <v>2</v>
      </c>
      <c r="CX613">
        <v>5</v>
      </c>
      <c r="CY613">
        <v>2</v>
      </c>
      <c r="CZ613">
        <v>10</v>
      </c>
      <c r="DA613">
        <v>10</v>
      </c>
      <c r="DB613">
        <v>8</v>
      </c>
      <c r="DC613">
        <v>0</v>
      </c>
      <c r="DD613">
        <v>3</v>
      </c>
      <c r="DE613">
        <v>0</v>
      </c>
      <c r="DF613">
        <v>5</v>
      </c>
      <c r="DG613">
        <v>10</v>
      </c>
      <c r="DH613">
        <v>4</v>
      </c>
      <c r="DI613">
        <v>0</v>
      </c>
      <c r="DJ613">
        <v>0</v>
      </c>
      <c r="DK613">
        <v>3</v>
      </c>
    </row>
    <row r="614" spans="1:115">
      <c r="A614" s="173">
        <f>Calculations[[#This Row],[Sum t eCO2]]*IF(Calculations[[#This Row],[GHG Scope]]="BIOGENIC",0,1)</f>
        <v>248.69755152750005</v>
      </c>
      <c r="O614">
        <f t="shared" si="9"/>
        <v>613</v>
      </c>
      <c r="P614">
        <v>10</v>
      </c>
      <c r="Q614">
        <v>2</v>
      </c>
      <c r="R614">
        <v>8</v>
      </c>
      <c r="S614">
        <v>8</v>
      </c>
      <c r="T614">
        <v>5</v>
      </c>
      <c r="U614">
        <v>5</v>
      </c>
      <c r="V614">
        <v>6</v>
      </c>
      <c r="W614">
        <v>7</v>
      </c>
      <c r="X614">
        <v>5</v>
      </c>
      <c r="Y614">
        <v>7</v>
      </c>
      <c r="Z614">
        <v>8</v>
      </c>
      <c r="AA614">
        <v>4</v>
      </c>
      <c r="AB614">
        <v>8</v>
      </c>
      <c r="AC614">
        <v>4</v>
      </c>
      <c r="AD614">
        <v>5</v>
      </c>
      <c r="AE614">
        <v>7</v>
      </c>
      <c r="AF614">
        <v>5</v>
      </c>
      <c r="AG614">
        <v>3</v>
      </c>
      <c r="AH614">
        <v>4</v>
      </c>
      <c r="AI614">
        <v>7</v>
      </c>
      <c r="AJ614">
        <v>4</v>
      </c>
      <c r="AK614">
        <v>6</v>
      </c>
      <c r="AL614">
        <v>10</v>
      </c>
      <c r="AM614">
        <v>10</v>
      </c>
      <c r="AN614">
        <v>4</v>
      </c>
      <c r="AO614">
        <v>6</v>
      </c>
      <c r="AP614">
        <v>8</v>
      </c>
      <c r="AQ614">
        <v>3</v>
      </c>
      <c r="AR614">
        <v>2</v>
      </c>
      <c r="AS614">
        <v>0</v>
      </c>
      <c r="AT614">
        <v>6</v>
      </c>
      <c r="AU614">
        <v>6</v>
      </c>
      <c r="AV614">
        <v>4</v>
      </c>
      <c r="AW614">
        <v>3</v>
      </c>
      <c r="AX614">
        <v>9</v>
      </c>
      <c r="AY614">
        <v>2</v>
      </c>
      <c r="AZ614">
        <v>10</v>
      </c>
      <c r="BA614">
        <v>3</v>
      </c>
      <c r="BB614">
        <v>9</v>
      </c>
      <c r="BC614">
        <v>6</v>
      </c>
      <c r="BD614">
        <v>7</v>
      </c>
      <c r="BE614">
        <v>5</v>
      </c>
      <c r="BF614">
        <v>3</v>
      </c>
      <c r="BG614">
        <v>6</v>
      </c>
      <c r="BH614">
        <v>4</v>
      </c>
      <c r="BI614">
        <v>7</v>
      </c>
      <c r="BJ614">
        <v>7</v>
      </c>
      <c r="BK614">
        <v>4</v>
      </c>
      <c r="BL614">
        <v>3</v>
      </c>
      <c r="BM614">
        <v>4</v>
      </c>
      <c r="BN614">
        <v>7</v>
      </c>
      <c r="BO614">
        <v>8</v>
      </c>
      <c r="BP614">
        <v>7</v>
      </c>
      <c r="BQ614">
        <v>8</v>
      </c>
      <c r="BR614">
        <v>8</v>
      </c>
      <c r="BS614">
        <v>3</v>
      </c>
      <c r="BT614">
        <v>1</v>
      </c>
      <c r="BU614">
        <v>6</v>
      </c>
      <c r="BV614">
        <v>1</v>
      </c>
      <c r="BW614">
        <v>1</v>
      </c>
      <c r="BX614">
        <v>3</v>
      </c>
      <c r="BY614">
        <v>2</v>
      </c>
      <c r="BZ614">
        <v>8</v>
      </c>
      <c r="CA614">
        <v>5</v>
      </c>
      <c r="CB614">
        <v>4</v>
      </c>
      <c r="CC614">
        <v>10</v>
      </c>
      <c r="CD614">
        <v>5</v>
      </c>
      <c r="CE614">
        <v>9</v>
      </c>
      <c r="CF614">
        <v>5</v>
      </c>
      <c r="CG614">
        <v>7</v>
      </c>
      <c r="CH614">
        <v>10</v>
      </c>
      <c r="CI614">
        <v>7</v>
      </c>
      <c r="CJ614">
        <v>6</v>
      </c>
      <c r="CK614">
        <v>5</v>
      </c>
      <c r="CL614">
        <v>6</v>
      </c>
      <c r="CM614">
        <v>0</v>
      </c>
      <c r="CN614">
        <v>8</v>
      </c>
      <c r="CO614">
        <v>10</v>
      </c>
      <c r="CP614">
        <v>8</v>
      </c>
      <c r="CQ614">
        <v>6</v>
      </c>
      <c r="CR614">
        <v>0</v>
      </c>
      <c r="CS614">
        <v>1</v>
      </c>
      <c r="CT614">
        <v>5</v>
      </c>
      <c r="CU614">
        <v>8</v>
      </c>
      <c r="CV614">
        <v>5</v>
      </c>
      <c r="CW614">
        <v>3</v>
      </c>
      <c r="CX614">
        <v>5</v>
      </c>
      <c r="CY614">
        <v>6</v>
      </c>
      <c r="CZ614">
        <v>3</v>
      </c>
      <c r="DA614">
        <v>2</v>
      </c>
      <c r="DB614">
        <v>7</v>
      </c>
      <c r="DC614">
        <v>2</v>
      </c>
      <c r="DD614">
        <v>8</v>
      </c>
      <c r="DE614">
        <v>10</v>
      </c>
      <c r="DF614">
        <v>6</v>
      </c>
      <c r="DG614">
        <v>8</v>
      </c>
      <c r="DH614">
        <v>2</v>
      </c>
      <c r="DI614">
        <v>10</v>
      </c>
      <c r="DJ614">
        <v>5</v>
      </c>
      <c r="DK614">
        <v>5</v>
      </c>
    </row>
    <row r="615" spans="1:115">
      <c r="A615" s="173">
        <f>Calculations[[#This Row],[Sum t eCO2]]*IF(Calculations[[#This Row],[GHG Scope]]="BIOGENIC",0,1)</f>
        <v>2.7010808275000007</v>
      </c>
      <c r="O615">
        <f t="shared" si="9"/>
        <v>614</v>
      </c>
      <c r="P615">
        <v>6</v>
      </c>
      <c r="Q615">
        <v>7</v>
      </c>
      <c r="R615">
        <v>2</v>
      </c>
      <c r="S615">
        <v>6</v>
      </c>
      <c r="T615">
        <v>9</v>
      </c>
      <c r="U615">
        <v>0</v>
      </c>
      <c r="V615">
        <v>1</v>
      </c>
      <c r="W615">
        <v>3</v>
      </c>
      <c r="X615">
        <v>0</v>
      </c>
      <c r="Y615">
        <v>8</v>
      </c>
      <c r="Z615">
        <v>3</v>
      </c>
      <c r="AA615">
        <v>4</v>
      </c>
      <c r="AB615">
        <v>3</v>
      </c>
      <c r="AC615">
        <v>6</v>
      </c>
      <c r="AD615">
        <v>6</v>
      </c>
      <c r="AE615">
        <v>10</v>
      </c>
      <c r="AF615">
        <v>1</v>
      </c>
      <c r="AG615">
        <v>7</v>
      </c>
      <c r="AH615">
        <v>2</v>
      </c>
      <c r="AI615">
        <v>5</v>
      </c>
      <c r="AJ615">
        <v>4</v>
      </c>
      <c r="AK615">
        <v>6</v>
      </c>
      <c r="AL615">
        <v>8</v>
      </c>
      <c r="AM615">
        <v>2</v>
      </c>
      <c r="AN615">
        <v>5</v>
      </c>
      <c r="AO615">
        <v>4</v>
      </c>
      <c r="AP615">
        <v>5</v>
      </c>
      <c r="AQ615">
        <v>9</v>
      </c>
      <c r="AR615">
        <v>4</v>
      </c>
      <c r="AS615">
        <v>3</v>
      </c>
      <c r="AT615">
        <v>6</v>
      </c>
      <c r="AU615">
        <v>1</v>
      </c>
      <c r="AV615">
        <v>7</v>
      </c>
      <c r="AW615">
        <v>4</v>
      </c>
      <c r="AX615">
        <v>2</v>
      </c>
      <c r="AY615">
        <v>5</v>
      </c>
      <c r="AZ615">
        <v>7</v>
      </c>
      <c r="BA615">
        <v>1</v>
      </c>
      <c r="BB615">
        <v>4</v>
      </c>
      <c r="BC615">
        <v>8</v>
      </c>
      <c r="BD615">
        <v>8</v>
      </c>
      <c r="BE615">
        <v>0</v>
      </c>
      <c r="BF615">
        <v>0</v>
      </c>
      <c r="BG615">
        <v>9</v>
      </c>
      <c r="BH615">
        <v>9</v>
      </c>
      <c r="BI615">
        <v>0</v>
      </c>
      <c r="BJ615">
        <v>10</v>
      </c>
      <c r="BK615">
        <v>3</v>
      </c>
      <c r="BL615">
        <v>6</v>
      </c>
      <c r="BM615">
        <v>4</v>
      </c>
      <c r="BN615">
        <v>5</v>
      </c>
      <c r="BO615">
        <v>1</v>
      </c>
      <c r="BP615">
        <v>2</v>
      </c>
      <c r="BQ615">
        <v>4</v>
      </c>
      <c r="BR615">
        <v>5</v>
      </c>
      <c r="BS615">
        <v>3</v>
      </c>
      <c r="BT615">
        <v>10</v>
      </c>
      <c r="BU615">
        <v>0</v>
      </c>
      <c r="BV615">
        <v>4</v>
      </c>
      <c r="BW615">
        <v>3</v>
      </c>
      <c r="BX615">
        <v>2</v>
      </c>
      <c r="BY615">
        <v>2</v>
      </c>
      <c r="BZ615">
        <v>5</v>
      </c>
      <c r="CA615">
        <v>4</v>
      </c>
      <c r="CB615">
        <v>7</v>
      </c>
      <c r="CC615">
        <v>4</v>
      </c>
      <c r="CD615">
        <v>6</v>
      </c>
      <c r="CE615">
        <v>7</v>
      </c>
      <c r="CF615">
        <v>0</v>
      </c>
      <c r="CG615">
        <v>2</v>
      </c>
      <c r="CH615">
        <v>4</v>
      </c>
      <c r="CI615">
        <v>7</v>
      </c>
      <c r="CJ615">
        <v>6</v>
      </c>
      <c r="CK615">
        <v>5</v>
      </c>
      <c r="CL615">
        <v>3</v>
      </c>
      <c r="CM615">
        <v>2</v>
      </c>
      <c r="CN615">
        <v>8</v>
      </c>
      <c r="CO615">
        <v>2</v>
      </c>
      <c r="CP615">
        <v>3</v>
      </c>
      <c r="CQ615">
        <v>2</v>
      </c>
      <c r="CR615">
        <v>0</v>
      </c>
      <c r="CS615">
        <v>1</v>
      </c>
      <c r="CT615">
        <v>5</v>
      </c>
      <c r="CU615">
        <v>9</v>
      </c>
      <c r="CV615">
        <v>0</v>
      </c>
      <c r="CW615">
        <v>7</v>
      </c>
      <c r="CX615">
        <v>3</v>
      </c>
      <c r="CY615">
        <v>7</v>
      </c>
      <c r="CZ615">
        <v>3</v>
      </c>
      <c r="DA615">
        <v>8</v>
      </c>
      <c r="DB615">
        <v>1</v>
      </c>
      <c r="DC615">
        <v>2</v>
      </c>
      <c r="DD615">
        <v>2</v>
      </c>
      <c r="DE615">
        <v>4</v>
      </c>
      <c r="DF615">
        <v>6</v>
      </c>
      <c r="DG615">
        <v>8</v>
      </c>
      <c r="DH615">
        <v>8</v>
      </c>
      <c r="DI615">
        <v>7</v>
      </c>
      <c r="DJ615">
        <v>6</v>
      </c>
      <c r="DK615">
        <v>0</v>
      </c>
    </row>
    <row r="616" spans="1:115">
      <c r="A616" s="173">
        <f>Calculations[[#This Row],[Sum t eCO2]]*IF(Calculations[[#This Row],[GHG Scope]]="BIOGENIC",0,1)</f>
        <v>3.6802465185000006</v>
      </c>
      <c r="O616">
        <f t="shared" si="9"/>
        <v>615</v>
      </c>
      <c r="P616">
        <v>1</v>
      </c>
      <c r="Q616">
        <v>4</v>
      </c>
      <c r="R616">
        <v>1</v>
      </c>
      <c r="S616">
        <v>4</v>
      </c>
      <c r="T616">
        <v>1</v>
      </c>
      <c r="U616">
        <v>10</v>
      </c>
      <c r="V616">
        <v>4</v>
      </c>
      <c r="W616">
        <v>7</v>
      </c>
      <c r="X616">
        <v>7</v>
      </c>
      <c r="Y616">
        <v>7</v>
      </c>
      <c r="Z616">
        <v>2</v>
      </c>
      <c r="AA616">
        <v>8</v>
      </c>
      <c r="AB616">
        <v>7</v>
      </c>
      <c r="AC616">
        <v>3</v>
      </c>
      <c r="AD616">
        <v>2</v>
      </c>
      <c r="AE616">
        <v>4</v>
      </c>
      <c r="AF616">
        <v>9</v>
      </c>
      <c r="AG616">
        <v>5</v>
      </c>
      <c r="AH616">
        <v>9</v>
      </c>
      <c r="AI616">
        <v>7</v>
      </c>
      <c r="AJ616">
        <v>3</v>
      </c>
      <c r="AK616">
        <v>5</v>
      </c>
      <c r="AL616">
        <v>8</v>
      </c>
      <c r="AM616">
        <v>0</v>
      </c>
      <c r="AN616">
        <v>7</v>
      </c>
      <c r="AO616">
        <v>8</v>
      </c>
      <c r="AP616">
        <v>2</v>
      </c>
      <c r="AQ616">
        <v>2</v>
      </c>
      <c r="AR616">
        <v>9</v>
      </c>
      <c r="AS616">
        <v>6</v>
      </c>
      <c r="AT616">
        <v>6</v>
      </c>
      <c r="AU616">
        <v>7</v>
      </c>
      <c r="AV616">
        <v>0</v>
      </c>
      <c r="AW616">
        <v>1</v>
      </c>
      <c r="AX616">
        <v>9</v>
      </c>
      <c r="AY616">
        <v>10</v>
      </c>
      <c r="AZ616">
        <v>0</v>
      </c>
      <c r="BA616">
        <v>0</v>
      </c>
      <c r="BB616">
        <v>3</v>
      </c>
      <c r="BC616">
        <v>3</v>
      </c>
      <c r="BD616">
        <v>6</v>
      </c>
      <c r="BE616">
        <v>8</v>
      </c>
      <c r="BF616">
        <v>10</v>
      </c>
      <c r="BG616">
        <v>6</v>
      </c>
      <c r="BH616">
        <v>5</v>
      </c>
      <c r="BI616">
        <v>6</v>
      </c>
      <c r="BJ616">
        <v>9</v>
      </c>
      <c r="BK616">
        <v>6</v>
      </c>
      <c r="BL616">
        <v>0</v>
      </c>
      <c r="BM616">
        <v>10</v>
      </c>
      <c r="BN616">
        <v>3</v>
      </c>
      <c r="BO616">
        <v>4</v>
      </c>
      <c r="BP616">
        <v>0</v>
      </c>
      <c r="BQ616">
        <v>5</v>
      </c>
      <c r="BR616">
        <v>10</v>
      </c>
      <c r="BS616">
        <v>6</v>
      </c>
      <c r="BT616">
        <v>1</v>
      </c>
      <c r="BU616">
        <v>5</v>
      </c>
      <c r="BV616">
        <v>4</v>
      </c>
      <c r="BW616">
        <v>2</v>
      </c>
      <c r="BX616">
        <v>5</v>
      </c>
      <c r="BY616">
        <v>8</v>
      </c>
      <c r="BZ616">
        <v>5</v>
      </c>
      <c r="CA616">
        <v>8</v>
      </c>
      <c r="CB616">
        <v>8</v>
      </c>
      <c r="CC616">
        <v>8</v>
      </c>
      <c r="CD616">
        <v>5</v>
      </c>
      <c r="CE616">
        <v>0</v>
      </c>
      <c r="CF616">
        <v>4</v>
      </c>
      <c r="CG616">
        <v>7</v>
      </c>
      <c r="CH616">
        <v>7</v>
      </c>
      <c r="CI616">
        <v>8</v>
      </c>
      <c r="CJ616">
        <v>7</v>
      </c>
      <c r="CK616">
        <v>1</v>
      </c>
      <c r="CL616">
        <v>8</v>
      </c>
      <c r="CM616">
        <v>3</v>
      </c>
      <c r="CN616">
        <v>0</v>
      </c>
      <c r="CO616">
        <v>7</v>
      </c>
      <c r="CP616">
        <v>3</v>
      </c>
      <c r="CQ616">
        <v>9</v>
      </c>
      <c r="CR616">
        <v>2</v>
      </c>
      <c r="CS616">
        <v>8</v>
      </c>
      <c r="CT616">
        <v>10</v>
      </c>
      <c r="CU616">
        <v>9</v>
      </c>
      <c r="CV616">
        <v>7</v>
      </c>
      <c r="CW616">
        <v>1</v>
      </c>
      <c r="CX616">
        <v>8</v>
      </c>
      <c r="CY616">
        <v>5</v>
      </c>
      <c r="CZ616">
        <v>10</v>
      </c>
      <c r="DA616">
        <v>6</v>
      </c>
      <c r="DB616">
        <v>10</v>
      </c>
      <c r="DC616">
        <v>1</v>
      </c>
      <c r="DD616">
        <v>1</v>
      </c>
      <c r="DE616">
        <v>5</v>
      </c>
      <c r="DF616">
        <v>5</v>
      </c>
      <c r="DG616">
        <v>10</v>
      </c>
      <c r="DH616">
        <v>7</v>
      </c>
      <c r="DI616">
        <v>8</v>
      </c>
      <c r="DJ616">
        <v>7</v>
      </c>
      <c r="DK616">
        <v>9</v>
      </c>
    </row>
    <row r="617" spans="1:115">
      <c r="A617" s="173">
        <f>Calculations[[#This Row],[Sum t eCO2]]*IF(Calculations[[#This Row],[GHG Scope]]="BIOGENIC",0,1)</f>
        <v>1.0461483095000002</v>
      </c>
      <c r="O617">
        <f t="shared" si="9"/>
        <v>616</v>
      </c>
      <c r="P617">
        <v>1</v>
      </c>
      <c r="Q617">
        <v>9</v>
      </c>
      <c r="R617">
        <v>3</v>
      </c>
      <c r="S617">
        <v>3</v>
      </c>
      <c r="T617">
        <v>7</v>
      </c>
      <c r="U617">
        <v>10</v>
      </c>
      <c r="V617">
        <v>0</v>
      </c>
      <c r="W617">
        <v>6</v>
      </c>
      <c r="X617">
        <v>8</v>
      </c>
      <c r="Y617">
        <v>7</v>
      </c>
      <c r="Z617">
        <v>1</v>
      </c>
      <c r="AA617">
        <v>2</v>
      </c>
      <c r="AB617">
        <v>4</v>
      </c>
      <c r="AC617">
        <v>2</v>
      </c>
      <c r="AD617">
        <v>2</v>
      </c>
      <c r="AE617">
        <v>9</v>
      </c>
      <c r="AF617">
        <v>1</v>
      </c>
      <c r="AG617">
        <v>9</v>
      </c>
      <c r="AH617">
        <v>0</v>
      </c>
      <c r="AI617">
        <v>7</v>
      </c>
      <c r="AJ617">
        <v>3</v>
      </c>
      <c r="AK617">
        <v>5</v>
      </c>
      <c r="AL617">
        <v>4</v>
      </c>
      <c r="AM617">
        <v>4</v>
      </c>
      <c r="AN617">
        <v>4</v>
      </c>
      <c r="AO617">
        <v>5</v>
      </c>
      <c r="AP617">
        <v>10</v>
      </c>
      <c r="AQ617">
        <v>3</v>
      </c>
      <c r="AR617">
        <v>7</v>
      </c>
      <c r="AS617">
        <v>10</v>
      </c>
      <c r="AT617">
        <v>2</v>
      </c>
      <c r="AU617">
        <v>9</v>
      </c>
      <c r="AV617">
        <v>0</v>
      </c>
      <c r="AW617">
        <v>2</v>
      </c>
      <c r="AX617">
        <v>6</v>
      </c>
      <c r="AY617">
        <v>10</v>
      </c>
      <c r="AZ617">
        <v>5</v>
      </c>
      <c r="BA617">
        <v>6</v>
      </c>
      <c r="BB617">
        <v>4</v>
      </c>
      <c r="BC617">
        <v>3</v>
      </c>
      <c r="BD617">
        <v>1</v>
      </c>
      <c r="BE617">
        <v>0</v>
      </c>
      <c r="BF617">
        <v>7</v>
      </c>
      <c r="BG617">
        <v>9</v>
      </c>
      <c r="BH617">
        <v>6</v>
      </c>
      <c r="BI617">
        <v>5</v>
      </c>
      <c r="BJ617">
        <v>8</v>
      </c>
      <c r="BK617">
        <v>3</v>
      </c>
      <c r="BL617">
        <v>6</v>
      </c>
      <c r="BM617">
        <v>1</v>
      </c>
      <c r="BN617">
        <v>3</v>
      </c>
      <c r="BO617">
        <v>2</v>
      </c>
      <c r="BP617">
        <v>10</v>
      </c>
      <c r="BQ617">
        <v>6</v>
      </c>
      <c r="BR617">
        <v>9</v>
      </c>
      <c r="BS617">
        <v>7</v>
      </c>
      <c r="BT617">
        <v>2</v>
      </c>
      <c r="BU617">
        <v>10</v>
      </c>
      <c r="BV617">
        <v>10</v>
      </c>
      <c r="BW617">
        <v>4</v>
      </c>
      <c r="BX617">
        <v>4</v>
      </c>
      <c r="BY617">
        <v>10</v>
      </c>
      <c r="BZ617">
        <v>4</v>
      </c>
      <c r="CA617">
        <v>5</v>
      </c>
      <c r="CB617">
        <v>10</v>
      </c>
      <c r="CC617">
        <v>3</v>
      </c>
      <c r="CD617">
        <v>8</v>
      </c>
      <c r="CE617">
        <v>6</v>
      </c>
      <c r="CF617">
        <v>2</v>
      </c>
      <c r="CG617">
        <v>1</v>
      </c>
      <c r="CH617">
        <v>0</v>
      </c>
      <c r="CI617">
        <v>2</v>
      </c>
      <c r="CJ617">
        <v>3</v>
      </c>
      <c r="CK617">
        <v>0</v>
      </c>
      <c r="CL617">
        <v>7</v>
      </c>
      <c r="CM617">
        <v>1</v>
      </c>
      <c r="CN617">
        <v>4</v>
      </c>
      <c r="CO617">
        <v>1</v>
      </c>
      <c r="CP617">
        <v>0</v>
      </c>
      <c r="CQ617">
        <v>7</v>
      </c>
      <c r="CR617">
        <v>5</v>
      </c>
      <c r="CS617">
        <v>9</v>
      </c>
      <c r="CT617">
        <v>3</v>
      </c>
      <c r="CU617">
        <v>8</v>
      </c>
      <c r="CV617">
        <v>10</v>
      </c>
      <c r="CW617">
        <v>0</v>
      </c>
      <c r="CX617">
        <v>3</v>
      </c>
      <c r="CY617">
        <v>2</v>
      </c>
      <c r="CZ617">
        <v>10</v>
      </c>
      <c r="DA617">
        <v>1</v>
      </c>
      <c r="DB617">
        <v>0</v>
      </c>
      <c r="DC617">
        <v>1</v>
      </c>
      <c r="DD617">
        <v>3</v>
      </c>
      <c r="DE617">
        <v>2</v>
      </c>
      <c r="DF617">
        <v>10</v>
      </c>
      <c r="DG617">
        <v>10</v>
      </c>
      <c r="DH617">
        <v>0</v>
      </c>
      <c r="DI617">
        <v>7</v>
      </c>
      <c r="DJ617">
        <v>8</v>
      </c>
      <c r="DK617">
        <v>1</v>
      </c>
    </row>
    <row r="618" spans="1:115">
      <c r="A618" s="173">
        <f>Calculations[[#This Row],[Sum t eCO2]]*IF(Calculations[[#This Row],[GHG Scope]]="BIOGENIC",0,1)</f>
        <v>0.25810460200000002</v>
      </c>
      <c r="O618">
        <f t="shared" si="9"/>
        <v>617</v>
      </c>
      <c r="P618">
        <v>0</v>
      </c>
      <c r="Q618">
        <v>4</v>
      </c>
      <c r="R618">
        <v>6</v>
      </c>
      <c r="S618">
        <v>8</v>
      </c>
      <c r="T618">
        <v>9</v>
      </c>
      <c r="U618">
        <v>2</v>
      </c>
      <c r="V618">
        <v>10</v>
      </c>
      <c r="W618">
        <v>1</v>
      </c>
      <c r="X618">
        <v>10</v>
      </c>
      <c r="Y618">
        <v>8</v>
      </c>
      <c r="Z618">
        <v>10</v>
      </c>
      <c r="AA618">
        <v>0</v>
      </c>
      <c r="AB618">
        <v>6</v>
      </c>
      <c r="AC618">
        <v>6</v>
      </c>
      <c r="AD618">
        <v>1</v>
      </c>
      <c r="AE618">
        <v>1</v>
      </c>
      <c r="AF618">
        <v>9</v>
      </c>
      <c r="AG618">
        <v>10</v>
      </c>
      <c r="AH618">
        <v>6</v>
      </c>
      <c r="AI618">
        <v>10</v>
      </c>
      <c r="AJ618">
        <v>2</v>
      </c>
      <c r="AK618">
        <v>0</v>
      </c>
      <c r="AL618">
        <v>2</v>
      </c>
      <c r="AM618">
        <v>1</v>
      </c>
      <c r="AN618">
        <v>9</v>
      </c>
      <c r="AO618">
        <v>1</v>
      </c>
      <c r="AP618">
        <v>3</v>
      </c>
      <c r="AQ618">
        <v>4</v>
      </c>
      <c r="AR618">
        <v>9</v>
      </c>
      <c r="AS618">
        <v>10</v>
      </c>
      <c r="AT618">
        <v>7</v>
      </c>
      <c r="AU618">
        <v>1</v>
      </c>
      <c r="AV618">
        <v>3</v>
      </c>
      <c r="AW618">
        <v>8</v>
      </c>
      <c r="AX618">
        <v>10</v>
      </c>
      <c r="AY618">
        <v>0</v>
      </c>
      <c r="AZ618">
        <v>0</v>
      </c>
      <c r="BA618">
        <v>2</v>
      </c>
      <c r="BB618">
        <v>2</v>
      </c>
      <c r="BC618">
        <v>8</v>
      </c>
      <c r="BD618">
        <v>8</v>
      </c>
      <c r="BE618">
        <v>2</v>
      </c>
      <c r="BF618">
        <v>9</v>
      </c>
      <c r="BG618">
        <v>1</v>
      </c>
      <c r="BH618">
        <v>6</v>
      </c>
      <c r="BI618">
        <v>1</v>
      </c>
      <c r="BJ618">
        <v>5</v>
      </c>
      <c r="BK618">
        <v>8</v>
      </c>
      <c r="BL618">
        <v>9</v>
      </c>
      <c r="BM618">
        <v>3</v>
      </c>
      <c r="BN618">
        <v>6</v>
      </c>
      <c r="BO618">
        <v>4</v>
      </c>
      <c r="BP618">
        <v>7</v>
      </c>
      <c r="BQ618">
        <v>2</v>
      </c>
      <c r="BR618">
        <v>0</v>
      </c>
      <c r="BS618">
        <v>6</v>
      </c>
      <c r="BT618">
        <v>6</v>
      </c>
      <c r="BU618">
        <v>8</v>
      </c>
      <c r="BV618">
        <v>6</v>
      </c>
      <c r="BW618">
        <v>0</v>
      </c>
      <c r="BX618">
        <v>8</v>
      </c>
      <c r="BY618">
        <v>4</v>
      </c>
      <c r="BZ618">
        <v>1</v>
      </c>
      <c r="CA618">
        <v>10</v>
      </c>
      <c r="CB618">
        <v>0</v>
      </c>
      <c r="CC618">
        <v>6</v>
      </c>
      <c r="CD618">
        <v>2</v>
      </c>
      <c r="CE618">
        <v>4</v>
      </c>
      <c r="CF618">
        <v>7</v>
      </c>
      <c r="CG618">
        <v>0</v>
      </c>
      <c r="CH618">
        <v>3</v>
      </c>
      <c r="CI618">
        <v>3</v>
      </c>
      <c r="CJ618">
        <v>4</v>
      </c>
      <c r="CK618">
        <v>1</v>
      </c>
      <c r="CL618">
        <v>2</v>
      </c>
      <c r="CM618">
        <v>5</v>
      </c>
      <c r="CN618">
        <v>8</v>
      </c>
      <c r="CO618">
        <v>2</v>
      </c>
      <c r="CP618">
        <v>3</v>
      </c>
      <c r="CQ618">
        <v>5</v>
      </c>
      <c r="CR618">
        <v>0</v>
      </c>
      <c r="CS618">
        <v>8</v>
      </c>
      <c r="CT618">
        <v>1</v>
      </c>
      <c r="CU618">
        <v>5</v>
      </c>
      <c r="CV618">
        <v>4</v>
      </c>
      <c r="CW618">
        <v>0</v>
      </c>
      <c r="CX618">
        <v>8</v>
      </c>
      <c r="CY618">
        <v>0</v>
      </c>
      <c r="CZ618">
        <v>7</v>
      </c>
      <c r="DA618">
        <v>3</v>
      </c>
      <c r="DB618">
        <v>8</v>
      </c>
      <c r="DC618">
        <v>2</v>
      </c>
      <c r="DD618">
        <v>1</v>
      </c>
      <c r="DE618">
        <v>8</v>
      </c>
      <c r="DF618">
        <v>3</v>
      </c>
      <c r="DG618">
        <v>9</v>
      </c>
      <c r="DH618">
        <v>0</v>
      </c>
      <c r="DI618">
        <v>3</v>
      </c>
      <c r="DJ618">
        <v>10</v>
      </c>
      <c r="DK618">
        <v>9</v>
      </c>
    </row>
    <row r="619" spans="1:115">
      <c r="A619" s="173">
        <f>Calculations[[#This Row],[Sum t eCO2]]*IF(Calculations[[#This Row],[GHG Scope]]="BIOGENIC",0,1)</f>
        <v>1.8624977975000003</v>
      </c>
      <c r="O619">
        <f t="shared" si="9"/>
        <v>618</v>
      </c>
      <c r="P619">
        <v>3</v>
      </c>
      <c r="Q619">
        <v>4</v>
      </c>
      <c r="R619">
        <v>1</v>
      </c>
      <c r="S619">
        <v>7</v>
      </c>
      <c r="T619">
        <v>5</v>
      </c>
      <c r="U619">
        <v>1</v>
      </c>
      <c r="V619">
        <v>8</v>
      </c>
      <c r="W619">
        <v>6</v>
      </c>
      <c r="X619">
        <v>3</v>
      </c>
      <c r="Y619">
        <v>7</v>
      </c>
      <c r="Z619">
        <v>1</v>
      </c>
      <c r="AA619">
        <v>10</v>
      </c>
      <c r="AB619">
        <v>1</v>
      </c>
      <c r="AC619">
        <v>3</v>
      </c>
      <c r="AD619">
        <v>2</v>
      </c>
      <c r="AE619">
        <v>5</v>
      </c>
      <c r="AF619">
        <v>5</v>
      </c>
      <c r="AG619">
        <v>2</v>
      </c>
      <c r="AH619">
        <v>6</v>
      </c>
      <c r="AI619">
        <v>7</v>
      </c>
      <c r="AJ619">
        <v>10</v>
      </c>
      <c r="AK619">
        <v>5</v>
      </c>
      <c r="AL619">
        <v>1</v>
      </c>
      <c r="AM619">
        <v>7</v>
      </c>
      <c r="AN619">
        <v>6</v>
      </c>
      <c r="AO619">
        <v>6</v>
      </c>
      <c r="AP619">
        <v>2</v>
      </c>
      <c r="AQ619">
        <v>8</v>
      </c>
      <c r="AR619">
        <v>6</v>
      </c>
      <c r="AS619">
        <v>6</v>
      </c>
      <c r="AT619">
        <v>8</v>
      </c>
      <c r="AU619">
        <v>4</v>
      </c>
      <c r="AV619">
        <v>0</v>
      </c>
      <c r="AW619">
        <v>7</v>
      </c>
      <c r="AX619">
        <v>10</v>
      </c>
      <c r="AY619">
        <v>1</v>
      </c>
      <c r="AZ619">
        <v>5</v>
      </c>
      <c r="BA619">
        <v>7</v>
      </c>
      <c r="BB619">
        <v>8</v>
      </c>
      <c r="BC619">
        <v>5</v>
      </c>
      <c r="BD619">
        <v>6</v>
      </c>
      <c r="BE619">
        <v>5</v>
      </c>
      <c r="BF619">
        <v>2</v>
      </c>
      <c r="BG619">
        <v>7</v>
      </c>
      <c r="BH619">
        <v>0</v>
      </c>
      <c r="BI619">
        <v>6</v>
      </c>
      <c r="BJ619">
        <v>2</v>
      </c>
      <c r="BK619">
        <v>5</v>
      </c>
      <c r="BL619">
        <v>0</v>
      </c>
      <c r="BM619">
        <v>8</v>
      </c>
      <c r="BN619">
        <v>9</v>
      </c>
      <c r="BO619">
        <v>5</v>
      </c>
      <c r="BP619">
        <v>4</v>
      </c>
      <c r="BQ619">
        <v>5</v>
      </c>
      <c r="BR619">
        <v>1</v>
      </c>
      <c r="BS619">
        <v>7</v>
      </c>
      <c r="BT619">
        <v>1</v>
      </c>
      <c r="BU619">
        <v>5</v>
      </c>
      <c r="BV619">
        <v>0</v>
      </c>
      <c r="BW619">
        <v>3</v>
      </c>
      <c r="BX619">
        <v>8</v>
      </c>
      <c r="BY619">
        <v>10</v>
      </c>
      <c r="BZ619">
        <v>10</v>
      </c>
      <c r="CA619">
        <v>1</v>
      </c>
      <c r="CB619">
        <v>10</v>
      </c>
      <c r="CC619">
        <v>2</v>
      </c>
      <c r="CD619">
        <v>3</v>
      </c>
      <c r="CE619">
        <v>3</v>
      </c>
      <c r="CF619">
        <v>6</v>
      </c>
      <c r="CG619">
        <v>4</v>
      </c>
      <c r="CH619">
        <v>1</v>
      </c>
      <c r="CI619">
        <v>6</v>
      </c>
      <c r="CJ619">
        <v>0</v>
      </c>
      <c r="CK619">
        <v>4</v>
      </c>
      <c r="CL619">
        <v>4</v>
      </c>
      <c r="CM619">
        <v>5</v>
      </c>
      <c r="CN619">
        <v>6</v>
      </c>
      <c r="CO619">
        <v>5</v>
      </c>
      <c r="CP619">
        <v>10</v>
      </c>
      <c r="CQ619">
        <v>4</v>
      </c>
      <c r="CR619">
        <v>2</v>
      </c>
      <c r="CS619">
        <v>3</v>
      </c>
      <c r="CT619">
        <v>8</v>
      </c>
      <c r="CU619">
        <v>4</v>
      </c>
      <c r="CV619">
        <v>10</v>
      </c>
      <c r="CW619">
        <v>9</v>
      </c>
      <c r="CX619">
        <v>7</v>
      </c>
      <c r="CY619">
        <v>9</v>
      </c>
      <c r="CZ619">
        <v>5</v>
      </c>
      <c r="DA619">
        <v>7</v>
      </c>
      <c r="DB619">
        <v>6</v>
      </c>
      <c r="DC619">
        <v>1</v>
      </c>
      <c r="DD619">
        <v>8</v>
      </c>
      <c r="DE619">
        <v>4</v>
      </c>
      <c r="DF619">
        <v>3</v>
      </c>
      <c r="DG619">
        <v>9</v>
      </c>
      <c r="DH619">
        <v>10</v>
      </c>
      <c r="DI619">
        <v>7</v>
      </c>
      <c r="DJ619">
        <v>3</v>
      </c>
      <c r="DK619">
        <v>3</v>
      </c>
    </row>
    <row r="620" spans="1:115">
      <c r="A620" s="173">
        <f>Calculations[[#This Row],[Sum t eCO2]]*IF(Calculations[[#This Row],[GHG Scope]]="BIOGENIC",0,1)</f>
        <v>1.9146650351999999</v>
      </c>
      <c r="O620">
        <f t="shared" si="9"/>
        <v>619</v>
      </c>
      <c r="P620">
        <v>1</v>
      </c>
      <c r="Q620">
        <v>7</v>
      </c>
      <c r="R620">
        <v>5</v>
      </c>
      <c r="S620">
        <v>7</v>
      </c>
      <c r="T620">
        <v>6</v>
      </c>
      <c r="U620">
        <v>2</v>
      </c>
      <c r="V620">
        <v>0</v>
      </c>
      <c r="W620">
        <v>2</v>
      </c>
      <c r="X620">
        <v>4</v>
      </c>
      <c r="Y620">
        <v>7</v>
      </c>
      <c r="Z620">
        <v>6</v>
      </c>
      <c r="AA620">
        <v>3</v>
      </c>
      <c r="AB620">
        <v>2</v>
      </c>
      <c r="AC620">
        <v>9</v>
      </c>
      <c r="AD620">
        <v>6</v>
      </c>
      <c r="AE620">
        <v>4</v>
      </c>
      <c r="AF620">
        <v>8</v>
      </c>
      <c r="AG620">
        <v>9</v>
      </c>
      <c r="AH620">
        <v>9</v>
      </c>
      <c r="AI620">
        <v>7</v>
      </c>
      <c r="AJ620">
        <v>8</v>
      </c>
      <c r="AK620">
        <v>4</v>
      </c>
      <c r="AL620">
        <v>7</v>
      </c>
      <c r="AM620">
        <v>4</v>
      </c>
      <c r="AN620">
        <v>1</v>
      </c>
      <c r="AO620">
        <v>8</v>
      </c>
      <c r="AP620">
        <v>2</v>
      </c>
      <c r="AQ620">
        <v>4</v>
      </c>
      <c r="AR620">
        <v>10</v>
      </c>
      <c r="AS620">
        <v>10</v>
      </c>
      <c r="AT620">
        <v>6</v>
      </c>
      <c r="AU620">
        <v>1</v>
      </c>
      <c r="AV620">
        <v>8</v>
      </c>
      <c r="AW620">
        <v>2</v>
      </c>
      <c r="AX620">
        <v>4</v>
      </c>
      <c r="AY620">
        <v>9</v>
      </c>
      <c r="AZ620">
        <v>7</v>
      </c>
      <c r="BA620">
        <v>6</v>
      </c>
      <c r="BB620">
        <v>7</v>
      </c>
      <c r="BC620">
        <v>6</v>
      </c>
      <c r="BD620">
        <v>6</v>
      </c>
      <c r="BE620">
        <v>9</v>
      </c>
      <c r="BF620">
        <v>9</v>
      </c>
      <c r="BG620">
        <v>5</v>
      </c>
      <c r="BH620">
        <v>8</v>
      </c>
      <c r="BI620">
        <v>6</v>
      </c>
      <c r="BJ620">
        <v>7</v>
      </c>
      <c r="BK620">
        <v>10</v>
      </c>
      <c r="BL620">
        <v>8</v>
      </c>
      <c r="BM620">
        <v>10</v>
      </c>
      <c r="BN620">
        <v>1</v>
      </c>
      <c r="BO620">
        <v>4</v>
      </c>
      <c r="BP620">
        <v>3</v>
      </c>
      <c r="BQ620">
        <v>9</v>
      </c>
      <c r="BR620">
        <v>9</v>
      </c>
      <c r="BS620">
        <v>10</v>
      </c>
      <c r="BT620">
        <v>6</v>
      </c>
      <c r="BU620">
        <v>8</v>
      </c>
      <c r="BV620">
        <v>6</v>
      </c>
      <c r="BW620">
        <v>4</v>
      </c>
      <c r="BX620">
        <v>8</v>
      </c>
      <c r="BY620">
        <v>4</v>
      </c>
      <c r="BZ620">
        <v>2</v>
      </c>
      <c r="CA620">
        <v>0</v>
      </c>
      <c r="CB620">
        <v>2</v>
      </c>
      <c r="CC620">
        <v>2</v>
      </c>
      <c r="CD620">
        <v>8</v>
      </c>
      <c r="CE620">
        <v>1</v>
      </c>
      <c r="CF620">
        <v>4</v>
      </c>
      <c r="CG620">
        <v>6</v>
      </c>
      <c r="CH620">
        <v>3</v>
      </c>
      <c r="CI620">
        <v>7</v>
      </c>
      <c r="CJ620">
        <v>10</v>
      </c>
      <c r="CK620">
        <v>0</v>
      </c>
      <c r="CL620">
        <v>6</v>
      </c>
      <c r="CM620">
        <v>1</v>
      </c>
      <c r="CN620">
        <v>1</v>
      </c>
      <c r="CO620">
        <v>2</v>
      </c>
      <c r="CP620">
        <v>3</v>
      </c>
      <c r="CQ620">
        <v>6</v>
      </c>
      <c r="CR620">
        <v>2</v>
      </c>
      <c r="CS620">
        <v>8</v>
      </c>
      <c r="CT620">
        <v>5</v>
      </c>
      <c r="CU620">
        <v>0</v>
      </c>
      <c r="CV620">
        <v>0</v>
      </c>
      <c r="CW620">
        <v>9</v>
      </c>
      <c r="CX620">
        <v>9</v>
      </c>
      <c r="CY620">
        <v>1</v>
      </c>
      <c r="CZ620">
        <v>4</v>
      </c>
      <c r="DA620">
        <v>0</v>
      </c>
      <c r="DB620">
        <v>5</v>
      </c>
      <c r="DC620">
        <v>5</v>
      </c>
      <c r="DD620">
        <v>2</v>
      </c>
      <c r="DE620">
        <v>10</v>
      </c>
      <c r="DF620">
        <v>10</v>
      </c>
      <c r="DG620">
        <v>6</v>
      </c>
      <c r="DH620">
        <v>5</v>
      </c>
      <c r="DI620">
        <v>2</v>
      </c>
      <c r="DJ620">
        <v>1</v>
      </c>
      <c r="DK620">
        <v>9</v>
      </c>
    </row>
    <row r="621" spans="1:115">
      <c r="A621" s="173">
        <f>Calculations[[#This Row],[Sum t eCO2]]*IF(Calculations[[#This Row],[GHG Scope]]="BIOGENIC",0,1)</f>
        <v>1.6353017985961538</v>
      </c>
      <c r="O621">
        <f t="shared" si="9"/>
        <v>620</v>
      </c>
      <c r="P621">
        <v>9</v>
      </c>
      <c r="Q621">
        <v>2</v>
      </c>
      <c r="R621">
        <v>0</v>
      </c>
      <c r="S621">
        <v>9</v>
      </c>
      <c r="T621">
        <v>2</v>
      </c>
      <c r="U621">
        <v>9</v>
      </c>
      <c r="V621">
        <v>5</v>
      </c>
      <c r="W621">
        <v>0</v>
      </c>
      <c r="X621">
        <v>4</v>
      </c>
      <c r="Y621">
        <v>8</v>
      </c>
      <c r="Z621">
        <v>7</v>
      </c>
      <c r="AA621">
        <v>4</v>
      </c>
      <c r="AB621">
        <v>8</v>
      </c>
      <c r="AC621">
        <v>6</v>
      </c>
      <c r="AD621">
        <v>9</v>
      </c>
      <c r="AE621">
        <v>8</v>
      </c>
      <c r="AF621">
        <v>8</v>
      </c>
      <c r="AG621">
        <v>0</v>
      </c>
      <c r="AH621">
        <v>7</v>
      </c>
      <c r="AI621">
        <v>8</v>
      </c>
      <c r="AJ621">
        <v>5</v>
      </c>
      <c r="AK621">
        <v>8</v>
      </c>
      <c r="AL621">
        <v>7</v>
      </c>
      <c r="AM621">
        <v>2</v>
      </c>
      <c r="AN621">
        <v>9</v>
      </c>
      <c r="AO621">
        <v>2</v>
      </c>
      <c r="AP621">
        <v>9</v>
      </c>
      <c r="AQ621">
        <v>3</v>
      </c>
      <c r="AR621">
        <v>9</v>
      </c>
      <c r="AS621">
        <v>1</v>
      </c>
      <c r="AT621">
        <v>0</v>
      </c>
      <c r="AU621">
        <v>6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2</v>
      </c>
      <c r="BB621">
        <v>6</v>
      </c>
      <c r="BC621">
        <v>1</v>
      </c>
      <c r="BD621">
        <v>3</v>
      </c>
      <c r="BE621">
        <v>0</v>
      </c>
      <c r="BF621">
        <v>3</v>
      </c>
      <c r="BG621">
        <v>8</v>
      </c>
      <c r="BH621">
        <v>7</v>
      </c>
      <c r="BI621">
        <v>7</v>
      </c>
      <c r="BJ621">
        <v>9</v>
      </c>
      <c r="BK621">
        <v>1</v>
      </c>
      <c r="BL621">
        <v>2</v>
      </c>
      <c r="BM621">
        <v>3</v>
      </c>
      <c r="BN621">
        <v>1</v>
      </c>
      <c r="BO621">
        <v>1</v>
      </c>
      <c r="BP621">
        <v>9</v>
      </c>
      <c r="BQ621">
        <v>5</v>
      </c>
      <c r="BR621">
        <v>9</v>
      </c>
      <c r="BS621">
        <v>2</v>
      </c>
      <c r="BT621">
        <v>1</v>
      </c>
      <c r="BU621">
        <v>7</v>
      </c>
      <c r="BV621">
        <v>9</v>
      </c>
      <c r="BW621">
        <v>0</v>
      </c>
      <c r="BX621">
        <v>8</v>
      </c>
      <c r="BY621">
        <v>6</v>
      </c>
      <c r="BZ621">
        <v>1</v>
      </c>
      <c r="CA621">
        <v>3</v>
      </c>
      <c r="CB621">
        <v>0</v>
      </c>
      <c r="CC621">
        <v>8</v>
      </c>
      <c r="CD621">
        <v>7</v>
      </c>
      <c r="CE621">
        <v>5</v>
      </c>
      <c r="CF621">
        <v>4</v>
      </c>
      <c r="CG621">
        <v>9</v>
      </c>
      <c r="CH621">
        <v>6</v>
      </c>
      <c r="CI621">
        <v>6</v>
      </c>
      <c r="CJ621">
        <v>3</v>
      </c>
      <c r="CK621">
        <v>5</v>
      </c>
      <c r="CL621">
        <v>1</v>
      </c>
      <c r="CM621">
        <v>5</v>
      </c>
      <c r="CN621">
        <v>6</v>
      </c>
      <c r="CO621">
        <v>1</v>
      </c>
      <c r="CP621">
        <v>2</v>
      </c>
      <c r="CQ621">
        <v>6</v>
      </c>
      <c r="CR621">
        <v>5</v>
      </c>
      <c r="CS621">
        <v>10</v>
      </c>
      <c r="CT621">
        <v>1</v>
      </c>
      <c r="CU621">
        <v>3</v>
      </c>
      <c r="CV621">
        <v>2</v>
      </c>
      <c r="CW621">
        <v>1</v>
      </c>
      <c r="CX621">
        <v>9</v>
      </c>
      <c r="CY621">
        <v>9</v>
      </c>
      <c r="CZ621">
        <v>10</v>
      </c>
      <c r="DA621">
        <v>0</v>
      </c>
      <c r="DB621">
        <v>5</v>
      </c>
      <c r="DC621">
        <v>9</v>
      </c>
      <c r="DD621">
        <v>3</v>
      </c>
      <c r="DE621">
        <v>9</v>
      </c>
      <c r="DF621">
        <v>5</v>
      </c>
      <c r="DG621">
        <v>9</v>
      </c>
      <c r="DH621">
        <v>1</v>
      </c>
      <c r="DI621">
        <v>2</v>
      </c>
      <c r="DJ621">
        <v>9</v>
      </c>
      <c r="DK621">
        <v>9</v>
      </c>
    </row>
    <row r="622" spans="1:115">
      <c r="A622" s="173">
        <f>Calculations[[#This Row],[Sum t eCO2]]*IF(Calculations[[#This Row],[GHG Scope]]="BIOGENIC",0,1)</f>
        <v>245.16588175140001</v>
      </c>
      <c r="O622">
        <f t="shared" si="9"/>
        <v>621</v>
      </c>
      <c r="P622">
        <v>10</v>
      </c>
      <c r="Q622">
        <v>1</v>
      </c>
      <c r="R622">
        <v>5</v>
      </c>
      <c r="S622">
        <v>4</v>
      </c>
      <c r="T622">
        <v>7</v>
      </c>
      <c r="U622">
        <v>7</v>
      </c>
      <c r="V622">
        <v>0</v>
      </c>
      <c r="W622">
        <v>6</v>
      </c>
      <c r="X622">
        <v>2</v>
      </c>
      <c r="Y622">
        <v>10</v>
      </c>
      <c r="Z622">
        <v>7</v>
      </c>
      <c r="AA622">
        <v>10</v>
      </c>
      <c r="AB622">
        <v>4</v>
      </c>
      <c r="AC622">
        <v>8</v>
      </c>
      <c r="AD622">
        <v>6</v>
      </c>
      <c r="AE622">
        <v>6</v>
      </c>
      <c r="AF622">
        <v>6</v>
      </c>
      <c r="AG622">
        <v>9</v>
      </c>
      <c r="AH622">
        <v>9</v>
      </c>
      <c r="AI622">
        <v>10</v>
      </c>
      <c r="AJ622">
        <v>9</v>
      </c>
      <c r="AK622">
        <v>10</v>
      </c>
      <c r="AL622">
        <v>6</v>
      </c>
      <c r="AM622">
        <v>10</v>
      </c>
      <c r="AN622">
        <v>5</v>
      </c>
      <c r="AO622">
        <v>3</v>
      </c>
      <c r="AP622">
        <v>0</v>
      </c>
      <c r="AQ622">
        <v>7</v>
      </c>
      <c r="AR622">
        <v>0</v>
      </c>
      <c r="AS622">
        <v>1</v>
      </c>
      <c r="AT622">
        <v>3</v>
      </c>
      <c r="AU622">
        <v>8</v>
      </c>
      <c r="AV622">
        <v>10</v>
      </c>
      <c r="AW622">
        <v>6</v>
      </c>
      <c r="AX622">
        <v>9</v>
      </c>
      <c r="AY622">
        <v>5</v>
      </c>
      <c r="AZ622">
        <v>1</v>
      </c>
      <c r="BA622">
        <v>10</v>
      </c>
      <c r="BB622">
        <v>4</v>
      </c>
      <c r="BC622">
        <v>1</v>
      </c>
      <c r="BD622">
        <v>2</v>
      </c>
      <c r="BE622">
        <v>2</v>
      </c>
      <c r="BF622">
        <v>10</v>
      </c>
      <c r="BG622">
        <v>9</v>
      </c>
      <c r="BH622">
        <v>10</v>
      </c>
      <c r="BI622">
        <v>6</v>
      </c>
      <c r="BJ622">
        <v>2</v>
      </c>
      <c r="BK622">
        <v>6</v>
      </c>
      <c r="BL622">
        <v>0</v>
      </c>
      <c r="BM622">
        <v>9</v>
      </c>
      <c r="BN622">
        <v>4</v>
      </c>
      <c r="BO622">
        <v>10</v>
      </c>
      <c r="BP622">
        <v>0</v>
      </c>
      <c r="BQ622">
        <v>1</v>
      </c>
      <c r="BR622">
        <v>1</v>
      </c>
      <c r="BS622">
        <v>6</v>
      </c>
      <c r="BT622">
        <v>8</v>
      </c>
      <c r="BU622">
        <v>1</v>
      </c>
      <c r="BV622">
        <v>7</v>
      </c>
      <c r="BW622">
        <v>1</v>
      </c>
      <c r="BX622">
        <v>10</v>
      </c>
      <c r="BY622">
        <v>0</v>
      </c>
      <c r="BZ622">
        <v>3</v>
      </c>
      <c r="CA622">
        <v>3</v>
      </c>
      <c r="CB622">
        <v>0</v>
      </c>
      <c r="CC622">
        <v>0</v>
      </c>
      <c r="CD622">
        <v>9</v>
      </c>
      <c r="CE622">
        <v>4</v>
      </c>
      <c r="CF622">
        <v>4</v>
      </c>
      <c r="CG622">
        <v>9</v>
      </c>
      <c r="CH622">
        <v>0</v>
      </c>
      <c r="CI622">
        <v>0</v>
      </c>
      <c r="CJ622">
        <v>1</v>
      </c>
      <c r="CK622">
        <v>2</v>
      </c>
      <c r="CL622">
        <v>5</v>
      </c>
      <c r="CM622">
        <v>7</v>
      </c>
      <c r="CN622">
        <v>5</v>
      </c>
      <c r="CO622">
        <v>10</v>
      </c>
      <c r="CP622">
        <v>6</v>
      </c>
      <c r="CQ622">
        <v>5</v>
      </c>
      <c r="CR622">
        <v>10</v>
      </c>
      <c r="CS622">
        <v>2</v>
      </c>
      <c r="CT622">
        <v>9</v>
      </c>
      <c r="CU622">
        <v>0</v>
      </c>
      <c r="CV622">
        <v>5</v>
      </c>
      <c r="CW622">
        <v>7</v>
      </c>
      <c r="CX622">
        <v>8</v>
      </c>
      <c r="CY622">
        <v>6</v>
      </c>
      <c r="CZ622">
        <v>7</v>
      </c>
      <c r="DA622">
        <v>1</v>
      </c>
      <c r="DB622">
        <v>9</v>
      </c>
      <c r="DC622">
        <v>4</v>
      </c>
      <c r="DD622">
        <v>7</v>
      </c>
      <c r="DE622">
        <v>3</v>
      </c>
      <c r="DF622">
        <v>10</v>
      </c>
      <c r="DG622">
        <v>3</v>
      </c>
      <c r="DH622">
        <v>0</v>
      </c>
      <c r="DI622">
        <v>1</v>
      </c>
      <c r="DJ622">
        <v>2</v>
      </c>
      <c r="DK622">
        <v>9</v>
      </c>
    </row>
    <row r="623" spans="1:115">
      <c r="A623" s="173">
        <f>Calculations[[#This Row],[Sum t eCO2]]*IF(Calculations[[#This Row],[GHG Scope]]="BIOGENIC",0,1)</f>
        <v>4.7957470852404802E-2</v>
      </c>
      <c r="O623">
        <f t="shared" si="9"/>
        <v>622</v>
      </c>
      <c r="P623">
        <v>10</v>
      </c>
      <c r="Q623">
        <v>4</v>
      </c>
      <c r="R623">
        <v>2</v>
      </c>
      <c r="S623">
        <v>2</v>
      </c>
      <c r="T623">
        <v>7</v>
      </c>
      <c r="U623">
        <v>5</v>
      </c>
      <c r="V623">
        <v>7</v>
      </c>
      <c r="W623">
        <v>6</v>
      </c>
      <c r="X623">
        <v>0</v>
      </c>
      <c r="Y623">
        <v>3</v>
      </c>
      <c r="Z623">
        <v>5</v>
      </c>
      <c r="AA623">
        <v>7</v>
      </c>
      <c r="AB623">
        <v>3</v>
      </c>
      <c r="AC623">
        <v>9</v>
      </c>
      <c r="AD623">
        <v>7</v>
      </c>
      <c r="AE623">
        <v>7</v>
      </c>
      <c r="AF623">
        <v>3</v>
      </c>
      <c r="AG623">
        <v>3</v>
      </c>
      <c r="AH623">
        <v>4</v>
      </c>
      <c r="AI623">
        <v>6</v>
      </c>
      <c r="AJ623">
        <v>1</v>
      </c>
      <c r="AK623">
        <v>7</v>
      </c>
      <c r="AL623">
        <v>1</v>
      </c>
      <c r="AM623">
        <v>4</v>
      </c>
      <c r="AN623">
        <v>5</v>
      </c>
      <c r="AO623">
        <v>2</v>
      </c>
      <c r="AP623">
        <v>7</v>
      </c>
      <c r="AQ623">
        <v>9</v>
      </c>
      <c r="AR623">
        <v>4</v>
      </c>
      <c r="AS623">
        <v>0</v>
      </c>
      <c r="AT623">
        <v>2</v>
      </c>
      <c r="AU623">
        <v>5</v>
      </c>
      <c r="AV623">
        <v>10</v>
      </c>
      <c r="AW623">
        <v>7</v>
      </c>
      <c r="AX623">
        <v>9</v>
      </c>
      <c r="AY623">
        <v>10</v>
      </c>
      <c r="AZ623">
        <v>5</v>
      </c>
      <c r="BA623">
        <v>5</v>
      </c>
      <c r="BB623">
        <v>7</v>
      </c>
      <c r="BC623">
        <v>4</v>
      </c>
      <c r="BD623">
        <v>0</v>
      </c>
      <c r="BE623">
        <v>9</v>
      </c>
      <c r="BF623">
        <v>0</v>
      </c>
      <c r="BG623">
        <v>6</v>
      </c>
      <c r="BH623">
        <v>4</v>
      </c>
      <c r="BI623">
        <v>9</v>
      </c>
      <c r="BJ623">
        <v>0</v>
      </c>
      <c r="BK623">
        <v>6</v>
      </c>
      <c r="BL623">
        <v>2</v>
      </c>
      <c r="BM623">
        <v>5</v>
      </c>
      <c r="BN623">
        <v>0</v>
      </c>
      <c r="BO623">
        <v>2</v>
      </c>
      <c r="BP623">
        <v>10</v>
      </c>
      <c r="BQ623">
        <v>4</v>
      </c>
      <c r="BR623">
        <v>7</v>
      </c>
      <c r="BS623">
        <v>5</v>
      </c>
      <c r="BT623">
        <v>10</v>
      </c>
      <c r="BU623">
        <v>1</v>
      </c>
      <c r="BV623">
        <v>7</v>
      </c>
      <c r="BW623">
        <v>6</v>
      </c>
      <c r="BX623">
        <v>10</v>
      </c>
      <c r="BY623">
        <v>9</v>
      </c>
      <c r="BZ623">
        <v>7</v>
      </c>
      <c r="CA623">
        <v>10</v>
      </c>
      <c r="CB623">
        <v>7</v>
      </c>
      <c r="CC623">
        <v>9</v>
      </c>
      <c r="CD623">
        <v>6</v>
      </c>
      <c r="CE623">
        <v>6</v>
      </c>
      <c r="CF623">
        <v>8</v>
      </c>
      <c r="CG623">
        <v>7</v>
      </c>
      <c r="CH623">
        <v>5</v>
      </c>
      <c r="CI623">
        <v>5</v>
      </c>
      <c r="CJ623">
        <v>0</v>
      </c>
      <c r="CK623">
        <v>9</v>
      </c>
      <c r="CL623">
        <v>7</v>
      </c>
      <c r="CM623">
        <v>3</v>
      </c>
      <c r="CN623">
        <v>7</v>
      </c>
      <c r="CO623">
        <v>3</v>
      </c>
      <c r="CP623">
        <v>10</v>
      </c>
      <c r="CQ623">
        <v>6</v>
      </c>
      <c r="CR623">
        <v>8</v>
      </c>
      <c r="CS623">
        <v>7</v>
      </c>
      <c r="CT623">
        <v>2</v>
      </c>
      <c r="CU623">
        <v>8</v>
      </c>
      <c r="CV623">
        <v>10</v>
      </c>
      <c r="CW623">
        <v>6</v>
      </c>
      <c r="CX623">
        <v>1</v>
      </c>
      <c r="CY623">
        <v>0</v>
      </c>
      <c r="CZ623">
        <v>6</v>
      </c>
      <c r="DA623">
        <v>4</v>
      </c>
      <c r="DB623">
        <v>1</v>
      </c>
      <c r="DC623">
        <v>5</v>
      </c>
      <c r="DD623">
        <v>1</v>
      </c>
      <c r="DE623">
        <v>1</v>
      </c>
      <c r="DF623">
        <v>9</v>
      </c>
      <c r="DG623">
        <v>5</v>
      </c>
      <c r="DH623">
        <v>2</v>
      </c>
      <c r="DI623">
        <v>8</v>
      </c>
      <c r="DJ623">
        <v>9</v>
      </c>
      <c r="DK623">
        <v>3</v>
      </c>
    </row>
    <row r="624" spans="1:115">
      <c r="A624" s="173">
        <f>Calculations[[#This Row],[Sum t eCO2]]*IF(Calculations[[#This Row],[GHG Scope]]="BIOGENIC",0,1)</f>
        <v>0.50035627922675852</v>
      </c>
      <c r="O624">
        <f t="shared" si="9"/>
        <v>623</v>
      </c>
      <c r="P624">
        <v>8</v>
      </c>
      <c r="Q624">
        <v>2</v>
      </c>
      <c r="R624">
        <v>1</v>
      </c>
      <c r="S624">
        <v>0</v>
      </c>
      <c r="T624">
        <v>4</v>
      </c>
      <c r="U624">
        <v>4</v>
      </c>
      <c r="V624">
        <v>4</v>
      </c>
      <c r="W624">
        <v>10</v>
      </c>
      <c r="X624">
        <v>5</v>
      </c>
      <c r="Y624">
        <v>8</v>
      </c>
      <c r="Z624">
        <v>4</v>
      </c>
      <c r="AA624">
        <v>5</v>
      </c>
      <c r="AB624">
        <v>1</v>
      </c>
      <c r="AC624">
        <v>4</v>
      </c>
      <c r="AD624">
        <v>5</v>
      </c>
      <c r="AE624">
        <v>5</v>
      </c>
      <c r="AF624">
        <v>1</v>
      </c>
      <c r="AG624">
        <v>4</v>
      </c>
      <c r="AH624">
        <v>2</v>
      </c>
      <c r="AI624">
        <v>9</v>
      </c>
      <c r="AJ624">
        <v>6</v>
      </c>
      <c r="AK624">
        <v>6</v>
      </c>
      <c r="AL624">
        <v>3</v>
      </c>
      <c r="AM624">
        <v>5</v>
      </c>
      <c r="AN624">
        <v>6</v>
      </c>
      <c r="AO624">
        <v>4</v>
      </c>
      <c r="AP624">
        <v>9</v>
      </c>
      <c r="AQ624">
        <v>1</v>
      </c>
      <c r="AR624">
        <v>1</v>
      </c>
      <c r="AS624">
        <v>1</v>
      </c>
      <c r="AT624">
        <v>8</v>
      </c>
      <c r="AU624">
        <v>4</v>
      </c>
      <c r="AV624">
        <v>3</v>
      </c>
      <c r="AW624">
        <v>1</v>
      </c>
      <c r="AX624">
        <v>2</v>
      </c>
      <c r="AY624">
        <v>0</v>
      </c>
      <c r="AZ624">
        <v>8</v>
      </c>
      <c r="BA624">
        <v>8</v>
      </c>
      <c r="BB624">
        <v>2</v>
      </c>
      <c r="BC624">
        <v>8</v>
      </c>
      <c r="BD624">
        <v>10</v>
      </c>
      <c r="BE624">
        <v>6</v>
      </c>
      <c r="BF624">
        <v>7</v>
      </c>
      <c r="BG624">
        <v>10</v>
      </c>
      <c r="BH624">
        <v>9</v>
      </c>
      <c r="BI624">
        <v>0</v>
      </c>
      <c r="BJ624">
        <v>10</v>
      </c>
      <c r="BK624">
        <v>6</v>
      </c>
      <c r="BL624">
        <v>5</v>
      </c>
      <c r="BM624">
        <v>5</v>
      </c>
      <c r="BN624">
        <v>1</v>
      </c>
      <c r="BO624">
        <v>7</v>
      </c>
      <c r="BP624">
        <v>10</v>
      </c>
      <c r="BQ624">
        <v>5</v>
      </c>
      <c r="BR624">
        <v>4</v>
      </c>
      <c r="BS624">
        <v>5</v>
      </c>
      <c r="BT624">
        <v>5</v>
      </c>
      <c r="BU624">
        <v>4</v>
      </c>
      <c r="BV624">
        <v>2</v>
      </c>
      <c r="BW624">
        <v>3</v>
      </c>
      <c r="BX624">
        <v>7</v>
      </c>
      <c r="BY624">
        <v>9</v>
      </c>
      <c r="BZ624">
        <v>9</v>
      </c>
      <c r="CA624">
        <v>5</v>
      </c>
      <c r="CB624">
        <v>1</v>
      </c>
      <c r="CC624">
        <v>0</v>
      </c>
      <c r="CD624">
        <v>3</v>
      </c>
      <c r="CE624">
        <v>0</v>
      </c>
      <c r="CF624">
        <v>8</v>
      </c>
      <c r="CG624">
        <v>2</v>
      </c>
      <c r="CH624">
        <v>1</v>
      </c>
      <c r="CI624">
        <v>4</v>
      </c>
      <c r="CJ624">
        <v>10</v>
      </c>
      <c r="CK624">
        <v>10</v>
      </c>
      <c r="CL624">
        <v>9</v>
      </c>
      <c r="CM624">
        <v>8</v>
      </c>
      <c r="CN624">
        <v>6</v>
      </c>
      <c r="CO624">
        <v>1</v>
      </c>
      <c r="CP624">
        <v>4</v>
      </c>
      <c r="CQ624">
        <v>0</v>
      </c>
      <c r="CR624">
        <v>7</v>
      </c>
      <c r="CS624">
        <v>1</v>
      </c>
      <c r="CT624">
        <v>7</v>
      </c>
      <c r="CU624">
        <v>8</v>
      </c>
      <c r="CV624">
        <v>1</v>
      </c>
      <c r="CW624">
        <v>0</v>
      </c>
      <c r="CX624">
        <v>7</v>
      </c>
      <c r="CY624">
        <v>2</v>
      </c>
      <c r="CZ624">
        <v>9</v>
      </c>
      <c r="DA624">
        <v>6</v>
      </c>
      <c r="DB624">
        <v>10</v>
      </c>
      <c r="DC624">
        <v>0</v>
      </c>
      <c r="DD624">
        <v>10</v>
      </c>
      <c r="DE624">
        <v>1</v>
      </c>
      <c r="DF624">
        <v>10</v>
      </c>
      <c r="DG624">
        <v>0</v>
      </c>
      <c r="DH624">
        <v>2</v>
      </c>
      <c r="DI624">
        <v>5</v>
      </c>
      <c r="DJ624">
        <v>3</v>
      </c>
      <c r="DK624">
        <v>9</v>
      </c>
    </row>
    <row r="625" spans="1:115">
      <c r="A625" s="173">
        <f>Calculations[[#This Row],[Sum t eCO2]]*IF(Calculations[[#This Row],[GHG Scope]]="BIOGENIC",0,1)</f>
        <v>0.18463626278175857</v>
      </c>
      <c r="O625">
        <f t="shared" si="9"/>
        <v>624</v>
      </c>
      <c r="P625">
        <v>7</v>
      </c>
      <c r="Q625">
        <v>4</v>
      </c>
      <c r="R625">
        <v>10</v>
      </c>
      <c r="S625">
        <v>0</v>
      </c>
      <c r="T625">
        <v>6</v>
      </c>
      <c r="U625">
        <v>0</v>
      </c>
      <c r="V625">
        <v>6</v>
      </c>
      <c r="W625">
        <v>9</v>
      </c>
      <c r="X625">
        <v>1</v>
      </c>
      <c r="Y625">
        <v>8</v>
      </c>
      <c r="Z625">
        <v>10</v>
      </c>
      <c r="AA625">
        <v>3</v>
      </c>
      <c r="AB625">
        <v>2</v>
      </c>
      <c r="AC625">
        <v>5</v>
      </c>
      <c r="AD625">
        <v>9</v>
      </c>
      <c r="AE625">
        <v>2</v>
      </c>
      <c r="AF625">
        <v>2</v>
      </c>
      <c r="AG625">
        <v>8</v>
      </c>
      <c r="AH625">
        <v>0</v>
      </c>
      <c r="AI625">
        <v>4</v>
      </c>
      <c r="AJ625">
        <v>4</v>
      </c>
      <c r="AK625">
        <v>2</v>
      </c>
      <c r="AL625">
        <v>6</v>
      </c>
      <c r="AM625">
        <v>0</v>
      </c>
      <c r="AN625">
        <v>4</v>
      </c>
      <c r="AO625">
        <v>4</v>
      </c>
      <c r="AP625">
        <v>4</v>
      </c>
      <c r="AQ625">
        <v>5</v>
      </c>
      <c r="AR625">
        <v>10</v>
      </c>
      <c r="AS625">
        <v>2</v>
      </c>
      <c r="AT625">
        <v>3</v>
      </c>
      <c r="AU625">
        <v>3</v>
      </c>
      <c r="AV625">
        <v>8</v>
      </c>
      <c r="AW625">
        <v>6</v>
      </c>
      <c r="AX625">
        <v>3</v>
      </c>
      <c r="AY625">
        <v>7</v>
      </c>
      <c r="AZ625">
        <v>5</v>
      </c>
      <c r="BA625">
        <v>1</v>
      </c>
      <c r="BB625">
        <v>9</v>
      </c>
      <c r="BC625">
        <v>10</v>
      </c>
      <c r="BD625">
        <v>4</v>
      </c>
      <c r="BE625">
        <v>2</v>
      </c>
      <c r="BF625">
        <v>5</v>
      </c>
      <c r="BG625">
        <v>8</v>
      </c>
      <c r="BH625">
        <v>3</v>
      </c>
      <c r="BI625">
        <v>10</v>
      </c>
      <c r="BJ625">
        <v>10</v>
      </c>
      <c r="BK625">
        <v>7</v>
      </c>
      <c r="BL625">
        <v>0</v>
      </c>
      <c r="BM625">
        <v>7</v>
      </c>
      <c r="BN625">
        <v>6</v>
      </c>
      <c r="BO625">
        <v>9</v>
      </c>
      <c r="BP625">
        <v>5</v>
      </c>
      <c r="BQ625">
        <v>7</v>
      </c>
      <c r="BR625">
        <v>10</v>
      </c>
      <c r="BS625">
        <v>0</v>
      </c>
      <c r="BT625">
        <v>4</v>
      </c>
      <c r="BU625">
        <v>7</v>
      </c>
      <c r="BV625">
        <v>2</v>
      </c>
      <c r="BW625">
        <v>10</v>
      </c>
      <c r="BX625">
        <v>9</v>
      </c>
      <c r="BY625">
        <v>7</v>
      </c>
      <c r="BZ625">
        <v>2</v>
      </c>
      <c r="CA625">
        <v>10</v>
      </c>
      <c r="CB625">
        <v>1</v>
      </c>
      <c r="CC625">
        <v>9</v>
      </c>
      <c r="CD625">
        <v>0</v>
      </c>
      <c r="CE625">
        <v>10</v>
      </c>
      <c r="CF625">
        <v>8</v>
      </c>
      <c r="CG625">
        <v>2</v>
      </c>
      <c r="CH625">
        <v>3</v>
      </c>
      <c r="CI625">
        <v>7</v>
      </c>
      <c r="CJ625">
        <v>8</v>
      </c>
      <c r="CK625">
        <v>2</v>
      </c>
      <c r="CL625">
        <v>4</v>
      </c>
      <c r="CM625">
        <v>0</v>
      </c>
      <c r="CN625">
        <v>3</v>
      </c>
      <c r="CO625">
        <v>4</v>
      </c>
      <c r="CP625">
        <v>5</v>
      </c>
      <c r="CQ625">
        <v>8</v>
      </c>
      <c r="CR625">
        <v>0</v>
      </c>
      <c r="CS625">
        <v>8</v>
      </c>
      <c r="CT625">
        <v>4</v>
      </c>
      <c r="CU625">
        <v>0</v>
      </c>
      <c r="CV625">
        <v>0</v>
      </c>
      <c r="CW625">
        <v>6</v>
      </c>
      <c r="CX625">
        <v>9</v>
      </c>
      <c r="CY625">
        <v>4</v>
      </c>
      <c r="CZ625">
        <v>6</v>
      </c>
      <c r="DA625">
        <v>1</v>
      </c>
      <c r="DB625">
        <v>2</v>
      </c>
      <c r="DC625">
        <v>9</v>
      </c>
      <c r="DD625">
        <v>3</v>
      </c>
      <c r="DE625">
        <v>4</v>
      </c>
      <c r="DF625">
        <v>8</v>
      </c>
      <c r="DG625">
        <v>10</v>
      </c>
      <c r="DH625">
        <v>7</v>
      </c>
      <c r="DI625">
        <v>3</v>
      </c>
      <c r="DJ625">
        <v>4</v>
      </c>
      <c r="DK625">
        <v>3</v>
      </c>
    </row>
    <row r="626" spans="1:115">
      <c r="A626" s="173">
        <f>Calculations[[#This Row],[Sum t eCO2]]*IF(Calculations[[#This Row],[GHG Scope]]="BIOGENIC",0,1)</f>
        <v>2.2058270611000004</v>
      </c>
      <c r="O626">
        <f t="shared" si="9"/>
        <v>625</v>
      </c>
      <c r="P626">
        <v>0</v>
      </c>
      <c r="Q626">
        <v>7</v>
      </c>
      <c r="R626">
        <v>10</v>
      </c>
      <c r="S626">
        <v>4</v>
      </c>
      <c r="T626">
        <v>7</v>
      </c>
      <c r="U626">
        <v>2</v>
      </c>
      <c r="V626">
        <v>8</v>
      </c>
      <c r="W626">
        <v>1</v>
      </c>
      <c r="X626">
        <v>9</v>
      </c>
      <c r="Y626">
        <v>4</v>
      </c>
      <c r="Z626">
        <v>4</v>
      </c>
      <c r="AA626">
        <v>4</v>
      </c>
      <c r="AB626">
        <v>8</v>
      </c>
      <c r="AC626">
        <v>4</v>
      </c>
      <c r="AD626">
        <v>5</v>
      </c>
      <c r="AE626">
        <v>1</v>
      </c>
      <c r="AF626">
        <v>4</v>
      </c>
      <c r="AG626">
        <v>4</v>
      </c>
      <c r="AH626">
        <v>1</v>
      </c>
      <c r="AI626">
        <v>2</v>
      </c>
      <c r="AJ626">
        <v>7</v>
      </c>
      <c r="AK626">
        <v>0</v>
      </c>
      <c r="AL626">
        <v>10</v>
      </c>
      <c r="AM626">
        <v>6</v>
      </c>
      <c r="AN626">
        <v>7</v>
      </c>
      <c r="AO626">
        <v>2</v>
      </c>
      <c r="AP626">
        <v>7</v>
      </c>
      <c r="AQ626">
        <v>6</v>
      </c>
      <c r="AR626">
        <v>4</v>
      </c>
      <c r="AS626">
        <v>6</v>
      </c>
      <c r="AT626">
        <v>8</v>
      </c>
      <c r="AU626">
        <v>3</v>
      </c>
      <c r="AV626">
        <v>10</v>
      </c>
      <c r="AW626">
        <v>5</v>
      </c>
      <c r="AX626">
        <v>3</v>
      </c>
      <c r="AY626">
        <v>9</v>
      </c>
      <c r="AZ626">
        <v>10</v>
      </c>
      <c r="BA626">
        <v>4</v>
      </c>
      <c r="BB626">
        <v>3</v>
      </c>
      <c r="BC626">
        <v>10</v>
      </c>
      <c r="BD626">
        <v>2</v>
      </c>
      <c r="BE626">
        <v>0</v>
      </c>
      <c r="BF626">
        <v>1</v>
      </c>
      <c r="BG626">
        <v>6</v>
      </c>
      <c r="BH626">
        <v>8</v>
      </c>
      <c r="BI626">
        <v>3</v>
      </c>
      <c r="BJ626">
        <v>0</v>
      </c>
      <c r="BK626">
        <v>0</v>
      </c>
      <c r="BL626">
        <v>9</v>
      </c>
      <c r="BM626">
        <v>3</v>
      </c>
      <c r="BN626">
        <v>10</v>
      </c>
      <c r="BO626">
        <v>7</v>
      </c>
      <c r="BP626">
        <v>8</v>
      </c>
      <c r="BQ626">
        <v>2</v>
      </c>
      <c r="BR626">
        <v>6</v>
      </c>
      <c r="BS626">
        <v>10</v>
      </c>
      <c r="BT626">
        <v>5</v>
      </c>
      <c r="BU626">
        <v>0</v>
      </c>
      <c r="BV626">
        <v>1</v>
      </c>
      <c r="BW626">
        <v>2</v>
      </c>
      <c r="BX626">
        <v>0</v>
      </c>
      <c r="BY626">
        <v>7</v>
      </c>
      <c r="BZ626">
        <v>9</v>
      </c>
      <c r="CA626">
        <v>3</v>
      </c>
      <c r="CB626">
        <v>8</v>
      </c>
      <c r="CC626">
        <v>0</v>
      </c>
      <c r="CD626">
        <v>9</v>
      </c>
      <c r="CE626">
        <v>9</v>
      </c>
      <c r="CF626">
        <v>1</v>
      </c>
      <c r="CG626">
        <v>4</v>
      </c>
      <c r="CH626">
        <v>7</v>
      </c>
      <c r="CI626">
        <v>3</v>
      </c>
      <c r="CJ626">
        <v>3</v>
      </c>
      <c r="CK626">
        <v>3</v>
      </c>
      <c r="CL626">
        <v>4</v>
      </c>
      <c r="CM626">
        <v>7</v>
      </c>
      <c r="CN626">
        <v>3</v>
      </c>
      <c r="CO626">
        <v>5</v>
      </c>
      <c r="CP626">
        <v>2</v>
      </c>
      <c r="CQ626">
        <v>8</v>
      </c>
      <c r="CR626">
        <v>7</v>
      </c>
      <c r="CS626">
        <v>6</v>
      </c>
      <c r="CT626">
        <v>6</v>
      </c>
      <c r="CU626">
        <v>2</v>
      </c>
      <c r="CV626">
        <v>6</v>
      </c>
      <c r="CW626">
        <v>0</v>
      </c>
      <c r="CX626">
        <v>2</v>
      </c>
      <c r="CY626">
        <v>10</v>
      </c>
      <c r="CZ626">
        <v>7</v>
      </c>
      <c r="DA626">
        <v>2</v>
      </c>
      <c r="DB626">
        <v>7</v>
      </c>
      <c r="DC626">
        <v>0</v>
      </c>
      <c r="DD626">
        <v>9</v>
      </c>
      <c r="DE626">
        <v>2</v>
      </c>
      <c r="DF626">
        <v>8</v>
      </c>
      <c r="DG626">
        <v>2</v>
      </c>
      <c r="DH626">
        <v>3</v>
      </c>
      <c r="DI626">
        <v>0</v>
      </c>
      <c r="DJ626">
        <v>9</v>
      </c>
      <c r="DK626">
        <v>4</v>
      </c>
    </row>
    <row r="627" spans="1:115">
      <c r="A627" s="173">
        <f>Calculations[[#This Row],[Sum t eCO2]]*IF(Calculations[[#This Row],[GHG Scope]]="BIOGENIC",0,1)</f>
        <v>5.8542457644999999</v>
      </c>
      <c r="O627">
        <f t="shared" si="9"/>
        <v>626</v>
      </c>
      <c r="P627">
        <v>9</v>
      </c>
      <c r="Q627">
        <v>8</v>
      </c>
      <c r="R627">
        <v>6</v>
      </c>
      <c r="S627">
        <v>8</v>
      </c>
      <c r="T627">
        <v>0</v>
      </c>
      <c r="U627">
        <v>6</v>
      </c>
      <c r="V627">
        <v>2</v>
      </c>
      <c r="W627">
        <v>1</v>
      </c>
      <c r="X627">
        <v>8</v>
      </c>
      <c r="Y627">
        <v>7</v>
      </c>
      <c r="Z627">
        <v>7</v>
      </c>
      <c r="AA627">
        <v>8</v>
      </c>
      <c r="AB627">
        <v>0</v>
      </c>
      <c r="AC627">
        <v>4</v>
      </c>
      <c r="AD627">
        <v>1</v>
      </c>
      <c r="AE627">
        <v>8</v>
      </c>
      <c r="AF627">
        <v>7</v>
      </c>
      <c r="AG627">
        <v>7</v>
      </c>
      <c r="AH627">
        <v>9</v>
      </c>
      <c r="AI627">
        <v>9</v>
      </c>
      <c r="AJ627">
        <v>2</v>
      </c>
      <c r="AK627">
        <v>9</v>
      </c>
      <c r="AL627">
        <v>6</v>
      </c>
      <c r="AM627">
        <v>7</v>
      </c>
      <c r="AN627">
        <v>1</v>
      </c>
      <c r="AO627">
        <v>9</v>
      </c>
      <c r="AP627">
        <v>6</v>
      </c>
      <c r="AQ627">
        <v>5</v>
      </c>
      <c r="AR627">
        <v>1</v>
      </c>
      <c r="AS627">
        <v>5</v>
      </c>
      <c r="AT627">
        <v>3</v>
      </c>
      <c r="AU627">
        <v>7</v>
      </c>
      <c r="AV627">
        <v>9</v>
      </c>
      <c r="AW627">
        <v>9</v>
      </c>
      <c r="AX627">
        <v>9</v>
      </c>
      <c r="AY627">
        <v>2</v>
      </c>
      <c r="AZ627">
        <v>5</v>
      </c>
      <c r="BA627">
        <v>2</v>
      </c>
      <c r="BB627">
        <v>10</v>
      </c>
      <c r="BC627">
        <v>2</v>
      </c>
      <c r="BD627">
        <v>4</v>
      </c>
      <c r="BE627">
        <v>6</v>
      </c>
      <c r="BF627">
        <v>8</v>
      </c>
      <c r="BG627">
        <v>8</v>
      </c>
      <c r="BH627">
        <v>2</v>
      </c>
      <c r="BI627">
        <v>5</v>
      </c>
      <c r="BJ627">
        <v>7</v>
      </c>
      <c r="BK627">
        <v>9</v>
      </c>
      <c r="BL627">
        <v>10</v>
      </c>
      <c r="BM627">
        <v>1</v>
      </c>
      <c r="BN627">
        <v>3</v>
      </c>
      <c r="BO627">
        <v>10</v>
      </c>
      <c r="BP627">
        <v>3</v>
      </c>
      <c r="BQ627">
        <v>7</v>
      </c>
      <c r="BR627">
        <v>6</v>
      </c>
      <c r="BS627">
        <v>8</v>
      </c>
      <c r="BT627">
        <v>7</v>
      </c>
      <c r="BU627">
        <v>4</v>
      </c>
      <c r="BV627">
        <v>8</v>
      </c>
      <c r="BW627">
        <v>7</v>
      </c>
      <c r="BX627">
        <v>10</v>
      </c>
      <c r="BY627">
        <v>2</v>
      </c>
      <c r="BZ627">
        <v>10</v>
      </c>
      <c r="CA627">
        <v>6</v>
      </c>
      <c r="CB627">
        <v>6</v>
      </c>
      <c r="CC627">
        <v>7</v>
      </c>
      <c r="CD627">
        <v>3</v>
      </c>
      <c r="CE627">
        <v>3</v>
      </c>
      <c r="CF627">
        <v>1</v>
      </c>
      <c r="CG627">
        <v>4</v>
      </c>
      <c r="CH627">
        <v>9</v>
      </c>
      <c r="CI627">
        <v>0</v>
      </c>
      <c r="CJ627">
        <v>5</v>
      </c>
      <c r="CK627">
        <v>6</v>
      </c>
      <c r="CL627">
        <v>6</v>
      </c>
      <c r="CM627">
        <v>10</v>
      </c>
      <c r="CN627">
        <v>7</v>
      </c>
      <c r="CO627">
        <v>8</v>
      </c>
      <c r="CP627">
        <v>10</v>
      </c>
      <c r="CQ627">
        <v>0</v>
      </c>
      <c r="CR627">
        <v>6</v>
      </c>
      <c r="CS627">
        <v>4</v>
      </c>
      <c r="CT627">
        <v>1</v>
      </c>
      <c r="CU627">
        <v>10</v>
      </c>
      <c r="CV627">
        <v>4</v>
      </c>
      <c r="CW627">
        <v>9</v>
      </c>
      <c r="CX627">
        <v>1</v>
      </c>
      <c r="CY627">
        <v>3</v>
      </c>
      <c r="CZ627">
        <v>0</v>
      </c>
      <c r="DA627">
        <v>3</v>
      </c>
      <c r="DB627">
        <v>0</v>
      </c>
      <c r="DC627">
        <v>9</v>
      </c>
      <c r="DD627">
        <v>10</v>
      </c>
      <c r="DE627">
        <v>5</v>
      </c>
      <c r="DF627">
        <v>6</v>
      </c>
      <c r="DG627">
        <v>8</v>
      </c>
      <c r="DH627">
        <v>8</v>
      </c>
      <c r="DI627">
        <v>1</v>
      </c>
      <c r="DJ627">
        <v>0</v>
      </c>
      <c r="DK627">
        <v>10</v>
      </c>
    </row>
    <row r="628" spans="1:115">
      <c r="A628" s="173">
        <f>Calculations[[#This Row],[Sum t eCO2]]*IF(Calculations[[#This Row],[GHG Scope]]="BIOGENIC",0,1)</f>
        <v>2.6862201191999997</v>
      </c>
      <c r="O628">
        <f t="shared" si="9"/>
        <v>627</v>
      </c>
      <c r="P628">
        <v>3</v>
      </c>
      <c r="Q628">
        <v>9</v>
      </c>
      <c r="R628">
        <v>0</v>
      </c>
      <c r="S628">
        <v>9</v>
      </c>
      <c r="T628">
        <v>10</v>
      </c>
      <c r="U628">
        <v>8</v>
      </c>
      <c r="V628">
        <v>3</v>
      </c>
      <c r="W628">
        <v>5</v>
      </c>
      <c r="X628">
        <v>5</v>
      </c>
      <c r="Y628">
        <v>1</v>
      </c>
      <c r="Z628">
        <v>9</v>
      </c>
      <c r="AA628">
        <v>10</v>
      </c>
      <c r="AB628">
        <v>1</v>
      </c>
      <c r="AC628">
        <v>5</v>
      </c>
      <c r="AD628">
        <v>6</v>
      </c>
      <c r="AE628">
        <v>9</v>
      </c>
      <c r="AF628">
        <v>9</v>
      </c>
      <c r="AG628">
        <v>5</v>
      </c>
      <c r="AH628">
        <v>3</v>
      </c>
      <c r="AI628">
        <v>4</v>
      </c>
      <c r="AJ628">
        <v>2</v>
      </c>
      <c r="AK628">
        <v>6</v>
      </c>
      <c r="AL628">
        <v>7</v>
      </c>
      <c r="AM628">
        <v>3</v>
      </c>
      <c r="AN628">
        <v>5</v>
      </c>
      <c r="AO628">
        <v>2</v>
      </c>
      <c r="AP628">
        <v>0</v>
      </c>
      <c r="AQ628">
        <v>1</v>
      </c>
      <c r="AR628">
        <v>6</v>
      </c>
      <c r="AS628">
        <v>2</v>
      </c>
      <c r="AT628">
        <v>7</v>
      </c>
      <c r="AU628">
        <v>8</v>
      </c>
      <c r="AV628">
        <v>3</v>
      </c>
      <c r="AW628">
        <v>1</v>
      </c>
      <c r="AX628">
        <v>3</v>
      </c>
      <c r="AY628">
        <v>9</v>
      </c>
      <c r="AZ628">
        <v>2</v>
      </c>
      <c r="BA628">
        <v>8</v>
      </c>
      <c r="BB628">
        <v>1</v>
      </c>
      <c r="BC628">
        <v>1</v>
      </c>
      <c r="BD628">
        <v>6</v>
      </c>
      <c r="BE628">
        <v>3</v>
      </c>
      <c r="BF628">
        <v>9</v>
      </c>
      <c r="BG628">
        <v>1</v>
      </c>
      <c r="BH628">
        <v>1</v>
      </c>
      <c r="BI628">
        <v>1</v>
      </c>
      <c r="BJ628">
        <v>9</v>
      </c>
      <c r="BK628">
        <v>10</v>
      </c>
      <c r="BL628">
        <v>4</v>
      </c>
      <c r="BM628">
        <v>9</v>
      </c>
      <c r="BN628">
        <v>3</v>
      </c>
      <c r="BO628">
        <v>9</v>
      </c>
      <c r="BP628">
        <v>2</v>
      </c>
      <c r="BQ628">
        <v>4</v>
      </c>
      <c r="BR628">
        <v>2</v>
      </c>
      <c r="BS628">
        <v>10</v>
      </c>
      <c r="BT628">
        <v>6</v>
      </c>
      <c r="BU628">
        <v>8</v>
      </c>
      <c r="BV628">
        <v>8</v>
      </c>
      <c r="BW628">
        <v>4</v>
      </c>
      <c r="BX628">
        <v>4</v>
      </c>
      <c r="BY628">
        <v>0</v>
      </c>
      <c r="BZ628">
        <v>1</v>
      </c>
      <c r="CA628">
        <v>7</v>
      </c>
      <c r="CB628">
        <v>5</v>
      </c>
      <c r="CC628">
        <v>4</v>
      </c>
      <c r="CD628">
        <v>7</v>
      </c>
      <c r="CE628">
        <v>3</v>
      </c>
      <c r="CF628">
        <v>7</v>
      </c>
      <c r="CG628">
        <v>8</v>
      </c>
      <c r="CH628">
        <v>6</v>
      </c>
      <c r="CI628">
        <v>1</v>
      </c>
      <c r="CJ628">
        <v>0</v>
      </c>
      <c r="CK628">
        <v>7</v>
      </c>
      <c r="CL628">
        <v>7</v>
      </c>
      <c r="CM628">
        <v>5</v>
      </c>
      <c r="CN628">
        <v>6</v>
      </c>
      <c r="CO628">
        <v>2</v>
      </c>
      <c r="CP628">
        <v>9</v>
      </c>
      <c r="CQ628">
        <v>0</v>
      </c>
      <c r="CR628">
        <v>2</v>
      </c>
      <c r="CS628">
        <v>3</v>
      </c>
      <c r="CT628">
        <v>5</v>
      </c>
      <c r="CU628">
        <v>5</v>
      </c>
      <c r="CV628">
        <v>4</v>
      </c>
      <c r="CW628">
        <v>6</v>
      </c>
      <c r="CX628">
        <v>7</v>
      </c>
      <c r="CY628">
        <v>5</v>
      </c>
      <c r="CZ628">
        <v>10</v>
      </c>
      <c r="DA628">
        <v>7</v>
      </c>
      <c r="DB628">
        <v>2</v>
      </c>
      <c r="DC628">
        <v>2</v>
      </c>
      <c r="DD628">
        <v>8</v>
      </c>
      <c r="DE628">
        <v>3</v>
      </c>
      <c r="DF628">
        <v>3</v>
      </c>
      <c r="DG628">
        <v>0</v>
      </c>
      <c r="DH628">
        <v>1</v>
      </c>
      <c r="DI628">
        <v>5</v>
      </c>
      <c r="DJ628">
        <v>2</v>
      </c>
      <c r="DK628">
        <v>0</v>
      </c>
    </row>
    <row r="629" spans="1:115">
      <c r="A629" s="173">
        <f>Calculations[[#This Row],[Sum t eCO2]]*IF(Calculations[[#This Row],[GHG Scope]]="BIOGENIC",0,1)</f>
        <v>0.91480896</v>
      </c>
      <c r="O629">
        <f t="shared" si="9"/>
        <v>628</v>
      </c>
      <c r="P629">
        <v>3</v>
      </c>
      <c r="Q629">
        <v>5</v>
      </c>
      <c r="R629">
        <v>9</v>
      </c>
      <c r="S629">
        <v>2</v>
      </c>
      <c r="T629">
        <v>1</v>
      </c>
      <c r="U629">
        <v>6</v>
      </c>
      <c r="V629">
        <v>3</v>
      </c>
      <c r="W629">
        <v>4</v>
      </c>
      <c r="X629">
        <v>7</v>
      </c>
      <c r="Y629">
        <v>9</v>
      </c>
      <c r="Z629">
        <v>9</v>
      </c>
      <c r="AA629">
        <v>5</v>
      </c>
      <c r="AB629">
        <v>5</v>
      </c>
      <c r="AC629">
        <v>8</v>
      </c>
      <c r="AD629">
        <v>7</v>
      </c>
      <c r="AE629">
        <v>2</v>
      </c>
      <c r="AF629">
        <v>1</v>
      </c>
      <c r="AG629">
        <v>7</v>
      </c>
      <c r="AH629">
        <v>1</v>
      </c>
      <c r="AI629">
        <v>3</v>
      </c>
      <c r="AJ629">
        <v>10</v>
      </c>
      <c r="AK629">
        <v>9</v>
      </c>
      <c r="AL629">
        <v>9</v>
      </c>
      <c r="AM629">
        <v>4</v>
      </c>
      <c r="AN629">
        <v>1</v>
      </c>
      <c r="AO629">
        <v>5</v>
      </c>
      <c r="AP629">
        <v>7</v>
      </c>
      <c r="AQ629">
        <v>4</v>
      </c>
      <c r="AR629">
        <v>1</v>
      </c>
      <c r="AS629">
        <v>7</v>
      </c>
      <c r="AT629">
        <v>0</v>
      </c>
      <c r="AU629">
        <v>9</v>
      </c>
      <c r="AV629">
        <v>3</v>
      </c>
      <c r="AW629">
        <v>10</v>
      </c>
      <c r="AX629">
        <v>10</v>
      </c>
      <c r="AY629">
        <v>10</v>
      </c>
      <c r="AZ629">
        <v>4</v>
      </c>
      <c r="BA629">
        <v>6</v>
      </c>
      <c r="BB629">
        <v>0</v>
      </c>
      <c r="BC629">
        <v>8</v>
      </c>
      <c r="BD629">
        <v>8</v>
      </c>
      <c r="BE629">
        <v>9</v>
      </c>
      <c r="BF629">
        <v>6</v>
      </c>
      <c r="BG629">
        <v>1</v>
      </c>
      <c r="BH629">
        <v>9</v>
      </c>
      <c r="BI629">
        <v>10</v>
      </c>
      <c r="BJ629">
        <v>4</v>
      </c>
      <c r="BK629">
        <v>10</v>
      </c>
      <c r="BL629">
        <v>2</v>
      </c>
      <c r="BM629">
        <v>4</v>
      </c>
      <c r="BN629">
        <v>5</v>
      </c>
      <c r="BO629">
        <v>0</v>
      </c>
      <c r="BP629">
        <v>4</v>
      </c>
      <c r="BQ629">
        <v>9</v>
      </c>
      <c r="BR629">
        <v>6</v>
      </c>
      <c r="BS629">
        <v>3</v>
      </c>
      <c r="BT629">
        <v>10</v>
      </c>
      <c r="BU629">
        <v>0</v>
      </c>
      <c r="BV629">
        <v>8</v>
      </c>
      <c r="BW629">
        <v>4</v>
      </c>
      <c r="BX629">
        <v>9</v>
      </c>
      <c r="BY629">
        <v>6</v>
      </c>
      <c r="BZ629">
        <v>4</v>
      </c>
      <c r="CA629">
        <v>4</v>
      </c>
      <c r="CB629">
        <v>9</v>
      </c>
      <c r="CC629">
        <v>2</v>
      </c>
      <c r="CD629">
        <v>4</v>
      </c>
      <c r="CE629">
        <v>2</v>
      </c>
      <c r="CF629">
        <v>9</v>
      </c>
      <c r="CG629">
        <v>8</v>
      </c>
      <c r="CH629">
        <v>1</v>
      </c>
      <c r="CI629">
        <v>9</v>
      </c>
      <c r="CJ629">
        <v>6</v>
      </c>
      <c r="CK629">
        <v>7</v>
      </c>
      <c r="CL629">
        <v>8</v>
      </c>
      <c r="CM629">
        <v>9</v>
      </c>
      <c r="CN629">
        <v>8</v>
      </c>
      <c r="CO629">
        <v>1</v>
      </c>
      <c r="CP629">
        <v>4</v>
      </c>
      <c r="CQ629">
        <v>0</v>
      </c>
      <c r="CR629">
        <v>8</v>
      </c>
      <c r="CS629">
        <v>8</v>
      </c>
      <c r="CT629">
        <v>4</v>
      </c>
      <c r="CU629">
        <v>6</v>
      </c>
      <c r="CV629">
        <v>10</v>
      </c>
      <c r="CW629">
        <v>6</v>
      </c>
      <c r="CX629">
        <v>10</v>
      </c>
      <c r="CY629">
        <v>6</v>
      </c>
      <c r="CZ629">
        <v>9</v>
      </c>
      <c r="DA629">
        <v>9</v>
      </c>
      <c r="DB629">
        <v>1</v>
      </c>
      <c r="DC629">
        <v>7</v>
      </c>
      <c r="DD629">
        <v>2</v>
      </c>
      <c r="DE629">
        <v>9</v>
      </c>
      <c r="DF629">
        <v>4</v>
      </c>
      <c r="DG629">
        <v>1</v>
      </c>
      <c r="DH629">
        <v>6</v>
      </c>
      <c r="DI629">
        <v>2</v>
      </c>
      <c r="DJ629">
        <v>8</v>
      </c>
      <c r="DK629">
        <v>4</v>
      </c>
    </row>
    <row r="630" spans="1:115">
      <c r="A630" s="173">
        <f>Calculations[[#This Row],[Sum t eCO2]]*IF(Calculations[[#This Row],[GHG Scope]]="BIOGENIC",0,1)</f>
        <v>0</v>
      </c>
      <c r="O630">
        <f t="shared" si="9"/>
        <v>629</v>
      </c>
      <c r="P630">
        <v>8</v>
      </c>
      <c r="Q630">
        <v>8</v>
      </c>
      <c r="R630">
        <v>4</v>
      </c>
      <c r="S630">
        <v>1</v>
      </c>
      <c r="T630">
        <v>5</v>
      </c>
      <c r="U630">
        <v>3</v>
      </c>
      <c r="V630">
        <v>4</v>
      </c>
      <c r="W630">
        <v>1</v>
      </c>
      <c r="X630">
        <v>5</v>
      </c>
      <c r="Y630">
        <v>10</v>
      </c>
      <c r="Z630">
        <v>4</v>
      </c>
      <c r="AA630">
        <v>10</v>
      </c>
      <c r="AB630">
        <v>9</v>
      </c>
      <c r="AC630">
        <v>5</v>
      </c>
      <c r="AD630">
        <v>10</v>
      </c>
      <c r="AE630">
        <v>9</v>
      </c>
      <c r="AF630">
        <v>9</v>
      </c>
      <c r="AG630">
        <v>10</v>
      </c>
      <c r="AH630">
        <v>6</v>
      </c>
      <c r="AI630">
        <v>4</v>
      </c>
      <c r="AJ630">
        <v>6</v>
      </c>
      <c r="AK630">
        <v>4</v>
      </c>
      <c r="AL630">
        <v>10</v>
      </c>
      <c r="AM630">
        <v>5</v>
      </c>
      <c r="AN630">
        <v>6</v>
      </c>
      <c r="AO630">
        <v>2</v>
      </c>
      <c r="AP630">
        <v>2</v>
      </c>
      <c r="AQ630">
        <v>9</v>
      </c>
      <c r="AR630">
        <v>1</v>
      </c>
      <c r="AS630">
        <v>0</v>
      </c>
      <c r="AT630">
        <v>7</v>
      </c>
      <c r="AU630">
        <v>3</v>
      </c>
      <c r="AV630">
        <v>7</v>
      </c>
      <c r="AW630">
        <v>9</v>
      </c>
      <c r="AX630">
        <v>0</v>
      </c>
      <c r="AY630">
        <v>2</v>
      </c>
      <c r="AZ630">
        <v>7</v>
      </c>
      <c r="BA630">
        <v>9</v>
      </c>
      <c r="BB630">
        <v>7</v>
      </c>
      <c r="BC630">
        <v>3</v>
      </c>
      <c r="BD630">
        <v>8</v>
      </c>
      <c r="BE630">
        <v>3</v>
      </c>
      <c r="BF630">
        <v>2</v>
      </c>
      <c r="BG630">
        <v>8</v>
      </c>
      <c r="BH630">
        <v>1</v>
      </c>
      <c r="BI630">
        <v>7</v>
      </c>
      <c r="BJ630">
        <v>10</v>
      </c>
      <c r="BK630">
        <v>2</v>
      </c>
      <c r="BL630">
        <v>1</v>
      </c>
      <c r="BM630">
        <v>2</v>
      </c>
      <c r="BN630">
        <v>9</v>
      </c>
      <c r="BO630">
        <v>3</v>
      </c>
      <c r="BP630">
        <v>2</v>
      </c>
      <c r="BQ630">
        <v>0</v>
      </c>
      <c r="BR630">
        <v>9</v>
      </c>
      <c r="BS630">
        <v>10</v>
      </c>
      <c r="BT630">
        <v>5</v>
      </c>
      <c r="BU630">
        <v>1</v>
      </c>
      <c r="BV630">
        <v>9</v>
      </c>
      <c r="BW630">
        <v>3</v>
      </c>
      <c r="BX630">
        <v>2</v>
      </c>
      <c r="BY630">
        <v>10</v>
      </c>
      <c r="BZ630">
        <v>1</v>
      </c>
      <c r="CA630">
        <v>8</v>
      </c>
      <c r="CB630">
        <v>6</v>
      </c>
      <c r="CC630">
        <v>9</v>
      </c>
      <c r="CD630">
        <v>8</v>
      </c>
      <c r="CE630">
        <v>1</v>
      </c>
      <c r="CF630">
        <v>6</v>
      </c>
      <c r="CG630">
        <v>4</v>
      </c>
      <c r="CH630">
        <v>10</v>
      </c>
      <c r="CI630">
        <v>1</v>
      </c>
      <c r="CJ630">
        <v>8</v>
      </c>
      <c r="CK630">
        <v>10</v>
      </c>
      <c r="CL630">
        <v>10</v>
      </c>
      <c r="CM630">
        <v>6</v>
      </c>
      <c r="CN630">
        <v>8</v>
      </c>
      <c r="CO630">
        <v>0</v>
      </c>
      <c r="CP630">
        <v>2</v>
      </c>
      <c r="CQ630">
        <v>4</v>
      </c>
      <c r="CR630">
        <v>0</v>
      </c>
      <c r="CS630">
        <v>3</v>
      </c>
      <c r="CT630">
        <v>1</v>
      </c>
      <c r="CU630">
        <v>8</v>
      </c>
      <c r="CV630">
        <v>0</v>
      </c>
      <c r="CW630">
        <v>6</v>
      </c>
      <c r="CX630">
        <v>10</v>
      </c>
      <c r="CY630">
        <v>7</v>
      </c>
      <c r="CZ630">
        <v>0</v>
      </c>
      <c r="DA630">
        <v>3</v>
      </c>
      <c r="DB630">
        <v>2</v>
      </c>
      <c r="DC630">
        <v>7</v>
      </c>
      <c r="DD630">
        <v>3</v>
      </c>
      <c r="DE630">
        <v>7</v>
      </c>
      <c r="DF630">
        <v>6</v>
      </c>
      <c r="DG630">
        <v>8</v>
      </c>
      <c r="DH630">
        <v>7</v>
      </c>
      <c r="DI630">
        <v>2</v>
      </c>
      <c r="DJ630">
        <v>8</v>
      </c>
      <c r="DK630">
        <v>0</v>
      </c>
    </row>
    <row r="631" spans="1:115">
      <c r="A631" s="173">
        <f>Calculations[[#This Row],[Sum t eCO2]]*IF(Calculations[[#This Row],[GHG Scope]]="BIOGENIC",0,1)</f>
        <v>273.49825925000005</v>
      </c>
      <c r="O631">
        <f t="shared" si="9"/>
        <v>630</v>
      </c>
      <c r="P631">
        <v>8</v>
      </c>
      <c r="Q631">
        <v>3</v>
      </c>
      <c r="R631">
        <v>9</v>
      </c>
      <c r="S631">
        <v>6</v>
      </c>
      <c r="T631">
        <v>9</v>
      </c>
      <c r="U631">
        <v>4</v>
      </c>
      <c r="V631">
        <v>6</v>
      </c>
      <c r="W631">
        <v>10</v>
      </c>
      <c r="X631">
        <v>4</v>
      </c>
      <c r="Y631">
        <v>5</v>
      </c>
      <c r="Z631">
        <v>6</v>
      </c>
      <c r="AA631">
        <v>8</v>
      </c>
      <c r="AB631">
        <v>3</v>
      </c>
      <c r="AC631">
        <v>4</v>
      </c>
      <c r="AD631">
        <v>10</v>
      </c>
      <c r="AE631">
        <v>2</v>
      </c>
      <c r="AF631">
        <v>5</v>
      </c>
      <c r="AG631">
        <v>2</v>
      </c>
      <c r="AH631">
        <v>7</v>
      </c>
      <c r="AI631">
        <v>7</v>
      </c>
      <c r="AJ631">
        <v>7</v>
      </c>
      <c r="AK631">
        <v>9</v>
      </c>
      <c r="AL631">
        <v>7</v>
      </c>
      <c r="AM631">
        <v>10</v>
      </c>
      <c r="AN631">
        <v>4</v>
      </c>
      <c r="AO631">
        <v>2</v>
      </c>
      <c r="AP631">
        <v>10</v>
      </c>
      <c r="AQ631">
        <v>5</v>
      </c>
      <c r="AR631">
        <v>9</v>
      </c>
      <c r="AS631">
        <v>8</v>
      </c>
      <c r="AT631">
        <v>4</v>
      </c>
      <c r="AU631">
        <v>8</v>
      </c>
      <c r="AV631">
        <v>8</v>
      </c>
      <c r="AW631">
        <v>3</v>
      </c>
      <c r="AX631">
        <v>8</v>
      </c>
      <c r="AY631">
        <v>6</v>
      </c>
      <c r="AZ631">
        <v>4</v>
      </c>
      <c r="BA631">
        <v>4</v>
      </c>
      <c r="BB631">
        <v>1</v>
      </c>
      <c r="BC631">
        <v>10</v>
      </c>
      <c r="BD631">
        <v>0</v>
      </c>
      <c r="BE631">
        <v>3</v>
      </c>
      <c r="BF631">
        <v>4</v>
      </c>
      <c r="BG631">
        <v>8</v>
      </c>
      <c r="BH631">
        <v>3</v>
      </c>
      <c r="BI631">
        <v>10</v>
      </c>
      <c r="BJ631">
        <v>6</v>
      </c>
      <c r="BK631">
        <v>4</v>
      </c>
      <c r="BL631">
        <v>8</v>
      </c>
      <c r="BM631">
        <v>3</v>
      </c>
      <c r="BN631">
        <v>3</v>
      </c>
      <c r="BO631">
        <v>4</v>
      </c>
      <c r="BP631">
        <v>9</v>
      </c>
      <c r="BQ631">
        <v>6</v>
      </c>
      <c r="BR631">
        <v>9</v>
      </c>
      <c r="BS631">
        <v>9</v>
      </c>
      <c r="BT631">
        <v>10</v>
      </c>
      <c r="BU631">
        <v>7</v>
      </c>
      <c r="BV631">
        <v>2</v>
      </c>
      <c r="BW631">
        <v>10</v>
      </c>
      <c r="BX631">
        <v>0</v>
      </c>
      <c r="BY631">
        <v>5</v>
      </c>
      <c r="BZ631">
        <v>10</v>
      </c>
      <c r="CA631">
        <v>10</v>
      </c>
      <c r="CB631">
        <v>10</v>
      </c>
      <c r="CC631">
        <v>9</v>
      </c>
      <c r="CD631">
        <v>3</v>
      </c>
      <c r="CE631">
        <v>4</v>
      </c>
      <c r="CF631">
        <v>8</v>
      </c>
      <c r="CG631">
        <v>3</v>
      </c>
      <c r="CH631">
        <v>6</v>
      </c>
      <c r="CI631">
        <v>1</v>
      </c>
      <c r="CJ631">
        <v>9</v>
      </c>
      <c r="CK631">
        <v>10</v>
      </c>
      <c r="CL631">
        <v>7</v>
      </c>
      <c r="CM631">
        <v>5</v>
      </c>
      <c r="CN631">
        <v>4</v>
      </c>
      <c r="CO631">
        <v>0</v>
      </c>
      <c r="CP631">
        <v>6</v>
      </c>
      <c r="CQ631">
        <v>4</v>
      </c>
      <c r="CR631">
        <v>9</v>
      </c>
      <c r="CS631">
        <v>3</v>
      </c>
      <c r="CT631">
        <v>10</v>
      </c>
      <c r="CU631">
        <v>3</v>
      </c>
      <c r="CV631">
        <v>8</v>
      </c>
      <c r="CW631">
        <v>7</v>
      </c>
      <c r="CX631">
        <v>6</v>
      </c>
      <c r="CY631">
        <v>7</v>
      </c>
      <c r="CZ631">
        <v>5</v>
      </c>
      <c r="DA631">
        <v>3</v>
      </c>
      <c r="DB631">
        <v>9</v>
      </c>
      <c r="DC631">
        <v>3</v>
      </c>
      <c r="DD631">
        <v>3</v>
      </c>
      <c r="DE631">
        <v>2</v>
      </c>
      <c r="DF631">
        <v>2</v>
      </c>
      <c r="DG631">
        <v>10</v>
      </c>
      <c r="DH631">
        <v>2</v>
      </c>
      <c r="DI631">
        <v>7</v>
      </c>
      <c r="DJ631">
        <v>5</v>
      </c>
      <c r="DK631">
        <v>3</v>
      </c>
    </row>
    <row r="632" spans="1:115">
      <c r="A632" s="173">
        <f>Calculations[[#This Row],[Sum t eCO2]]*IF(Calculations[[#This Row],[GHG Scope]]="BIOGENIC",0,1)</f>
        <v>10.702949519999999</v>
      </c>
      <c r="O632">
        <f t="shared" si="9"/>
        <v>631</v>
      </c>
      <c r="P632">
        <v>3</v>
      </c>
      <c r="Q632">
        <v>2</v>
      </c>
      <c r="R632">
        <v>0</v>
      </c>
      <c r="S632">
        <v>3</v>
      </c>
      <c r="T632">
        <v>7</v>
      </c>
      <c r="U632">
        <v>9</v>
      </c>
      <c r="V632">
        <v>5</v>
      </c>
      <c r="W632">
        <v>4</v>
      </c>
      <c r="X632">
        <v>9</v>
      </c>
      <c r="Y632">
        <v>3</v>
      </c>
      <c r="Z632">
        <v>7</v>
      </c>
      <c r="AA632">
        <v>9</v>
      </c>
      <c r="AB632">
        <v>4</v>
      </c>
      <c r="AC632">
        <v>7</v>
      </c>
      <c r="AD632">
        <v>5</v>
      </c>
      <c r="AE632">
        <v>4</v>
      </c>
      <c r="AF632">
        <v>6</v>
      </c>
      <c r="AG632">
        <v>10</v>
      </c>
      <c r="AH632">
        <v>7</v>
      </c>
      <c r="AI632">
        <v>0</v>
      </c>
      <c r="AJ632">
        <v>5</v>
      </c>
      <c r="AK632">
        <v>1</v>
      </c>
      <c r="AL632">
        <v>10</v>
      </c>
      <c r="AM632">
        <v>9</v>
      </c>
      <c r="AN632">
        <v>9</v>
      </c>
      <c r="AO632">
        <v>10</v>
      </c>
      <c r="AP632">
        <v>3</v>
      </c>
      <c r="AQ632">
        <v>8</v>
      </c>
      <c r="AR632">
        <v>9</v>
      </c>
      <c r="AS632">
        <v>2</v>
      </c>
      <c r="AT632">
        <v>5</v>
      </c>
      <c r="AU632">
        <v>9</v>
      </c>
      <c r="AV632">
        <v>9</v>
      </c>
      <c r="AW632">
        <v>6</v>
      </c>
      <c r="AX632">
        <v>1</v>
      </c>
      <c r="AY632">
        <v>10</v>
      </c>
      <c r="AZ632">
        <v>3</v>
      </c>
      <c r="BA632">
        <v>6</v>
      </c>
      <c r="BB632">
        <v>2</v>
      </c>
      <c r="BC632">
        <v>0</v>
      </c>
      <c r="BD632">
        <v>10</v>
      </c>
      <c r="BE632">
        <v>8</v>
      </c>
      <c r="BF632">
        <v>3</v>
      </c>
      <c r="BG632">
        <v>4</v>
      </c>
      <c r="BH632">
        <v>10</v>
      </c>
      <c r="BI632">
        <v>0</v>
      </c>
      <c r="BJ632">
        <v>7</v>
      </c>
      <c r="BK632">
        <v>5</v>
      </c>
      <c r="BL632">
        <v>3</v>
      </c>
      <c r="BM632">
        <v>5</v>
      </c>
      <c r="BN632">
        <v>7</v>
      </c>
      <c r="BO632">
        <v>2</v>
      </c>
      <c r="BP632">
        <v>2</v>
      </c>
      <c r="BQ632">
        <v>10</v>
      </c>
      <c r="BR632">
        <v>0</v>
      </c>
      <c r="BS632">
        <v>6</v>
      </c>
      <c r="BT632">
        <v>3</v>
      </c>
      <c r="BU632">
        <v>9</v>
      </c>
      <c r="BV632">
        <v>8</v>
      </c>
      <c r="BW632">
        <v>7</v>
      </c>
      <c r="BX632">
        <v>2</v>
      </c>
      <c r="BY632">
        <v>2</v>
      </c>
      <c r="BZ632">
        <v>7</v>
      </c>
      <c r="CA632">
        <v>3</v>
      </c>
      <c r="CB632">
        <v>8</v>
      </c>
      <c r="CC632">
        <v>9</v>
      </c>
      <c r="CD632">
        <v>7</v>
      </c>
      <c r="CE632">
        <v>1</v>
      </c>
      <c r="CF632">
        <v>1</v>
      </c>
      <c r="CG632">
        <v>0</v>
      </c>
      <c r="CH632">
        <v>10</v>
      </c>
      <c r="CI632">
        <v>4</v>
      </c>
      <c r="CJ632">
        <v>1</v>
      </c>
      <c r="CK632">
        <v>4</v>
      </c>
      <c r="CL632">
        <v>5</v>
      </c>
      <c r="CM632">
        <v>1</v>
      </c>
      <c r="CN632">
        <v>9</v>
      </c>
      <c r="CO632">
        <v>8</v>
      </c>
      <c r="CP632">
        <v>9</v>
      </c>
      <c r="CQ632">
        <v>0</v>
      </c>
      <c r="CR632">
        <v>7</v>
      </c>
      <c r="CS632">
        <v>9</v>
      </c>
      <c r="CT632">
        <v>7</v>
      </c>
      <c r="CU632">
        <v>6</v>
      </c>
      <c r="CV632">
        <v>10</v>
      </c>
      <c r="CW632">
        <v>0</v>
      </c>
      <c r="CX632">
        <v>3</v>
      </c>
      <c r="CY632">
        <v>5</v>
      </c>
      <c r="CZ632">
        <v>7</v>
      </c>
      <c r="DA632">
        <v>3</v>
      </c>
      <c r="DB632">
        <v>10</v>
      </c>
      <c r="DC632">
        <v>4</v>
      </c>
      <c r="DD632">
        <v>2</v>
      </c>
      <c r="DE632">
        <v>7</v>
      </c>
      <c r="DF632">
        <v>3</v>
      </c>
      <c r="DG632">
        <v>4</v>
      </c>
      <c r="DH632">
        <v>8</v>
      </c>
      <c r="DI632">
        <v>2</v>
      </c>
      <c r="DJ632">
        <v>8</v>
      </c>
      <c r="DK632">
        <v>3</v>
      </c>
    </row>
    <row r="633" spans="1:115">
      <c r="A633" s="173">
        <f>Calculations[[#This Row],[Sum t eCO2]]*IF(Calculations[[#This Row],[GHG Scope]]="BIOGENIC",0,1)</f>
        <v>4.1409932388747472E-3</v>
      </c>
      <c r="O633">
        <f t="shared" si="9"/>
        <v>632</v>
      </c>
      <c r="P633">
        <v>1</v>
      </c>
      <c r="Q633">
        <v>5</v>
      </c>
      <c r="R633">
        <v>4</v>
      </c>
      <c r="S633">
        <v>5</v>
      </c>
      <c r="T633">
        <v>8</v>
      </c>
      <c r="U633">
        <v>7</v>
      </c>
      <c r="V633">
        <v>10</v>
      </c>
      <c r="W633">
        <v>6</v>
      </c>
      <c r="X633">
        <v>5</v>
      </c>
      <c r="Y633">
        <v>6</v>
      </c>
      <c r="Z633">
        <v>8</v>
      </c>
      <c r="AA633">
        <v>0</v>
      </c>
      <c r="AB633">
        <v>5</v>
      </c>
      <c r="AC633">
        <v>7</v>
      </c>
      <c r="AD633">
        <v>5</v>
      </c>
      <c r="AE633">
        <v>4</v>
      </c>
      <c r="AF633">
        <v>6</v>
      </c>
      <c r="AG633">
        <v>2</v>
      </c>
      <c r="AH633">
        <v>5</v>
      </c>
      <c r="AI633">
        <v>1</v>
      </c>
      <c r="AJ633">
        <v>8</v>
      </c>
      <c r="AK633">
        <v>10</v>
      </c>
      <c r="AL633">
        <v>2</v>
      </c>
      <c r="AM633">
        <v>6</v>
      </c>
      <c r="AN633">
        <v>7</v>
      </c>
      <c r="AO633">
        <v>1</v>
      </c>
      <c r="AP633">
        <v>0</v>
      </c>
      <c r="AQ633">
        <v>1</v>
      </c>
      <c r="AR633">
        <v>6</v>
      </c>
      <c r="AS633">
        <v>0</v>
      </c>
      <c r="AT633">
        <v>1</v>
      </c>
      <c r="AU633">
        <v>2</v>
      </c>
      <c r="AV633">
        <v>10</v>
      </c>
      <c r="AW633">
        <v>4</v>
      </c>
      <c r="AX633">
        <v>2</v>
      </c>
      <c r="AY633">
        <v>9</v>
      </c>
      <c r="AZ633">
        <v>6</v>
      </c>
      <c r="BA633">
        <v>3</v>
      </c>
      <c r="BB633">
        <v>6</v>
      </c>
      <c r="BC633">
        <v>6</v>
      </c>
      <c r="BD633">
        <v>8</v>
      </c>
      <c r="BE633">
        <v>9</v>
      </c>
      <c r="BF633">
        <v>6</v>
      </c>
      <c r="BG633">
        <v>1</v>
      </c>
      <c r="BH633">
        <v>9</v>
      </c>
      <c r="BI633">
        <v>1</v>
      </c>
      <c r="BJ633">
        <v>0</v>
      </c>
      <c r="BK633">
        <v>2</v>
      </c>
      <c r="BL633">
        <v>4</v>
      </c>
      <c r="BM633">
        <v>2</v>
      </c>
      <c r="BN633">
        <v>0</v>
      </c>
      <c r="BO633">
        <v>3</v>
      </c>
      <c r="BP633">
        <v>2</v>
      </c>
      <c r="BQ633">
        <v>5</v>
      </c>
      <c r="BR633">
        <v>8</v>
      </c>
      <c r="BS633">
        <v>7</v>
      </c>
      <c r="BT633">
        <v>9</v>
      </c>
      <c r="BU633">
        <v>1</v>
      </c>
      <c r="BV633">
        <v>0</v>
      </c>
      <c r="BW633">
        <v>4</v>
      </c>
      <c r="BX633">
        <v>7</v>
      </c>
      <c r="BY633">
        <v>0</v>
      </c>
      <c r="BZ633">
        <v>8</v>
      </c>
      <c r="CA633">
        <v>0</v>
      </c>
      <c r="CB633">
        <v>1</v>
      </c>
      <c r="CC633">
        <v>2</v>
      </c>
      <c r="CD633">
        <v>1</v>
      </c>
      <c r="CE633">
        <v>10</v>
      </c>
      <c r="CF633">
        <v>3</v>
      </c>
      <c r="CG633">
        <v>9</v>
      </c>
      <c r="CH633">
        <v>7</v>
      </c>
      <c r="CI633">
        <v>9</v>
      </c>
      <c r="CJ633">
        <v>7</v>
      </c>
      <c r="CK633">
        <v>7</v>
      </c>
      <c r="CL633">
        <v>9</v>
      </c>
      <c r="CM633">
        <v>10</v>
      </c>
      <c r="CN633">
        <v>0</v>
      </c>
      <c r="CO633">
        <v>0</v>
      </c>
      <c r="CP633">
        <v>10</v>
      </c>
      <c r="CQ633">
        <v>9</v>
      </c>
      <c r="CR633">
        <v>4</v>
      </c>
      <c r="CS633">
        <v>10</v>
      </c>
      <c r="CT633">
        <v>7</v>
      </c>
      <c r="CU633">
        <v>6</v>
      </c>
      <c r="CV633">
        <v>9</v>
      </c>
      <c r="CW633">
        <v>1</v>
      </c>
      <c r="CX633">
        <v>2</v>
      </c>
      <c r="CY633">
        <v>2</v>
      </c>
      <c r="CZ633">
        <v>1</v>
      </c>
      <c r="DA633">
        <v>1</v>
      </c>
      <c r="DB633">
        <v>8</v>
      </c>
      <c r="DC633">
        <v>6</v>
      </c>
      <c r="DD633">
        <v>10</v>
      </c>
      <c r="DE633">
        <v>3</v>
      </c>
      <c r="DF633">
        <v>7</v>
      </c>
      <c r="DG633">
        <v>5</v>
      </c>
      <c r="DH633">
        <v>8</v>
      </c>
      <c r="DI633">
        <v>1</v>
      </c>
      <c r="DJ633">
        <v>5</v>
      </c>
      <c r="DK633">
        <v>1</v>
      </c>
    </row>
    <row r="634" spans="1:115">
      <c r="A634" s="173">
        <f>Calculations[[#This Row],[Sum t eCO2]]*IF(Calculations[[#This Row],[GHG Scope]]="BIOGENIC",0,1)</f>
        <v>2.9037315558091994E-6</v>
      </c>
      <c r="O634">
        <f t="shared" si="9"/>
        <v>633</v>
      </c>
      <c r="P634">
        <v>1</v>
      </c>
      <c r="Q634">
        <v>7</v>
      </c>
      <c r="R634">
        <v>1</v>
      </c>
      <c r="S634">
        <v>9</v>
      </c>
      <c r="T634">
        <v>7</v>
      </c>
      <c r="U634">
        <v>0</v>
      </c>
      <c r="V634">
        <v>5</v>
      </c>
      <c r="W634">
        <v>2</v>
      </c>
      <c r="X634">
        <v>2</v>
      </c>
      <c r="Y634">
        <v>6</v>
      </c>
      <c r="Z634">
        <v>2</v>
      </c>
      <c r="AA634">
        <v>2</v>
      </c>
      <c r="AB634">
        <v>2</v>
      </c>
      <c r="AC634">
        <v>4</v>
      </c>
      <c r="AD634">
        <v>10</v>
      </c>
      <c r="AE634">
        <v>5</v>
      </c>
      <c r="AF634">
        <v>2</v>
      </c>
      <c r="AG634">
        <v>3</v>
      </c>
      <c r="AH634">
        <v>9</v>
      </c>
      <c r="AI634">
        <v>3</v>
      </c>
      <c r="AJ634">
        <v>8</v>
      </c>
      <c r="AK634">
        <v>3</v>
      </c>
      <c r="AL634">
        <v>0</v>
      </c>
      <c r="AM634">
        <v>4</v>
      </c>
      <c r="AN634">
        <v>0</v>
      </c>
      <c r="AO634">
        <v>7</v>
      </c>
      <c r="AP634">
        <v>3</v>
      </c>
      <c r="AQ634">
        <v>7</v>
      </c>
      <c r="AR634">
        <v>4</v>
      </c>
      <c r="AS634">
        <v>6</v>
      </c>
      <c r="AT634">
        <v>0</v>
      </c>
      <c r="AU634">
        <v>8</v>
      </c>
      <c r="AV634">
        <v>9</v>
      </c>
      <c r="AW634">
        <v>1</v>
      </c>
      <c r="AX634">
        <v>4</v>
      </c>
      <c r="AY634">
        <v>2</v>
      </c>
      <c r="AZ634">
        <v>4</v>
      </c>
      <c r="BA634">
        <v>9</v>
      </c>
      <c r="BB634">
        <v>1</v>
      </c>
      <c r="BC634">
        <v>9</v>
      </c>
      <c r="BD634">
        <v>5</v>
      </c>
      <c r="BE634">
        <v>7</v>
      </c>
      <c r="BF634">
        <v>4</v>
      </c>
      <c r="BG634">
        <v>3</v>
      </c>
      <c r="BH634">
        <v>3</v>
      </c>
      <c r="BI634">
        <v>0</v>
      </c>
      <c r="BJ634">
        <v>1</v>
      </c>
      <c r="BK634">
        <v>3</v>
      </c>
      <c r="BL634">
        <v>5</v>
      </c>
      <c r="BM634">
        <v>4</v>
      </c>
      <c r="BN634">
        <v>1</v>
      </c>
      <c r="BO634">
        <v>0</v>
      </c>
      <c r="BP634">
        <v>1</v>
      </c>
      <c r="BQ634">
        <v>9</v>
      </c>
      <c r="BR634">
        <v>3</v>
      </c>
      <c r="BS634">
        <v>6</v>
      </c>
      <c r="BT634">
        <v>5</v>
      </c>
      <c r="BU634">
        <v>3</v>
      </c>
      <c r="BV634">
        <v>7</v>
      </c>
      <c r="BW634">
        <v>9</v>
      </c>
      <c r="BX634">
        <v>7</v>
      </c>
      <c r="BY634">
        <v>2</v>
      </c>
      <c r="BZ634">
        <v>9</v>
      </c>
      <c r="CA634">
        <v>4</v>
      </c>
      <c r="CB634">
        <v>1</v>
      </c>
      <c r="CC634">
        <v>7</v>
      </c>
      <c r="CD634">
        <v>2</v>
      </c>
      <c r="CE634">
        <v>5</v>
      </c>
      <c r="CF634">
        <v>9</v>
      </c>
      <c r="CG634">
        <v>7</v>
      </c>
      <c r="CH634">
        <v>5</v>
      </c>
      <c r="CI634">
        <v>10</v>
      </c>
      <c r="CJ634">
        <v>8</v>
      </c>
      <c r="CK634">
        <v>0</v>
      </c>
      <c r="CL634">
        <v>1</v>
      </c>
      <c r="CM634">
        <v>5</v>
      </c>
      <c r="CN634">
        <v>6</v>
      </c>
      <c r="CO634">
        <v>2</v>
      </c>
      <c r="CP634">
        <v>8</v>
      </c>
      <c r="CQ634">
        <v>5</v>
      </c>
      <c r="CR634">
        <v>6</v>
      </c>
      <c r="CS634">
        <v>10</v>
      </c>
      <c r="CT634">
        <v>8</v>
      </c>
      <c r="CU634">
        <v>1</v>
      </c>
      <c r="CV634">
        <v>2</v>
      </c>
      <c r="CW634">
        <v>8</v>
      </c>
      <c r="CX634">
        <v>8</v>
      </c>
      <c r="CY634">
        <v>3</v>
      </c>
      <c r="CZ634">
        <v>8</v>
      </c>
      <c r="DA634">
        <v>6</v>
      </c>
      <c r="DB634">
        <v>10</v>
      </c>
      <c r="DC634">
        <v>2</v>
      </c>
      <c r="DD634">
        <v>2</v>
      </c>
      <c r="DE634">
        <v>1</v>
      </c>
      <c r="DF634">
        <v>8</v>
      </c>
      <c r="DG634">
        <v>0</v>
      </c>
      <c r="DH634">
        <v>1</v>
      </c>
      <c r="DI634">
        <v>3</v>
      </c>
      <c r="DJ634">
        <v>4</v>
      </c>
      <c r="DK634">
        <v>3</v>
      </c>
    </row>
    <row r="635" spans="1:115">
      <c r="A635" s="173">
        <f>Calculations[[#This Row],[Sum t eCO2]]*IF(Calculations[[#This Row],[GHG Scope]]="BIOGENIC",0,1)</f>
        <v>1.1315680262945923E-5</v>
      </c>
      <c r="O635">
        <f t="shared" si="9"/>
        <v>634</v>
      </c>
      <c r="P635">
        <v>10</v>
      </c>
      <c r="Q635">
        <v>8</v>
      </c>
      <c r="R635">
        <v>6</v>
      </c>
      <c r="S635">
        <v>5</v>
      </c>
      <c r="T635">
        <v>8</v>
      </c>
      <c r="U635">
        <v>2</v>
      </c>
      <c r="V635">
        <v>0</v>
      </c>
      <c r="W635">
        <v>5</v>
      </c>
      <c r="X635">
        <v>0</v>
      </c>
      <c r="Y635">
        <v>5</v>
      </c>
      <c r="Z635">
        <v>6</v>
      </c>
      <c r="AA635">
        <v>1</v>
      </c>
      <c r="AB635">
        <v>10</v>
      </c>
      <c r="AC635">
        <v>9</v>
      </c>
      <c r="AD635">
        <v>3</v>
      </c>
      <c r="AE635">
        <v>6</v>
      </c>
      <c r="AF635">
        <v>1</v>
      </c>
      <c r="AG635">
        <v>5</v>
      </c>
      <c r="AH635">
        <v>3</v>
      </c>
      <c r="AI635">
        <v>6</v>
      </c>
      <c r="AJ635">
        <v>0</v>
      </c>
      <c r="AK635">
        <v>8</v>
      </c>
      <c r="AL635">
        <v>8</v>
      </c>
      <c r="AM635">
        <v>5</v>
      </c>
      <c r="AN635">
        <v>3</v>
      </c>
      <c r="AO635">
        <v>8</v>
      </c>
      <c r="AP635">
        <v>6</v>
      </c>
      <c r="AQ635">
        <v>7</v>
      </c>
      <c r="AR635">
        <v>2</v>
      </c>
      <c r="AS635">
        <v>0</v>
      </c>
      <c r="AT635">
        <v>1</v>
      </c>
      <c r="AU635">
        <v>10</v>
      </c>
      <c r="AV635">
        <v>2</v>
      </c>
      <c r="AW635">
        <v>1</v>
      </c>
      <c r="AX635">
        <v>5</v>
      </c>
      <c r="AY635">
        <v>3</v>
      </c>
      <c r="AZ635">
        <v>7</v>
      </c>
      <c r="BA635">
        <v>8</v>
      </c>
      <c r="BB635">
        <v>10</v>
      </c>
      <c r="BC635">
        <v>7</v>
      </c>
      <c r="BD635">
        <v>10</v>
      </c>
      <c r="BE635">
        <v>0</v>
      </c>
      <c r="BF635">
        <v>8</v>
      </c>
      <c r="BG635">
        <v>2</v>
      </c>
      <c r="BH635">
        <v>8</v>
      </c>
      <c r="BI635">
        <v>6</v>
      </c>
      <c r="BJ635">
        <v>5</v>
      </c>
      <c r="BK635">
        <v>9</v>
      </c>
      <c r="BL635">
        <v>3</v>
      </c>
      <c r="BM635">
        <v>0</v>
      </c>
      <c r="BN635">
        <v>3</v>
      </c>
      <c r="BO635">
        <v>1</v>
      </c>
      <c r="BP635">
        <v>9</v>
      </c>
      <c r="BQ635">
        <v>7</v>
      </c>
      <c r="BR635">
        <v>8</v>
      </c>
      <c r="BS635">
        <v>5</v>
      </c>
      <c r="BT635">
        <v>1</v>
      </c>
      <c r="BU635">
        <v>0</v>
      </c>
      <c r="BV635">
        <v>6</v>
      </c>
      <c r="BW635">
        <v>8</v>
      </c>
      <c r="BX635">
        <v>3</v>
      </c>
      <c r="BY635">
        <v>5</v>
      </c>
      <c r="BZ635">
        <v>8</v>
      </c>
      <c r="CA635">
        <v>5</v>
      </c>
      <c r="CB635">
        <v>10</v>
      </c>
      <c r="CC635">
        <v>10</v>
      </c>
      <c r="CD635">
        <v>2</v>
      </c>
      <c r="CE635">
        <v>8</v>
      </c>
      <c r="CF635">
        <v>3</v>
      </c>
      <c r="CG635">
        <v>10</v>
      </c>
      <c r="CH635">
        <v>10</v>
      </c>
      <c r="CI635">
        <v>6</v>
      </c>
      <c r="CJ635">
        <v>0</v>
      </c>
      <c r="CK635">
        <v>3</v>
      </c>
      <c r="CL635">
        <v>4</v>
      </c>
      <c r="CM635">
        <v>8</v>
      </c>
      <c r="CN635">
        <v>3</v>
      </c>
      <c r="CO635">
        <v>8</v>
      </c>
      <c r="CP635">
        <v>5</v>
      </c>
      <c r="CQ635">
        <v>2</v>
      </c>
      <c r="CR635">
        <v>6</v>
      </c>
      <c r="CS635">
        <v>10</v>
      </c>
      <c r="CT635">
        <v>0</v>
      </c>
      <c r="CU635">
        <v>10</v>
      </c>
      <c r="CV635">
        <v>8</v>
      </c>
      <c r="CW635">
        <v>5</v>
      </c>
      <c r="CX635">
        <v>9</v>
      </c>
      <c r="CY635">
        <v>10</v>
      </c>
      <c r="CZ635">
        <v>0</v>
      </c>
      <c r="DA635">
        <v>2</v>
      </c>
      <c r="DB635">
        <v>0</v>
      </c>
      <c r="DC635">
        <v>3</v>
      </c>
      <c r="DD635">
        <v>8</v>
      </c>
      <c r="DE635">
        <v>7</v>
      </c>
      <c r="DF635">
        <v>5</v>
      </c>
      <c r="DG635">
        <v>0</v>
      </c>
      <c r="DH635">
        <v>10</v>
      </c>
      <c r="DI635">
        <v>3</v>
      </c>
      <c r="DJ635">
        <v>3</v>
      </c>
      <c r="DK635">
        <v>7</v>
      </c>
    </row>
    <row r="636" spans="1:115">
      <c r="A636" s="173">
        <f>Calculations[[#This Row],[Sum t eCO2]]*IF(Calculations[[#This Row],[GHG Scope]]="BIOGENIC",0,1)</f>
        <v>7.1556323832880299E-4</v>
      </c>
      <c r="O636">
        <f t="shared" si="9"/>
        <v>635</v>
      </c>
      <c r="P636">
        <v>9</v>
      </c>
      <c r="Q636">
        <v>1</v>
      </c>
      <c r="R636">
        <v>4</v>
      </c>
      <c r="S636">
        <v>2</v>
      </c>
      <c r="T636">
        <v>4</v>
      </c>
      <c r="U636">
        <v>4</v>
      </c>
      <c r="V636">
        <v>9</v>
      </c>
      <c r="W636">
        <v>10</v>
      </c>
      <c r="X636">
        <v>9</v>
      </c>
      <c r="Y636">
        <v>0</v>
      </c>
      <c r="Z636">
        <v>2</v>
      </c>
      <c r="AA636">
        <v>9</v>
      </c>
      <c r="AB636">
        <v>5</v>
      </c>
      <c r="AC636">
        <v>0</v>
      </c>
      <c r="AD636">
        <v>9</v>
      </c>
      <c r="AE636">
        <v>0</v>
      </c>
      <c r="AF636">
        <v>4</v>
      </c>
      <c r="AG636">
        <v>7</v>
      </c>
      <c r="AH636">
        <v>9</v>
      </c>
      <c r="AI636">
        <v>8</v>
      </c>
      <c r="AJ636">
        <v>4</v>
      </c>
      <c r="AK636">
        <v>9</v>
      </c>
      <c r="AL636">
        <v>2</v>
      </c>
      <c r="AM636">
        <v>7</v>
      </c>
      <c r="AN636">
        <v>0</v>
      </c>
      <c r="AO636">
        <v>6</v>
      </c>
      <c r="AP636">
        <v>7</v>
      </c>
      <c r="AQ636">
        <v>0</v>
      </c>
      <c r="AR636">
        <v>0</v>
      </c>
      <c r="AS636">
        <v>6</v>
      </c>
      <c r="AT636">
        <v>5</v>
      </c>
      <c r="AU636">
        <v>6</v>
      </c>
      <c r="AV636">
        <v>7</v>
      </c>
      <c r="AW636">
        <v>10</v>
      </c>
      <c r="AX636">
        <v>3</v>
      </c>
      <c r="AY636">
        <v>7</v>
      </c>
      <c r="AZ636">
        <v>4</v>
      </c>
      <c r="BA636">
        <v>9</v>
      </c>
      <c r="BB636">
        <v>9</v>
      </c>
      <c r="BC636">
        <v>9</v>
      </c>
      <c r="BD636">
        <v>1</v>
      </c>
      <c r="BE636">
        <v>1</v>
      </c>
      <c r="BF636">
        <v>4</v>
      </c>
      <c r="BG636">
        <v>5</v>
      </c>
      <c r="BH636">
        <v>2</v>
      </c>
      <c r="BI636">
        <v>2</v>
      </c>
      <c r="BJ636">
        <v>8</v>
      </c>
      <c r="BK636">
        <v>2</v>
      </c>
      <c r="BL636">
        <v>3</v>
      </c>
      <c r="BM636">
        <v>10</v>
      </c>
      <c r="BN636">
        <v>9</v>
      </c>
      <c r="BO636">
        <v>3</v>
      </c>
      <c r="BP636">
        <v>6</v>
      </c>
      <c r="BQ636">
        <v>7</v>
      </c>
      <c r="BR636">
        <v>9</v>
      </c>
      <c r="BS636">
        <v>4</v>
      </c>
      <c r="BT636">
        <v>6</v>
      </c>
      <c r="BU636">
        <v>8</v>
      </c>
      <c r="BV636">
        <v>9</v>
      </c>
      <c r="BW636">
        <v>5</v>
      </c>
      <c r="BX636">
        <v>8</v>
      </c>
      <c r="BY636">
        <v>9</v>
      </c>
      <c r="BZ636">
        <v>7</v>
      </c>
      <c r="CA636">
        <v>9</v>
      </c>
      <c r="CB636">
        <v>8</v>
      </c>
      <c r="CC636">
        <v>3</v>
      </c>
      <c r="CD636">
        <v>3</v>
      </c>
      <c r="CE636">
        <v>4</v>
      </c>
      <c r="CF636">
        <v>0</v>
      </c>
      <c r="CG636">
        <v>1</v>
      </c>
      <c r="CH636">
        <v>7</v>
      </c>
      <c r="CI636">
        <v>8</v>
      </c>
      <c r="CJ636">
        <v>9</v>
      </c>
      <c r="CK636">
        <v>5</v>
      </c>
      <c r="CL636">
        <v>2</v>
      </c>
      <c r="CM636">
        <v>6</v>
      </c>
      <c r="CN636">
        <v>10</v>
      </c>
      <c r="CO636">
        <v>6</v>
      </c>
      <c r="CP636">
        <v>1</v>
      </c>
      <c r="CQ636">
        <v>9</v>
      </c>
      <c r="CR636">
        <v>10</v>
      </c>
      <c r="CS636">
        <v>0</v>
      </c>
      <c r="CT636">
        <v>1</v>
      </c>
      <c r="CU636">
        <v>8</v>
      </c>
      <c r="CV636">
        <v>6</v>
      </c>
      <c r="CW636">
        <v>3</v>
      </c>
      <c r="CX636">
        <v>3</v>
      </c>
      <c r="CY636">
        <v>7</v>
      </c>
      <c r="CZ636">
        <v>3</v>
      </c>
      <c r="DA636">
        <v>10</v>
      </c>
      <c r="DB636">
        <v>9</v>
      </c>
      <c r="DC636">
        <v>5</v>
      </c>
      <c r="DD636">
        <v>9</v>
      </c>
      <c r="DE636">
        <v>5</v>
      </c>
      <c r="DF636">
        <v>9</v>
      </c>
      <c r="DG636">
        <v>2</v>
      </c>
      <c r="DH636">
        <v>7</v>
      </c>
      <c r="DI636">
        <v>9</v>
      </c>
      <c r="DJ636">
        <v>10</v>
      </c>
      <c r="DK636">
        <v>3</v>
      </c>
    </row>
    <row r="637" spans="1:115">
      <c r="A637" s="173">
        <f>Calculations[[#This Row],[Sum t eCO2]]*IF(Calculations[[#This Row],[GHG Scope]]="BIOGENIC",0,1)</f>
        <v>0.45599882915009315</v>
      </c>
      <c r="O637">
        <f t="shared" si="9"/>
        <v>636</v>
      </c>
      <c r="P637">
        <v>3</v>
      </c>
      <c r="Q637">
        <v>9</v>
      </c>
      <c r="R637">
        <v>3</v>
      </c>
      <c r="S637">
        <v>6</v>
      </c>
      <c r="T637">
        <v>8</v>
      </c>
      <c r="U637">
        <v>2</v>
      </c>
      <c r="V637">
        <v>6</v>
      </c>
      <c r="W637">
        <v>5</v>
      </c>
      <c r="X637">
        <v>7</v>
      </c>
      <c r="Y637">
        <v>0</v>
      </c>
      <c r="Z637">
        <v>6</v>
      </c>
      <c r="AA637">
        <v>8</v>
      </c>
      <c r="AB637">
        <v>8</v>
      </c>
      <c r="AC637">
        <v>3</v>
      </c>
      <c r="AD637">
        <v>3</v>
      </c>
      <c r="AE637">
        <v>8</v>
      </c>
      <c r="AF637">
        <v>6</v>
      </c>
      <c r="AG637">
        <v>1</v>
      </c>
      <c r="AH637">
        <v>4</v>
      </c>
      <c r="AI637">
        <v>1</v>
      </c>
      <c r="AJ637">
        <v>4</v>
      </c>
      <c r="AK637">
        <v>0</v>
      </c>
      <c r="AL637">
        <v>9</v>
      </c>
      <c r="AM637">
        <v>4</v>
      </c>
      <c r="AN637">
        <v>9</v>
      </c>
      <c r="AO637">
        <v>6</v>
      </c>
      <c r="AP637">
        <v>7</v>
      </c>
      <c r="AQ637">
        <v>2</v>
      </c>
      <c r="AR637">
        <v>5</v>
      </c>
      <c r="AS637">
        <v>8</v>
      </c>
      <c r="AT637">
        <v>1</v>
      </c>
      <c r="AU637">
        <v>10</v>
      </c>
      <c r="AV637">
        <v>10</v>
      </c>
      <c r="AW637">
        <v>9</v>
      </c>
      <c r="AX637">
        <v>6</v>
      </c>
      <c r="AY637">
        <v>5</v>
      </c>
      <c r="AZ637">
        <v>7</v>
      </c>
      <c r="BA637">
        <v>2</v>
      </c>
      <c r="BB637">
        <v>2</v>
      </c>
      <c r="BC637">
        <v>8</v>
      </c>
      <c r="BD637">
        <v>7</v>
      </c>
      <c r="BE637">
        <v>6</v>
      </c>
      <c r="BF637">
        <v>0</v>
      </c>
      <c r="BG637">
        <v>8</v>
      </c>
      <c r="BH637">
        <v>5</v>
      </c>
      <c r="BI637">
        <v>0</v>
      </c>
      <c r="BJ637">
        <v>8</v>
      </c>
      <c r="BK637">
        <v>0</v>
      </c>
      <c r="BL637">
        <v>9</v>
      </c>
      <c r="BM637">
        <v>3</v>
      </c>
      <c r="BN637">
        <v>1</v>
      </c>
      <c r="BO637">
        <v>8</v>
      </c>
      <c r="BP637">
        <v>10</v>
      </c>
      <c r="BQ637">
        <v>8</v>
      </c>
      <c r="BR637">
        <v>5</v>
      </c>
      <c r="BS637">
        <v>5</v>
      </c>
      <c r="BT637">
        <v>7</v>
      </c>
      <c r="BU637">
        <v>1</v>
      </c>
      <c r="BV637">
        <v>8</v>
      </c>
      <c r="BW637">
        <v>7</v>
      </c>
      <c r="BX637">
        <v>4</v>
      </c>
      <c r="BY637">
        <v>3</v>
      </c>
      <c r="BZ637">
        <v>7</v>
      </c>
      <c r="CA637">
        <v>8</v>
      </c>
      <c r="CB637">
        <v>4</v>
      </c>
      <c r="CC637">
        <v>8</v>
      </c>
      <c r="CD637">
        <v>4</v>
      </c>
      <c r="CE637">
        <v>2</v>
      </c>
      <c r="CF637">
        <v>5</v>
      </c>
      <c r="CG637">
        <v>9</v>
      </c>
      <c r="CH637">
        <v>6</v>
      </c>
      <c r="CI637">
        <v>2</v>
      </c>
      <c r="CJ637">
        <v>5</v>
      </c>
      <c r="CK637">
        <v>5</v>
      </c>
      <c r="CL637">
        <v>7</v>
      </c>
      <c r="CM637">
        <v>10</v>
      </c>
      <c r="CN637">
        <v>7</v>
      </c>
      <c r="CO637">
        <v>4</v>
      </c>
      <c r="CP637">
        <v>0</v>
      </c>
      <c r="CQ637">
        <v>3</v>
      </c>
      <c r="CR637">
        <v>1</v>
      </c>
      <c r="CS637">
        <v>3</v>
      </c>
      <c r="CT637">
        <v>7</v>
      </c>
      <c r="CU637">
        <v>5</v>
      </c>
      <c r="CV637">
        <v>10</v>
      </c>
      <c r="CW637">
        <v>7</v>
      </c>
      <c r="CX637">
        <v>9</v>
      </c>
      <c r="CY637">
        <v>3</v>
      </c>
      <c r="CZ637">
        <v>6</v>
      </c>
      <c r="DA637">
        <v>6</v>
      </c>
      <c r="DB637">
        <v>4</v>
      </c>
      <c r="DC637">
        <v>5</v>
      </c>
      <c r="DD637">
        <v>7</v>
      </c>
      <c r="DE637">
        <v>3</v>
      </c>
      <c r="DF637">
        <v>4</v>
      </c>
      <c r="DG637">
        <v>9</v>
      </c>
      <c r="DH637">
        <v>8</v>
      </c>
      <c r="DI637">
        <v>2</v>
      </c>
      <c r="DJ637">
        <v>6</v>
      </c>
      <c r="DK637">
        <v>10</v>
      </c>
    </row>
    <row r="638" spans="1:115">
      <c r="A638" s="173">
        <f>Calculations[[#This Row],[Sum t eCO2]]*IF(Calculations[[#This Row],[GHG Scope]]="BIOGENIC",0,1)</f>
        <v>3.1975376757074274E-4</v>
      </c>
      <c r="O638">
        <f t="shared" si="9"/>
        <v>637</v>
      </c>
      <c r="P638">
        <v>0</v>
      </c>
      <c r="Q638">
        <v>5</v>
      </c>
      <c r="R638">
        <v>7</v>
      </c>
      <c r="S638">
        <v>2</v>
      </c>
      <c r="T638">
        <v>1</v>
      </c>
      <c r="U638">
        <v>9</v>
      </c>
      <c r="V638">
        <v>1</v>
      </c>
      <c r="W638">
        <v>10</v>
      </c>
      <c r="X638">
        <v>2</v>
      </c>
      <c r="Y638">
        <v>10</v>
      </c>
      <c r="Z638">
        <v>10</v>
      </c>
      <c r="AA638">
        <v>10</v>
      </c>
      <c r="AB638">
        <v>5</v>
      </c>
      <c r="AC638">
        <v>2</v>
      </c>
      <c r="AD638">
        <v>2</v>
      </c>
      <c r="AE638">
        <v>5</v>
      </c>
      <c r="AF638">
        <v>6</v>
      </c>
      <c r="AG638">
        <v>0</v>
      </c>
      <c r="AH638">
        <v>0</v>
      </c>
      <c r="AI638">
        <v>2</v>
      </c>
      <c r="AJ638">
        <v>2</v>
      </c>
      <c r="AK638">
        <v>7</v>
      </c>
      <c r="AL638">
        <v>0</v>
      </c>
      <c r="AM638">
        <v>1</v>
      </c>
      <c r="AN638">
        <v>6</v>
      </c>
      <c r="AO638">
        <v>0</v>
      </c>
      <c r="AP638">
        <v>6</v>
      </c>
      <c r="AQ638">
        <v>6</v>
      </c>
      <c r="AR638">
        <v>10</v>
      </c>
      <c r="AS638">
        <v>2</v>
      </c>
      <c r="AT638">
        <v>1</v>
      </c>
      <c r="AU638">
        <v>4</v>
      </c>
      <c r="AV638">
        <v>9</v>
      </c>
      <c r="AW638">
        <v>2</v>
      </c>
      <c r="AX638">
        <v>8</v>
      </c>
      <c r="AY638">
        <v>6</v>
      </c>
      <c r="AZ638">
        <v>6</v>
      </c>
      <c r="BA638">
        <v>5</v>
      </c>
      <c r="BB638">
        <v>10</v>
      </c>
      <c r="BC638">
        <v>9</v>
      </c>
      <c r="BD638">
        <v>3</v>
      </c>
      <c r="BE638">
        <v>0</v>
      </c>
      <c r="BF638">
        <v>3</v>
      </c>
      <c r="BG638">
        <v>7</v>
      </c>
      <c r="BH638">
        <v>4</v>
      </c>
      <c r="BI638">
        <v>6</v>
      </c>
      <c r="BJ638">
        <v>9</v>
      </c>
      <c r="BK638">
        <v>0</v>
      </c>
      <c r="BL638">
        <v>3</v>
      </c>
      <c r="BM638">
        <v>1</v>
      </c>
      <c r="BN638">
        <v>5</v>
      </c>
      <c r="BO638">
        <v>5</v>
      </c>
      <c r="BP638">
        <v>4</v>
      </c>
      <c r="BQ638">
        <v>6</v>
      </c>
      <c r="BR638">
        <v>6</v>
      </c>
      <c r="BS638">
        <v>10</v>
      </c>
      <c r="BT638">
        <v>4</v>
      </c>
      <c r="BU638">
        <v>1</v>
      </c>
      <c r="BV638">
        <v>9</v>
      </c>
      <c r="BW638">
        <v>2</v>
      </c>
      <c r="BX638">
        <v>6</v>
      </c>
      <c r="BY638">
        <v>0</v>
      </c>
      <c r="BZ638">
        <v>9</v>
      </c>
      <c r="CA638">
        <v>5</v>
      </c>
      <c r="CB638">
        <v>2</v>
      </c>
      <c r="CC638">
        <v>2</v>
      </c>
      <c r="CD638">
        <v>10</v>
      </c>
      <c r="CE638">
        <v>10</v>
      </c>
      <c r="CF638">
        <v>7</v>
      </c>
      <c r="CG638">
        <v>2</v>
      </c>
      <c r="CH638">
        <v>6</v>
      </c>
      <c r="CI638">
        <v>2</v>
      </c>
      <c r="CJ638">
        <v>10</v>
      </c>
      <c r="CK638">
        <v>10</v>
      </c>
      <c r="CL638">
        <v>1</v>
      </c>
      <c r="CM638">
        <v>10</v>
      </c>
      <c r="CN638">
        <v>10</v>
      </c>
      <c r="CO638">
        <v>0</v>
      </c>
      <c r="CP638">
        <v>3</v>
      </c>
      <c r="CQ638">
        <v>9</v>
      </c>
      <c r="CR638">
        <v>3</v>
      </c>
      <c r="CS638">
        <v>9</v>
      </c>
      <c r="CT638">
        <v>2</v>
      </c>
      <c r="CU638">
        <v>8</v>
      </c>
      <c r="CV638">
        <v>4</v>
      </c>
      <c r="CW638">
        <v>2</v>
      </c>
      <c r="CX638">
        <v>9</v>
      </c>
      <c r="CY638">
        <v>4</v>
      </c>
      <c r="CZ638">
        <v>6</v>
      </c>
      <c r="DA638">
        <v>3</v>
      </c>
      <c r="DB638">
        <v>3</v>
      </c>
      <c r="DC638">
        <v>7</v>
      </c>
      <c r="DD638">
        <v>5</v>
      </c>
      <c r="DE638">
        <v>4</v>
      </c>
      <c r="DF638">
        <v>2</v>
      </c>
      <c r="DG638">
        <v>1</v>
      </c>
      <c r="DH638">
        <v>0</v>
      </c>
      <c r="DI638">
        <v>1</v>
      </c>
      <c r="DJ638">
        <v>2</v>
      </c>
      <c r="DK638">
        <v>8</v>
      </c>
    </row>
    <row r="639" spans="1:115">
      <c r="A639" s="173">
        <f>Calculations[[#This Row],[Sum t eCO2]]*IF(Calculations[[#This Row],[GHG Scope]]="BIOGENIC",0,1)</f>
        <v>1.2460626360120053E-3</v>
      </c>
      <c r="O639">
        <f t="shared" si="9"/>
        <v>638</v>
      </c>
      <c r="P639">
        <v>9</v>
      </c>
      <c r="Q639">
        <v>10</v>
      </c>
      <c r="R639">
        <v>7</v>
      </c>
      <c r="S639">
        <v>9</v>
      </c>
      <c r="T639">
        <v>3</v>
      </c>
      <c r="U639">
        <v>5</v>
      </c>
      <c r="V639">
        <v>5</v>
      </c>
      <c r="W639">
        <v>4</v>
      </c>
      <c r="X639">
        <v>4</v>
      </c>
      <c r="Y639">
        <v>2</v>
      </c>
      <c r="Z639">
        <v>9</v>
      </c>
      <c r="AA639">
        <v>9</v>
      </c>
      <c r="AB639">
        <v>10</v>
      </c>
      <c r="AC639">
        <v>0</v>
      </c>
      <c r="AD639">
        <v>9</v>
      </c>
      <c r="AE639">
        <v>0</v>
      </c>
      <c r="AF639">
        <v>8</v>
      </c>
      <c r="AG639">
        <v>3</v>
      </c>
      <c r="AH639">
        <v>10</v>
      </c>
      <c r="AI639">
        <v>2</v>
      </c>
      <c r="AJ639">
        <v>6</v>
      </c>
      <c r="AK639">
        <v>6</v>
      </c>
      <c r="AL639">
        <v>10</v>
      </c>
      <c r="AM639">
        <v>2</v>
      </c>
      <c r="AN639">
        <v>1</v>
      </c>
      <c r="AO639">
        <v>0</v>
      </c>
      <c r="AP639">
        <v>5</v>
      </c>
      <c r="AQ639">
        <v>2</v>
      </c>
      <c r="AR639">
        <v>4</v>
      </c>
      <c r="AS639">
        <v>1</v>
      </c>
      <c r="AT639">
        <v>6</v>
      </c>
      <c r="AU639">
        <v>6</v>
      </c>
      <c r="AV639">
        <v>2</v>
      </c>
      <c r="AW639">
        <v>3</v>
      </c>
      <c r="AX639">
        <v>1</v>
      </c>
      <c r="AY639">
        <v>7</v>
      </c>
      <c r="AZ639">
        <v>7</v>
      </c>
      <c r="BA639">
        <v>8</v>
      </c>
      <c r="BB639">
        <v>3</v>
      </c>
      <c r="BC639">
        <v>6</v>
      </c>
      <c r="BD639">
        <v>7</v>
      </c>
      <c r="BE639">
        <v>9</v>
      </c>
      <c r="BF639">
        <v>9</v>
      </c>
      <c r="BG639">
        <v>5</v>
      </c>
      <c r="BH639">
        <v>1</v>
      </c>
      <c r="BI639">
        <v>10</v>
      </c>
      <c r="BJ639">
        <v>7</v>
      </c>
      <c r="BK639">
        <v>2</v>
      </c>
      <c r="BL639">
        <v>8</v>
      </c>
      <c r="BM639">
        <v>0</v>
      </c>
      <c r="BN639">
        <v>2</v>
      </c>
      <c r="BO639">
        <v>6</v>
      </c>
      <c r="BP639">
        <v>8</v>
      </c>
      <c r="BQ639">
        <v>6</v>
      </c>
      <c r="BR639">
        <v>0</v>
      </c>
      <c r="BS639">
        <v>8</v>
      </c>
      <c r="BT639">
        <v>6</v>
      </c>
      <c r="BU639">
        <v>4</v>
      </c>
      <c r="BV639">
        <v>10</v>
      </c>
      <c r="BW639">
        <v>5</v>
      </c>
      <c r="BX639">
        <v>6</v>
      </c>
      <c r="BY639">
        <v>8</v>
      </c>
      <c r="BZ639">
        <v>4</v>
      </c>
      <c r="CA639">
        <v>1</v>
      </c>
      <c r="CB639">
        <v>0</v>
      </c>
      <c r="CC639">
        <v>3</v>
      </c>
      <c r="CD639">
        <v>0</v>
      </c>
      <c r="CE639">
        <v>5</v>
      </c>
      <c r="CF639">
        <v>4</v>
      </c>
      <c r="CG639">
        <v>1</v>
      </c>
      <c r="CH639">
        <v>5</v>
      </c>
      <c r="CI639">
        <v>1</v>
      </c>
      <c r="CJ639">
        <v>0</v>
      </c>
      <c r="CK639">
        <v>0</v>
      </c>
      <c r="CL639">
        <v>9</v>
      </c>
      <c r="CM639">
        <v>2</v>
      </c>
      <c r="CN639">
        <v>2</v>
      </c>
      <c r="CO639">
        <v>3</v>
      </c>
      <c r="CP639">
        <v>10</v>
      </c>
      <c r="CQ639">
        <v>3</v>
      </c>
      <c r="CR639">
        <v>7</v>
      </c>
      <c r="CS639">
        <v>0</v>
      </c>
      <c r="CT639">
        <v>1</v>
      </c>
      <c r="CU639">
        <v>1</v>
      </c>
      <c r="CV639">
        <v>3</v>
      </c>
      <c r="CW639">
        <v>0</v>
      </c>
      <c r="CX639">
        <v>1</v>
      </c>
      <c r="CY639">
        <v>10</v>
      </c>
      <c r="CZ639">
        <v>1</v>
      </c>
      <c r="DA639">
        <v>4</v>
      </c>
      <c r="DB639">
        <v>10</v>
      </c>
      <c r="DC639">
        <v>4</v>
      </c>
      <c r="DD639">
        <v>5</v>
      </c>
      <c r="DE639">
        <v>0</v>
      </c>
      <c r="DF639">
        <v>2</v>
      </c>
      <c r="DG639">
        <v>0</v>
      </c>
      <c r="DH639">
        <v>6</v>
      </c>
      <c r="DI639">
        <v>6</v>
      </c>
      <c r="DJ639">
        <v>10</v>
      </c>
      <c r="DK639">
        <v>10</v>
      </c>
    </row>
    <row r="640" spans="1:115">
      <c r="A640" s="173">
        <f>Calculations[[#This Row],[Sum t eCO2]]*IF(Calculations[[#This Row],[GHG Scope]]="BIOGENIC",0,1)</f>
        <v>7.8796554362269192E-2</v>
      </c>
      <c r="O640">
        <f t="shared" si="9"/>
        <v>639</v>
      </c>
      <c r="P640">
        <v>7</v>
      </c>
      <c r="Q640">
        <v>1</v>
      </c>
      <c r="R640">
        <v>7</v>
      </c>
      <c r="S640">
        <v>5</v>
      </c>
      <c r="T640">
        <v>4</v>
      </c>
      <c r="U640">
        <v>1</v>
      </c>
      <c r="V640">
        <v>3</v>
      </c>
      <c r="W640">
        <v>0</v>
      </c>
      <c r="X640">
        <v>6</v>
      </c>
      <c r="Y640">
        <v>6</v>
      </c>
      <c r="Z640">
        <v>9</v>
      </c>
      <c r="AA640">
        <v>7</v>
      </c>
      <c r="AB640">
        <v>0</v>
      </c>
      <c r="AC640">
        <v>3</v>
      </c>
      <c r="AD640">
        <v>9</v>
      </c>
      <c r="AE640">
        <v>2</v>
      </c>
      <c r="AF640">
        <v>4</v>
      </c>
      <c r="AG640">
        <v>3</v>
      </c>
      <c r="AH640">
        <v>7</v>
      </c>
      <c r="AI640">
        <v>8</v>
      </c>
      <c r="AJ640">
        <v>4</v>
      </c>
      <c r="AK640">
        <v>0</v>
      </c>
      <c r="AL640">
        <v>5</v>
      </c>
      <c r="AM640">
        <v>2</v>
      </c>
      <c r="AN640">
        <v>8</v>
      </c>
      <c r="AO640">
        <v>10</v>
      </c>
      <c r="AP640">
        <v>1</v>
      </c>
      <c r="AQ640">
        <v>8</v>
      </c>
      <c r="AR640">
        <v>9</v>
      </c>
      <c r="AS640">
        <v>4</v>
      </c>
      <c r="AT640">
        <v>3</v>
      </c>
      <c r="AU640">
        <v>1</v>
      </c>
      <c r="AV640">
        <v>0</v>
      </c>
      <c r="AW640">
        <v>3</v>
      </c>
      <c r="AX640">
        <v>2</v>
      </c>
      <c r="AY640">
        <v>7</v>
      </c>
      <c r="AZ640">
        <v>0</v>
      </c>
      <c r="BA640">
        <v>5</v>
      </c>
      <c r="BB640">
        <v>0</v>
      </c>
      <c r="BC640">
        <v>1</v>
      </c>
      <c r="BD640">
        <v>3</v>
      </c>
      <c r="BE640">
        <v>1</v>
      </c>
      <c r="BF640">
        <v>2</v>
      </c>
      <c r="BG640">
        <v>2</v>
      </c>
      <c r="BH640">
        <v>9</v>
      </c>
      <c r="BI640">
        <v>9</v>
      </c>
      <c r="BJ640">
        <v>5</v>
      </c>
      <c r="BK640">
        <v>0</v>
      </c>
      <c r="BL640">
        <v>4</v>
      </c>
      <c r="BM640">
        <v>3</v>
      </c>
      <c r="BN640">
        <v>8</v>
      </c>
      <c r="BO640">
        <v>10</v>
      </c>
      <c r="BP640">
        <v>2</v>
      </c>
      <c r="BQ640">
        <v>8</v>
      </c>
      <c r="BR640">
        <v>2</v>
      </c>
      <c r="BS640">
        <v>9</v>
      </c>
      <c r="BT640">
        <v>0</v>
      </c>
      <c r="BU640">
        <v>9</v>
      </c>
      <c r="BV640">
        <v>5</v>
      </c>
      <c r="BW640">
        <v>5</v>
      </c>
      <c r="BX640">
        <v>10</v>
      </c>
      <c r="BY640">
        <v>9</v>
      </c>
      <c r="BZ640">
        <v>8</v>
      </c>
      <c r="CA640">
        <v>4</v>
      </c>
      <c r="CB640">
        <v>4</v>
      </c>
      <c r="CC640">
        <v>0</v>
      </c>
      <c r="CD640">
        <v>3</v>
      </c>
      <c r="CE640">
        <v>9</v>
      </c>
      <c r="CF640">
        <v>1</v>
      </c>
      <c r="CG640">
        <v>7</v>
      </c>
      <c r="CH640">
        <v>8</v>
      </c>
      <c r="CI640">
        <v>9</v>
      </c>
      <c r="CJ640">
        <v>0</v>
      </c>
      <c r="CK640">
        <v>4</v>
      </c>
      <c r="CL640">
        <v>4</v>
      </c>
      <c r="CM640">
        <v>0</v>
      </c>
      <c r="CN640">
        <v>5</v>
      </c>
      <c r="CO640">
        <v>8</v>
      </c>
      <c r="CP640">
        <v>8</v>
      </c>
      <c r="CQ640">
        <v>5</v>
      </c>
      <c r="CR640">
        <v>7</v>
      </c>
      <c r="CS640">
        <v>9</v>
      </c>
      <c r="CT640">
        <v>6</v>
      </c>
      <c r="CU640">
        <v>0</v>
      </c>
      <c r="CV640">
        <v>5</v>
      </c>
      <c r="CW640">
        <v>7</v>
      </c>
      <c r="CX640">
        <v>6</v>
      </c>
      <c r="CY640">
        <v>9</v>
      </c>
      <c r="CZ640">
        <v>6</v>
      </c>
      <c r="DA640">
        <v>6</v>
      </c>
      <c r="DB640">
        <v>1</v>
      </c>
      <c r="DC640">
        <v>2</v>
      </c>
      <c r="DD640">
        <v>10</v>
      </c>
      <c r="DE640">
        <v>6</v>
      </c>
      <c r="DF640">
        <v>2</v>
      </c>
      <c r="DG640">
        <v>10</v>
      </c>
      <c r="DH640">
        <v>4</v>
      </c>
      <c r="DI640">
        <v>8</v>
      </c>
      <c r="DJ640">
        <v>10</v>
      </c>
      <c r="DK640">
        <v>5</v>
      </c>
    </row>
    <row r="641" spans="1:115">
      <c r="A641" s="173">
        <f>Calculations[[#This Row],[Sum t eCO2]]*IF(Calculations[[#This Row],[GHG Scope]]="BIOGENIC",0,1)</f>
        <v>1.4697360005158755</v>
      </c>
      <c r="O641">
        <f t="shared" si="9"/>
        <v>640</v>
      </c>
      <c r="P641">
        <v>1</v>
      </c>
      <c r="Q641">
        <v>7</v>
      </c>
      <c r="R641">
        <v>3</v>
      </c>
      <c r="S641">
        <v>5</v>
      </c>
      <c r="T641">
        <v>8</v>
      </c>
      <c r="U641">
        <v>0</v>
      </c>
      <c r="V641">
        <v>7</v>
      </c>
      <c r="W641">
        <v>9</v>
      </c>
      <c r="X641">
        <v>6</v>
      </c>
      <c r="Y641">
        <v>6</v>
      </c>
      <c r="Z641">
        <v>0</v>
      </c>
      <c r="AA641">
        <v>10</v>
      </c>
      <c r="AB641">
        <v>1</v>
      </c>
      <c r="AC641">
        <v>9</v>
      </c>
      <c r="AD641">
        <v>8</v>
      </c>
      <c r="AE641">
        <v>5</v>
      </c>
      <c r="AF641">
        <v>4</v>
      </c>
      <c r="AG641">
        <v>1</v>
      </c>
      <c r="AH641">
        <v>9</v>
      </c>
      <c r="AI641">
        <v>3</v>
      </c>
      <c r="AJ641">
        <v>2</v>
      </c>
      <c r="AK641">
        <v>4</v>
      </c>
      <c r="AL641">
        <v>4</v>
      </c>
      <c r="AM641">
        <v>1</v>
      </c>
      <c r="AN641">
        <v>1</v>
      </c>
      <c r="AO641">
        <v>7</v>
      </c>
      <c r="AP641">
        <v>3</v>
      </c>
      <c r="AQ641">
        <v>10</v>
      </c>
      <c r="AR641">
        <v>10</v>
      </c>
      <c r="AS641">
        <v>1</v>
      </c>
      <c r="AT641">
        <v>1</v>
      </c>
      <c r="AU641">
        <v>2</v>
      </c>
      <c r="AV641">
        <v>5</v>
      </c>
      <c r="AW641">
        <v>10</v>
      </c>
      <c r="AX641">
        <v>6</v>
      </c>
      <c r="AY641">
        <v>7</v>
      </c>
      <c r="AZ641">
        <v>5</v>
      </c>
      <c r="BA641">
        <v>0</v>
      </c>
      <c r="BB641">
        <v>10</v>
      </c>
      <c r="BC641">
        <v>2</v>
      </c>
      <c r="BD641">
        <v>6</v>
      </c>
      <c r="BE641">
        <v>0</v>
      </c>
      <c r="BF641">
        <v>8</v>
      </c>
      <c r="BG641">
        <v>3</v>
      </c>
      <c r="BH641">
        <v>9</v>
      </c>
      <c r="BI641">
        <v>3</v>
      </c>
      <c r="BJ641">
        <v>5</v>
      </c>
      <c r="BK641">
        <v>8</v>
      </c>
      <c r="BL641">
        <v>0</v>
      </c>
      <c r="BM641">
        <v>8</v>
      </c>
      <c r="BN641">
        <v>6</v>
      </c>
      <c r="BO641">
        <v>7</v>
      </c>
      <c r="BP641">
        <v>10</v>
      </c>
      <c r="BQ641">
        <v>6</v>
      </c>
      <c r="BR641">
        <v>0</v>
      </c>
      <c r="BS641">
        <v>1</v>
      </c>
      <c r="BT641">
        <v>9</v>
      </c>
      <c r="BU641">
        <v>3</v>
      </c>
      <c r="BV641">
        <v>0</v>
      </c>
      <c r="BW641">
        <v>7</v>
      </c>
      <c r="BX641">
        <v>9</v>
      </c>
      <c r="BY641">
        <v>8</v>
      </c>
      <c r="BZ641">
        <v>5</v>
      </c>
      <c r="CA641">
        <v>6</v>
      </c>
      <c r="CB641">
        <v>9</v>
      </c>
      <c r="CC641">
        <v>6</v>
      </c>
      <c r="CD641">
        <v>1</v>
      </c>
      <c r="CE641">
        <v>3</v>
      </c>
      <c r="CF641">
        <v>2</v>
      </c>
      <c r="CG641">
        <v>10</v>
      </c>
      <c r="CH641">
        <v>8</v>
      </c>
      <c r="CI641">
        <v>8</v>
      </c>
      <c r="CJ641">
        <v>7</v>
      </c>
      <c r="CK641">
        <v>4</v>
      </c>
      <c r="CL641">
        <v>4</v>
      </c>
      <c r="CM641">
        <v>8</v>
      </c>
      <c r="CN641">
        <v>3</v>
      </c>
      <c r="CO641">
        <v>1</v>
      </c>
      <c r="CP641">
        <v>2</v>
      </c>
      <c r="CQ641">
        <v>1</v>
      </c>
      <c r="CR641">
        <v>4</v>
      </c>
      <c r="CS641">
        <v>5</v>
      </c>
      <c r="CT641">
        <v>4</v>
      </c>
      <c r="CU641">
        <v>6</v>
      </c>
      <c r="CV641">
        <v>8</v>
      </c>
      <c r="CW641">
        <v>4</v>
      </c>
      <c r="CX641">
        <v>4</v>
      </c>
      <c r="CY641">
        <v>1</v>
      </c>
      <c r="CZ641">
        <v>10</v>
      </c>
      <c r="DA641">
        <v>6</v>
      </c>
      <c r="DB641">
        <v>8</v>
      </c>
      <c r="DC641">
        <v>3</v>
      </c>
      <c r="DD641">
        <v>2</v>
      </c>
      <c r="DE641">
        <v>10</v>
      </c>
      <c r="DF641">
        <v>6</v>
      </c>
      <c r="DG641">
        <v>1</v>
      </c>
      <c r="DH641">
        <v>4</v>
      </c>
      <c r="DI641">
        <v>3</v>
      </c>
      <c r="DJ641">
        <v>6</v>
      </c>
      <c r="DK641">
        <v>1</v>
      </c>
    </row>
    <row r="642" spans="1:115">
      <c r="A642" s="173">
        <f>Calculations[[#This Row],[Sum t eCO2]]*IF(Calculations[[#This Row],[GHG Scope]]="BIOGENIC",0,1)</f>
        <v>1.0306026977639888E-3</v>
      </c>
      <c r="O642">
        <f t="shared" si="9"/>
        <v>641</v>
      </c>
      <c r="P642">
        <v>0</v>
      </c>
      <c r="Q642">
        <v>10</v>
      </c>
      <c r="R642">
        <v>3</v>
      </c>
      <c r="S642">
        <v>4</v>
      </c>
      <c r="T642">
        <v>5</v>
      </c>
      <c r="U642">
        <v>9</v>
      </c>
      <c r="V642">
        <v>2</v>
      </c>
      <c r="W642">
        <v>0</v>
      </c>
      <c r="X642">
        <v>0</v>
      </c>
      <c r="Y642">
        <v>0</v>
      </c>
      <c r="Z642">
        <v>5</v>
      </c>
      <c r="AA642">
        <v>5</v>
      </c>
      <c r="AB642">
        <v>9</v>
      </c>
      <c r="AC642">
        <v>8</v>
      </c>
      <c r="AD642">
        <v>2</v>
      </c>
      <c r="AE642">
        <v>8</v>
      </c>
      <c r="AF642">
        <v>9</v>
      </c>
      <c r="AG642">
        <v>7</v>
      </c>
      <c r="AH642">
        <v>5</v>
      </c>
      <c r="AI642">
        <v>8</v>
      </c>
      <c r="AJ642">
        <v>0</v>
      </c>
      <c r="AK642">
        <v>6</v>
      </c>
      <c r="AL642">
        <v>7</v>
      </c>
      <c r="AM642">
        <v>5</v>
      </c>
      <c r="AN642">
        <v>10</v>
      </c>
      <c r="AO642">
        <v>10</v>
      </c>
      <c r="AP642">
        <v>8</v>
      </c>
      <c r="AQ642">
        <v>6</v>
      </c>
      <c r="AR642">
        <v>0</v>
      </c>
      <c r="AS642">
        <v>3</v>
      </c>
      <c r="AT642">
        <v>2</v>
      </c>
      <c r="AU642">
        <v>9</v>
      </c>
      <c r="AV642">
        <v>6</v>
      </c>
      <c r="AW642">
        <v>9</v>
      </c>
      <c r="AX642">
        <v>3</v>
      </c>
      <c r="AY642">
        <v>8</v>
      </c>
      <c r="AZ642">
        <v>3</v>
      </c>
      <c r="BA642">
        <v>7</v>
      </c>
      <c r="BB642">
        <v>0</v>
      </c>
      <c r="BC642">
        <v>1</v>
      </c>
      <c r="BD642">
        <v>8</v>
      </c>
      <c r="BE642">
        <v>6</v>
      </c>
      <c r="BF642">
        <v>7</v>
      </c>
      <c r="BG642">
        <v>5</v>
      </c>
      <c r="BH642">
        <v>8</v>
      </c>
      <c r="BI642">
        <v>8</v>
      </c>
      <c r="BJ642">
        <v>6</v>
      </c>
      <c r="BK642">
        <v>7</v>
      </c>
      <c r="BL642">
        <v>6</v>
      </c>
      <c r="BM642">
        <v>0</v>
      </c>
      <c r="BN642">
        <v>9</v>
      </c>
      <c r="BO642">
        <v>2</v>
      </c>
      <c r="BP642">
        <v>4</v>
      </c>
      <c r="BQ642">
        <v>9</v>
      </c>
      <c r="BR642">
        <v>4</v>
      </c>
      <c r="BS642">
        <v>9</v>
      </c>
      <c r="BT642">
        <v>8</v>
      </c>
      <c r="BU642">
        <v>2</v>
      </c>
      <c r="BV642">
        <v>0</v>
      </c>
      <c r="BW642">
        <v>3</v>
      </c>
      <c r="BX642">
        <v>5</v>
      </c>
      <c r="BY642">
        <v>5</v>
      </c>
      <c r="BZ642">
        <v>6</v>
      </c>
      <c r="CA642">
        <v>10</v>
      </c>
      <c r="CB642">
        <v>2</v>
      </c>
      <c r="CC642">
        <v>5</v>
      </c>
      <c r="CD642">
        <v>9</v>
      </c>
      <c r="CE642">
        <v>10</v>
      </c>
      <c r="CF642">
        <v>9</v>
      </c>
      <c r="CG642">
        <v>0</v>
      </c>
      <c r="CH642">
        <v>4</v>
      </c>
      <c r="CI642">
        <v>6</v>
      </c>
      <c r="CJ642">
        <v>10</v>
      </c>
      <c r="CK642">
        <v>10</v>
      </c>
      <c r="CL642">
        <v>1</v>
      </c>
      <c r="CM642">
        <v>9</v>
      </c>
      <c r="CN642">
        <v>7</v>
      </c>
      <c r="CO642">
        <v>10</v>
      </c>
      <c r="CP642">
        <v>10</v>
      </c>
      <c r="CQ642">
        <v>4</v>
      </c>
      <c r="CR642">
        <v>1</v>
      </c>
      <c r="CS642">
        <v>3</v>
      </c>
      <c r="CT642">
        <v>3</v>
      </c>
      <c r="CU642">
        <v>7</v>
      </c>
      <c r="CV642">
        <v>7</v>
      </c>
      <c r="CW642">
        <v>9</v>
      </c>
      <c r="CX642">
        <v>0</v>
      </c>
      <c r="CY642">
        <v>5</v>
      </c>
      <c r="CZ642">
        <v>10</v>
      </c>
      <c r="DA642">
        <v>2</v>
      </c>
      <c r="DB642">
        <v>8</v>
      </c>
      <c r="DC642">
        <v>3</v>
      </c>
      <c r="DD642">
        <v>7</v>
      </c>
      <c r="DE642">
        <v>2</v>
      </c>
      <c r="DF642">
        <v>5</v>
      </c>
      <c r="DG642">
        <v>9</v>
      </c>
      <c r="DH642">
        <v>7</v>
      </c>
      <c r="DI642">
        <v>2</v>
      </c>
      <c r="DJ642">
        <v>0</v>
      </c>
      <c r="DK642">
        <v>10</v>
      </c>
    </row>
    <row r="643" spans="1:115">
      <c r="A643" s="173">
        <f>Calculations[[#This Row],[Sum t eCO2]]*IF(Calculations[[#This Row],[GHG Scope]]="BIOGENIC",0,1)</f>
        <v>4.0162013539770504E-3</v>
      </c>
      <c r="O643">
        <f t="shared" si="9"/>
        <v>642</v>
      </c>
      <c r="P643">
        <v>4</v>
      </c>
      <c r="Q643">
        <v>1</v>
      </c>
      <c r="R643">
        <v>10</v>
      </c>
      <c r="S643">
        <v>7</v>
      </c>
      <c r="T643">
        <v>9</v>
      </c>
      <c r="U643">
        <v>5</v>
      </c>
      <c r="V643">
        <v>2</v>
      </c>
      <c r="W643">
        <v>6</v>
      </c>
      <c r="X643">
        <v>9</v>
      </c>
      <c r="Y643">
        <v>10</v>
      </c>
      <c r="Z643">
        <v>10</v>
      </c>
      <c r="AA643">
        <v>8</v>
      </c>
      <c r="AB643">
        <v>9</v>
      </c>
      <c r="AC643">
        <v>0</v>
      </c>
      <c r="AD643">
        <v>6</v>
      </c>
      <c r="AE643">
        <v>10</v>
      </c>
      <c r="AF643">
        <v>8</v>
      </c>
      <c r="AG643">
        <v>3</v>
      </c>
      <c r="AH643">
        <v>0</v>
      </c>
      <c r="AI643">
        <v>8</v>
      </c>
      <c r="AJ643">
        <v>3</v>
      </c>
      <c r="AK643">
        <v>2</v>
      </c>
      <c r="AL643">
        <v>0</v>
      </c>
      <c r="AM643">
        <v>1</v>
      </c>
      <c r="AN643">
        <v>9</v>
      </c>
      <c r="AO643">
        <v>4</v>
      </c>
      <c r="AP643">
        <v>1</v>
      </c>
      <c r="AQ643">
        <v>2</v>
      </c>
      <c r="AR643">
        <v>5</v>
      </c>
      <c r="AS643">
        <v>10</v>
      </c>
      <c r="AT643">
        <v>7</v>
      </c>
      <c r="AU643">
        <v>7</v>
      </c>
      <c r="AV643">
        <v>1</v>
      </c>
      <c r="AW643">
        <v>5</v>
      </c>
      <c r="AX643">
        <v>6</v>
      </c>
      <c r="AY643">
        <v>0</v>
      </c>
      <c r="AZ643">
        <v>5</v>
      </c>
      <c r="BA643">
        <v>3</v>
      </c>
      <c r="BB643">
        <v>1</v>
      </c>
      <c r="BC643">
        <v>0</v>
      </c>
      <c r="BD643">
        <v>6</v>
      </c>
      <c r="BE643">
        <v>8</v>
      </c>
      <c r="BF643">
        <v>4</v>
      </c>
      <c r="BG643">
        <v>10</v>
      </c>
      <c r="BH643">
        <v>0</v>
      </c>
      <c r="BI643">
        <v>6</v>
      </c>
      <c r="BJ643">
        <v>9</v>
      </c>
      <c r="BK643">
        <v>0</v>
      </c>
      <c r="BL643">
        <v>1</v>
      </c>
      <c r="BM643">
        <v>9</v>
      </c>
      <c r="BN643">
        <v>8</v>
      </c>
      <c r="BO643">
        <v>10</v>
      </c>
      <c r="BP643">
        <v>8</v>
      </c>
      <c r="BQ643">
        <v>7</v>
      </c>
      <c r="BR643">
        <v>10</v>
      </c>
      <c r="BS643">
        <v>9</v>
      </c>
      <c r="BT643">
        <v>3</v>
      </c>
      <c r="BU643">
        <v>9</v>
      </c>
      <c r="BV643">
        <v>1</v>
      </c>
      <c r="BW643">
        <v>7</v>
      </c>
      <c r="BX643">
        <v>3</v>
      </c>
      <c r="BY643">
        <v>1</v>
      </c>
      <c r="BZ643">
        <v>1</v>
      </c>
      <c r="CA643">
        <v>3</v>
      </c>
      <c r="CB643">
        <v>6</v>
      </c>
      <c r="CC643">
        <v>0</v>
      </c>
      <c r="CD643">
        <v>8</v>
      </c>
      <c r="CE643">
        <v>2</v>
      </c>
      <c r="CF643">
        <v>4</v>
      </c>
      <c r="CG643">
        <v>9</v>
      </c>
      <c r="CH643">
        <v>8</v>
      </c>
      <c r="CI643">
        <v>7</v>
      </c>
      <c r="CJ643">
        <v>0</v>
      </c>
      <c r="CK643">
        <v>7</v>
      </c>
      <c r="CL643">
        <v>3</v>
      </c>
      <c r="CM643">
        <v>6</v>
      </c>
      <c r="CN643">
        <v>4</v>
      </c>
      <c r="CO643">
        <v>10</v>
      </c>
      <c r="CP643">
        <v>6</v>
      </c>
      <c r="CQ643">
        <v>3</v>
      </c>
      <c r="CR643">
        <v>3</v>
      </c>
      <c r="CS643">
        <v>8</v>
      </c>
      <c r="CT643">
        <v>2</v>
      </c>
      <c r="CU643">
        <v>9</v>
      </c>
      <c r="CV643">
        <v>9</v>
      </c>
      <c r="CW643">
        <v>0</v>
      </c>
      <c r="CX643">
        <v>1</v>
      </c>
      <c r="CY643">
        <v>5</v>
      </c>
      <c r="CZ643">
        <v>10</v>
      </c>
      <c r="DA643">
        <v>4</v>
      </c>
      <c r="DB643">
        <v>8</v>
      </c>
      <c r="DC643">
        <v>0</v>
      </c>
      <c r="DD643">
        <v>3</v>
      </c>
      <c r="DE643">
        <v>6</v>
      </c>
      <c r="DF643">
        <v>5</v>
      </c>
      <c r="DG643">
        <v>0</v>
      </c>
      <c r="DH643">
        <v>7</v>
      </c>
      <c r="DI643">
        <v>10</v>
      </c>
      <c r="DJ643">
        <v>10</v>
      </c>
      <c r="DK643">
        <v>7</v>
      </c>
    </row>
    <row r="644" spans="1:115">
      <c r="A644" s="173">
        <f>Calculations[[#This Row],[Sum t eCO2]]*IF(Calculations[[#This Row],[GHG Scope]]="BIOGENIC",0,1)</f>
        <v>0.25397024128040929</v>
      </c>
      <c r="O644">
        <f t="shared" ref="O644:O657" si="10">O643+1</f>
        <v>643</v>
      </c>
      <c r="P644">
        <v>5</v>
      </c>
      <c r="Q644">
        <v>4</v>
      </c>
      <c r="R644">
        <v>3</v>
      </c>
      <c r="S644">
        <v>7</v>
      </c>
      <c r="T644">
        <v>3</v>
      </c>
      <c r="U644">
        <v>1</v>
      </c>
      <c r="V644">
        <v>7</v>
      </c>
      <c r="W644">
        <v>9</v>
      </c>
      <c r="X644">
        <v>4</v>
      </c>
      <c r="Y644">
        <v>4</v>
      </c>
      <c r="Z644">
        <v>7</v>
      </c>
      <c r="AA644">
        <v>1</v>
      </c>
      <c r="AB644">
        <v>10</v>
      </c>
      <c r="AC644">
        <v>10</v>
      </c>
      <c r="AD644">
        <v>9</v>
      </c>
      <c r="AE644">
        <v>9</v>
      </c>
      <c r="AF644">
        <v>3</v>
      </c>
      <c r="AG644">
        <v>5</v>
      </c>
      <c r="AH644">
        <v>1</v>
      </c>
      <c r="AI644">
        <v>1</v>
      </c>
      <c r="AJ644">
        <v>4</v>
      </c>
      <c r="AK644">
        <v>2</v>
      </c>
      <c r="AL644">
        <v>5</v>
      </c>
      <c r="AM644">
        <v>9</v>
      </c>
      <c r="AN644">
        <v>6</v>
      </c>
      <c r="AO644">
        <v>3</v>
      </c>
      <c r="AP644">
        <v>6</v>
      </c>
      <c r="AQ644">
        <v>4</v>
      </c>
      <c r="AR644">
        <v>7</v>
      </c>
      <c r="AS644">
        <v>1</v>
      </c>
      <c r="AT644">
        <v>5</v>
      </c>
      <c r="AU644">
        <v>1</v>
      </c>
      <c r="AV644">
        <v>0</v>
      </c>
      <c r="AW644">
        <v>9</v>
      </c>
      <c r="AX644">
        <v>7</v>
      </c>
      <c r="AY644">
        <v>1</v>
      </c>
      <c r="AZ644">
        <v>4</v>
      </c>
      <c r="BA644">
        <v>5</v>
      </c>
      <c r="BB644">
        <v>3</v>
      </c>
      <c r="BC644">
        <v>6</v>
      </c>
      <c r="BD644">
        <v>10</v>
      </c>
      <c r="BE644">
        <v>0</v>
      </c>
      <c r="BF644">
        <v>3</v>
      </c>
      <c r="BG644">
        <v>1</v>
      </c>
      <c r="BH644">
        <v>8</v>
      </c>
      <c r="BI644">
        <v>5</v>
      </c>
      <c r="BJ644">
        <v>9</v>
      </c>
      <c r="BK644">
        <v>3</v>
      </c>
      <c r="BL644">
        <v>5</v>
      </c>
      <c r="BM644">
        <v>2</v>
      </c>
      <c r="BN644">
        <v>1</v>
      </c>
      <c r="BO644">
        <v>4</v>
      </c>
      <c r="BP644">
        <v>3</v>
      </c>
      <c r="BQ644">
        <v>0</v>
      </c>
      <c r="BR644">
        <v>3</v>
      </c>
      <c r="BS644">
        <v>9</v>
      </c>
      <c r="BT644">
        <v>7</v>
      </c>
      <c r="BU644">
        <v>0</v>
      </c>
      <c r="BV644">
        <v>6</v>
      </c>
      <c r="BW644">
        <v>2</v>
      </c>
      <c r="BX644">
        <v>1</v>
      </c>
      <c r="BY644">
        <v>6</v>
      </c>
      <c r="BZ644">
        <v>1</v>
      </c>
      <c r="CA644">
        <v>3</v>
      </c>
      <c r="CB644">
        <v>10</v>
      </c>
      <c r="CC644">
        <v>3</v>
      </c>
      <c r="CD644">
        <v>3</v>
      </c>
      <c r="CE644">
        <v>9</v>
      </c>
      <c r="CF644">
        <v>9</v>
      </c>
      <c r="CG644">
        <v>5</v>
      </c>
      <c r="CH644">
        <v>10</v>
      </c>
      <c r="CI644">
        <v>9</v>
      </c>
      <c r="CJ644">
        <v>3</v>
      </c>
      <c r="CK644">
        <v>9</v>
      </c>
      <c r="CL644">
        <v>10</v>
      </c>
      <c r="CM644">
        <v>10</v>
      </c>
      <c r="CN644">
        <v>4</v>
      </c>
      <c r="CO644">
        <v>0</v>
      </c>
      <c r="CP644">
        <v>0</v>
      </c>
      <c r="CQ644">
        <v>1</v>
      </c>
      <c r="CR644">
        <v>0</v>
      </c>
      <c r="CS644">
        <v>2</v>
      </c>
      <c r="CT644">
        <v>7</v>
      </c>
      <c r="CU644">
        <v>3</v>
      </c>
      <c r="CV644">
        <v>9</v>
      </c>
      <c r="CW644">
        <v>9</v>
      </c>
      <c r="CX644">
        <v>9</v>
      </c>
      <c r="CY644">
        <v>2</v>
      </c>
      <c r="CZ644">
        <v>2</v>
      </c>
      <c r="DA644">
        <v>3</v>
      </c>
      <c r="DB644">
        <v>10</v>
      </c>
      <c r="DC644">
        <v>9</v>
      </c>
      <c r="DD644">
        <v>4</v>
      </c>
      <c r="DE644">
        <v>2</v>
      </c>
      <c r="DF644">
        <v>6</v>
      </c>
      <c r="DG644">
        <v>4</v>
      </c>
      <c r="DH644">
        <v>8</v>
      </c>
      <c r="DI644">
        <v>10</v>
      </c>
      <c r="DJ644">
        <v>7</v>
      </c>
      <c r="DK644">
        <v>4</v>
      </c>
    </row>
    <row r="645" spans="1:115">
      <c r="A645" s="173">
        <f>Calculations[[#This Row],[Sum t eCO2]]*IF(Calculations[[#This Row],[GHG Scope]]="BIOGENIC",0,1)</f>
        <v>0.91424526521685545</v>
      </c>
      <c r="O645">
        <f t="shared" si="10"/>
        <v>644</v>
      </c>
      <c r="P645">
        <v>9</v>
      </c>
      <c r="Q645">
        <v>7</v>
      </c>
      <c r="R645">
        <v>10</v>
      </c>
      <c r="S645">
        <v>7</v>
      </c>
      <c r="T645">
        <v>9</v>
      </c>
      <c r="U645">
        <v>0</v>
      </c>
      <c r="V645">
        <v>6</v>
      </c>
      <c r="W645">
        <v>7</v>
      </c>
      <c r="X645">
        <v>6</v>
      </c>
      <c r="Y645">
        <v>0</v>
      </c>
      <c r="Z645">
        <v>7</v>
      </c>
      <c r="AA645">
        <v>6</v>
      </c>
      <c r="AB645">
        <v>1</v>
      </c>
      <c r="AC645">
        <v>7</v>
      </c>
      <c r="AD645">
        <v>6</v>
      </c>
      <c r="AE645">
        <v>2</v>
      </c>
      <c r="AF645">
        <v>5</v>
      </c>
      <c r="AG645">
        <v>7</v>
      </c>
      <c r="AH645">
        <v>1</v>
      </c>
      <c r="AI645">
        <v>1</v>
      </c>
      <c r="AJ645">
        <v>6</v>
      </c>
      <c r="AK645">
        <v>4</v>
      </c>
      <c r="AL645">
        <v>9</v>
      </c>
      <c r="AM645">
        <v>4</v>
      </c>
      <c r="AN645">
        <v>4</v>
      </c>
      <c r="AO645">
        <v>8</v>
      </c>
      <c r="AP645">
        <v>7</v>
      </c>
      <c r="AQ645">
        <v>1</v>
      </c>
      <c r="AR645">
        <v>4</v>
      </c>
      <c r="AS645">
        <v>10</v>
      </c>
      <c r="AT645">
        <v>10</v>
      </c>
      <c r="AU645">
        <v>0</v>
      </c>
      <c r="AV645">
        <v>0</v>
      </c>
      <c r="AW645">
        <v>4</v>
      </c>
      <c r="AX645">
        <v>7</v>
      </c>
      <c r="AY645">
        <v>1</v>
      </c>
      <c r="AZ645">
        <v>7</v>
      </c>
      <c r="BA645">
        <v>8</v>
      </c>
      <c r="BB645">
        <v>8</v>
      </c>
      <c r="BC645">
        <v>7</v>
      </c>
      <c r="BD645">
        <v>5</v>
      </c>
      <c r="BE645">
        <v>10</v>
      </c>
      <c r="BF645">
        <v>9</v>
      </c>
      <c r="BG645">
        <v>0</v>
      </c>
      <c r="BH645">
        <v>6</v>
      </c>
      <c r="BI645">
        <v>8</v>
      </c>
      <c r="BJ645">
        <v>5</v>
      </c>
      <c r="BK645">
        <v>7</v>
      </c>
      <c r="BL645">
        <v>9</v>
      </c>
      <c r="BM645">
        <v>7</v>
      </c>
      <c r="BN645">
        <v>5</v>
      </c>
      <c r="BO645">
        <v>5</v>
      </c>
      <c r="BP645">
        <v>7</v>
      </c>
      <c r="BQ645">
        <v>5</v>
      </c>
      <c r="BR645">
        <v>8</v>
      </c>
      <c r="BS645">
        <v>10</v>
      </c>
      <c r="BT645">
        <v>1</v>
      </c>
      <c r="BU645">
        <v>3</v>
      </c>
      <c r="BV645">
        <v>5</v>
      </c>
      <c r="BW645">
        <v>7</v>
      </c>
      <c r="BX645">
        <v>8</v>
      </c>
      <c r="BY645">
        <v>4</v>
      </c>
      <c r="BZ645">
        <v>0</v>
      </c>
      <c r="CA645">
        <v>1</v>
      </c>
      <c r="CB645">
        <v>1</v>
      </c>
      <c r="CC645">
        <v>9</v>
      </c>
      <c r="CD645">
        <v>0</v>
      </c>
      <c r="CE645">
        <v>3</v>
      </c>
      <c r="CF645">
        <v>5</v>
      </c>
      <c r="CG645">
        <v>2</v>
      </c>
      <c r="CH645">
        <v>2</v>
      </c>
      <c r="CI645">
        <v>3</v>
      </c>
      <c r="CJ645">
        <v>10</v>
      </c>
      <c r="CK645">
        <v>5</v>
      </c>
      <c r="CL645">
        <v>3</v>
      </c>
      <c r="CM645">
        <v>1</v>
      </c>
      <c r="CN645">
        <v>6</v>
      </c>
      <c r="CO645">
        <v>3</v>
      </c>
      <c r="CP645">
        <v>6</v>
      </c>
      <c r="CQ645">
        <v>0</v>
      </c>
      <c r="CR645">
        <v>1</v>
      </c>
      <c r="CS645">
        <v>0</v>
      </c>
      <c r="CT645">
        <v>7</v>
      </c>
      <c r="CU645">
        <v>3</v>
      </c>
      <c r="CV645">
        <v>9</v>
      </c>
      <c r="CW645">
        <v>2</v>
      </c>
      <c r="CX645">
        <v>3</v>
      </c>
      <c r="CY645">
        <v>6</v>
      </c>
      <c r="CZ645">
        <v>7</v>
      </c>
      <c r="DA645">
        <v>8</v>
      </c>
      <c r="DB645">
        <v>9</v>
      </c>
      <c r="DC645">
        <v>4</v>
      </c>
      <c r="DD645">
        <v>3</v>
      </c>
      <c r="DE645">
        <v>1</v>
      </c>
      <c r="DF645">
        <v>1</v>
      </c>
      <c r="DG645">
        <v>10</v>
      </c>
      <c r="DH645">
        <v>1</v>
      </c>
      <c r="DI645">
        <v>2</v>
      </c>
      <c r="DJ645">
        <v>2</v>
      </c>
      <c r="DK645">
        <v>7</v>
      </c>
    </row>
    <row r="646" spans="1:115">
      <c r="A646" s="173">
        <f>Calculations[[#This Row],[Sum t eCO2]]*IF(Calculations[[#This Row],[GHG Scope]]="BIOGENIC",0,1)</f>
        <v>0.1632195566488413</v>
      </c>
      <c r="O646">
        <f t="shared" si="10"/>
        <v>645</v>
      </c>
      <c r="P646">
        <v>6</v>
      </c>
      <c r="Q646">
        <v>3</v>
      </c>
      <c r="R646">
        <v>2</v>
      </c>
      <c r="S646">
        <v>10</v>
      </c>
      <c r="T646">
        <v>2</v>
      </c>
      <c r="U646">
        <v>6</v>
      </c>
      <c r="V646">
        <v>4</v>
      </c>
      <c r="W646">
        <v>4</v>
      </c>
      <c r="X646">
        <v>9</v>
      </c>
      <c r="Y646">
        <v>5</v>
      </c>
      <c r="Z646">
        <v>2</v>
      </c>
      <c r="AA646">
        <v>9</v>
      </c>
      <c r="AB646">
        <v>9</v>
      </c>
      <c r="AC646">
        <v>1</v>
      </c>
      <c r="AD646">
        <v>9</v>
      </c>
      <c r="AE646">
        <v>3</v>
      </c>
      <c r="AF646">
        <v>2</v>
      </c>
      <c r="AG646">
        <v>10</v>
      </c>
      <c r="AH646">
        <v>8</v>
      </c>
      <c r="AI646">
        <v>7</v>
      </c>
      <c r="AJ646">
        <v>10</v>
      </c>
      <c r="AK646">
        <v>6</v>
      </c>
      <c r="AL646">
        <v>8</v>
      </c>
      <c r="AM646">
        <v>4</v>
      </c>
      <c r="AN646">
        <v>9</v>
      </c>
      <c r="AO646">
        <v>3</v>
      </c>
      <c r="AP646">
        <v>3</v>
      </c>
      <c r="AQ646">
        <v>4</v>
      </c>
      <c r="AR646">
        <v>8</v>
      </c>
      <c r="AS646">
        <v>6</v>
      </c>
      <c r="AT646">
        <v>8</v>
      </c>
      <c r="AU646">
        <v>2</v>
      </c>
      <c r="AV646">
        <v>8</v>
      </c>
      <c r="AW646">
        <v>4</v>
      </c>
      <c r="AX646">
        <v>5</v>
      </c>
      <c r="AY646">
        <v>8</v>
      </c>
      <c r="AZ646">
        <v>2</v>
      </c>
      <c r="BA646">
        <v>6</v>
      </c>
      <c r="BB646">
        <v>0</v>
      </c>
      <c r="BC646">
        <v>5</v>
      </c>
      <c r="BD646">
        <v>5</v>
      </c>
      <c r="BE646">
        <v>7</v>
      </c>
      <c r="BF646">
        <v>4</v>
      </c>
      <c r="BG646">
        <v>5</v>
      </c>
      <c r="BH646">
        <v>5</v>
      </c>
      <c r="BI646">
        <v>3</v>
      </c>
      <c r="BJ646">
        <v>4</v>
      </c>
      <c r="BK646">
        <v>4</v>
      </c>
      <c r="BL646">
        <v>8</v>
      </c>
      <c r="BM646">
        <v>4</v>
      </c>
      <c r="BN646">
        <v>3</v>
      </c>
      <c r="BO646">
        <v>3</v>
      </c>
      <c r="BP646">
        <v>9</v>
      </c>
      <c r="BQ646">
        <v>0</v>
      </c>
      <c r="BR646">
        <v>4</v>
      </c>
      <c r="BS646">
        <v>10</v>
      </c>
      <c r="BT646">
        <v>7</v>
      </c>
      <c r="BU646">
        <v>9</v>
      </c>
      <c r="BV646">
        <v>10</v>
      </c>
      <c r="BW646">
        <v>6</v>
      </c>
      <c r="BX646">
        <v>9</v>
      </c>
      <c r="BY646">
        <v>2</v>
      </c>
      <c r="BZ646">
        <v>6</v>
      </c>
      <c r="CA646">
        <v>0</v>
      </c>
      <c r="CB646">
        <v>2</v>
      </c>
      <c r="CC646">
        <v>8</v>
      </c>
      <c r="CD646">
        <v>2</v>
      </c>
      <c r="CE646">
        <v>1</v>
      </c>
      <c r="CF646">
        <v>7</v>
      </c>
      <c r="CG646">
        <v>6</v>
      </c>
      <c r="CH646">
        <v>7</v>
      </c>
      <c r="CI646">
        <v>1</v>
      </c>
      <c r="CJ646">
        <v>6</v>
      </c>
      <c r="CK646">
        <v>8</v>
      </c>
      <c r="CL646">
        <v>3</v>
      </c>
      <c r="CM646">
        <v>5</v>
      </c>
      <c r="CN646">
        <v>9</v>
      </c>
      <c r="CO646">
        <v>8</v>
      </c>
      <c r="CP646">
        <v>2</v>
      </c>
      <c r="CQ646">
        <v>4</v>
      </c>
      <c r="CR646">
        <v>7</v>
      </c>
      <c r="CS646">
        <v>3</v>
      </c>
      <c r="CT646">
        <v>4</v>
      </c>
      <c r="CU646">
        <v>1</v>
      </c>
      <c r="CV646">
        <v>3</v>
      </c>
      <c r="CW646">
        <v>10</v>
      </c>
      <c r="CX646">
        <v>4</v>
      </c>
      <c r="CY646">
        <v>2</v>
      </c>
      <c r="CZ646">
        <v>3</v>
      </c>
      <c r="DA646">
        <v>0</v>
      </c>
      <c r="DB646">
        <v>0</v>
      </c>
      <c r="DC646">
        <v>6</v>
      </c>
      <c r="DD646">
        <v>5</v>
      </c>
      <c r="DE646">
        <v>4</v>
      </c>
      <c r="DF646">
        <v>6</v>
      </c>
      <c r="DG646">
        <v>2</v>
      </c>
      <c r="DH646">
        <v>4</v>
      </c>
      <c r="DI646">
        <v>2</v>
      </c>
      <c r="DJ646">
        <v>7</v>
      </c>
      <c r="DK646">
        <v>5</v>
      </c>
    </row>
    <row r="647" spans="1:115">
      <c r="A647" s="173">
        <f>Calculations[[#This Row],[Sum t eCO2]]*IF(Calculations[[#This Row],[GHG Scope]]="BIOGENIC",0,1)</f>
        <v>4.0387283312179312</v>
      </c>
      <c r="O647">
        <f t="shared" si="10"/>
        <v>646</v>
      </c>
      <c r="P647">
        <v>7</v>
      </c>
      <c r="Q647">
        <v>6</v>
      </c>
      <c r="R647">
        <v>8</v>
      </c>
      <c r="S647">
        <v>0</v>
      </c>
      <c r="T647">
        <v>10</v>
      </c>
      <c r="U647">
        <v>10</v>
      </c>
      <c r="V647">
        <v>0</v>
      </c>
      <c r="W647">
        <v>9</v>
      </c>
      <c r="X647">
        <v>3</v>
      </c>
      <c r="Y647">
        <v>1</v>
      </c>
      <c r="Z647">
        <v>7</v>
      </c>
      <c r="AA647">
        <v>9</v>
      </c>
      <c r="AB647">
        <v>2</v>
      </c>
      <c r="AC647">
        <v>7</v>
      </c>
      <c r="AD647">
        <v>2</v>
      </c>
      <c r="AE647">
        <v>1</v>
      </c>
      <c r="AF647">
        <v>4</v>
      </c>
      <c r="AG647">
        <v>10</v>
      </c>
      <c r="AH647">
        <v>6</v>
      </c>
      <c r="AI647">
        <v>8</v>
      </c>
      <c r="AJ647">
        <v>8</v>
      </c>
      <c r="AK647">
        <v>10</v>
      </c>
      <c r="AL647">
        <v>8</v>
      </c>
      <c r="AM647">
        <v>7</v>
      </c>
      <c r="AN647">
        <v>3</v>
      </c>
      <c r="AO647">
        <v>10</v>
      </c>
      <c r="AP647">
        <v>10</v>
      </c>
      <c r="AQ647">
        <v>1</v>
      </c>
      <c r="AR647">
        <v>8</v>
      </c>
      <c r="AS647">
        <v>9</v>
      </c>
      <c r="AT647">
        <v>4</v>
      </c>
      <c r="AU647">
        <v>4</v>
      </c>
      <c r="AV647">
        <v>10</v>
      </c>
      <c r="AW647">
        <v>0</v>
      </c>
      <c r="AX647">
        <v>8</v>
      </c>
      <c r="AY647">
        <v>0</v>
      </c>
      <c r="AZ647">
        <v>5</v>
      </c>
      <c r="BA647">
        <v>2</v>
      </c>
      <c r="BB647">
        <v>8</v>
      </c>
      <c r="BC647">
        <v>4</v>
      </c>
      <c r="BD647">
        <v>10</v>
      </c>
      <c r="BE647">
        <v>1</v>
      </c>
      <c r="BF647">
        <v>6</v>
      </c>
      <c r="BG647">
        <v>0</v>
      </c>
      <c r="BH647">
        <v>7</v>
      </c>
      <c r="BI647">
        <v>3</v>
      </c>
      <c r="BJ647">
        <v>10</v>
      </c>
      <c r="BK647">
        <v>4</v>
      </c>
      <c r="BL647">
        <v>3</v>
      </c>
      <c r="BM647">
        <v>7</v>
      </c>
      <c r="BN647">
        <v>4</v>
      </c>
      <c r="BO647">
        <v>5</v>
      </c>
      <c r="BP647">
        <v>4</v>
      </c>
      <c r="BQ647">
        <v>9</v>
      </c>
      <c r="BR647">
        <v>9</v>
      </c>
      <c r="BS647">
        <v>5</v>
      </c>
      <c r="BT647">
        <v>0</v>
      </c>
      <c r="BU647">
        <v>10</v>
      </c>
      <c r="BV647">
        <v>5</v>
      </c>
      <c r="BW647">
        <v>3</v>
      </c>
      <c r="BX647">
        <v>2</v>
      </c>
      <c r="BY647">
        <v>8</v>
      </c>
      <c r="BZ647">
        <v>8</v>
      </c>
      <c r="CA647">
        <v>7</v>
      </c>
      <c r="CB647">
        <v>2</v>
      </c>
      <c r="CC647">
        <v>5</v>
      </c>
      <c r="CD647">
        <v>6</v>
      </c>
      <c r="CE647">
        <v>6</v>
      </c>
      <c r="CF647">
        <v>10</v>
      </c>
      <c r="CG647">
        <v>5</v>
      </c>
      <c r="CH647">
        <v>3</v>
      </c>
      <c r="CI647">
        <v>5</v>
      </c>
      <c r="CJ647">
        <v>6</v>
      </c>
      <c r="CK647">
        <v>6</v>
      </c>
      <c r="CL647">
        <v>4</v>
      </c>
      <c r="CM647">
        <v>4</v>
      </c>
      <c r="CN647">
        <v>0</v>
      </c>
      <c r="CO647">
        <v>5</v>
      </c>
      <c r="CP647">
        <v>5</v>
      </c>
      <c r="CQ647">
        <v>9</v>
      </c>
      <c r="CR647">
        <v>7</v>
      </c>
      <c r="CS647">
        <v>7</v>
      </c>
      <c r="CT647">
        <v>9</v>
      </c>
      <c r="CU647">
        <v>7</v>
      </c>
      <c r="CV647">
        <v>4</v>
      </c>
      <c r="CW647">
        <v>8</v>
      </c>
      <c r="CX647">
        <v>10</v>
      </c>
      <c r="CY647">
        <v>5</v>
      </c>
      <c r="CZ647">
        <v>1</v>
      </c>
      <c r="DA647">
        <v>7</v>
      </c>
      <c r="DB647">
        <v>2</v>
      </c>
      <c r="DC647">
        <v>0</v>
      </c>
      <c r="DD647">
        <v>3</v>
      </c>
      <c r="DE647">
        <v>9</v>
      </c>
      <c r="DF647">
        <v>7</v>
      </c>
      <c r="DG647">
        <v>7</v>
      </c>
      <c r="DH647">
        <v>9</v>
      </c>
      <c r="DI647">
        <v>3</v>
      </c>
      <c r="DJ647">
        <v>2</v>
      </c>
      <c r="DK647">
        <v>4</v>
      </c>
    </row>
    <row r="648" spans="1:115">
      <c r="A648" s="173">
        <f>Calculations[[#This Row],[Sum t eCO2]]*IF(Calculations[[#This Row],[GHG Scope]]="BIOGENIC",0,1)</f>
        <v>2.8320217455570815E-3</v>
      </c>
      <c r="O648">
        <f t="shared" si="10"/>
        <v>647</v>
      </c>
      <c r="P648">
        <v>7</v>
      </c>
      <c r="Q648">
        <v>5</v>
      </c>
      <c r="R648">
        <v>2</v>
      </c>
      <c r="S648">
        <v>5</v>
      </c>
      <c r="T648">
        <v>3</v>
      </c>
      <c r="U648">
        <v>4</v>
      </c>
      <c r="V648">
        <v>3</v>
      </c>
      <c r="W648">
        <v>4</v>
      </c>
      <c r="X648">
        <v>9</v>
      </c>
      <c r="Y648">
        <v>4</v>
      </c>
      <c r="Z648">
        <v>7</v>
      </c>
      <c r="AA648">
        <v>9</v>
      </c>
      <c r="AB648">
        <v>1</v>
      </c>
      <c r="AC648">
        <v>3</v>
      </c>
      <c r="AD648">
        <v>10</v>
      </c>
      <c r="AE648">
        <v>0</v>
      </c>
      <c r="AF648">
        <v>2</v>
      </c>
      <c r="AG648">
        <v>6</v>
      </c>
      <c r="AH648">
        <v>0</v>
      </c>
      <c r="AI648">
        <v>8</v>
      </c>
      <c r="AJ648">
        <v>3</v>
      </c>
      <c r="AK648">
        <v>8</v>
      </c>
      <c r="AL648">
        <v>8</v>
      </c>
      <c r="AM648">
        <v>8</v>
      </c>
      <c r="AN648">
        <v>6</v>
      </c>
      <c r="AO648">
        <v>5</v>
      </c>
      <c r="AP648">
        <v>0</v>
      </c>
      <c r="AQ648">
        <v>7</v>
      </c>
      <c r="AR648">
        <v>7</v>
      </c>
      <c r="AS648">
        <v>1</v>
      </c>
      <c r="AT648">
        <v>8</v>
      </c>
      <c r="AU648">
        <v>4</v>
      </c>
      <c r="AV648">
        <v>0</v>
      </c>
      <c r="AW648">
        <v>2</v>
      </c>
      <c r="AX648">
        <v>3</v>
      </c>
      <c r="AY648">
        <v>1</v>
      </c>
      <c r="AZ648">
        <v>6</v>
      </c>
      <c r="BA648">
        <v>6</v>
      </c>
      <c r="BB648">
        <v>6</v>
      </c>
      <c r="BC648">
        <v>8</v>
      </c>
      <c r="BD648">
        <v>8</v>
      </c>
      <c r="BE648">
        <v>2</v>
      </c>
      <c r="BF648">
        <v>4</v>
      </c>
      <c r="BG648">
        <v>4</v>
      </c>
      <c r="BH648">
        <v>4</v>
      </c>
      <c r="BI648">
        <v>3</v>
      </c>
      <c r="BJ648">
        <v>7</v>
      </c>
      <c r="BK648">
        <v>2</v>
      </c>
      <c r="BL648">
        <v>8</v>
      </c>
      <c r="BM648">
        <v>6</v>
      </c>
      <c r="BN648">
        <v>5</v>
      </c>
      <c r="BO648">
        <v>5</v>
      </c>
      <c r="BP648">
        <v>6</v>
      </c>
      <c r="BQ648">
        <v>5</v>
      </c>
      <c r="BR648">
        <v>8</v>
      </c>
      <c r="BS648">
        <v>2</v>
      </c>
      <c r="BT648">
        <v>3</v>
      </c>
      <c r="BU648">
        <v>2</v>
      </c>
      <c r="BV648">
        <v>2</v>
      </c>
      <c r="BW648">
        <v>3</v>
      </c>
      <c r="BX648">
        <v>9</v>
      </c>
      <c r="BY648">
        <v>7</v>
      </c>
      <c r="BZ648">
        <v>10</v>
      </c>
      <c r="CA648">
        <v>9</v>
      </c>
      <c r="CB648">
        <v>2</v>
      </c>
      <c r="CC648">
        <v>3</v>
      </c>
      <c r="CD648">
        <v>6</v>
      </c>
      <c r="CE648">
        <v>4</v>
      </c>
      <c r="CF648">
        <v>4</v>
      </c>
      <c r="CG648">
        <v>8</v>
      </c>
      <c r="CH648">
        <v>9</v>
      </c>
      <c r="CI648">
        <v>1</v>
      </c>
      <c r="CJ648">
        <v>6</v>
      </c>
      <c r="CK648">
        <v>5</v>
      </c>
      <c r="CL648">
        <v>4</v>
      </c>
      <c r="CM648">
        <v>8</v>
      </c>
      <c r="CN648">
        <v>3</v>
      </c>
      <c r="CO648">
        <v>4</v>
      </c>
      <c r="CP648">
        <v>3</v>
      </c>
      <c r="CQ648">
        <v>8</v>
      </c>
      <c r="CR648">
        <v>1</v>
      </c>
      <c r="CS648">
        <v>3</v>
      </c>
      <c r="CT648">
        <v>0</v>
      </c>
      <c r="CU648">
        <v>10</v>
      </c>
      <c r="CV648">
        <v>9</v>
      </c>
      <c r="CW648">
        <v>0</v>
      </c>
      <c r="CX648">
        <v>2</v>
      </c>
      <c r="CY648">
        <v>0</v>
      </c>
      <c r="CZ648">
        <v>2</v>
      </c>
      <c r="DA648">
        <v>4</v>
      </c>
      <c r="DB648">
        <v>7</v>
      </c>
      <c r="DC648">
        <v>8</v>
      </c>
      <c r="DD648">
        <v>0</v>
      </c>
      <c r="DE648">
        <v>1</v>
      </c>
      <c r="DF648">
        <v>9</v>
      </c>
      <c r="DG648">
        <v>4</v>
      </c>
      <c r="DH648">
        <v>6</v>
      </c>
      <c r="DI648">
        <v>9</v>
      </c>
      <c r="DJ648">
        <v>5</v>
      </c>
      <c r="DK648">
        <v>7</v>
      </c>
    </row>
    <row r="649" spans="1:115">
      <c r="A649" s="173">
        <f>Calculations[[#This Row],[Sum t eCO2]]*IF(Calculations[[#This Row],[GHG Scope]]="BIOGENIC",0,1)</f>
        <v>1.1036231123473609E-2</v>
      </c>
      <c r="O649">
        <f t="shared" si="10"/>
        <v>648</v>
      </c>
      <c r="P649">
        <v>6</v>
      </c>
      <c r="Q649">
        <v>6</v>
      </c>
      <c r="R649">
        <v>5</v>
      </c>
      <c r="S649">
        <v>8</v>
      </c>
      <c r="T649">
        <v>4</v>
      </c>
      <c r="U649">
        <v>3</v>
      </c>
      <c r="V649">
        <v>9</v>
      </c>
      <c r="W649">
        <v>10</v>
      </c>
      <c r="X649">
        <v>7</v>
      </c>
      <c r="Y649">
        <v>1</v>
      </c>
      <c r="Z649">
        <v>5</v>
      </c>
      <c r="AA649">
        <v>2</v>
      </c>
      <c r="AB649">
        <v>4</v>
      </c>
      <c r="AC649">
        <v>9</v>
      </c>
      <c r="AD649">
        <v>3</v>
      </c>
      <c r="AE649">
        <v>6</v>
      </c>
      <c r="AF649">
        <v>1</v>
      </c>
      <c r="AG649">
        <v>4</v>
      </c>
      <c r="AH649">
        <v>5</v>
      </c>
      <c r="AI649">
        <v>0</v>
      </c>
      <c r="AJ649">
        <v>8</v>
      </c>
      <c r="AK649">
        <v>4</v>
      </c>
      <c r="AL649">
        <v>7</v>
      </c>
      <c r="AM649">
        <v>0</v>
      </c>
      <c r="AN649">
        <v>4</v>
      </c>
      <c r="AO649">
        <v>5</v>
      </c>
      <c r="AP649">
        <v>7</v>
      </c>
      <c r="AQ649">
        <v>1</v>
      </c>
      <c r="AR649">
        <v>0</v>
      </c>
      <c r="AS649">
        <v>10</v>
      </c>
      <c r="AT649">
        <v>10</v>
      </c>
      <c r="AU649">
        <v>2</v>
      </c>
      <c r="AV649">
        <v>8</v>
      </c>
      <c r="AW649">
        <v>1</v>
      </c>
      <c r="AX649">
        <v>0</v>
      </c>
      <c r="AY649">
        <v>9</v>
      </c>
      <c r="AZ649">
        <v>0</v>
      </c>
      <c r="BA649">
        <v>1</v>
      </c>
      <c r="BB649">
        <v>8</v>
      </c>
      <c r="BC649">
        <v>4</v>
      </c>
      <c r="BD649">
        <v>2</v>
      </c>
      <c r="BE649">
        <v>10</v>
      </c>
      <c r="BF649">
        <v>7</v>
      </c>
      <c r="BG649">
        <v>6</v>
      </c>
      <c r="BH649">
        <v>8</v>
      </c>
      <c r="BI649">
        <v>9</v>
      </c>
      <c r="BJ649">
        <v>3</v>
      </c>
      <c r="BK649">
        <v>7</v>
      </c>
      <c r="BL649">
        <v>9</v>
      </c>
      <c r="BM649">
        <v>6</v>
      </c>
      <c r="BN649">
        <v>4</v>
      </c>
      <c r="BO649">
        <v>0</v>
      </c>
      <c r="BP649">
        <v>5</v>
      </c>
      <c r="BQ649">
        <v>8</v>
      </c>
      <c r="BR649">
        <v>10</v>
      </c>
      <c r="BS649">
        <v>6</v>
      </c>
      <c r="BT649">
        <v>10</v>
      </c>
      <c r="BU649">
        <v>10</v>
      </c>
      <c r="BV649">
        <v>6</v>
      </c>
      <c r="BW649">
        <v>5</v>
      </c>
      <c r="BX649">
        <v>1</v>
      </c>
      <c r="BY649">
        <v>1</v>
      </c>
      <c r="BZ649">
        <v>0</v>
      </c>
      <c r="CA649">
        <v>0</v>
      </c>
      <c r="CB649">
        <v>9</v>
      </c>
      <c r="CC649">
        <v>7</v>
      </c>
      <c r="CD649">
        <v>4</v>
      </c>
      <c r="CE649">
        <v>8</v>
      </c>
      <c r="CF649">
        <v>1</v>
      </c>
      <c r="CG649">
        <v>1</v>
      </c>
      <c r="CH649">
        <v>5</v>
      </c>
      <c r="CI649">
        <v>4</v>
      </c>
      <c r="CJ649">
        <v>1</v>
      </c>
      <c r="CK649">
        <v>6</v>
      </c>
      <c r="CL649">
        <v>9</v>
      </c>
      <c r="CM649">
        <v>8</v>
      </c>
      <c r="CN649">
        <v>3</v>
      </c>
      <c r="CO649">
        <v>1</v>
      </c>
      <c r="CP649">
        <v>8</v>
      </c>
      <c r="CQ649">
        <v>10</v>
      </c>
      <c r="CR649">
        <v>4</v>
      </c>
      <c r="CS649">
        <v>1</v>
      </c>
      <c r="CT649">
        <v>0</v>
      </c>
      <c r="CU649">
        <v>3</v>
      </c>
      <c r="CV649">
        <v>10</v>
      </c>
      <c r="CW649">
        <v>9</v>
      </c>
      <c r="CX649">
        <v>2</v>
      </c>
      <c r="CY649">
        <v>2</v>
      </c>
      <c r="CZ649">
        <v>1</v>
      </c>
      <c r="DA649">
        <v>6</v>
      </c>
      <c r="DB649">
        <v>7</v>
      </c>
      <c r="DC649">
        <v>4</v>
      </c>
      <c r="DD649">
        <v>0</v>
      </c>
      <c r="DE649">
        <v>0</v>
      </c>
      <c r="DF649">
        <v>9</v>
      </c>
      <c r="DG649">
        <v>3</v>
      </c>
      <c r="DH649">
        <v>0</v>
      </c>
      <c r="DI649">
        <v>8</v>
      </c>
      <c r="DJ649">
        <v>1</v>
      </c>
      <c r="DK649">
        <v>4</v>
      </c>
    </row>
    <row r="650" spans="1:115">
      <c r="A650" s="173">
        <f>Calculations[[#This Row],[Sum t eCO2]]*IF(Calculations[[#This Row],[GHG Scope]]="BIOGENIC",0,1)</f>
        <v>0.69789187199974512</v>
      </c>
      <c r="O650">
        <f t="shared" si="10"/>
        <v>649</v>
      </c>
      <c r="P650">
        <v>10</v>
      </c>
      <c r="Q650">
        <v>4</v>
      </c>
      <c r="R650">
        <v>10</v>
      </c>
      <c r="S650">
        <v>7</v>
      </c>
      <c r="T650">
        <v>6</v>
      </c>
      <c r="U650">
        <v>0</v>
      </c>
      <c r="V650">
        <v>1</v>
      </c>
      <c r="W650">
        <v>8</v>
      </c>
      <c r="X650">
        <v>7</v>
      </c>
      <c r="Y650">
        <v>3</v>
      </c>
      <c r="Z650">
        <v>1</v>
      </c>
      <c r="AA650">
        <v>9</v>
      </c>
      <c r="AB650">
        <v>7</v>
      </c>
      <c r="AC650">
        <v>1</v>
      </c>
      <c r="AD650">
        <v>10</v>
      </c>
      <c r="AE650">
        <v>3</v>
      </c>
      <c r="AF650">
        <v>5</v>
      </c>
      <c r="AG650">
        <v>8</v>
      </c>
      <c r="AH650">
        <v>8</v>
      </c>
      <c r="AI650">
        <v>1</v>
      </c>
      <c r="AJ650">
        <v>1</v>
      </c>
      <c r="AK650">
        <v>6</v>
      </c>
      <c r="AL650">
        <v>2</v>
      </c>
      <c r="AM650">
        <v>0</v>
      </c>
      <c r="AN650">
        <v>9</v>
      </c>
      <c r="AO650">
        <v>2</v>
      </c>
      <c r="AP650">
        <v>9</v>
      </c>
      <c r="AQ650">
        <v>0</v>
      </c>
      <c r="AR650">
        <v>8</v>
      </c>
      <c r="AS650">
        <v>8</v>
      </c>
      <c r="AT650">
        <v>2</v>
      </c>
      <c r="AU650">
        <v>6</v>
      </c>
      <c r="AV650">
        <v>2</v>
      </c>
      <c r="AW650">
        <v>7</v>
      </c>
      <c r="AX650">
        <v>1</v>
      </c>
      <c r="AY650">
        <v>2</v>
      </c>
      <c r="AZ650">
        <v>9</v>
      </c>
      <c r="BA650">
        <v>1</v>
      </c>
      <c r="BB650">
        <v>1</v>
      </c>
      <c r="BC650">
        <v>0</v>
      </c>
      <c r="BD650">
        <v>2</v>
      </c>
      <c r="BE650">
        <v>10</v>
      </c>
      <c r="BF650">
        <v>7</v>
      </c>
      <c r="BG650">
        <v>1</v>
      </c>
      <c r="BH650">
        <v>3</v>
      </c>
      <c r="BI650">
        <v>2</v>
      </c>
      <c r="BJ650">
        <v>4</v>
      </c>
      <c r="BK650">
        <v>8</v>
      </c>
      <c r="BL650">
        <v>0</v>
      </c>
      <c r="BM650">
        <v>1</v>
      </c>
      <c r="BN650">
        <v>10</v>
      </c>
      <c r="BO650">
        <v>1</v>
      </c>
      <c r="BP650">
        <v>6</v>
      </c>
      <c r="BQ650">
        <v>9</v>
      </c>
      <c r="BR650">
        <v>9</v>
      </c>
      <c r="BS650">
        <v>8</v>
      </c>
      <c r="BT650">
        <v>6</v>
      </c>
      <c r="BU650">
        <v>3</v>
      </c>
      <c r="BV650">
        <v>7</v>
      </c>
      <c r="BW650">
        <v>6</v>
      </c>
      <c r="BX650">
        <v>1</v>
      </c>
      <c r="BY650">
        <v>6</v>
      </c>
      <c r="BZ650">
        <v>10</v>
      </c>
      <c r="CA650">
        <v>3</v>
      </c>
      <c r="CB650">
        <v>7</v>
      </c>
      <c r="CC650">
        <v>7</v>
      </c>
      <c r="CD650">
        <v>2</v>
      </c>
      <c r="CE650">
        <v>8</v>
      </c>
      <c r="CF650">
        <v>4</v>
      </c>
      <c r="CG650">
        <v>7</v>
      </c>
      <c r="CH650">
        <v>4</v>
      </c>
      <c r="CI650">
        <v>7</v>
      </c>
      <c r="CJ650">
        <v>5</v>
      </c>
      <c r="CK650">
        <v>6</v>
      </c>
      <c r="CL650">
        <v>8</v>
      </c>
      <c r="CM650">
        <v>9</v>
      </c>
      <c r="CN650">
        <v>3</v>
      </c>
      <c r="CO650">
        <v>7</v>
      </c>
      <c r="CP650">
        <v>8</v>
      </c>
      <c r="CQ650">
        <v>6</v>
      </c>
      <c r="CR650">
        <v>10</v>
      </c>
      <c r="CS650">
        <v>4</v>
      </c>
      <c r="CT650">
        <v>0</v>
      </c>
      <c r="CU650">
        <v>2</v>
      </c>
      <c r="CV650">
        <v>0</v>
      </c>
      <c r="CW650">
        <v>3</v>
      </c>
      <c r="CX650">
        <v>0</v>
      </c>
      <c r="CY650">
        <v>8</v>
      </c>
      <c r="CZ650">
        <v>4</v>
      </c>
      <c r="DA650">
        <v>7</v>
      </c>
      <c r="DB650">
        <v>0</v>
      </c>
      <c r="DC650">
        <v>9</v>
      </c>
      <c r="DD650">
        <v>3</v>
      </c>
      <c r="DE650">
        <v>9</v>
      </c>
      <c r="DF650">
        <v>5</v>
      </c>
      <c r="DG650">
        <v>2</v>
      </c>
      <c r="DH650">
        <v>3</v>
      </c>
      <c r="DI650">
        <v>1</v>
      </c>
      <c r="DJ650">
        <v>7</v>
      </c>
      <c r="DK650">
        <v>2</v>
      </c>
    </row>
    <row r="651" spans="1:115">
      <c r="A651" s="173">
        <f>Calculations[[#This Row],[Sum t eCO2]]*IF(Calculations[[#This Row],[GHG Scope]]="BIOGENIC",0,1)</f>
        <v>113.25965650889633</v>
      </c>
      <c r="O651">
        <f t="shared" si="10"/>
        <v>650</v>
      </c>
      <c r="P651">
        <v>5</v>
      </c>
      <c r="Q651">
        <v>3</v>
      </c>
      <c r="R651">
        <v>7</v>
      </c>
      <c r="S651">
        <v>2</v>
      </c>
      <c r="T651">
        <v>7</v>
      </c>
      <c r="U651">
        <v>2</v>
      </c>
      <c r="V651">
        <v>3</v>
      </c>
      <c r="W651">
        <v>6</v>
      </c>
      <c r="X651">
        <v>7</v>
      </c>
      <c r="Y651">
        <v>7</v>
      </c>
      <c r="Z651">
        <v>9</v>
      </c>
      <c r="AA651">
        <v>1</v>
      </c>
      <c r="AB651">
        <v>5</v>
      </c>
      <c r="AC651">
        <v>6</v>
      </c>
      <c r="AD651">
        <v>7</v>
      </c>
      <c r="AE651">
        <v>9</v>
      </c>
      <c r="AF651">
        <v>0</v>
      </c>
      <c r="AG651">
        <v>8</v>
      </c>
      <c r="AH651">
        <v>6</v>
      </c>
      <c r="AI651">
        <v>9</v>
      </c>
      <c r="AJ651">
        <v>4</v>
      </c>
      <c r="AK651">
        <v>7</v>
      </c>
      <c r="AL651">
        <v>0</v>
      </c>
      <c r="AM651">
        <v>2</v>
      </c>
      <c r="AN651">
        <v>4</v>
      </c>
      <c r="AO651">
        <v>5</v>
      </c>
      <c r="AP651">
        <v>6</v>
      </c>
      <c r="AQ651">
        <v>8</v>
      </c>
      <c r="AR651">
        <v>10</v>
      </c>
      <c r="AS651">
        <v>2</v>
      </c>
      <c r="AT651">
        <v>4</v>
      </c>
      <c r="AU651">
        <v>3</v>
      </c>
      <c r="AV651">
        <v>10</v>
      </c>
      <c r="AW651">
        <v>2</v>
      </c>
      <c r="AX651">
        <v>3</v>
      </c>
      <c r="AY651">
        <v>3</v>
      </c>
      <c r="AZ651">
        <v>10</v>
      </c>
      <c r="BA651">
        <v>0</v>
      </c>
      <c r="BB651">
        <v>9</v>
      </c>
      <c r="BC651">
        <v>0</v>
      </c>
      <c r="BD651">
        <v>5</v>
      </c>
      <c r="BE651">
        <v>5</v>
      </c>
      <c r="BF651">
        <v>1</v>
      </c>
      <c r="BG651">
        <v>9</v>
      </c>
      <c r="BH651">
        <v>6</v>
      </c>
      <c r="BI651">
        <v>8</v>
      </c>
      <c r="BJ651">
        <v>9</v>
      </c>
      <c r="BK651">
        <v>6</v>
      </c>
      <c r="BL651">
        <v>6</v>
      </c>
      <c r="BM651">
        <v>0</v>
      </c>
      <c r="BN651">
        <v>5</v>
      </c>
      <c r="BO651">
        <v>6</v>
      </c>
      <c r="BP651">
        <v>7</v>
      </c>
      <c r="BQ651">
        <v>6</v>
      </c>
      <c r="BR651">
        <v>2</v>
      </c>
      <c r="BS651">
        <v>0</v>
      </c>
      <c r="BT651">
        <v>2</v>
      </c>
      <c r="BU651">
        <v>10</v>
      </c>
      <c r="BV651">
        <v>8</v>
      </c>
      <c r="BW651">
        <v>5</v>
      </c>
      <c r="BX651">
        <v>0</v>
      </c>
      <c r="BY651">
        <v>6</v>
      </c>
      <c r="BZ651">
        <v>3</v>
      </c>
      <c r="CA651">
        <v>0</v>
      </c>
      <c r="CB651">
        <v>3</v>
      </c>
      <c r="CC651">
        <v>5</v>
      </c>
      <c r="CD651">
        <v>9</v>
      </c>
      <c r="CE651">
        <v>6</v>
      </c>
      <c r="CF651">
        <v>2</v>
      </c>
      <c r="CG651">
        <v>2</v>
      </c>
      <c r="CH651">
        <v>6</v>
      </c>
      <c r="CI651">
        <v>0</v>
      </c>
      <c r="CJ651">
        <v>1</v>
      </c>
      <c r="CK651">
        <v>0</v>
      </c>
      <c r="CL651">
        <v>2</v>
      </c>
      <c r="CM651">
        <v>4</v>
      </c>
      <c r="CN651">
        <v>10</v>
      </c>
      <c r="CO651">
        <v>9</v>
      </c>
      <c r="CP651">
        <v>5</v>
      </c>
      <c r="CQ651">
        <v>3</v>
      </c>
      <c r="CR651">
        <v>8</v>
      </c>
      <c r="CS651">
        <v>9</v>
      </c>
      <c r="CT651">
        <v>2</v>
      </c>
      <c r="CU651">
        <v>2</v>
      </c>
      <c r="CV651">
        <v>2</v>
      </c>
      <c r="CW651">
        <v>9</v>
      </c>
      <c r="CX651">
        <v>0</v>
      </c>
      <c r="CY651">
        <v>7</v>
      </c>
      <c r="CZ651">
        <v>6</v>
      </c>
      <c r="DA651">
        <v>0</v>
      </c>
      <c r="DB651">
        <v>4</v>
      </c>
      <c r="DC651">
        <v>6</v>
      </c>
      <c r="DD651">
        <v>1</v>
      </c>
      <c r="DE651">
        <v>5</v>
      </c>
      <c r="DF651">
        <v>6</v>
      </c>
      <c r="DG651">
        <v>5</v>
      </c>
      <c r="DH651">
        <v>9</v>
      </c>
      <c r="DI651">
        <v>4</v>
      </c>
      <c r="DJ651">
        <v>9</v>
      </c>
      <c r="DK651">
        <v>9</v>
      </c>
    </row>
    <row r="652" spans="1:115">
      <c r="A652" s="173">
        <f>Calculations[[#This Row],[Sum t eCO2]]*IF(Calculations[[#This Row],[GHG Scope]]="BIOGENIC",0,1)</f>
        <v>7.9419506295634545E-2</v>
      </c>
      <c r="O652">
        <f t="shared" si="10"/>
        <v>651</v>
      </c>
      <c r="P652">
        <v>4</v>
      </c>
      <c r="Q652">
        <v>6</v>
      </c>
      <c r="R652">
        <v>5</v>
      </c>
      <c r="S652">
        <v>10</v>
      </c>
      <c r="T652">
        <v>8</v>
      </c>
      <c r="U652">
        <v>9</v>
      </c>
      <c r="V652">
        <v>2</v>
      </c>
      <c r="W652">
        <v>7</v>
      </c>
      <c r="X652">
        <v>4</v>
      </c>
      <c r="Y652">
        <v>9</v>
      </c>
      <c r="Z652">
        <v>10</v>
      </c>
      <c r="AA652">
        <v>3</v>
      </c>
      <c r="AB652">
        <v>7</v>
      </c>
      <c r="AC652">
        <v>2</v>
      </c>
      <c r="AD652">
        <v>7</v>
      </c>
      <c r="AE652">
        <v>7</v>
      </c>
      <c r="AF652">
        <v>9</v>
      </c>
      <c r="AG652">
        <v>7</v>
      </c>
      <c r="AH652">
        <v>2</v>
      </c>
      <c r="AI652">
        <v>5</v>
      </c>
      <c r="AJ652">
        <v>5</v>
      </c>
      <c r="AK652">
        <v>1</v>
      </c>
      <c r="AL652">
        <v>0</v>
      </c>
      <c r="AM652">
        <v>10</v>
      </c>
      <c r="AN652">
        <v>0</v>
      </c>
      <c r="AO652">
        <v>6</v>
      </c>
      <c r="AP652">
        <v>5</v>
      </c>
      <c r="AQ652">
        <v>0</v>
      </c>
      <c r="AR652">
        <v>4</v>
      </c>
      <c r="AS652">
        <v>7</v>
      </c>
      <c r="AT652">
        <v>10</v>
      </c>
      <c r="AU652">
        <v>7</v>
      </c>
      <c r="AV652">
        <v>2</v>
      </c>
      <c r="AW652">
        <v>5</v>
      </c>
      <c r="AX652">
        <v>0</v>
      </c>
      <c r="AY652">
        <v>7</v>
      </c>
      <c r="AZ652">
        <v>7</v>
      </c>
      <c r="BA652">
        <v>9</v>
      </c>
      <c r="BB652">
        <v>3</v>
      </c>
      <c r="BC652">
        <v>7</v>
      </c>
      <c r="BD652">
        <v>1</v>
      </c>
      <c r="BE652">
        <v>8</v>
      </c>
      <c r="BF652">
        <v>1</v>
      </c>
      <c r="BG652">
        <v>9</v>
      </c>
      <c r="BH652">
        <v>6</v>
      </c>
      <c r="BI652">
        <v>0</v>
      </c>
      <c r="BJ652">
        <v>1</v>
      </c>
      <c r="BK652">
        <v>6</v>
      </c>
      <c r="BL652">
        <v>10</v>
      </c>
      <c r="BM652">
        <v>10</v>
      </c>
      <c r="BN652">
        <v>0</v>
      </c>
      <c r="BO652">
        <v>10</v>
      </c>
      <c r="BP652">
        <v>4</v>
      </c>
      <c r="BQ652">
        <v>2</v>
      </c>
      <c r="BR652">
        <v>4</v>
      </c>
      <c r="BS652">
        <v>2</v>
      </c>
      <c r="BT652">
        <v>6</v>
      </c>
      <c r="BU652">
        <v>2</v>
      </c>
      <c r="BV652">
        <v>4</v>
      </c>
      <c r="BW652">
        <v>7</v>
      </c>
      <c r="BX652">
        <v>5</v>
      </c>
      <c r="BY652">
        <v>7</v>
      </c>
      <c r="BZ652">
        <v>4</v>
      </c>
      <c r="CA652">
        <v>10</v>
      </c>
      <c r="CB652">
        <v>10</v>
      </c>
      <c r="CC652">
        <v>10</v>
      </c>
      <c r="CD652">
        <v>3</v>
      </c>
      <c r="CE652">
        <v>6</v>
      </c>
      <c r="CF652">
        <v>3</v>
      </c>
      <c r="CG652">
        <v>0</v>
      </c>
      <c r="CH652">
        <v>1</v>
      </c>
      <c r="CI652">
        <v>1</v>
      </c>
      <c r="CJ652">
        <v>0</v>
      </c>
      <c r="CK652">
        <v>3</v>
      </c>
      <c r="CL652">
        <v>0</v>
      </c>
      <c r="CM652">
        <v>0</v>
      </c>
      <c r="CN652">
        <v>4</v>
      </c>
      <c r="CO652">
        <v>3</v>
      </c>
      <c r="CP652">
        <v>9</v>
      </c>
      <c r="CQ652">
        <v>2</v>
      </c>
      <c r="CR652">
        <v>3</v>
      </c>
      <c r="CS652">
        <v>0</v>
      </c>
      <c r="CT652">
        <v>5</v>
      </c>
      <c r="CU652">
        <v>2</v>
      </c>
      <c r="CV652">
        <v>9</v>
      </c>
      <c r="CW652">
        <v>3</v>
      </c>
      <c r="CX652">
        <v>7</v>
      </c>
      <c r="CY652">
        <v>3</v>
      </c>
      <c r="CZ652">
        <v>1</v>
      </c>
      <c r="DA652">
        <v>7</v>
      </c>
      <c r="DB652">
        <v>0</v>
      </c>
      <c r="DC652">
        <v>6</v>
      </c>
      <c r="DD652">
        <v>4</v>
      </c>
      <c r="DE652">
        <v>7</v>
      </c>
      <c r="DF652">
        <v>8</v>
      </c>
      <c r="DG652">
        <v>5</v>
      </c>
      <c r="DH652">
        <v>4</v>
      </c>
      <c r="DI652">
        <v>6</v>
      </c>
      <c r="DJ652">
        <v>8</v>
      </c>
      <c r="DK652">
        <v>5</v>
      </c>
    </row>
    <row r="653" spans="1:115">
      <c r="A653" s="173">
        <f>Calculations[[#This Row],[Sum t eCO2]]*IF(Calculations[[#This Row],[GHG Scope]]="BIOGENIC",0,1)</f>
        <v>0.30949339586316527</v>
      </c>
      <c r="O653">
        <f t="shared" si="10"/>
        <v>652</v>
      </c>
      <c r="P653">
        <v>7</v>
      </c>
      <c r="Q653">
        <v>7</v>
      </c>
      <c r="R653">
        <v>0</v>
      </c>
      <c r="S653">
        <v>0</v>
      </c>
      <c r="T653">
        <v>5</v>
      </c>
      <c r="U653">
        <v>7</v>
      </c>
      <c r="V653">
        <v>4</v>
      </c>
      <c r="W653">
        <v>9</v>
      </c>
      <c r="X653">
        <v>2</v>
      </c>
      <c r="Y653">
        <v>2</v>
      </c>
      <c r="Z653">
        <v>8</v>
      </c>
      <c r="AA653">
        <v>10</v>
      </c>
      <c r="AB653">
        <v>5</v>
      </c>
      <c r="AC653">
        <v>10</v>
      </c>
      <c r="AD653">
        <v>2</v>
      </c>
      <c r="AE653">
        <v>9</v>
      </c>
      <c r="AF653">
        <v>6</v>
      </c>
      <c r="AG653">
        <v>6</v>
      </c>
      <c r="AH653">
        <v>6</v>
      </c>
      <c r="AI653">
        <v>5</v>
      </c>
      <c r="AJ653">
        <v>1</v>
      </c>
      <c r="AK653">
        <v>2</v>
      </c>
      <c r="AL653">
        <v>7</v>
      </c>
      <c r="AM653">
        <v>6</v>
      </c>
      <c r="AN653">
        <v>0</v>
      </c>
      <c r="AO653">
        <v>2</v>
      </c>
      <c r="AP653">
        <v>8</v>
      </c>
      <c r="AQ653">
        <v>1</v>
      </c>
      <c r="AR653">
        <v>6</v>
      </c>
      <c r="AS653">
        <v>0</v>
      </c>
      <c r="AT653">
        <v>2</v>
      </c>
      <c r="AU653">
        <v>10</v>
      </c>
      <c r="AV653">
        <v>5</v>
      </c>
      <c r="AW653">
        <v>6</v>
      </c>
      <c r="AX653">
        <v>10</v>
      </c>
      <c r="AY653">
        <v>1</v>
      </c>
      <c r="AZ653">
        <v>10</v>
      </c>
      <c r="BA653">
        <v>5</v>
      </c>
      <c r="BB653">
        <v>5</v>
      </c>
      <c r="BC653">
        <v>3</v>
      </c>
      <c r="BD653">
        <v>4</v>
      </c>
      <c r="BE653">
        <v>1</v>
      </c>
      <c r="BF653">
        <v>7</v>
      </c>
      <c r="BG653">
        <v>5</v>
      </c>
      <c r="BH653">
        <v>5</v>
      </c>
      <c r="BI653">
        <v>7</v>
      </c>
      <c r="BJ653">
        <v>9</v>
      </c>
      <c r="BK653">
        <v>8</v>
      </c>
      <c r="BL653">
        <v>3</v>
      </c>
      <c r="BM653">
        <v>1</v>
      </c>
      <c r="BN653">
        <v>3</v>
      </c>
      <c r="BO653">
        <v>6</v>
      </c>
      <c r="BP653">
        <v>7</v>
      </c>
      <c r="BQ653">
        <v>7</v>
      </c>
      <c r="BR653">
        <v>6</v>
      </c>
      <c r="BS653">
        <v>1</v>
      </c>
      <c r="BT653">
        <v>3</v>
      </c>
      <c r="BU653">
        <v>8</v>
      </c>
      <c r="BV653">
        <v>5</v>
      </c>
      <c r="BW653">
        <v>0</v>
      </c>
      <c r="BX653">
        <v>2</v>
      </c>
      <c r="BY653">
        <v>4</v>
      </c>
      <c r="BZ653">
        <v>1</v>
      </c>
      <c r="CA653">
        <v>5</v>
      </c>
      <c r="CB653">
        <v>3</v>
      </c>
      <c r="CC653">
        <v>8</v>
      </c>
      <c r="CD653">
        <v>0</v>
      </c>
      <c r="CE653">
        <v>3</v>
      </c>
      <c r="CF653">
        <v>6</v>
      </c>
      <c r="CG653">
        <v>2</v>
      </c>
      <c r="CH653">
        <v>7</v>
      </c>
      <c r="CI653">
        <v>0</v>
      </c>
      <c r="CJ653">
        <v>9</v>
      </c>
      <c r="CK653">
        <v>0</v>
      </c>
      <c r="CL653">
        <v>10</v>
      </c>
      <c r="CM653">
        <v>4</v>
      </c>
      <c r="CN653">
        <v>1</v>
      </c>
      <c r="CO653">
        <v>9</v>
      </c>
      <c r="CP653">
        <v>9</v>
      </c>
      <c r="CQ653">
        <v>1</v>
      </c>
      <c r="CR653">
        <v>5</v>
      </c>
      <c r="CS653">
        <v>0</v>
      </c>
      <c r="CT653">
        <v>10</v>
      </c>
      <c r="CU653">
        <v>5</v>
      </c>
      <c r="CV653">
        <v>8</v>
      </c>
      <c r="CW653">
        <v>0</v>
      </c>
      <c r="CX653">
        <v>3</v>
      </c>
      <c r="CY653">
        <v>9</v>
      </c>
      <c r="CZ653">
        <v>7</v>
      </c>
      <c r="DA653">
        <v>0</v>
      </c>
      <c r="DB653">
        <v>0</v>
      </c>
      <c r="DC653">
        <v>5</v>
      </c>
      <c r="DD653">
        <v>4</v>
      </c>
      <c r="DE653">
        <v>7</v>
      </c>
      <c r="DF653">
        <v>9</v>
      </c>
      <c r="DG653">
        <v>3</v>
      </c>
      <c r="DH653">
        <v>9</v>
      </c>
      <c r="DI653">
        <v>2</v>
      </c>
      <c r="DJ653">
        <v>7</v>
      </c>
      <c r="DK653">
        <v>9</v>
      </c>
    </row>
    <row r="654" spans="1:115">
      <c r="A654" s="173">
        <f>Calculations[[#This Row],[Sum t eCO2]]*IF(Calculations[[#This Row],[GHG Scope]]="BIOGENIC",0,1)</f>
        <v>19.571257886317238</v>
      </c>
      <c r="O654">
        <f t="shared" si="10"/>
        <v>653</v>
      </c>
      <c r="P654">
        <v>3</v>
      </c>
      <c r="Q654">
        <v>2</v>
      </c>
      <c r="R654">
        <v>5</v>
      </c>
      <c r="S654">
        <v>9</v>
      </c>
      <c r="T654">
        <v>9</v>
      </c>
      <c r="U654">
        <v>6</v>
      </c>
      <c r="V654">
        <v>4</v>
      </c>
      <c r="W654">
        <v>4</v>
      </c>
      <c r="X654">
        <v>3</v>
      </c>
      <c r="Y654">
        <v>1</v>
      </c>
      <c r="Z654">
        <v>8</v>
      </c>
      <c r="AA654">
        <v>9</v>
      </c>
      <c r="AB654">
        <v>2</v>
      </c>
      <c r="AC654">
        <v>1</v>
      </c>
      <c r="AD654">
        <v>2</v>
      </c>
      <c r="AE654">
        <v>3</v>
      </c>
      <c r="AF654">
        <v>5</v>
      </c>
      <c r="AG654">
        <v>3</v>
      </c>
      <c r="AH654">
        <v>7</v>
      </c>
      <c r="AI654">
        <v>7</v>
      </c>
      <c r="AJ654">
        <v>4</v>
      </c>
      <c r="AK654">
        <v>0</v>
      </c>
      <c r="AL654">
        <v>2</v>
      </c>
      <c r="AM654">
        <v>7</v>
      </c>
      <c r="AN654">
        <v>10</v>
      </c>
      <c r="AO654">
        <v>0</v>
      </c>
      <c r="AP654">
        <v>1</v>
      </c>
      <c r="AQ654">
        <v>0</v>
      </c>
      <c r="AR654">
        <v>4</v>
      </c>
      <c r="AS654">
        <v>7</v>
      </c>
      <c r="AT654">
        <v>0</v>
      </c>
      <c r="AU654">
        <v>1</v>
      </c>
      <c r="AV654">
        <v>7</v>
      </c>
      <c r="AW654">
        <v>3</v>
      </c>
      <c r="AX654">
        <v>9</v>
      </c>
      <c r="AY654">
        <v>7</v>
      </c>
      <c r="AZ654">
        <v>9</v>
      </c>
      <c r="BA654">
        <v>2</v>
      </c>
      <c r="BB654">
        <v>4</v>
      </c>
      <c r="BC654">
        <v>9</v>
      </c>
      <c r="BD654">
        <v>4</v>
      </c>
      <c r="BE654">
        <v>1</v>
      </c>
      <c r="BF654">
        <v>1</v>
      </c>
      <c r="BG654">
        <v>5</v>
      </c>
      <c r="BH654">
        <v>0</v>
      </c>
      <c r="BI654">
        <v>5</v>
      </c>
      <c r="BJ654">
        <v>2</v>
      </c>
      <c r="BK654">
        <v>7</v>
      </c>
      <c r="BL654">
        <v>3</v>
      </c>
      <c r="BM654">
        <v>6</v>
      </c>
      <c r="BN654">
        <v>1</v>
      </c>
      <c r="BO654">
        <v>9</v>
      </c>
      <c r="BP654">
        <v>6</v>
      </c>
      <c r="BQ654">
        <v>6</v>
      </c>
      <c r="BR654">
        <v>3</v>
      </c>
      <c r="BS654">
        <v>4</v>
      </c>
      <c r="BT654">
        <v>9</v>
      </c>
      <c r="BU654">
        <v>9</v>
      </c>
      <c r="BV654">
        <v>1</v>
      </c>
      <c r="BW654">
        <v>3</v>
      </c>
      <c r="BX654">
        <v>6</v>
      </c>
      <c r="BY654">
        <v>6</v>
      </c>
      <c r="BZ654">
        <v>2</v>
      </c>
      <c r="CA654">
        <v>7</v>
      </c>
      <c r="CB654">
        <v>8</v>
      </c>
      <c r="CC654">
        <v>10</v>
      </c>
      <c r="CD654">
        <v>4</v>
      </c>
      <c r="CE654">
        <v>8</v>
      </c>
      <c r="CF654">
        <v>0</v>
      </c>
      <c r="CG654">
        <v>6</v>
      </c>
      <c r="CH654">
        <v>8</v>
      </c>
      <c r="CI654">
        <v>8</v>
      </c>
      <c r="CJ654">
        <v>4</v>
      </c>
      <c r="CK654">
        <v>4</v>
      </c>
      <c r="CL654">
        <v>0</v>
      </c>
      <c r="CM654">
        <v>8</v>
      </c>
      <c r="CN654">
        <v>2</v>
      </c>
      <c r="CO654">
        <v>8</v>
      </c>
      <c r="CP654">
        <v>2</v>
      </c>
      <c r="CQ654">
        <v>2</v>
      </c>
      <c r="CR654">
        <v>5</v>
      </c>
      <c r="CS654">
        <v>6</v>
      </c>
      <c r="CT654">
        <v>3</v>
      </c>
      <c r="CU654">
        <v>7</v>
      </c>
      <c r="CV654">
        <v>3</v>
      </c>
      <c r="CW654">
        <v>0</v>
      </c>
      <c r="CX654">
        <v>5</v>
      </c>
      <c r="CY654">
        <v>3</v>
      </c>
      <c r="CZ654">
        <v>3</v>
      </c>
      <c r="DA654">
        <v>0</v>
      </c>
      <c r="DB654">
        <v>3</v>
      </c>
      <c r="DC654">
        <v>2</v>
      </c>
      <c r="DD654">
        <v>10</v>
      </c>
      <c r="DE654">
        <v>2</v>
      </c>
      <c r="DF654">
        <v>4</v>
      </c>
      <c r="DG654">
        <v>1</v>
      </c>
      <c r="DH654">
        <v>7</v>
      </c>
      <c r="DI654">
        <v>7</v>
      </c>
      <c r="DJ654">
        <v>3</v>
      </c>
      <c r="DK654">
        <v>4</v>
      </c>
    </row>
    <row r="655" spans="1:115">
      <c r="A655" s="173">
        <f>Calculations[[#This Row],[Sum t eCO2]]*IF(Calculations[[#This Row],[GHG Scope]]="BIOGENIC",0,1)</f>
        <v>333.81180055447243</v>
      </c>
      <c r="O655">
        <f t="shared" si="10"/>
        <v>654</v>
      </c>
      <c r="P655">
        <v>3</v>
      </c>
      <c r="Q655">
        <v>2</v>
      </c>
      <c r="R655">
        <v>10</v>
      </c>
      <c r="S655">
        <v>10</v>
      </c>
      <c r="T655">
        <v>0</v>
      </c>
      <c r="U655">
        <v>6</v>
      </c>
      <c r="V655">
        <v>7</v>
      </c>
      <c r="W655">
        <v>1</v>
      </c>
      <c r="X655">
        <v>8</v>
      </c>
      <c r="Y655">
        <v>7</v>
      </c>
      <c r="Z655">
        <v>2</v>
      </c>
      <c r="AA655">
        <v>10</v>
      </c>
      <c r="AB655">
        <v>1</v>
      </c>
      <c r="AC655">
        <v>4</v>
      </c>
      <c r="AD655">
        <v>9</v>
      </c>
      <c r="AE655">
        <v>3</v>
      </c>
      <c r="AF655">
        <v>2</v>
      </c>
      <c r="AG655">
        <v>1</v>
      </c>
      <c r="AH655">
        <v>10</v>
      </c>
      <c r="AI655">
        <v>10</v>
      </c>
      <c r="AJ655">
        <v>4</v>
      </c>
      <c r="AK655">
        <v>7</v>
      </c>
      <c r="AL655">
        <v>0</v>
      </c>
      <c r="AM655">
        <v>1</v>
      </c>
      <c r="AN655">
        <v>4</v>
      </c>
      <c r="AO655">
        <v>5</v>
      </c>
      <c r="AP655">
        <v>8</v>
      </c>
      <c r="AQ655">
        <v>5</v>
      </c>
      <c r="AR655">
        <v>2</v>
      </c>
      <c r="AS655">
        <v>8</v>
      </c>
      <c r="AT655">
        <v>5</v>
      </c>
      <c r="AU655">
        <v>3</v>
      </c>
      <c r="AV655">
        <v>9</v>
      </c>
      <c r="AW655">
        <v>0</v>
      </c>
      <c r="AX655">
        <v>1</v>
      </c>
      <c r="AY655">
        <v>5</v>
      </c>
      <c r="AZ655">
        <v>10</v>
      </c>
      <c r="BA655">
        <v>7</v>
      </c>
      <c r="BB655">
        <v>7</v>
      </c>
      <c r="BC655">
        <v>2</v>
      </c>
      <c r="BD655">
        <v>8</v>
      </c>
      <c r="BE655">
        <v>10</v>
      </c>
      <c r="BF655">
        <v>2</v>
      </c>
      <c r="BG655">
        <v>2</v>
      </c>
      <c r="BH655">
        <v>2</v>
      </c>
      <c r="BI655">
        <v>10</v>
      </c>
      <c r="BJ655">
        <v>0</v>
      </c>
      <c r="BK655">
        <v>2</v>
      </c>
      <c r="BL655">
        <v>9</v>
      </c>
      <c r="BM655">
        <v>5</v>
      </c>
      <c r="BN655">
        <v>0</v>
      </c>
      <c r="BO655">
        <v>1</v>
      </c>
      <c r="BP655">
        <v>4</v>
      </c>
      <c r="BQ655">
        <v>0</v>
      </c>
      <c r="BR655">
        <v>0</v>
      </c>
      <c r="BS655">
        <v>9</v>
      </c>
      <c r="BT655">
        <v>8</v>
      </c>
      <c r="BU655">
        <v>2</v>
      </c>
      <c r="BV655">
        <v>10</v>
      </c>
      <c r="BW655">
        <v>3</v>
      </c>
      <c r="BX655">
        <v>5</v>
      </c>
      <c r="BY655">
        <v>2</v>
      </c>
      <c r="BZ655">
        <v>3</v>
      </c>
      <c r="CA655">
        <v>1</v>
      </c>
      <c r="CB655">
        <v>2</v>
      </c>
      <c r="CC655">
        <v>9</v>
      </c>
      <c r="CD655">
        <v>1</v>
      </c>
      <c r="CE655">
        <v>5</v>
      </c>
      <c r="CF655">
        <v>0</v>
      </c>
      <c r="CG655">
        <v>2</v>
      </c>
      <c r="CH655">
        <v>0</v>
      </c>
      <c r="CI655">
        <v>0</v>
      </c>
      <c r="CJ655">
        <v>10</v>
      </c>
      <c r="CK655">
        <v>10</v>
      </c>
      <c r="CL655">
        <v>6</v>
      </c>
      <c r="CM655">
        <v>9</v>
      </c>
      <c r="CN655">
        <v>6</v>
      </c>
      <c r="CO655">
        <v>9</v>
      </c>
      <c r="CP655">
        <v>4</v>
      </c>
      <c r="CQ655">
        <v>3</v>
      </c>
      <c r="CR655">
        <v>4</v>
      </c>
      <c r="CS655">
        <v>2</v>
      </c>
      <c r="CT655">
        <v>5</v>
      </c>
      <c r="CU655">
        <v>3</v>
      </c>
      <c r="CV655">
        <v>3</v>
      </c>
      <c r="CW655">
        <v>7</v>
      </c>
      <c r="CX655">
        <v>7</v>
      </c>
      <c r="CY655">
        <v>1</v>
      </c>
      <c r="CZ655">
        <v>6</v>
      </c>
      <c r="DA655">
        <v>2</v>
      </c>
      <c r="DB655">
        <v>6</v>
      </c>
      <c r="DC655">
        <v>5</v>
      </c>
      <c r="DD655">
        <v>5</v>
      </c>
      <c r="DE655">
        <v>1</v>
      </c>
      <c r="DF655">
        <v>0</v>
      </c>
      <c r="DG655">
        <v>7</v>
      </c>
      <c r="DH655">
        <v>2</v>
      </c>
      <c r="DI655">
        <v>8</v>
      </c>
      <c r="DJ655">
        <v>7</v>
      </c>
      <c r="DK655">
        <v>9</v>
      </c>
    </row>
    <row r="656" spans="1:115">
      <c r="A656" s="173">
        <f>Calculations[[#This Row],[Sum t eCO2]]*IF(Calculations[[#This Row],[GHG Scope]]="BIOGENIC",0,1)</f>
        <v>0.2340742433172629</v>
      </c>
      <c r="O656">
        <f t="shared" si="10"/>
        <v>655</v>
      </c>
      <c r="P656">
        <v>2</v>
      </c>
      <c r="Q656">
        <v>0</v>
      </c>
      <c r="R656">
        <v>2</v>
      </c>
      <c r="S656">
        <v>6</v>
      </c>
      <c r="T656">
        <v>0</v>
      </c>
      <c r="U656">
        <v>10</v>
      </c>
      <c r="V656">
        <v>10</v>
      </c>
      <c r="W656">
        <v>3</v>
      </c>
      <c r="X656">
        <v>5</v>
      </c>
      <c r="Y656">
        <v>9</v>
      </c>
      <c r="Z656">
        <v>9</v>
      </c>
      <c r="AA656">
        <v>5</v>
      </c>
      <c r="AB656">
        <v>4</v>
      </c>
      <c r="AC656">
        <v>0</v>
      </c>
      <c r="AD656">
        <v>8</v>
      </c>
      <c r="AE656">
        <v>6</v>
      </c>
      <c r="AF656">
        <v>3</v>
      </c>
      <c r="AG656">
        <v>9</v>
      </c>
      <c r="AH656">
        <v>8</v>
      </c>
      <c r="AI656">
        <v>5</v>
      </c>
      <c r="AJ656">
        <v>2</v>
      </c>
      <c r="AK656">
        <v>10</v>
      </c>
      <c r="AL656">
        <v>9</v>
      </c>
      <c r="AM656">
        <v>0</v>
      </c>
      <c r="AN656">
        <v>10</v>
      </c>
      <c r="AO656">
        <v>6</v>
      </c>
      <c r="AP656">
        <v>6</v>
      </c>
      <c r="AQ656">
        <v>10</v>
      </c>
      <c r="AR656">
        <v>10</v>
      </c>
      <c r="AS656">
        <v>3</v>
      </c>
      <c r="AT656">
        <v>5</v>
      </c>
      <c r="AU656">
        <v>5</v>
      </c>
      <c r="AV656">
        <v>2</v>
      </c>
      <c r="AW656">
        <v>8</v>
      </c>
      <c r="AX656">
        <v>1</v>
      </c>
      <c r="AY656">
        <v>9</v>
      </c>
      <c r="AZ656">
        <v>0</v>
      </c>
      <c r="BA656">
        <v>0</v>
      </c>
      <c r="BB656">
        <v>10</v>
      </c>
      <c r="BC656">
        <v>8</v>
      </c>
      <c r="BD656">
        <v>1</v>
      </c>
      <c r="BE656">
        <v>5</v>
      </c>
      <c r="BF656">
        <v>7</v>
      </c>
      <c r="BG656">
        <v>0</v>
      </c>
      <c r="BH656">
        <v>2</v>
      </c>
      <c r="BI656">
        <v>5</v>
      </c>
      <c r="BJ656">
        <v>5</v>
      </c>
      <c r="BK656">
        <v>8</v>
      </c>
      <c r="BL656">
        <v>4</v>
      </c>
      <c r="BM656">
        <v>4</v>
      </c>
      <c r="BN656">
        <v>6</v>
      </c>
      <c r="BO656">
        <v>10</v>
      </c>
      <c r="BP656">
        <v>7</v>
      </c>
      <c r="BQ656">
        <v>10</v>
      </c>
      <c r="BR656">
        <v>0</v>
      </c>
      <c r="BS656">
        <v>3</v>
      </c>
      <c r="BT656">
        <v>3</v>
      </c>
      <c r="BU656">
        <v>3</v>
      </c>
      <c r="BV656">
        <v>8</v>
      </c>
      <c r="BW656">
        <v>10</v>
      </c>
      <c r="BX656">
        <v>0</v>
      </c>
      <c r="BY656">
        <v>7</v>
      </c>
      <c r="BZ656">
        <v>5</v>
      </c>
      <c r="CA656">
        <v>1</v>
      </c>
      <c r="CB656">
        <v>9</v>
      </c>
      <c r="CC656">
        <v>4</v>
      </c>
      <c r="CD656">
        <v>7</v>
      </c>
      <c r="CE656">
        <v>9</v>
      </c>
      <c r="CF656">
        <v>8</v>
      </c>
      <c r="CG656">
        <v>7</v>
      </c>
      <c r="CH656">
        <v>9</v>
      </c>
      <c r="CI656">
        <v>0</v>
      </c>
      <c r="CJ656">
        <v>4</v>
      </c>
      <c r="CK656">
        <v>2</v>
      </c>
      <c r="CL656">
        <v>8</v>
      </c>
      <c r="CM656">
        <v>10</v>
      </c>
      <c r="CN656">
        <v>8</v>
      </c>
      <c r="CO656">
        <v>0</v>
      </c>
      <c r="CP656">
        <v>0</v>
      </c>
      <c r="CQ656">
        <v>4</v>
      </c>
      <c r="CR656">
        <v>10</v>
      </c>
      <c r="CS656">
        <v>0</v>
      </c>
      <c r="CT656">
        <v>0</v>
      </c>
      <c r="CU656">
        <v>7</v>
      </c>
      <c r="CV656">
        <v>1</v>
      </c>
      <c r="CW656">
        <v>4</v>
      </c>
      <c r="CX656">
        <v>7</v>
      </c>
      <c r="CY656">
        <v>2</v>
      </c>
      <c r="CZ656">
        <v>1</v>
      </c>
      <c r="DA656">
        <v>3</v>
      </c>
      <c r="DB656">
        <v>5</v>
      </c>
      <c r="DC656">
        <v>2</v>
      </c>
      <c r="DD656">
        <v>3</v>
      </c>
      <c r="DE656">
        <v>6</v>
      </c>
      <c r="DF656">
        <v>0</v>
      </c>
      <c r="DG656">
        <v>4</v>
      </c>
      <c r="DH656">
        <v>9</v>
      </c>
      <c r="DI656">
        <v>1</v>
      </c>
      <c r="DJ656">
        <v>6</v>
      </c>
      <c r="DK656">
        <v>6</v>
      </c>
    </row>
    <row r="657" spans="1:115">
      <c r="A657" s="173">
        <f>Calculations[[#This Row],[Sum t eCO2]]*IF(Calculations[[#This Row],[GHG Scope]]="BIOGENIC",0,1)</f>
        <v>0.9121742985745882</v>
      </c>
      <c r="O657">
        <f t="shared" si="10"/>
        <v>656</v>
      </c>
      <c r="P657">
        <v>1</v>
      </c>
      <c r="Q657">
        <v>0</v>
      </c>
      <c r="R657">
        <v>6</v>
      </c>
      <c r="S657">
        <v>2</v>
      </c>
      <c r="T657">
        <v>1</v>
      </c>
      <c r="U657">
        <v>7</v>
      </c>
      <c r="V657">
        <v>7</v>
      </c>
      <c r="W657">
        <v>1</v>
      </c>
      <c r="X657">
        <v>7</v>
      </c>
      <c r="Y657">
        <v>3</v>
      </c>
      <c r="Z657">
        <v>2</v>
      </c>
      <c r="AA657">
        <v>6</v>
      </c>
      <c r="AB657">
        <v>4</v>
      </c>
      <c r="AC657">
        <v>0</v>
      </c>
      <c r="AD657">
        <v>0</v>
      </c>
      <c r="AE657">
        <v>7</v>
      </c>
      <c r="AF657">
        <v>8</v>
      </c>
      <c r="AG657">
        <v>1</v>
      </c>
      <c r="AH657">
        <v>8</v>
      </c>
      <c r="AI657">
        <v>4</v>
      </c>
      <c r="AJ657">
        <v>6</v>
      </c>
      <c r="AK657">
        <v>7</v>
      </c>
      <c r="AL657">
        <v>2</v>
      </c>
      <c r="AM657">
        <v>2</v>
      </c>
      <c r="AN657">
        <v>6</v>
      </c>
      <c r="AO657">
        <v>7</v>
      </c>
      <c r="AP657">
        <v>9</v>
      </c>
      <c r="AQ657">
        <v>5</v>
      </c>
      <c r="AR657">
        <v>7</v>
      </c>
      <c r="AS657">
        <v>8</v>
      </c>
      <c r="AT657">
        <v>9</v>
      </c>
      <c r="AU657">
        <v>3</v>
      </c>
      <c r="AV657">
        <v>2</v>
      </c>
      <c r="AW657">
        <v>0</v>
      </c>
      <c r="AX657">
        <v>2</v>
      </c>
      <c r="AY657">
        <v>8</v>
      </c>
      <c r="AZ657">
        <v>2</v>
      </c>
      <c r="BA657">
        <v>4</v>
      </c>
      <c r="BB657">
        <v>0</v>
      </c>
      <c r="BC657">
        <v>3</v>
      </c>
      <c r="BD657">
        <v>0</v>
      </c>
      <c r="BE657">
        <v>7</v>
      </c>
      <c r="BF657">
        <v>7</v>
      </c>
      <c r="BG657">
        <v>3</v>
      </c>
      <c r="BH657">
        <v>2</v>
      </c>
      <c r="BI657">
        <v>5</v>
      </c>
      <c r="BJ657">
        <v>4</v>
      </c>
      <c r="BK657">
        <v>10</v>
      </c>
      <c r="BL657">
        <v>9</v>
      </c>
      <c r="BM657">
        <v>9</v>
      </c>
      <c r="BN657">
        <v>10</v>
      </c>
      <c r="BO657">
        <v>1</v>
      </c>
      <c r="BP657">
        <v>1</v>
      </c>
      <c r="BQ657">
        <v>7</v>
      </c>
      <c r="BR657">
        <v>7</v>
      </c>
      <c r="BS657">
        <v>2</v>
      </c>
      <c r="BT657">
        <v>9</v>
      </c>
      <c r="BU657">
        <v>0</v>
      </c>
      <c r="BV657">
        <v>8</v>
      </c>
      <c r="BW657">
        <v>8</v>
      </c>
      <c r="BX657">
        <v>3</v>
      </c>
      <c r="BY657">
        <v>4</v>
      </c>
      <c r="BZ657">
        <v>8</v>
      </c>
      <c r="CA657">
        <v>4</v>
      </c>
      <c r="CB657">
        <v>9</v>
      </c>
      <c r="CC657">
        <v>9</v>
      </c>
      <c r="CD657">
        <v>1</v>
      </c>
      <c r="CE657">
        <v>1</v>
      </c>
      <c r="CF657">
        <v>0</v>
      </c>
      <c r="CG657">
        <v>3</v>
      </c>
      <c r="CH657">
        <v>7</v>
      </c>
      <c r="CI657">
        <v>5</v>
      </c>
      <c r="CJ657">
        <v>4</v>
      </c>
      <c r="CK657">
        <v>0</v>
      </c>
      <c r="CL657">
        <v>1</v>
      </c>
      <c r="CM657">
        <v>3</v>
      </c>
      <c r="CN657">
        <v>1</v>
      </c>
      <c r="CO657">
        <v>1</v>
      </c>
      <c r="CP657">
        <v>7</v>
      </c>
      <c r="CQ657">
        <v>7</v>
      </c>
      <c r="CR657">
        <v>9</v>
      </c>
      <c r="CS657">
        <v>2</v>
      </c>
      <c r="CT657">
        <v>10</v>
      </c>
      <c r="CU657">
        <v>6</v>
      </c>
      <c r="CV657">
        <v>5</v>
      </c>
      <c r="CW657">
        <v>0</v>
      </c>
      <c r="CX657">
        <v>7</v>
      </c>
      <c r="CY657">
        <v>9</v>
      </c>
      <c r="CZ657">
        <v>8</v>
      </c>
      <c r="DA657">
        <v>6</v>
      </c>
      <c r="DB657">
        <v>3</v>
      </c>
      <c r="DC657">
        <v>7</v>
      </c>
      <c r="DD657">
        <v>0</v>
      </c>
      <c r="DE657">
        <v>7</v>
      </c>
      <c r="DF657">
        <v>7</v>
      </c>
      <c r="DG657">
        <v>6</v>
      </c>
      <c r="DH657">
        <v>4</v>
      </c>
      <c r="DI657">
        <v>6</v>
      </c>
      <c r="DJ657">
        <v>4</v>
      </c>
      <c r="DK657">
        <v>7</v>
      </c>
    </row>
    <row r="658" spans="1:115">
      <c r="A658" s="173">
        <f>Calculations[[#This Row],[Sum t eCO2]]*IF(Calculations[[#This Row],[GHG Scope]]="BIOGENIC",0,1)</f>
        <v>57.682647427368011</v>
      </c>
      <c r="O658">
        <v>1</v>
      </c>
      <c r="P658">
        <v>94</v>
      </c>
      <c r="Q658">
        <v>41</v>
      </c>
      <c r="R658">
        <v>37</v>
      </c>
      <c r="S658">
        <v>90</v>
      </c>
      <c r="T658">
        <v>42</v>
      </c>
      <c r="U658">
        <v>43</v>
      </c>
      <c r="V658">
        <v>49</v>
      </c>
      <c r="W658">
        <v>99</v>
      </c>
      <c r="X658">
        <v>55</v>
      </c>
      <c r="Y658">
        <v>80</v>
      </c>
      <c r="Z658">
        <v>87</v>
      </c>
      <c r="AA658">
        <v>76</v>
      </c>
      <c r="AB658">
        <v>22</v>
      </c>
      <c r="AC658">
        <v>34</v>
      </c>
      <c r="AD658">
        <v>26</v>
      </c>
      <c r="AE658">
        <v>43</v>
      </c>
      <c r="AF658">
        <v>72</v>
      </c>
      <c r="AG658">
        <v>44</v>
      </c>
      <c r="AH658">
        <v>27</v>
      </c>
      <c r="AI658">
        <v>46</v>
      </c>
      <c r="AJ658">
        <v>43</v>
      </c>
      <c r="AK658">
        <v>95</v>
      </c>
      <c r="AL658">
        <v>23</v>
      </c>
      <c r="AM658">
        <v>73</v>
      </c>
      <c r="AN658">
        <v>60</v>
      </c>
      <c r="AO658">
        <v>69</v>
      </c>
      <c r="AP658">
        <v>74</v>
      </c>
      <c r="AQ658">
        <v>96</v>
      </c>
      <c r="AR658">
        <v>96</v>
      </c>
      <c r="AS658">
        <v>70</v>
      </c>
      <c r="AT658">
        <v>70</v>
      </c>
      <c r="AU658">
        <v>53</v>
      </c>
      <c r="AV658">
        <v>75</v>
      </c>
      <c r="AW658">
        <v>15</v>
      </c>
      <c r="AX658">
        <v>76</v>
      </c>
      <c r="AY658">
        <v>24</v>
      </c>
      <c r="AZ658">
        <v>53</v>
      </c>
      <c r="BA658">
        <v>67</v>
      </c>
      <c r="BB658">
        <v>83</v>
      </c>
      <c r="BC658">
        <v>100</v>
      </c>
      <c r="BD658">
        <v>96</v>
      </c>
      <c r="BE658">
        <v>76</v>
      </c>
      <c r="BF658">
        <v>65</v>
      </c>
      <c r="BG658">
        <v>64</v>
      </c>
      <c r="BH658">
        <v>72</v>
      </c>
      <c r="BI658">
        <v>14</v>
      </c>
      <c r="BJ658">
        <v>63</v>
      </c>
      <c r="BK658">
        <v>92</v>
      </c>
      <c r="BL658">
        <v>16</v>
      </c>
      <c r="BM658">
        <v>79</v>
      </c>
      <c r="BN658">
        <v>18</v>
      </c>
      <c r="BO658">
        <v>30</v>
      </c>
      <c r="BP658">
        <v>29</v>
      </c>
      <c r="BQ658">
        <v>54</v>
      </c>
      <c r="BR658">
        <v>48</v>
      </c>
      <c r="BS658">
        <v>89</v>
      </c>
      <c r="BT658">
        <v>47</v>
      </c>
      <c r="BU658">
        <v>29</v>
      </c>
      <c r="BV658">
        <v>46</v>
      </c>
      <c r="BW658">
        <v>79</v>
      </c>
      <c r="BX658">
        <v>51</v>
      </c>
      <c r="BY658">
        <v>22</v>
      </c>
      <c r="BZ658">
        <v>85</v>
      </c>
      <c r="CA658">
        <v>77</v>
      </c>
      <c r="CB658">
        <v>68</v>
      </c>
      <c r="CC658">
        <v>37</v>
      </c>
      <c r="CD658">
        <v>28</v>
      </c>
      <c r="CE658">
        <v>93</v>
      </c>
      <c r="CF658">
        <v>52</v>
      </c>
      <c r="CG658">
        <v>81</v>
      </c>
      <c r="CH658">
        <v>30</v>
      </c>
      <c r="CI658">
        <v>83</v>
      </c>
      <c r="CJ658">
        <v>21</v>
      </c>
      <c r="CK658">
        <v>34</v>
      </c>
      <c r="CL658">
        <v>47</v>
      </c>
      <c r="CM658">
        <v>87</v>
      </c>
      <c r="CN658">
        <v>61</v>
      </c>
      <c r="CO658">
        <v>74</v>
      </c>
      <c r="CP658">
        <v>64</v>
      </c>
      <c r="CQ658">
        <v>25</v>
      </c>
      <c r="CR658">
        <v>51</v>
      </c>
      <c r="CS658">
        <v>26</v>
      </c>
      <c r="CT658">
        <v>37</v>
      </c>
      <c r="CU658">
        <v>39</v>
      </c>
      <c r="CV658">
        <v>91</v>
      </c>
      <c r="CW658">
        <v>74</v>
      </c>
      <c r="CX658">
        <v>93</v>
      </c>
      <c r="CY658">
        <v>14</v>
      </c>
      <c r="CZ658">
        <v>85</v>
      </c>
      <c r="DA658">
        <v>74</v>
      </c>
      <c r="DB658">
        <v>71</v>
      </c>
      <c r="DC658">
        <v>76</v>
      </c>
      <c r="DD658">
        <v>87</v>
      </c>
      <c r="DE658">
        <v>54</v>
      </c>
      <c r="DF658">
        <v>39</v>
      </c>
      <c r="DG658">
        <v>83</v>
      </c>
      <c r="DH658">
        <v>72</v>
      </c>
      <c r="DI658">
        <v>40</v>
      </c>
      <c r="DJ658">
        <v>25</v>
      </c>
      <c r="DK658">
        <v>84</v>
      </c>
    </row>
    <row r="659" spans="1:115">
      <c r="A659" s="173">
        <f>Calculations[[#This Row],[Sum t eCO2]]*IF(Calculations[[#This Row],[GHG Scope]]="BIOGENIC",0,1)</f>
        <v>1.2357370867876969</v>
      </c>
      <c r="O659">
        <f>O658+1</f>
        <v>2</v>
      </c>
      <c r="P659">
        <v>86</v>
      </c>
      <c r="Q659">
        <v>56</v>
      </c>
      <c r="R659">
        <v>34</v>
      </c>
      <c r="S659">
        <v>60</v>
      </c>
      <c r="T659">
        <v>63</v>
      </c>
      <c r="U659">
        <v>77</v>
      </c>
      <c r="V659">
        <v>83</v>
      </c>
      <c r="W659">
        <v>42</v>
      </c>
      <c r="X659">
        <v>42</v>
      </c>
      <c r="Y659">
        <v>89</v>
      </c>
      <c r="Z659">
        <v>15</v>
      </c>
      <c r="AA659">
        <v>33</v>
      </c>
      <c r="AB659">
        <v>74</v>
      </c>
      <c r="AC659">
        <v>100</v>
      </c>
      <c r="AD659">
        <v>56</v>
      </c>
      <c r="AE659">
        <v>19</v>
      </c>
      <c r="AF659">
        <v>10</v>
      </c>
      <c r="AG659">
        <v>85</v>
      </c>
      <c r="AH659">
        <v>65</v>
      </c>
      <c r="AI659">
        <v>47</v>
      </c>
      <c r="AJ659">
        <v>31</v>
      </c>
      <c r="AK659">
        <v>47</v>
      </c>
      <c r="AL659">
        <v>47</v>
      </c>
      <c r="AM659">
        <v>95</v>
      </c>
      <c r="AN659">
        <v>83</v>
      </c>
      <c r="AO659">
        <v>96</v>
      </c>
      <c r="AP659">
        <v>98</v>
      </c>
      <c r="AQ659">
        <v>53</v>
      </c>
      <c r="AR659">
        <v>38</v>
      </c>
      <c r="AS659">
        <v>26</v>
      </c>
      <c r="AT659">
        <v>58</v>
      </c>
      <c r="AU659">
        <v>79</v>
      </c>
      <c r="AV659">
        <v>45</v>
      </c>
      <c r="AW659">
        <v>87</v>
      </c>
      <c r="AX659">
        <v>94</v>
      </c>
      <c r="AY659">
        <v>74</v>
      </c>
      <c r="AZ659">
        <v>71</v>
      </c>
      <c r="BA659">
        <v>58</v>
      </c>
      <c r="BB659">
        <v>42</v>
      </c>
      <c r="BC659">
        <v>24</v>
      </c>
      <c r="BD659">
        <v>77</v>
      </c>
      <c r="BE659">
        <v>10</v>
      </c>
      <c r="BF659">
        <v>18</v>
      </c>
      <c r="BG659">
        <v>71</v>
      </c>
      <c r="BH659">
        <v>38</v>
      </c>
      <c r="BI659">
        <v>62</v>
      </c>
      <c r="BJ659">
        <v>34</v>
      </c>
      <c r="BK659">
        <v>89</v>
      </c>
      <c r="BL659">
        <v>38</v>
      </c>
      <c r="BM659">
        <v>78</v>
      </c>
      <c r="BN659">
        <v>70</v>
      </c>
      <c r="BO659">
        <v>32</v>
      </c>
      <c r="BP659">
        <v>31</v>
      </c>
      <c r="BQ659">
        <v>36</v>
      </c>
      <c r="BR659">
        <v>70</v>
      </c>
      <c r="BS659">
        <v>94</v>
      </c>
      <c r="BT659">
        <v>29</v>
      </c>
      <c r="BU659">
        <v>38</v>
      </c>
      <c r="BV659">
        <v>25</v>
      </c>
      <c r="BW659">
        <v>88</v>
      </c>
      <c r="BX659">
        <v>53</v>
      </c>
      <c r="BY659">
        <v>84</v>
      </c>
      <c r="BZ659">
        <v>55</v>
      </c>
      <c r="CA659">
        <v>58</v>
      </c>
      <c r="CB659">
        <v>72</v>
      </c>
      <c r="CC659">
        <v>78</v>
      </c>
      <c r="CD659">
        <v>57</v>
      </c>
      <c r="CE659">
        <v>99</v>
      </c>
      <c r="CF659">
        <v>89</v>
      </c>
      <c r="CG659">
        <v>22</v>
      </c>
      <c r="CH659">
        <v>59</v>
      </c>
      <c r="CI659">
        <v>56</v>
      </c>
      <c r="CJ659">
        <v>25</v>
      </c>
      <c r="CK659">
        <v>20</v>
      </c>
      <c r="CL659">
        <v>82</v>
      </c>
      <c r="CM659">
        <v>56</v>
      </c>
      <c r="CN659">
        <v>87</v>
      </c>
      <c r="CO659">
        <v>13</v>
      </c>
      <c r="CP659">
        <v>54</v>
      </c>
      <c r="CQ659">
        <v>73</v>
      </c>
      <c r="CR659">
        <v>47</v>
      </c>
      <c r="CS659">
        <v>15</v>
      </c>
      <c r="CT659">
        <v>62</v>
      </c>
      <c r="CU659">
        <v>92</v>
      </c>
      <c r="CV659">
        <v>33</v>
      </c>
      <c r="CW659">
        <v>59</v>
      </c>
      <c r="CX659">
        <v>90</v>
      </c>
      <c r="CY659">
        <v>81</v>
      </c>
      <c r="CZ659">
        <v>99</v>
      </c>
      <c r="DA659">
        <v>42</v>
      </c>
      <c r="DB659">
        <v>92</v>
      </c>
      <c r="DC659">
        <v>66</v>
      </c>
      <c r="DD659">
        <v>80</v>
      </c>
      <c r="DE659">
        <v>35</v>
      </c>
      <c r="DF659">
        <v>22</v>
      </c>
      <c r="DG659">
        <v>20</v>
      </c>
      <c r="DH659">
        <v>86</v>
      </c>
      <c r="DI659">
        <v>22</v>
      </c>
      <c r="DJ659">
        <v>65</v>
      </c>
      <c r="DK659">
        <v>67</v>
      </c>
    </row>
    <row r="660" spans="1:115">
      <c r="A660" s="173">
        <f>Calculations[[#This Row],[Sum t eCO2]]*IF(Calculations[[#This Row],[GHG Scope]]="BIOGENIC",0,1)</f>
        <v>8.6651886796227154E-4</v>
      </c>
      <c r="O660">
        <f t="shared" ref="O660:O723" si="11">O659+1</f>
        <v>3</v>
      </c>
      <c r="P660">
        <v>61</v>
      </c>
      <c r="Q660">
        <v>22</v>
      </c>
      <c r="R660">
        <v>97</v>
      </c>
      <c r="S660">
        <v>100</v>
      </c>
      <c r="T660">
        <v>80</v>
      </c>
      <c r="U660">
        <v>24</v>
      </c>
      <c r="V660">
        <v>27</v>
      </c>
      <c r="W660">
        <v>37</v>
      </c>
      <c r="X660">
        <v>82</v>
      </c>
      <c r="Y660">
        <v>71</v>
      </c>
      <c r="Z660">
        <v>94</v>
      </c>
      <c r="AA660">
        <v>37</v>
      </c>
      <c r="AB660">
        <v>13</v>
      </c>
      <c r="AC660">
        <v>67</v>
      </c>
      <c r="AD660">
        <v>89</v>
      </c>
      <c r="AE660">
        <v>70</v>
      </c>
      <c r="AF660">
        <v>24</v>
      </c>
      <c r="AG660">
        <v>53</v>
      </c>
      <c r="AH660">
        <v>53</v>
      </c>
      <c r="AI660">
        <v>38</v>
      </c>
      <c r="AJ660">
        <v>31</v>
      </c>
      <c r="AK660">
        <v>26</v>
      </c>
      <c r="AL660">
        <v>89</v>
      </c>
      <c r="AM660">
        <v>72</v>
      </c>
      <c r="AN660">
        <v>32</v>
      </c>
      <c r="AO660">
        <v>97</v>
      </c>
      <c r="AP660">
        <v>23</v>
      </c>
      <c r="AQ660">
        <v>96</v>
      </c>
      <c r="AR660">
        <v>62</v>
      </c>
      <c r="AS660">
        <v>34</v>
      </c>
      <c r="AT660">
        <v>35</v>
      </c>
      <c r="AU660">
        <v>37</v>
      </c>
      <c r="AV660">
        <v>95</v>
      </c>
      <c r="AW660">
        <v>20</v>
      </c>
      <c r="AX660">
        <v>10</v>
      </c>
      <c r="AY660">
        <v>53</v>
      </c>
      <c r="AZ660">
        <v>87</v>
      </c>
      <c r="BA660">
        <v>93</v>
      </c>
      <c r="BB660">
        <v>78</v>
      </c>
      <c r="BC660">
        <v>65</v>
      </c>
      <c r="BD660">
        <v>23</v>
      </c>
      <c r="BE660">
        <v>43</v>
      </c>
      <c r="BF660">
        <v>43</v>
      </c>
      <c r="BG660">
        <v>40</v>
      </c>
      <c r="BH660">
        <v>48</v>
      </c>
      <c r="BI660">
        <v>49</v>
      </c>
      <c r="BJ660">
        <v>20</v>
      </c>
      <c r="BK660">
        <v>47</v>
      </c>
      <c r="BL660">
        <v>36</v>
      </c>
      <c r="BM660">
        <v>12</v>
      </c>
      <c r="BN660">
        <v>92</v>
      </c>
      <c r="BO660">
        <v>46</v>
      </c>
      <c r="BP660">
        <v>65</v>
      </c>
      <c r="BQ660">
        <v>83</v>
      </c>
      <c r="BR660">
        <v>15</v>
      </c>
      <c r="BS660">
        <v>79</v>
      </c>
      <c r="BT660">
        <v>18</v>
      </c>
      <c r="BU660">
        <v>59</v>
      </c>
      <c r="BV660">
        <v>63</v>
      </c>
      <c r="BW660">
        <v>33</v>
      </c>
      <c r="BX660">
        <v>54</v>
      </c>
      <c r="BY660">
        <v>58</v>
      </c>
      <c r="BZ660">
        <v>98</v>
      </c>
      <c r="CA660">
        <v>93</v>
      </c>
      <c r="CB660">
        <v>58</v>
      </c>
      <c r="CC660">
        <v>35</v>
      </c>
      <c r="CD660">
        <v>53</v>
      </c>
      <c r="CE660">
        <v>87</v>
      </c>
      <c r="CF660">
        <v>90</v>
      </c>
      <c r="CG660">
        <v>28</v>
      </c>
      <c r="CH660">
        <v>31</v>
      </c>
      <c r="CI660">
        <v>67</v>
      </c>
      <c r="CJ660">
        <v>10</v>
      </c>
      <c r="CK660">
        <v>29</v>
      </c>
      <c r="CL660">
        <v>35</v>
      </c>
      <c r="CM660">
        <v>58</v>
      </c>
      <c r="CN660">
        <v>33</v>
      </c>
      <c r="CO660">
        <v>58</v>
      </c>
      <c r="CP660">
        <v>70</v>
      </c>
      <c r="CQ660">
        <v>13</v>
      </c>
      <c r="CR660">
        <v>31</v>
      </c>
      <c r="CS660">
        <v>62</v>
      </c>
      <c r="CT660">
        <v>37</v>
      </c>
      <c r="CU660">
        <v>70</v>
      </c>
      <c r="CV660">
        <v>30</v>
      </c>
      <c r="CW660">
        <v>68</v>
      </c>
      <c r="CX660">
        <v>21</v>
      </c>
      <c r="CY660">
        <v>57</v>
      </c>
      <c r="CZ660">
        <v>73</v>
      </c>
      <c r="DA660">
        <v>38</v>
      </c>
      <c r="DB660">
        <v>79</v>
      </c>
      <c r="DC660">
        <v>13</v>
      </c>
      <c r="DD660">
        <v>76</v>
      </c>
      <c r="DE660">
        <v>98</v>
      </c>
      <c r="DF660">
        <v>54</v>
      </c>
      <c r="DG660">
        <v>46</v>
      </c>
      <c r="DH660">
        <v>88</v>
      </c>
      <c r="DI660">
        <v>51</v>
      </c>
      <c r="DJ660">
        <v>11</v>
      </c>
      <c r="DK660">
        <v>86</v>
      </c>
    </row>
    <row r="661" spans="1:115">
      <c r="A661" s="173">
        <f>Calculations[[#This Row],[Sum t eCO2]]*IF(Calculations[[#This Row],[GHG Scope]]="BIOGENIC",0,1)</f>
        <v>3.3767758014870753E-3</v>
      </c>
      <c r="O661">
        <f t="shared" si="11"/>
        <v>4</v>
      </c>
      <c r="P661">
        <v>70</v>
      </c>
      <c r="Q661">
        <v>40</v>
      </c>
      <c r="R661">
        <v>27</v>
      </c>
      <c r="S661">
        <v>49</v>
      </c>
      <c r="T661">
        <v>69</v>
      </c>
      <c r="U661">
        <v>39</v>
      </c>
      <c r="V661">
        <v>24</v>
      </c>
      <c r="W661">
        <v>48</v>
      </c>
      <c r="X661">
        <v>90</v>
      </c>
      <c r="Y661">
        <v>90</v>
      </c>
      <c r="Z661">
        <v>11</v>
      </c>
      <c r="AA661">
        <v>55</v>
      </c>
      <c r="AB661">
        <v>49</v>
      </c>
      <c r="AC661">
        <v>62</v>
      </c>
      <c r="AD661">
        <v>70</v>
      </c>
      <c r="AE661">
        <v>20</v>
      </c>
      <c r="AF661">
        <v>46</v>
      </c>
      <c r="AG661">
        <v>54</v>
      </c>
      <c r="AH661">
        <v>88</v>
      </c>
      <c r="AI661">
        <v>96</v>
      </c>
      <c r="AJ661">
        <v>89</v>
      </c>
      <c r="AK661">
        <v>23</v>
      </c>
      <c r="AL661">
        <v>58</v>
      </c>
      <c r="AM661">
        <v>44</v>
      </c>
      <c r="AN661">
        <v>87</v>
      </c>
      <c r="AO661">
        <v>97</v>
      </c>
      <c r="AP661">
        <v>29</v>
      </c>
      <c r="AQ661">
        <v>62</v>
      </c>
      <c r="AR661">
        <v>78</v>
      </c>
      <c r="AS661">
        <v>14</v>
      </c>
      <c r="AT661">
        <v>63</v>
      </c>
      <c r="AU661">
        <v>43</v>
      </c>
      <c r="AV661">
        <v>90</v>
      </c>
      <c r="AW661">
        <v>94</v>
      </c>
      <c r="AX661">
        <v>87</v>
      </c>
      <c r="AY661">
        <v>13</v>
      </c>
      <c r="AZ661">
        <v>14</v>
      </c>
      <c r="BA661">
        <v>53</v>
      </c>
      <c r="BB661">
        <v>71</v>
      </c>
      <c r="BC661">
        <v>52</v>
      </c>
      <c r="BD661">
        <v>40</v>
      </c>
      <c r="BE661">
        <v>19</v>
      </c>
      <c r="BF661">
        <v>34</v>
      </c>
      <c r="BG661">
        <v>60</v>
      </c>
      <c r="BH661">
        <v>54</v>
      </c>
      <c r="BI661">
        <v>82</v>
      </c>
      <c r="BJ661">
        <v>25</v>
      </c>
      <c r="BK661">
        <v>43</v>
      </c>
      <c r="BL661">
        <v>11</v>
      </c>
      <c r="BM661">
        <v>38</v>
      </c>
      <c r="BN661">
        <v>40</v>
      </c>
      <c r="BO661">
        <v>61</v>
      </c>
      <c r="BP661">
        <v>46</v>
      </c>
      <c r="BQ661">
        <v>83</v>
      </c>
      <c r="BR661">
        <v>90</v>
      </c>
      <c r="BS661">
        <v>74</v>
      </c>
      <c r="BT661">
        <v>69</v>
      </c>
      <c r="BU661">
        <v>54</v>
      </c>
      <c r="BV661">
        <v>49</v>
      </c>
      <c r="BW661">
        <v>73</v>
      </c>
      <c r="BX661">
        <v>84</v>
      </c>
      <c r="BY661">
        <v>10</v>
      </c>
      <c r="BZ661">
        <v>89</v>
      </c>
      <c r="CA661">
        <v>54</v>
      </c>
      <c r="CB661">
        <v>78</v>
      </c>
      <c r="CC661">
        <v>91</v>
      </c>
      <c r="CD661">
        <v>68</v>
      </c>
      <c r="CE661">
        <v>80</v>
      </c>
      <c r="CF661">
        <v>30</v>
      </c>
      <c r="CG661">
        <v>94</v>
      </c>
      <c r="CH661">
        <v>14</v>
      </c>
      <c r="CI661">
        <v>99</v>
      </c>
      <c r="CJ661">
        <v>70</v>
      </c>
      <c r="CK661">
        <v>69</v>
      </c>
      <c r="CL661">
        <v>24</v>
      </c>
      <c r="CM661">
        <v>55</v>
      </c>
      <c r="CN661">
        <v>71</v>
      </c>
      <c r="CO661">
        <v>45</v>
      </c>
      <c r="CP661">
        <v>99</v>
      </c>
      <c r="CQ661">
        <v>99</v>
      </c>
      <c r="CR661">
        <v>73</v>
      </c>
      <c r="CS661">
        <v>11</v>
      </c>
      <c r="CT661">
        <v>25</v>
      </c>
      <c r="CU661">
        <v>81</v>
      </c>
      <c r="CV661">
        <v>78</v>
      </c>
      <c r="CW661">
        <v>15</v>
      </c>
      <c r="CX661">
        <v>32</v>
      </c>
      <c r="CY661">
        <v>99</v>
      </c>
      <c r="CZ661">
        <v>85</v>
      </c>
      <c r="DA661">
        <v>73</v>
      </c>
      <c r="DB661">
        <v>81</v>
      </c>
      <c r="DC661">
        <v>48</v>
      </c>
      <c r="DD661">
        <v>59</v>
      </c>
      <c r="DE661">
        <v>17</v>
      </c>
      <c r="DF661">
        <v>52</v>
      </c>
      <c r="DG661">
        <v>32</v>
      </c>
      <c r="DH661">
        <v>53</v>
      </c>
      <c r="DI661">
        <v>86</v>
      </c>
      <c r="DJ661">
        <v>60</v>
      </c>
      <c r="DK661">
        <v>83</v>
      </c>
    </row>
    <row r="662" spans="1:115">
      <c r="A662" s="173">
        <f>Calculations[[#This Row],[Sum t eCO2]]*IF(Calculations[[#This Row],[GHG Scope]]="BIOGENIC",0,1)</f>
        <v>0.21353525121549982</v>
      </c>
      <c r="O662">
        <f t="shared" si="11"/>
        <v>5</v>
      </c>
      <c r="P662">
        <v>89</v>
      </c>
      <c r="Q662">
        <v>47</v>
      </c>
      <c r="R662">
        <v>27</v>
      </c>
      <c r="S662">
        <v>71</v>
      </c>
      <c r="T662">
        <v>82</v>
      </c>
      <c r="U662">
        <v>11</v>
      </c>
      <c r="V662">
        <v>75</v>
      </c>
      <c r="W662">
        <v>71</v>
      </c>
      <c r="X662">
        <v>17</v>
      </c>
      <c r="Y662">
        <v>29</v>
      </c>
      <c r="Z662">
        <v>66</v>
      </c>
      <c r="AA662">
        <v>80</v>
      </c>
      <c r="AB662">
        <v>85</v>
      </c>
      <c r="AC662">
        <v>97</v>
      </c>
      <c r="AD662">
        <v>34</v>
      </c>
      <c r="AE662">
        <v>60</v>
      </c>
      <c r="AF662">
        <v>15</v>
      </c>
      <c r="AG662">
        <v>81</v>
      </c>
      <c r="AH662">
        <v>95</v>
      </c>
      <c r="AI662">
        <v>97</v>
      </c>
      <c r="AJ662">
        <v>23</v>
      </c>
      <c r="AK662">
        <v>36</v>
      </c>
      <c r="AL662">
        <v>40</v>
      </c>
      <c r="AM662">
        <v>20</v>
      </c>
      <c r="AN662">
        <v>35</v>
      </c>
      <c r="AO662">
        <v>23</v>
      </c>
      <c r="AP662">
        <v>43</v>
      </c>
      <c r="AQ662">
        <v>78</v>
      </c>
      <c r="AR662">
        <v>57</v>
      </c>
      <c r="AS662">
        <v>30</v>
      </c>
      <c r="AT662">
        <v>27</v>
      </c>
      <c r="AU662">
        <v>29</v>
      </c>
      <c r="AV662">
        <v>58</v>
      </c>
      <c r="AW662">
        <v>83</v>
      </c>
      <c r="AX662">
        <v>51</v>
      </c>
      <c r="AY662">
        <v>96</v>
      </c>
      <c r="AZ662">
        <v>71</v>
      </c>
      <c r="BA662">
        <v>48</v>
      </c>
      <c r="BB662">
        <v>73</v>
      </c>
      <c r="BC662">
        <v>91</v>
      </c>
      <c r="BD662">
        <v>82</v>
      </c>
      <c r="BE662">
        <v>46</v>
      </c>
      <c r="BF662">
        <v>85</v>
      </c>
      <c r="BG662">
        <v>80</v>
      </c>
      <c r="BH662">
        <v>89</v>
      </c>
      <c r="BI662">
        <v>81</v>
      </c>
      <c r="BJ662">
        <v>82</v>
      </c>
      <c r="BK662">
        <v>59</v>
      </c>
      <c r="BL662">
        <v>79</v>
      </c>
      <c r="BM662">
        <v>19</v>
      </c>
      <c r="BN662">
        <v>38</v>
      </c>
      <c r="BO662">
        <v>30</v>
      </c>
      <c r="BP662">
        <v>35</v>
      </c>
      <c r="BQ662">
        <v>22</v>
      </c>
      <c r="BR662">
        <v>62</v>
      </c>
      <c r="BS662">
        <v>57</v>
      </c>
      <c r="BT662">
        <v>11</v>
      </c>
      <c r="BU662">
        <v>54</v>
      </c>
      <c r="BV662">
        <v>80</v>
      </c>
      <c r="BW662">
        <v>79</v>
      </c>
      <c r="BX662">
        <v>24</v>
      </c>
      <c r="BY662">
        <v>45</v>
      </c>
      <c r="BZ662">
        <v>48</v>
      </c>
      <c r="CA662">
        <v>65</v>
      </c>
      <c r="CB662">
        <v>70</v>
      </c>
      <c r="CC662">
        <v>56</v>
      </c>
      <c r="CD662">
        <v>45</v>
      </c>
      <c r="CE662">
        <v>93</v>
      </c>
      <c r="CF662">
        <v>76</v>
      </c>
      <c r="CG662">
        <v>94</v>
      </c>
      <c r="CH662">
        <v>14</v>
      </c>
      <c r="CI662">
        <v>94</v>
      </c>
      <c r="CJ662">
        <v>74</v>
      </c>
      <c r="CK662">
        <v>12</v>
      </c>
      <c r="CL662">
        <v>87</v>
      </c>
      <c r="CM662">
        <v>61</v>
      </c>
      <c r="CN662">
        <v>80</v>
      </c>
      <c r="CO662">
        <v>80</v>
      </c>
      <c r="CP662">
        <v>34</v>
      </c>
      <c r="CQ662">
        <v>21</v>
      </c>
      <c r="CR662">
        <v>13</v>
      </c>
      <c r="CS662">
        <v>82</v>
      </c>
      <c r="CT662">
        <v>37</v>
      </c>
      <c r="CU662">
        <v>46</v>
      </c>
      <c r="CV662">
        <v>14</v>
      </c>
      <c r="CW662">
        <v>77</v>
      </c>
      <c r="CX662">
        <v>79</v>
      </c>
      <c r="CY662">
        <v>75</v>
      </c>
      <c r="CZ662">
        <v>48</v>
      </c>
      <c r="DA662">
        <v>56</v>
      </c>
      <c r="DB662">
        <v>98</v>
      </c>
      <c r="DC662">
        <v>68</v>
      </c>
      <c r="DD662">
        <v>73</v>
      </c>
      <c r="DE662">
        <v>62</v>
      </c>
      <c r="DF662">
        <v>53</v>
      </c>
      <c r="DG662">
        <v>69</v>
      </c>
      <c r="DH662">
        <v>53</v>
      </c>
      <c r="DI662">
        <v>46</v>
      </c>
      <c r="DJ662">
        <v>66</v>
      </c>
      <c r="DK662">
        <v>28</v>
      </c>
    </row>
    <row r="663" spans="1:115">
      <c r="A663" s="173">
        <f>Calculations[[#This Row],[Sum t eCO2]]*IF(Calculations[[#This Row],[GHG Scope]]="BIOGENIC",0,1)</f>
        <v>195.20846132869534</v>
      </c>
      <c r="O663">
        <f t="shared" si="11"/>
        <v>6</v>
      </c>
      <c r="P663">
        <v>18</v>
      </c>
      <c r="Q663">
        <v>77</v>
      </c>
      <c r="R663">
        <v>63</v>
      </c>
      <c r="S663">
        <v>95</v>
      </c>
      <c r="T663">
        <v>94</v>
      </c>
      <c r="U663">
        <v>33</v>
      </c>
      <c r="V663">
        <v>89</v>
      </c>
      <c r="W663">
        <v>37</v>
      </c>
      <c r="X663">
        <v>76</v>
      </c>
      <c r="Y663">
        <v>27</v>
      </c>
      <c r="Z663">
        <v>74</v>
      </c>
      <c r="AA663">
        <v>18</v>
      </c>
      <c r="AB663">
        <v>13</v>
      </c>
      <c r="AC663">
        <v>10</v>
      </c>
      <c r="AD663">
        <v>65</v>
      </c>
      <c r="AE663">
        <v>94</v>
      </c>
      <c r="AF663">
        <v>46</v>
      </c>
      <c r="AG663">
        <v>47</v>
      </c>
      <c r="AH663">
        <v>53</v>
      </c>
      <c r="AI663">
        <v>23</v>
      </c>
      <c r="AJ663">
        <v>53</v>
      </c>
      <c r="AK663">
        <v>15</v>
      </c>
      <c r="AL663">
        <v>44</v>
      </c>
      <c r="AM663">
        <v>86</v>
      </c>
      <c r="AN663">
        <v>14</v>
      </c>
      <c r="AO663">
        <v>10</v>
      </c>
      <c r="AP663">
        <v>83</v>
      </c>
      <c r="AQ663">
        <v>41</v>
      </c>
      <c r="AR663">
        <v>31</v>
      </c>
      <c r="AS663">
        <v>15</v>
      </c>
      <c r="AT663">
        <v>22</v>
      </c>
      <c r="AU663">
        <v>26</v>
      </c>
      <c r="AV663">
        <v>20</v>
      </c>
      <c r="AW663">
        <v>49</v>
      </c>
      <c r="AX663">
        <v>68</v>
      </c>
      <c r="AY663">
        <v>42</v>
      </c>
      <c r="AZ663">
        <v>80</v>
      </c>
      <c r="BA663">
        <v>63</v>
      </c>
      <c r="BB663">
        <v>25</v>
      </c>
      <c r="BC663">
        <v>78</v>
      </c>
      <c r="BD663">
        <v>20</v>
      </c>
      <c r="BE663">
        <v>45</v>
      </c>
      <c r="BF663">
        <v>48</v>
      </c>
      <c r="BG663">
        <v>96</v>
      </c>
      <c r="BH663">
        <v>55</v>
      </c>
      <c r="BI663">
        <v>92</v>
      </c>
      <c r="BJ663">
        <v>94</v>
      </c>
      <c r="BK663">
        <v>20</v>
      </c>
      <c r="BL663">
        <v>54</v>
      </c>
      <c r="BM663">
        <v>59</v>
      </c>
      <c r="BN663">
        <v>10</v>
      </c>
      <c r="BO663">
        <v>95</v>
      </c>
      <c r="BP663">
        <v>24</v>
      </c>
      <c r="BQ663">
        <v>83</v>
      </c>
      <c r="BR663">
        <v>54</v>
      </c>
      <c r="BS663">
        <v>25</v>
      </c>
      <c r="BT663">
        <v>29</v>
      </c>
      <c r="BU663">
        <v>99</v>
      </c>
      <c r="BV663">
        <v>49</v>
      </c>
      <c r="BW663">
        <v>21</v>
      </c>
      <c r="BX663">
        <v>73</v>
      </c>
      <c r="BY663">
        <v>54</v>
      </c>
      <c r="BZ663">
        <v>27</v>
      </c>
      <c r="CA663">
        <v>79</v>
      </c>
      <c r="CB663">
        <v>50</v>
      </c>
      <c r="CC663">
        <v>51</v>
      </c>
      <c r="CD663">
        <v>15</v>
      </c>
      <c r="CE663">
        <v>98</v>
      </c>
      <c r="CF663">
        <v>81</v>
      </c>
      <c r="CG663">
        <v>74</v>
      </c>
      <c r="CH663">
        <v>61</v>
      </c>
      <c r="CI663">
        <v>91</v>
      </c>
      <c r="CJ663">
        <v>84</v>
      </c>
      <c r="CK663">
        <v>26</v>
      </c>
      <c r="CL663">
        <v>63</v>
      </c>
      <c r="CM663">
        <v>90</v>
      </c>
      <c r="CN663">
        <v>100</v>
      </c>
      <c r="CO663">
        <v>87</v>
      </c>
      <c r="CP663">
        <v>65</v>
      </c>
      <c r="CQ663">
        <v>25</v>
      </c>
      <c r="CR663">
        <v>81</v>
      </c>
      <c r="CS663">
        <v>52</v>
      </c>
      <c r="CT663">
        <v>88</v>
      </c>
      <c r="CU663">
        <v>71</v>
      </c>
      <c r="CV663">
        <v>75</v>
      </c>
      <c r="CW663">
        <v>26</v>
      </c>
      <c r="CX663">
        <v>68</v>
      </c>
      <c r="CY663">
        <v>77</v>
      </c>
      <c r="CZ663">
        <v>27</v>
      </c>
      <c r="DA663">
        <v>67</v>
      </c>
      <c r="DB663">
        <v>32</v>
      </c>
      <c r="DC663">
        <v>72</v>
      </c>
      <c r="DD663">
        <v>37</v>
      </c>
      <c r="DE663">
        <v>45</v>
      </c>
      <c r="DF663">
        <v>76</v>
      </c>
      <c r="DG663">
        <v>98</v>
      </c>
      <c r="DH663">
        <v>79</v>
      </c>
      <c r="DI663">
        <v>35</v>
      </c>
      <c r="DJ663">
        <v>86</v>
      </c>
      <c r="DK663">
        <v>77</v>
      </c>
    </row>
    <row r="664" spans="1:115">
      <c r="A664" s="173">
        <f>Calculations[[#This Row],[Sum t eCO2]]*IF(Calculations[[#This Row],[GHG Scope]]="BIOGENIC",0,1)</f>
        <v>0.13688333605565625</v>
      </c>
      <c r="O664">
        <f t="shared" si="11"/>
        <v>7</v>
      </c>
      <c r="P664">
        <v>91</v>
      </c>
      <c r="Q664">
        <v>90</v>
      </c>
      <c r="R664">
        <v>93</v>
      </c>
      <c r="S664">
        <v>80</v>
      </c>
      <c r="T664">
        <v>84</v>
      </c>
      <c r="U664">
        <v>40</v>
      </c>
      <c r="V664">
        <v>93</v>
      </c>
      <c r="W664">
        <v>99</v>
      </c>
      <c r="X664">
        <v>60</v>
      </c>
      <c r="Y664">
        <v>16</v>
      </c>
      <c r="Z664">
        <v>13</v>
      </c>
      <c r="AA664">
        <v>40</v>
      </c>
      <c r="AB664">
        <v>49</v>
      </c>
      <c r="AC664">
        <v>79</v>
      </c>
      <c r="AD664">
        <v>21</v>
      </c>
      <c r="AE664">
        <v>73</v>
      </c>
      <c r="AF664">
        <v>72</v>
      </c>
      <c r="AG664">
        <v>35</v>
      </c>
      <c r="AH664">
        <v>30</v>
      </c>
      <c r="AI664">
        <v>51</v>
      </c>
      <c r="AJ664">
        <v>73</v>
      </c>
      <c r="AK664">
        <v>86</v>
      </c>
      <c r="AL664">
        <v>50</v>
      </c>
      <c r="AM664">
        <v>32</v>
      </c>
      <c r="AN664">
        <v>60</v>
      </c>
      <c r="AO664">
        <v>25</v>
      </c>
      <c r="AP664">
        <v>45</v>
      </c>
      <c r="AQ664">
        <v>95</v>
      </c>
      <c r="AR664">
        <v>72</v>
      </c>
      <c r="AS664">
        <v>76</v>
      </c>
      <c r="AT664">
        <v>55</v>
      </c>
      <c r="AU664">
        <v>67</v>
      </c>
      <c r="AV664">
        <v>31</v>
      </c>
      <c r="AW664">
        <v>82</v>
      </c>
      <c r="AX664">
        <v>46</v>
      </c>
      <c r="AY664">
        <v>100</v>
      </c>
      <c r="AZ664">
        <v>93</v>
      </c>
      <c r="BA664">
        <v>92</v>
      </c>
      <c r="BB664">
        <v>100</v>
      </c>
      <c r="BC664">
        <v>75</v>
      </c>
      <c r="BD664">
        <v>69</v>
      </c>
      <c r="BE664">
        <v>32</v>
      </c>
      <c r="BF664">
        <v>24</v>
      </c>
      <c r="BG664">
        <v>32</v>
      </c>
      <c r="BH664">
        <v>84</v>
      </c>
      <c r="BI664">
        <v>24</v>
      </c>
      <c r="BJ664">
        <v>86</v>
      </c>
      <c r="BK664">
        <v>96</v>
      </c>
      <c r="BL664">
        <v>64</v>
      </c>
      <c r="BM664">
        <v>24</v>
      </c>
      <c r="BN664">
        <v>24</v>
      </c>
      <c r="BO664">
        <v>15</v>
      </c>
      <c r="BP664">
        <v>10</v>
      </c>
      <c r="BQ664">
        <v>100</v>
      </c>
      <c r="BR664">
        <v>76</v>
      </c>
      <c r="BS664">
        <v>36</v>
      </c>
      <c r="BT664">
        <v>69</v>
      </c>
      <c r="BU664">
        <v>31</v>
      </c>
      <c r="BV664">
        <v>70</v>
      </c>
      <c r="BW664">
        <v>98</v>
      </c>
      <c r="BX664">
        <v>11</v>
      </c>
      <c r="BY664">
        <v>27</v>
      </c>
      <c r="BZ664">
        <v>37</v>
      </c>
      <c r="CA664">
        <v>31</v>
      </c>
      <c r="CB664">
        <v>24</v>
      </c>
      <c r="CC664">
        <v>58</v>
      </c>
      <c r="CD664">
        <v>16</v>
      </c>
      <c r="CE664">
        <v>31</v>
      </c>
      <c r="CF664">
        <v>14</v>
      </c>
      <c r="CG664">
        <v>15</v>
      </c>
      <c r="CH664">
        <v>58</v>
      </c>
      <c r="CI664">
        <v>66</v>
      </c>
      <c r="CJ664">
        <v>32</v>
      </c>
      <c r="CK664">
        <v>85</v>
      </c>
      <c r="CL664">
        <v>98</v>
      </c>
      <c r="CM664">
        <v>80</v>
      </c>
      <c r="CN664">
        <v>66</v>
      </c>
      <c r="CO664">
        <v>66</v>
      </c>
      <c r="CP664">
        <v>35</v>
      </c>
      <c r="CQ664">
        <v>27</v>
      </c>
      <c r="CR664">
        <v>98</v>
      </c>
      <c r="CS664">
        <v>91</v>
      </c>
      <c r="CT664">
        <v>88</v>
      </c>
      <c r="CU664">
        <v>16</v>
      </c>
      <c r="CV664">
        <v>54</v>
      </c>
      <c r="CW664">
        <v>39</v>
      </c>
      <c r="CX664">
        <v>62</v>
      </c>
      <c r="CY664">
        <v>98</v>
      </c>
      <c r="CZ664">
        <v>69</v>
      </c>
      <c r="DA664">
        <v>77</v>
      </c>
      <c r="DB664">
        <v>78</v>
      </c>
      <c r="DC664">
        <v>15</v>
      </c>
      <c r="DD664">
        <v>64</v>
      </c>
      <c r="DE664">
        <v>92</v>
      </c>
      <c r="DF664">
        <v>33</v>
      </c>
      <c r="DG664">
        <v>45</v>
      </c>
      <c r="DH664">
        <v>41</v>
      </c>
      <c r="DI664">
        <v>91</v>
      </c>
      <c r="DJ664">
        <v>67</v>
      </c>
      <c r="DK664">
        <v>37</v>
      </c>
    </row>
    <row r="665" spans="1:115">
      <c r="A665" s="173">
        <f>Calculations[[#This Row],[Sum t eCO2]]*IF(Calculations[[#This Row],[GHG Scope]]="BIOGENIC",0,1)</f>
        <v>0.53342674223187103</v>
      </c>
      <c r="O665">
        <f t="shared" si="11"/>
        <v>8</v>
      </c>
      <c r="P665">
        <v>66</v>
      </c>
      <c r="Q665">
        <v>42</v>
      </c>
      <c r="R665">
        <v>42</v>
      </c>
      <c r="S665">
        <v>24</v>
      </c>
      <c r="T665">
        <v>91</v>
      </c>
      <c r="U665">
        <v>12</v>
      </c>
      <c r="V665">
        <v>73</v>
      </c>
      <c r="W665">
        <v>52</v>
      </c>
      <c r="X665">
        <v>29</v>
      </c>
      <c r="Y665">
        <v>90</v>
      </c>
      <c r="Z665">
        <v>80</v>
      </c>
      <c r="AA665">
        <v>91</v>
      </c>
      <c r="AB665">
        <v>92</v>
      </c>
      <c r="AC665">
        <v>67</v>
      </c>
      <c r="AD665">
        <v>44</v>
      </c>
      <c r="AE665">
        <v>22</v>
      </c>
      <c r="AF665">
        <v>26</v>
      </c>
      <c r="AG665">
        <v>13</v>
      </c>
      <c r="AH665">
        <v>92</v>
      </c>
      <c r="AI665">
        <v>22</v>
      </c>
      <c r="AJ665">
        <v>14</v>
      </c>
      <c r="AK665">
        <v>46</v>
      </c>
      <c r="AL665">
        <v>23</v>
      </c>
      <c r="AM665">
        <v>67</v>
      </c>
      <c r="AN665">
        <v>69</v>
      </c>
      <c r="AO665">
        <v>48</v>
      </c>
      <c r="AP665">
        <v>83</v>
      </c>
      <c r="AQ665">
        <v>36</v>
      </c>
      <c r="AR665">
        <v>17</v>
      </c>
      <c r="AS665">
        <v>40</v>
      </c>
      <c r="AT665">
        <v>10</v>
      </c>
      <c r="AU665">
        <v>96</v>
      </c>
      <c r="AV665">
        <v>24</v>
      </c>
      <c r="AW665">
        <v>45</v>
      </c>
      <c r="AX665">
        <v>33</v>
      </c>
      <c r="AY665">
        <v>57</v>
      </c>
      <c r="AZ665">
        <v>69</v>
      </c>
      <c r="BA665">
        <v>45</v>
      </c>
      <c r="BB665">
        <v>53</v>
      </c>
      <c r="BC665">
        <v>36</v>
      </c>
      <c r="BD665">
        <v>22</v>
      </c>
      <c r="BE665">
        <v>75</v>
      </c>
      <c r="BF665">
        <v>92</v>
      </c>
      <c r="BG665">
        <v>62</v>
      </c>
      <c r="BH665">
        <v>15</v>
      </c>
      <c r="BI665">
        <v>95</v>
      </c>
      <c r="BJ665">
        <v>70</v>
      </c>
      <c r="BK665">
        <v>18</v>
      </c>
      <c r="BL665">
        <v>40</v>
      </c>
      <c r="BM665">
        <v>15</v>
      </c>
      <c r="BN665">
        <v>20</v>
      </c>
      <c r="BO665">
        <v>96</v>
      </c>
      <c r="BP665">
        <v>89</v>
      </c>
      <c r="BQ665">
        <v>93</v>
      </c>
      <c r="BR665">
        <v>33</v>
      </c>
      <c r="BS665">
        <v>55</v>
      </c>
      <c r="BT665">
        <v>41</v>
      </c>
      <c r="BU665">
        <v>68</v>
      </c>
      <c r="BV665">
        <v>86</v>
      </c>
      <c r="BW665">
        <v>99</v>
      </c>
      <c r="BX665">
        <v>41</v>
      </c>
      <c r="BY665">
        <v>76</v>
      </c>
      <c r="BZ665">
        <v>37</v>
      </c>
      <c r="CA665">
        <v>44</v>
      </c>
      <c r="CB665">
        <v>42</v>
      </c>
      <c r="CC665">
        <v>89</v>
      </c>
      <c r="CD665">
        <v>93</v>
      </c>
      <c r="CE665">
        <v>47</v>
      </c>
      <c r="CF665">
        <v>42</v>
      </c>
      <c r="CG665">
        <v>12</v>
      </c>
      <c r="CH665">
        <v>24</v>
      </c>
      <c r="CI665">
        <v>49</v>
      </c>
      <c r="CJ665">
        <v>26</v>
      </c>
      <c r="CK665">
        <v>25</v>
      </c>
      <c r="CL665">
        <v>59</v>
      </c>
      <c r="CM665">
        <v>53</v>
      </c>
      <c r="CN665">
        <v>66</v>
      </c>
      <c r="CO665">
        <v>60</v>
      </c>
      <c r="CP665">
        <v>31</v>
      </c>
      <c r="CQ665">
        <v>96</v>
      </c>
      <c r="CR665">
        <v>28</v>
      </c>
      <c r="CS665">
        <v>23</v>
      </c>
      <c r="CT665">
        <v>56</v>
      </c>
      <c r="CU665">
        <v>99</v>
      </c>
      <c r="CV665">
        <v>23</v>
      </c>
      <c r="CW665">
        <v>45</v>
      </c>
      <c r="CX665">
        <v>74</v>
      </c>
      <c r="CY665">
        <v>96</v>
      </c>
      <c r="CZ665">
        <v>39</v>
      </c>
      <c r="DA665">
        <v>73</v>
      </c>
      <c r="DB665">
        <v>33</v>
      </c>
      <c r="DC665">
        <v>29</v>
      </c>
      <c r="DD665">
        <v>81</v>
      </c>
      <c r="DE665">
        <v>52</v>
      </c>
      <c r="DF665">
        <v>87</v>
      </c>
      <c r="DG665">
        <v>32</v>
      </c>
      <c r="DH665">
        <v>91</v>
      </c>
      <c r="DI665">
        <v>96</v>
      </c>
      <c r="DJ665">
        <v>72</v>
      </c>
      <c r="DK665">
        <v>17</v>
      </c>
    </row>
    <row r="666" spans="1:115">
      <c r="A666" s="173">
        <f>Calculations[[#This Row],[Sum t eCO2]]*IF(Calculations[[#This Row],[GHG Scope]]="BIOGENIC",0,1)</f>
        <v>33.732003574944542</v>
      </c>
      <c r="O666">
        <f t="shared" si="11"/>
        <v>9</v>
      </c>
      <c r="P666">
        <v>81</v>
      </c>
      <c r="Q666">
        <v>12</v>
      </c>
      <c r="R666">
        <v>57</v>
      </c>
      <c r="S666">
        <v>34</v>
      </c>
      <c r="T666">
        <v>84</v>
      </c>
      <c r="U666">
        <v>66</v>
      </c>
      <c r="V666">
        <v>25</v>
      </c>
      <c r="W666">
        <v>53</v>
      </c>
      <c r="X666">
        <v>77</v>
      </c>
      <c r="Y666">
        <v>83</v>
      </c>
      <c r="Z666">
        <v>46</v>
      </c>
      <c r="AA666">
        <v>44</v>
      </c>
      <c r="AB666">
        <v>92</v>
      </c>
      <c r="AC666">
        <v>61</v>
      </c>
      <c r="AD666">
        <v>60</v>
      </c>
      <c r="AE666">
        <v>23</v>
      </c>
      <c r="AF666">
        <v>72</v>
      </c>
      <c r="AG666">
        <v>54</v>
      </c>
      <c r="AH666">
        <v>33</v>
      </c>
      <c r="AI666">
        <v>91</v>
      </c>
      <c r="AJ666">
        <v>69</v>
      </c>
      <c r="AK666">
        <v>90</v>
      </c>
      <c r="AL666">
        <v>39</v>
      </c>
      <c r="AM666">
        <v>27</v>
      </c>
      <c r="AN666">
        <v>68</v>
      </c>
      <c r="AO666">
        <v>89</v>
      </c>
      <c r="AP666">
        <v>30</v>
      </c>
      <c r="AQ666">
        <v>47</v>
      </c>
      <c r="AR666">
        <v>38</v>
      </c>
      <c r="AS666">
        <v>73</v>
      </c>
      <c r="AT666">
        <v>82</v>
      </c>
      <c r="AU666">
        <v>94</v>
      </c>
      <c r="AV666">
        <v>80</v>
      </c>
      <c r="AW666">
        <v>99</v>
      </c>
      <c r="AX666">
        <v>14</v>
      </c>
      <c r="AY666">
        <v>49</v>
      </c>
      <c r="AZ666">
        <v>25</v>
      </c>
      <c r="BA666">
        <v>49</v>
      </c>
      <c r="BB666">
        <v>87</v>
      </c>
      <c r="BC666">
        <v>22</v>
      </c>
      <c r="BD666">
        <v>33</v>
      </c>
      <c r="BE666">
        <v>48</v>
      </c>
      <c r="BF666">
        <v>42</v>
      </c>
      <c r="BG666">
        <v>18</v>
      </c>
      <c r="BH666">
        <v>69</v>
      </c>
      <c r="BI666">
        <v>14</v>
      </c>
      <c r="BJ666">
        <v>91</v>
      </c>
      <c r="BK666">
        <v>94</v>
      </c>
      <c r="BL666">
        <v>22</v>
      </c>
      <c r="BM666">
        <v>53</v>
      </c>
      <c r="BN666">
        <v>63</v>
      </c>
      <c r="BO666">
        <v>60</v>
      </c>
      <c r="BP666">
        <v>23</v>
      </c>
      <c r="BQ666">
        <v>70</v>
      </c>
      <c r="BR666">
        <v>59</v>
      </c>
      <c r="BS666">
        <v>41</v>
      </c>
      <c r="BT666">
        <v>98</v>
      </c>
      <c r="BU666">
        <v>84</v>
      </c>
      <c r="BV666">
        <v>50</v>
      </c>
      <c r="BW666">
        <v>21</v>
      </c>
      <c r="BX666">
        <v>71</v>
      </c>
      <c r="BY666">
        <v>82</v>
      </c>
      <c r="BZ666">
        <v>93</v>
      </c>
      <c r="CA666">
        <v>99</v>
      </c>
      <c r="CB666">
        <v>83</v>
      </c>
      <c r="CC666">
        <v>72</v>
      </c>
      <c r="CD666">
        <v>91</v>
      </c>
      <c r="CE666">
        <v>39</v>
      </c>
      <c r="CF666">
        <v>43</v>
      </c>
      <c r="CG666">
        <v>47</v>
      </c>
      <c r="CH666">
        <v>43</v>
      </c>
      <c r="CI666">
        <v>42</v>
      </c>
      <c r="CJ666">
        <v>31</v>
      </c>
      <c r="CK666">
        <v>70</v>
      </c>
      <c r="CL666">
        <v>33</v>
      </c>
      <c r="CM666">
        <v>54</v>
      </c>
      <c r="CN666">
        <v>91</v>
      </c>
      <c r="CO666">
        <v>98</v>
      </c>
      <c r="CP666">
        <v>34</v>
      </c>
      <c r="CQ666">
        <v>69</v>
      </c>
      <c r="CR666">
        <v>98</v>
      </c>
      <c r="CS666">
        <v>62</v>
      </c>
      <c r="CT666">
        <v>63</v>
      </c>
      <c r="CU666">
        <v>59</v>
      </c>
      <c r="CV666">
        <v>30</v>
      </c>
      <c r="CW666">
        <v>15</v>
      </c>
      <c r="CX666">
        <v>85</v>
      </c>
      <c r="CY666">
        <v>28</v>
      </c>
      <c r="CZ666">
        <v>49</v>
      </c>
      <c r="DA666">
        <v>11</v>
      </c>
      <c r="DB666">
        <v>76</v>
      </c>
      <c r="DC666">
        <v>35</v>
      </c>
      <c r="DD666">
        <v>71</v>
      </c>
      <c r="DE666">
        <v>66</v>
      </c>
      <c r="DF666">
        <v>68</v>
      </c>
      <c r="DG666">
        <v>64</v>
      </c>
      <c r="DH666">
        <v>52</v>
      </c>
      <c r="DI666">
        <v>31</v>
      </c>
      <c r="DJ666">
        <v>84</v>
      </c>
      <c r="DK666">
        <v>83</v>
      </c>
    </row>
    <row r="667" spans="1:115">
      <c r="A667" s="173">
        <f>Calculations[[#This Row],[Sum t eCO2]]*IF(Calculations[[#This Row],[GHG Scope]]="BIOGENIC",0,1)</f>
        <v>122.67580016148288</v>
      </c>
      <c r="O667">
        <f t="shared" si="11"/>
        <v>10</v>
      </c>
      <c r="P667">
        <v>82</v>
      </c>
      <c r="Q667">
        <v>82</v>
      </c>
      <c r="R667">
        <v>66</v>
      </c>
      <c r="S667">
        <v>82</v>
      </c>
      <c r="T667">
        <v>76</v>
      </c>
      <c r="U667">
        <v>81</v>
      </c>
      <c r="V667">
        <v>95</v>
      </c>
      <c r="W667">
        <v>71</v>
      </c>
      <c r="X667">
        <v>27</v>
      </c>
      <c r="Y667">
        <v>19</v>
      </c>
      <c r="Z667">
        <v>56</v>
      </c>
      <c r="AA667">
        <v>92</v>
      </c>
      <c r="AB667">
        <v>82</v>
      </c>
      <c r="AC667">
        <v>37</v>
      </c>
      <c r="AD667">
        <v>54</v>
      </c>
      <c r="AE667">
        <v>99</v>
      </c>
      <c r="AF667">
        <v>76</v>
      </c>
      <c r="AG667">
        <v>55</v>
      </c>
      <c r="AH667">
        <v>98</v>
      </c>
      <c r="AI667">
        <v>87</v>
      </c>
      <c r="AJ667">
        <v>95</v>
      </c>
      <c r="AK667">
        <v>95</v>
      </c>
      <c r="AL667">
        <v>67</v>
      </c>
      <c r="AM667">
        <v>56</v>
      </c>
      <c r="AN667">
        <v>78</v>
      </c>
      <c r="AO667">
        <v>25</v>
      </c>
      <c r="AP667">
        <v>19</v>
      </c>
      <c r="AQ667">
        <v>94</v>
      </c>
      <c r="AR667">
        <v>40</v>
      </c>
      <c r="AS667">
        <v>82</v>
      </c>
      <c r="AT667">
        <v>46</v>
      </c>
      <c r="AU667">
        <v>60</v>
      </c>
      <c r="AV667">
        <v>66</v>
      </c>
      <c r="AW667">
        <v>71</v>
      </c>
      <c r="AX667">
        <v>58</v>
      </c>
      <c r="AY667">
        <v>47</v>
      </c>
      <c r="AZ667">
        <v>75</v>
      </c>
      <c r="BA667">
        <v>56</v>
      </c>
      <c r="BB667">
        <v>45</v>
      </c>
      <c r="BC667">
        <v>88</v>
      </c>
      <c r="BD667">
        <v>31</v>
      </c>
      <c r="BE667">
        <v>50</v>
      </c>
      <c r="BF667">
        <v>29</v>
      </c>
      <c r="BG667">
        <v>32</v>
      </c>
      <c r="BH667">
        <v>16</v>
      </c>
      <c r="BI667">
        <v>99</v>
      </c>
      <c r="BJ667">
        <v>28</v>
      </c>
      <c r="BK667">
        <v>47</v>
      </c>
      <c r="BL667">
        <v>98</v>
      </c>
      <c r="BM667">
        <v>51</v>
      </c>
      <c r="BN667">
        <v>48</v>
      </c>
      <c r="BO667">
        <v>69</v>
      </c>
      <c r="BP667">
        <v>32</v>
      </c>
      <c r="BQ667">
        <v>96</v>
      </c>
      <c r="BR667">
        <v>48</v>
      </c>
      <c r="BS667">
        <v>57</v>
      </c>
      <c r="BT667">
        <v>60</v>
      </c>
      <c r="BU667">
        <v>12</v>
      </c>
      <c r="BV667">
        <v>72</v>
      </c>
      <c r="BW667">
        <v>16</v>
      </c>
      <c r="BX667">
        <v>65</v>
      </c>
      <c r="BY667">
        <v>46</v>
      </c>
      <c r="BZ667">
        <v>52</v>
      </c>
      <c r="CA667">
        <v>96</v>
      </c>
      <c r="CB667">
        <v>63</v>
      </c>
      <c r="CC667">
        <v>90</v>
      </c>
      <c r="CD667">
        <v>85</v>
      </c>
      <c r="CE667">
        <v>59</v>
      </c>
      <c r="CF667">
        <v>85</v>
      </c>
      <c r="CG667">
        <v>49</v>
      </c>
      <c r="CH667">
        <v>39</v>
      </c>
      <c r="CI667">
        <v>71</v>
      </c>
      <c r="CJ667">
        <v>56</v>
      </c>
      <c r="CK667">
        <v>22</v>
      </c>
      <c r="CL667">
        <v>38</v>
      </c>
      <c r="CM667">
        <v>64</v>
      </c>
      <c r="CN667">
        <v>46</v>
      </c>
      <c r="CO667">
        <v>20</v>
      </c>
      <c r="CP667">
        <v>87</v>
      </c>
      <c r="CQ667">
        <v>56</v>
      </c>
      <c r="CR667">
        <v>20</v>
      </c>
      <c r="CS667">
        <v>63</v>
      </c>
      <c r="CT667">
        <v>85</v>
      </c>
      <c r="CU667">
        <v>38</v>
      </c>
      <c r="CV667">
        <v>95</v>
      </c>
      <c r="CW667">
        <v>23</v>
      </c>
      <c r="CX667">
        <v>19</v>
      </c>
      <c r="CY667">
        <v>27</v>
      </c>
      <c r="CZ667">
        <v>89</v>
      </c>
      <c r="DA667">
        <v>34</v>
      </c>
      <c r="DB667">
        <v>74</v>
      </c>
      <c r="DC667">
        <v>19</v>
      </c>
      <c r="DD667">
        <v>92</v>
      </c>
      <c r="DE667">
        <v>13</v>
      </c>
      <c r="DF667">
        <v>30</v>
      </c>
      <c r="DG667">
        <v>14</v>
      </c>
      <c r="DH667">
        <v>42</v>
      </c>
      <c r="DI667">
        <v>91</v>
      </c>
      <c r="DJ667">
        <v>49</v>
      </c>
      <c r="DK667">
        <v>11</v>
      </c>
    </row>
    <row r="668" spans="1:115">
      <c r="A668" s="173">
        <f>Calculations[[#This Row],[Sum t eCO2]]*IF(Calculations[[#This Row],[GHG Scope]]="BIOGENIC",0,1)</f>
        <v>8.6022258795051279E-2</v>
      </c>
      <c r="O668">
        <f t="shared" si="11"/>
        <v>11</v>
      </c>
      <c r="P668">
        <v>93</v>
      </c>
      <c r="Q668">
        <v>84</v>
      </c>
      <c r="R668">
        <v>40</v>
      </c>
      <c r="S668">
        <v>17</v>
      </c>
      <c r="T668">
        <v>100</v>
      </c>
      <c r="U668">
        <v>86</v>
      </c>
      <c r="V668">
        <v>79</v>
      </c>
      <c r="W668">
        <v>35</v>
      </c>
      <c r="X668">
        <v>34</v>
      </c>
      <c r="Y668">
        <v>71</v>
      </c>
      <c r="Z668">
        <v>28</v>
      </c>
      <c r="AA668">
        <v>85</v>
      </c>
      <c r="AB668">
        <v>60</v>
      </c>
      <c r="AC668">
        <v>85</v>
      </c>
      <c r="AD668">
        <v>17</v>
      </c>
      <c r="AE668">
        <v>64</v>
      </c>
      <c r="AF668">
        <v>81</v>
      </c>
      <c r="AG668">
        <v>98</v>
      </c>
      <c r="AH668">
        <v>17</v>
      </c>
      <c r="AI668">
        <v>61</v>
      </c>
      <c r="AJ668">
        <v>33</v>
      </c>
      <c r="AK668">
        <v>10</v>
      </c>
      <c r="AL668">
        <v>25</v>
      </c>
      <c r="AM668">
        <v>93</v>
      </c>
      <c r="AN668">
        <v>52</v>
      </c>
      <c r="AO668">
        <v>33</v>
      </c>
      <c r="AP668">
        <v>45</v>
      </c>
      <c r="AQ668">
        <v>79</v>
      </c>
      <c r="AR668">
        <v>53</v>
      </c>
      <c r="AS668">
        <v>66</v>
      </c>
      <c r="AT668">
        <v>69</v>
      </c>
      <c r="AU668">
        <v>56</v>
      </c>
      <c r="AV668">
        <v>36</v>
      </c>
      <c r="AW668">
        <v>33</v>
      </c>
      <c r="AX668">
        <v>76</v>
      </c>
      <c r="AY668">
        <v>95</v>
      </c>
      <c r="AZ668">
        <v>71</v>
      </c>
      <c r="BA668">
        <v>96</v>
      </c>
      <c r="BB668">
        <v>86</v>
      </c>
      <c r="BC668">
        <v>92</v>
      </c>
      <c r="BD668">
        <v>22</v>
      </c>
      <c r="BE668">
        <v>31</v>
      </c>
      <c r="BF668">
        <v>32</v>
      </c>
      <c r="BG668">
        <v>92</v>
      </c>
      <c r="BH668">
        <v>83</v>
      </c>
      <c r="BI668">
        <v>96</v>
      </c>
      <c r="BJ668">
        <v>64</v>
      </c>
      <c r="BK668">
        <v>67</v>
      </c>
      <c r="BL668">
        <v>40</v>
      </c>
      <c r="BM668">
        <v>94</v>
      </c>
      <c r="BN668">
        <v>41</v>
      </c>
      <c r="BO668">
        <v>68</v>
      </c>
      <c r="BP668">
        <v>63</v>
      </c>
      <c r="BQ668">
        <v>27</v>
      </c>
      <c r="BR668">
        <v>84</v>
      </c>
      <c r="BS668">
        <v>87</v>
      </c>
      <c r="BT668">
        <v>65</v>
      </c>
      <c r="BU668">
        <v>33</v>
      </c>
      <c r="BV668">
        <v>74</v>
      </c>
      <c r="BW668">
        <v>13</v>
      </c>
      <c r="BX668">
        <v>54</v>
      </c>
      <c r="BY668">
        <v>59</v>
      </c>
      <c r="BZ668">
        <v>98</v>
      </c>
      <c r="CA668">
        <v>73</v>
      </c>
      <c r="CB668">
        <v>58</v>
      </c>
      <c r="CC668">
        <v>98</v>
      </c>
      <c r="CD668">
        <v>32</v>
      </c>
      <c r="CE668">
        <v>63</v>
      </c>
      <c r="CF668">
        <v>97</v>
      </c>
      <c r="CG668">
        <v>47</v>
      </c>
      <c r="CH668">
        <v>29</v>
      </c>
      <c r="CI668">
        <v>10</v>
      </c>
      <c r="CJ668">
        <v>36</v>
      </c>
      <c r="CK668">
        <v>51</v>
      </c>
      <c r="CL668">
        <v>71</v>
      </c>
      <c r="CM668">
        <v>27</v>
      </c>
      <c r="CN668">
        <v>93</v>
      </c>
      <c r="CO668">
        <v>50</v>
      </c>
      <c r="CP668">
        <v>48</v>
      </c>
      <c r="CQ668">
        <v>66</v>
      </c>
      <c r="CR668">
        <v>97</v>
      </c>
      <c r="CS668">
        <v>10</v>
      </c>
      <c r="CT668">
        <v>28</v>
      </c>
      <c r="CU668">
        <v>89</v>
      </c>
      <c r="CV668">
        <v>14</v>
      </c>
      <c r="CW668">
        <v>41</v>
      </c>
      <c r="CX668">
        <v>26</v>
      </c>
      <c r="CY668">
        <v>20</v>
      </c>
      <c r="CZ668">
        <v>55</v>
      </c>
      <c r="DA668">
        <v>44</v>
      </c>
      <c r="DB668">
        <v>28</v>
      </c>
      <c r="DC668">
        <v>43</v>
      </c>
      <c r="DD668">
        <v>13</v>
      </c>
      <c r="DE668">
        <v>72</v>
      </c>
      <c r="DF668">
        <v>19</v>
      </c>
      <c r="DG668">
        <v>17</v>
      </c>
      <c r="DH668">
        <v>67</v>
      </c>
      <c r="DI668">
        <v>68</v>
      </c>
      <c r="DJ668">
        <v>33</v>
      </c>
      <c r="DK668">
        <v>63</v>
      </c>
    </row>
    <row r="669" spans="1:115">
      <c r="A669" s="173">
        <f>Calculations[[#This Row],[Sum t eCO2]]*IF(Calculations[[#This Row],[GHG Scope]]="BIOGENIC",0,1)</f>
        <v>0.33522395487069229</v>
      </c>
      <c r="O669">
        <f t="shared" si="11"/>
        <v>12</v>
      </c>
      <c r="P669">
        <v>63</v>
      </c>
      <c r="Q669">
        <v>77</v>
      </c>
      <c r="R669">
        <v>35</v>
      </c>
      <c r="S669">
        <v>36</v>
      </c>
      <c r="T669">
        <v>57</v>
      </c>
      <c r="U669">
        <v>66</v>
      </c>
      <c r="V669">
        <v>38</v>
      </c>
      <c r="W669">
        <v>73</v>
      </c>
      <c r="X669">
        <v>75</v>
      </c>
      <c r="Y669">
        <v>13</v>
      </c>
      <c r="Z669">
        <v>69</v>
      </c>
      <c r="AA669">
        <v>97</v>
      </c>
      <c r="AB669">
        <v>97</v>
      </c>
      <c r="AC669">
        <v>11</v>
      </c>
      <c r="AD669">
        <v>30</v>
      </c>
      <c r="AE669">
        <v>51</v>
      </c>
      <c r="AF669">
        <v>58</v>
      </c>
      <c r="AG669">
        <v>23</v>
      </c>
      <c r="AH669">
        <v>60</v>
      </c>
      <c r="AI669">
        <v>55</v>
      </c>
      <c r="AJ669">
        <v>22</v>
      </c>
      <c r="AK669">
        <v>93</v>
      </c>
      <c r="AL669">
        <v>36</v>
      </c>
      <c r="AM669">
        <v>81</v>
      </c>
      <c r="AN669">
        <v>41</v>
      </c>
      <c r="AO669">
        <v>72</v>
      </c>
      <c r="AP669">
        <v>90</v>
      </c>
      <c r="AQ669">
        <v>96</v>
      </c>
      <c r="AR669">
        <v>15</v>
      </c>
      <c r="AS669">
        <v>73</v>
      </c>
      <c r="AT669">
        <v>87</v>
      </c>
      <c r="AU669">
        <v>46</v>
      </c>
      <c r="AV669">
        <v>50</v>
      </c>
      <c r="AW669">
        <v>78</v>
      </c>
      <c r="AX669">
        <v>83</v>
      </c>
      <c r="AY669">
        <v>60</v>
      </c>
      <c r="AZ669">
        <v>13</v>
      </c>
      <c r="BA669">
        <v>71</v>
      </c>
      <c r="BB669">
        <v>87</v>
      </c>
      <c r="BC669">
        <v>70</v>
      </c>
      <c r="BD669">
        <v>17</v>
      </c>
      <c r="BE669">
        <v>28</v>
      </c>
      <c r="BF669">
        <v>80</v>
      </c>
      <c r="BG669">
        <v>30</v>
      </c>
      <c r="BH669">
        <v>43</v>
      </c>
      <c r="BI669">
        <v>38</v>
      </c>
      <c r="BJ669">
        <v>23</v>
      </c>
      <c r="BK669">
        <v>35</v>
      </c>
      <c r="BL669">
        <v>94</v>
      </c>
      <c r="BM669">
        <v>40</v>
      </c>
      <c r="BN669">
        <v>90</v>
      </c>
      <c r="BO669">
        <v>94</v>
      </c>
      <c r="BP669">
        <v>69</v>
      </c>
      <c r="BQ669">
        <v>42</v>
      </c>
      <c r="BR669">
        <v>34</v>
      </c>
      <c r="BS669">
        <v>10</v>
      </c>
      <c r="BT669">
        <v>20</v>
      </c>
      <c r="BU669">
        <v>33</v>
      </c>
      <c r="BV669">
        <v>25</v>
      </c>
      <c r="BW669">
        <v>25</v>
      </c>
      <c r="BX669">
        <v>35</v>
      </c>
      <c r="BY669">
        <v>71</v>
      </c>
      <c r="BZ669">
        <v>56</v>
      </c>
      <c r="CA669">
        <v>76</v>
      </c>
      <c r="CB669">
        <v>22</v>
      </c>
      <c r="CC669">
        <v>76</v>
      </c>
      <c r="CD669">
        <v>79</v>
      </c>
      <c r="CE669">
        <v>59</v>
      </c>
      <c r="CF669">
        <v>65</v>
      </c>
      <c r="CG669">
        <v>65</v>
      </c>
      <c r="CH669">
        <v>84</v>
      </c>
      <c r="CI669">
        <v>27</v>
      </c>
      <c r="CJ669">
        <v>16</v>
      </c>
      <c r="CK669">
        <v>61</v>
      </c>
      <c r="CL669">
        <v>48</v>
      </c>
      <c r="CM669">
        <v>63</v>
      </c>
      <c r="CN669">
        <v>34</v>
      </c>
      <c r="CO669">
        <v>33</v>
      </c>
      <c r="CP669">
        <v>77</v>
      </c>
      <c r="CQ669">
        <v>96</v>
      </c>
      <c r="CR669">
        <v>24</v>
      </c>
      <c r="CS669">
        <v>16</v>
      </c>
      <c r="CT669">
        <v>12</v>
      </c>
      <c r="CU669">
        <v>34</v>
      </c>
      <c r="CV669">
        <v>68</v>
      </c>
      <c r="CW669">
        <v>52</v>
      </c>
      <c r="CX669">
        <v>21</v>
      </c>
      <c r="CY669">
        <v>80</v>
      </c>
      <c r="CZ669">
        <v>100</v>
      </c>
      <c r="DA669">
        <v>55</v>
      </c>
      <c r="DB669">
        <v>87</v>
      </c>
      <c r="DC669">
        <v>21</v>
      </c>
      <c r="DD669">
        <v>72</v>
      </c>
      <c r="DE669">
        <v>11</v>
      </c>
      <c r="DF669">
        <v>37</v>
      </c>
      <c r="DG669">
        <v>57</v>
      </c>
      <c r="DH669">
        <v>39</v>
      </c>
      <c r="DI669">
        <v>22</v>
      </c>
      <c r="DJ669">
        <v>78</v>
      </c>
      <c r="DK669">
        <v>65</v>
      </c>
    </row>
    <row r="670" spans="1:115">
      <c r="A670" s="173">
        <f>Calculations[[#This Row],[Sum t eCO2]]*IF(Calculations[[#This Row],[GHG Scope]]="BIOGENIC",0,1)</f>
        <v>21.198366615054244</v>
      </c>
      <c r="O670">
        <f t="shared" si="11"/>
        <v>13</v>
      </c>
      <c r="P670">
        <v>31</v>
      </c>
      <c r="Q670">
        <v>70</v>
      </c>
      <c r="R670">
        <v>67</v>
      </c>
      <c r="S670">
        <v>42</v>
      </c>
      <c r="T670">
        <v>88</v>
      </c>
      <c r="U670">
        <v>36</v>
      </c>
      <c r="V670">
        <v>100</v>
      </c>
      <c r="W670">
        <v>89</v>
      </c>
      <c r="X670">
        <v>58</v>
      </c>
      <c r="Y670">
        <v>89</v>
      </c>
      <c r="Z670">
        <v>19</v>
      </c>
      <c r="AA670">
        <v>97</v>
      </c>
      <c r="AB670">
        <v>33</v>
      </c>
      <c r="AC670">
        <v>41</v>
      </c>
      <c r="AD670">
        <v>95</v>
      </c>
      <c r="AE670">
        <v>77</v>
      </c>
      <c r="AF670">
        <v>15</v>
      </c>
      <c r="AG670">
        <v>28</v>
      </c>
      <c r="AH670">
        <v>57</v>
      </c>
      <c r="AI670">
        <v>19</v>
      </c>
      <c r="AJ670">
        <v>31</v>
      </c>
      <c r="AK670">
        <v>17</v>
      </c>
      <c r="AL670">
        <v>37</v>
      </c>
      <c r="AM670">
        <v>16</v>
      </c>
      <c r="AN670">
        <v>71</v>
      </c>
      <c r="AO670">
        <v>14</v>
      </c>
      <c r="AP670">
        <v>40</v>
      </c>
      <c r="AQ670">
        <v>39</v>
      </c>
      <c r="AR670">
        <v>73</v>
      </c>
      <c r="AS670">
        <v>80</v>
      </c>
      <c r="AT670">
        <v>30</v>
      </c>
      <c r="AU670">
        <v>48</v>
      </c>
      <c r="AV670">
        <v>26</v>
      </c>
      <c r="AW670">
        <v>11</v>
      </c>
      <c r="AX670">
        <v>38</v>
      </c>
      <c r="AY670">
        <v>69</v>
      </c>
      <c r="AZ670">
        <v>77</v>
      </c>
      <c r="BA670">
        <v>17</v>
      </c>
      <c r="BB670">
        <v>94</v>
      </c>
      <c r="BC670">
        <v>96</v>
      </c>
      <c r="BD670">
        <v>38</v>
      </c>
      <c r="BE670">
        <v>31</v>
      </c>
      <c r="BF670">
        <v>29</v>
      </c>
      <c r="BG670">
        <v>10</v>
      </c>
      <c r="BH670">
        <v>65</v>
      </c>
      <c r="BI670">
        <v>66</v>
      </c>
      <c r="BJ670">
        <v>40</v>
      </c>
      <c r="BK670">
        <v>55</v>
      </c>
      <c r="BL670">
        <v>80</v>
      </c>
      <c r="BM670">
        <v>54</v>
      </c>
      <c r="BN670">
        <v>67</v>
      </c>
      <c r="BO670">
        <v>29</v>
      </c>
      <c r="BP670">
        <v>19</v>
      </c>
      <c r="BQ670">
        <v>76</v>
      </c>
      <c r="BR670">
        <v>81</v>
      </c>
      <c r="BS670">
        <v>78</v>
      </c>
      <c r="BT670">
        <v>13</v>
      </c>
      <c r="BU670">
        <v>62</v>
      </c>
      <c r="BV670">
        <v>94</v>
      </c>
      <c r="BW670">
        <v>21</v>
      </c>
      <c r="BX670">
        <v>61</v>
      </c>
      <c r="BY670">
        <v>92</v>
      </c>
      <c r="BZ670">
        <v>11</v>
      </c>
      <c r="CA670">
        <v>69</v>
      </c>
      <c r="CB670">
        <v>37</v>
      </c>
      <c r="CC670">
        <v>50</v>
      </c>
      <c r="CD670">
        <v>30</v>
      </c>
      <c r="CE670">
        <v>83</v>
      </c>
      <c r="CF670">
        <v>19</v>
      </c>
      <c r="CG670">
        <v>73</v>
      </c>
      <c r="CH670">
        <v>63</v>
      </c>
      <c r="CI670">
        <v>89</v>
      </c>
      <c r="CJ670">
        <v>33</v>
      </c>
      <c r="CK670">
        <v>64</v>
      </c>
      <c r="CL670">
        <v>54</v>
      </c>
      <c r="CM670">
        <v>22</v>
      </c>
      <c r="CN670">
        <v>14</v>
      </c>
      <c r="CO670">
        <v>53</v>
      </c>
      <c r="CP670">
        <v>68</v>
      </c>
      <c r="CQ670">
        <v>97</v>
      </c>
      <c r="CR670">
        <v>15</v>
      </c>
      <c r="CS670">
        <v>73</v>
      </c>
      <c r="CT670">
        <v>44</v>
      </c>
      <c r="CU670">
        <v>57</v>
      </c>
      <c r="CV670">
        <v>75</v>
      </c>
      <c r="CW670">
        <v>12</v>
      </c>
      <c r="CX670">
        <v>30</v>
      </c>
      <c r="CY670">
        <v>53</v>
      </c>
      <c r="CZ670">
        <v>57</v>
      </c>
      <c r="DA670">
        <v>22</v>
      </c>
      <c r="DB670">
        <v>39</v>
      </c>
      <c r="DC670">
        <v>40</v>
      </c>
      <c r="DD670">
        <v>79</v>
      </c>
      <c r="DE670">
        <v>58</v>
      </c>
      <c r="DF670">
        <v>93</v>
      </c>
      <c r="DG670">
        <v>67</v>
      </c>
      <c r="DH670">
        <v>21</v>
      </c>
      <c r="DI670">
        <v>21</v>
      </c>
      <c r="DJ670">
        <v>63</v>
      </c>
      <c r="DK670">
        <v>44</v>
      </c>
    </row>
    <row r="671" spans="1:115">
      <c r="A671" s="173">
        <f>Calculations[[#This Row],[Sum t eCO2]]*IF(Calculations[[#This Row],[GHG Scope]]="BIOGENIC",0,1)</f>
        <v>0.11844125432469947</v>
      </c>
      <c r="O671">
        <f t="shared" si="11"/>
        <v>14</v>
      </c>
      <c r="P671">
        <v>79</v>
      </c>
      <c r="Q671">
        <v>17</v>
      </c>
      <c r="R671">
        <v>79</v>
      </c>
      <c r="S671">
        <v>23</v>
      </c>
      <c r="T671">
        <v>42</v>
      </c>
      <c r="U671">
        <v>80</v>
      </c>
      <c r="V671">
        <v>61</v>
      </c>
      <c r="W671">
        <v>44</v>
      </c>
      <c r="X671">
        <v>61</v>
      </c>
      <c r="Y671">
        <v>72</v>
      </c>
      <c r="Z671">
        <v>32</v>
      </c>
      <c r="AA671">
        <v>17</v>
      </c>
      <c r="AB671">
        <v>28</v>
      </c>
      <c r="AC671">
        <v>75</v>
      </c>
      <c r="AD671">
        <v>41</v>
      </c>
      <c r="AE671">
        <v>11</v>
      </c>
      <c r="AF671">
        <v>84</v>
      </c>
      <c r="AG671">
        <v>23</v>
      </c>
      <c r="AH671">
        <v>42</v>
      </c>
      <c r="AI671">
        <v>65</v>
      </c>
      <c r="AJ671">
        <v>28</v>
      </c>
      <c r="AK671">
        <v>32</v>
      </c>
      <c r="AL671">
        <v>15</v>
      </c>
      <c r="AM671">
        <v>20</v>
      </c>
      <c r="AN671">
        <v>84</v>
      </c>
      <c r="AO671">
        <v>45</v>
      </c>
      <c r="AP671">
        <v>89</v>
      </c>
      <c r="AQ671">
        <v>89</v>
      </c>
      <c r="AR671">
        <v>20</v>
      </c>
      <c r="AS671">
        <v>41</v>
      </c>
      <c r="AT671">
        <v>72</v>
      </c>
      <c r="AU671">
        <v>70</v>
      </c>
      <c r="AV671">
        <v>15</v>
      </c>
      <c r="AW671">
        <v>95</v>
      </c>
      <c r="AX671">
        <v>14</v>
      </c>
      <c r="AY671">
        <v>76</v>
      </c>
      <c r="AZ671">
        <v>15</v>
      </c>
      <c r="BA671">
        <v>15</v>
      </c>
      <c r="BB671">
        <v>21</v>
      </c>
      <c r="BC671">
        <v>44</v>
      </c>
      <c r="BD671">
        <v>86</v>
      </c>
      <c r="BE671">
        <v>99</v>
      </c>
      <c r="BF671">
        <v>66</v>
      </c>
      <c r="BG671">
        <v>52</v>
      </c>
      <c r="BH671">
        <v>11</v>
      </c>
      <c r="BI671">
        <v>46</v>
      </c>
      <c r="BJ671">
        <v>32</v>
      </c>
      <c r="BK671">
        <v>30</v>
      </c>
      <c r="BL671">
        <v>27</v>
      </c>
      <c r="BM671">
        <v>81</v>
      </c>
      <c r="BN671">
        <v>27</v>
      </c>
      <c r="BO671">
        <v>37</v>
      </c>
      <c r="BP671">
        <v>62</v>
      </c>
      <c r="BQ671">
        <v>81</v>
      </c>
      <c r="BR671">
        <v>48</v>
      </c>
      <c r="BS671">
        <v>47</v>
      </c>
      <c r="BT671">
        <v>62</v>
      </c>
      <c r="BU671">
        <v>36</v>
      </c>
      <c r="BV671">
        <v>36</v>
      </c>
      <c r="BW671">
        <v>89</v>
      </c>
      <c r="BX671">
        <v>26</v>
      </c>
      <c r="BY671">
        <v>78</v>
      </c>
      <c r="BZ671">
        <v>40</v>
      </c>
      <c r="CA671">
        <v>20</v>
      </c>
      <c r="CB671">
        <v>15</v>
      </c>
      <c r="CC671">
        <v>48</v>
      </c>
      <c r="CD671">
        <v>82</v>
      </c>
      <c r="CE671">
        <v>83</v>
      </c>
      <c r="CF671">
        <v>42</v>
      </c>
      <c r="CG671">
        <v>90</v>
      </c>
      <c r="CH671">
        <v>27</v>
      </c>
      <c r="CI671">
        <v>69</v>
      </c>
      <c r="CJ671">
        <v>87</v>
      </c>
      <c r="CK671">
        <v>82</v>
      </c>
      <c r="CL671">
        <v>22</v>
      </c>
      <c r="CM671">
        <v>98</v>
      </c>
      <c r="CN671">
        <v>61</v>
      </c>
      <c r="CO671">
        <v>17</v>
      </c>
      <c r="CP671">
        <v>42</v>
      </c>
      <c r="CQ671">
        <v>66</v>
      </c>
      <c r="CR671">
        <v>56</v>
      </c>
      <c r="CS671">
        <v>13</v>
      </c>
      <c r="CT671">
        <v>13</v>
      </c>
      <c r="CU671">
        <v>83</v>
      </c>
      <c r="CV671">
        <v>98</v>
      </c>
      <c r="CW671">
        <v>12</v>
      </c>
      <c r="CX671">
        <v>59</v>
      </c>
      <c r="CY671">
        <v>21</v>
      </c>
      <c r="CZ671">
        <v>85</v>
      </c>
      <c r="DA671">
        <v>56</v>
      </c>
      <c r="DB671">
        <v>77</v>
      </c>
      <c r="DC671">
        <v>18</v>
      </c>
      <c r="DD671">
        <v>37</v>
      </c>
      <c r="DE671">
        <v>86</v>
      </c>
      <c r="DF671">
        <v>41</v>
      </c>
      <c r="DG671">
        <v>27</v>
      </c>
      <c r="DH671">
        <v>58</v>
      </c>
      <c r="DI671">
        <v>47</v>
      </c>
      <c r="DJ671">
        <v>90</v>
      </c>
      <c r="DK671">
        <v>27</v>
      </c>
    </row>
    <row r="672" spans="1:115">
      <c r="A672" s="173">
        <f>Calculations[[#This Row],[Sum t eCO2]]*IF(Calculations[[#This Row],[GHG Scope]]="BIOGENIC",0,1)</f>
        <v>8.3052926641751331E-5</v>
      </c>
      <c r="O672">
        <f t="shared" si="11"/>
        <v>15</v>
      </c>
      <c r="P672">
        <v>59</v>
      </c>
      <c r="Q672">
        <v>41</v>
      </c>
      <c r="R672">
        <v>51</v>
      </c>
      <c r="S672">
        <v>59</v>
      </c>
      <c r="T672">
        <v>53</v>
      </c>
      <c r="U672">
        <v>54</v>
      </c>
      <c r="V672">
        <v>74</v>
      </c>
      <c r="W672">
        <v>19</v>
      </c>
      <c r="X672">
        <v>38</v>
      </c>
      <c r="Y672">
        <v>40</v>
      </c>
      <c r="Z672">
        <v>36</v>
      </c>
      <c r="AA672">
        <v>22</v>
      </c>
      <c r="AB672">
        <v>78</v>
      </c>
      <c r="AC672">
        <v>84</v>
      </c>
      <c r="AD672">
        <v>75</v>
      </c>
      <c r="AE672">
        <v>57</v>
      </c>
      <c r="AF672">
        <v>41</v>
      </c>
      <c r="AG672">
        <v>19</v>
      </c>
      <c r="AH672">
        <v>29</v>
      </c>
      <c r="AI672">
        <v>71</v>
      </c>
      <c r="AJ672">
        <v>54</v>
      </c>
      <c r="AK672">
        <v>49</v>
      </c>
      <c r="AL672">
        <v>64</v>
      </c>
      <c r="AM672">
        <v>88</v>
      </c>
      <c r="AN672">
        <v>44</v>
      </c>
      <c r="AO672">
        <v>59</v>
      </c>
      <c r="AP672">
        <v>77</v>
      </c>
      <c r="AQ672">
        <v>81</v>
      </c>
      <c r="AR672">
        <v>37</v>
      </c>
      <c r="AS672">
        <v>29</v>
      </c>
      <c r="AT672">
        <v>18</v>
      </c>
      <c r="AU672">
        <v>70</v>
      </c>
      <c r="AV672">
        <v>25</v>
      </c>
      <c r="AW672">
        <v>29</v>
      </c>
      <c r="AX672">
        <v>33</v>
      </c>
      <c r="AY672">
        <v>21</v>
      </c>
      <c r="AZ672">
        <v>39</v>
      </c>
      <c r="BA672">
        <v>93</v>
      </c>
      <c r="BB672">
        <v>64</v>
      </c>
      <c r="BC672">
        <v>55</v>
      </c>
      <c r="BD672">
        <v>42</v>
      </c>
      <c r="BE672">
        <v>45</v>
      </c>
      <c r="BF672">
        <v>53</v>
      </c>
      <c r="BG672">
        <v>21</v>
      </c>
      <c r="BH672">
        <v>51</v>
      </c>
      <c r="BI672">
        <v>85</v>
      </c>
      <c r="BJ672">
        <v>11</v>
      </c>
      <c r="BK672">
        <v>89</v>
      </c>
      <c r="BL672">
        <v>35</v>
      </c>
      <c r="BM672">
        <v>58</v>
      </c>
      <c r="BN672">
        <v>61</v>
      </c>
      <c r="BO672">
        <v>87</v>
      </c>
      <c r="BP672">
        <v>61</v>
      </c>
      <c r="BQ672">
        <v>63</v>
      </c>
      <c r="BR672">
        <v>98</v>
      </c>
      <c r="BS672">
        <v>64</v>
      </c>
      <c r="BT672">
        <v>76</v>
      </c>
      <c r="BU672">
        <v>44</v>
      </c>
      <c r="BV672">
        <v>37</v>
      </c>
      <c r="BW672">
        <v>16</v>
      </c>
      <c r="BX672">
        <v>33</v>
      </c>
      <c r="BY672">
        <v>36</v>
      </c>
      <c r="BZ672">
        <v>92</v>
      </c>
      <c r="CA672">
        <v>71</v>
      </c>
      <c r="CB672">
        <v>88</v>
      </c>
      <c r="CC672">
        <v>48</v>
      </c>
      <c r="CD672">
        <v>57</v>
      </c>
      <c r="CE672">
        <v>95</v>
      </c>
      <c r="CF672">
        <v>43</v>
      </c>
      <c r="CG672">
        <v>57</v>
      </c>
      <c r="CH672">
        <v>35</v>
      </c>
      <c r="CI672">
        <v>64</v>
      </c>
      <c r="CJ672">
        <v>68</v>
      </c>
      <c r="CK672">
        <v>39</v>
      </c>
      <c r="CL672">
        <v>16</v>
      </c>
      <c r="CM672">
        <v>75</v>
      </c>
      <c r="CN672">
        <v>57</v>
      </c>
      <c r="CO672">
        <v>79</v>
      </c>
      <c r="CP672">
        <v>98</v>
      </c>
      <c r="CQ672">
        <v>69</v>
      </c>
      <c r="CR672">
        <v>60</v>
      </c>
      <c r="CS672">
        <v>72</v>
      </c>
      <c r="CT672">
        <v>63</v>
      </c>
      <c r="CU672">
        <v>58</v>
      </c>
      <c r="CV672">
        <v>77</v>
      </c>
      <c r="CW672">
        <v>63</v>
      </c>
      <c r="CX672">
        <v>70</v>
      </c>
      <c r="CY672">
        <v>91</v>
      </c>
      <c r="CZ672">
        <v>10</v>
      </c>
      <c r="DA672">
        <v>73</v>
      </c>
      <c r="DB672">
        <v>62</v>
      </c>
      <c r="DC672">
        <v>86</v>
      </c>
      <c r="DD672">
        <v>21</v>
      </c>
      <c r="DE672">
        <v>43</v>
      </c>
      <c r="DF672">
        <v>48</v>
      </c>
      <c r="DG672">
        <v>36</v>
      </c>
      <c r="DH672">
        <v>43</v>
      </c>
      <c r="DI672">
        <v>43</v>
      </c>
      <c r="DJ672">
        <v>28</v>
      </c>
      <c r="DK672">
        <v>37</v>
      </c>
    </row>
    <row r="673" spans="1:115">
      <c r="A673" s="173">
        <f>Calculations[[#This Row],[Sum t eCO2]]*IF(Calculations[[#This Row],[GHG Scope]]="BIOGENIC",0,1)</f>
        <v>3.2365263273039088E-4</v>
      </c>
      <c r="O673">
        <f t="shared" si="11"/>
        <v>16</v>
      </c>
      <c r="P673">
        <v>39</v>
      </c>
      <c r="Q673">
        <v>43</v>
      </c>
      <c r="R673">
        <v>74</v>
      </c>
      <c r="S673">
        <v>70</v>
      </c>
      <c r="T673">
        <v>17</v>
      </c>
      <c r="U673">
        <v>63</v>
      </c>
      <c r="V673">
        <v>92</v>
      </c>
      <c r="W673">
        <v>61</v>
      </c>
      <c r="X673">
        <v>45</v>
      </c>
      <c r="Y673">
        <v>26</v>
      </c>
      <c r="Z673">
        <v>60</v>
      </c>
      <c r="AA673">
        <v>95</v>
      </c>
      <c r="AB673">
        <v>34</v>
      </c>
      <c r="AC673">
        <v>44</v>
      </c>
      <c r="AD673">
        <v>14</v>
      </c>
      <c r="AE673">
        <v>13</v>
      </c>
      <c r="AF673">
        <v>75</v>
      </c>
      <c r="AG673">
        <v>56</v>
      </c>
      <c r="AH673">
        <v>42</v>
      </c>
      <c r="AI673">
        <v>90</v>
      </c>
      <c r="AJ673">
        <v>88</v>
      </c>
      <c r="AK673">
        <v>41</v>
      </c>
      <c r="AL673">
        <v>98</v>
      </c>
      <c r="AM673">
        <v>51</v>
      </c>
      <c r="AN673">
        <v>19</v>
      </c>
      <c r="AO673">
        <v>88</v>
      </c>
      <c r="AP673">
        <v>68</v>
      </c>
      <c r="AQ673">
        <v>70</v>
      </c>
      <c r="AR673">
        <v>95</v>
      </c>
      <c r="AS673">
        <v>20</v>
      </c>
      <c r="AT673">
        <v>98</v>
      </c>
      <c r="AU673">
        <v>70</v>
      </c>
      <c r="AV673">
        <v>35</v>
      </c>
      <c r="AW673">
        <v>91</v>
      </c>
      <c r="AX673">
        <v>43</v>
      </c>
      <c r="AY673">
        <v>38</v>
      </c>
      <c r="AZ673">
        <v>13</v>
      </c>
      <c r="BA673">
        <v>22</v>
      </c>
      <c r="BB673">
        <v>68</v>
      </c>
      <c r="BC673">
        <v>39</v>
      </c>
      <c r="BD673">
        <v>40</v>
      </c>
      <c r="BE673">
        <v>94</v>
      </c>
      <c r="BF673">
        <v>82</v>
      </c>
      <c r="BG673">
        <v>52</v>
      </c>
      <c r="BH673">
        <v>76</v>
      </c>
      <c r="BI673">
        <v>32</v>
      </c>
      <c r="BJ673">
        <v>83</v>
      </c>
      <c r="BK673">
        <v>19</v>
      </c>
      <c r="BL673">
        <v>67</v>
      </c>
      <c r="BM673">
        <v>42</v>
      </c>
      <c r="BN673">
        <v>86</v>
      </c>
      <c r="BO673">
        <v>83</v>
      </c>
      <c r="BP673">
        <v>14</v>
      </c>
      <c r="BQ673">
        <v>80</v>
      </c>
      <c r="BR673">
        <v>77</v>
      </c>
      <c r="BS673">
        <v>80</v>
      </c>
      <c r="BT673">
        <v>72</v>
      </c>
      <c r="BU673">
        <v>100</v>
      </c>
      <c r="BV673">
        <v>97</v>
      </c>
      <c r="BW673">
        <v>62</v>
      </c>
      <c r="BX673">
        <v>53</v>
      </c>
      <c r="BY673">
        <v>63</v>
      </c>
      <c r="BZ673">
        <v>90</v>
      </c>
      <c r="CA673">
        <v>92</v>
      </c>
      <c r="CB673">
        <v>34</v>
      </c>
      <c r="CC673">
        <v>64</v>
      </c>
      <c r="CD673">
        <v>51</v>
      </c>
      <c r="CE673">
        <v>47</v>
      </c>
      <c r="CF673">
        <v>73</v>
      </c>
      <c r="CG673">
        <v>64</v>
      </c>
      <c r="CH673">
        <v>30</v>
      </c>
      <c r="CI673">
        <v>74</v>
      </c>
      <c r="CJ673">
        <v>14</v>
      </c>
      <c r="CK673">
        <v>76</v>
      </c>
      <c r="CL673">
        <v>67</v>
      </c>
      <c r="CM673">
        <v>91</v>
      </c>
      <c r="CN673">
        <v>44</v>
      </c>
      <c r="CO673">
        <v>94</v>
      </c>
      <c r="CP673">
        <v>82</v>
      </c>
      <c r="CQ673">
        <v>66</v>
      </c>
      <c r="CR673">
        <v>85</v>
      </c>
      <c r="CS673">
        <v>78</v>
      </c>
      <c r="CT673">
        <v>96</v>
      </c>
      <c r="CU673">
        <v>73</v>
      </c>
      <c r="CV673">
        <v>46</v>
      </c>
      <c r="CW673">
        <v>73</v>
      </c>
      <c r="CX673">
        <v>94</v>
      </c>
      <c r="CY673">
        <v>32</v>
      </c>
      <c r="CZ673">
        <v>49</v>
      </c>
      <c r="DA673">
        <v>44</v>
      </c>
      <c r="DB673">
        <v>18</v>
      </c>
      <c r="DC673">
        <v>71</v>
      </c>
      <c r="DD673">
        <v>74</v>
      </c>
      <c r="DE673">
        <v>60</v>
      </c>
      <c r="DF673">
        <v>32</v>
      </c>
      <c r="DG673">
        <v>17</v>
      </c>
      <c r="DH673">
        <v>95</v>
      </c>
      <c r="DI673">
        <v>32</v>
      </c>
      <c r="DJ673">
        <v>44</v>
      </c>
      <c r="DK673">
        <v>58</v>
      </c>
    </row>
    <row r="674" spans="1:115">
      <c r="A674" s="173">
        <f>Calculations[[#This Row],[Sum t eCO2]]*IF(Calculations[[#This Row],[GHG Scope]]="BIOGENIC",0,1)</f>
        <v>2.0466637496693287E-2</v>
      </c>
      <c r="O674">
        <f t="shared" si="11"/>
        <v>17</v>
      </c>
      <c r="P674">
        <v>74</v>
      </c>
      <c r="Q674">
        <v>22</v>
      </c>
      <c r="R674">
        <v>80</v>
      </c>
      <c r="S674">
        <v>41</v>
      </c>
      <c r="T674">
        <v>85</v>
      </c>
      <c r="U674">
        <v>21</v>
      </c>
      <c r="V674">
        <v>79</v>
      </c>
      <c r="W674">
        <v>94</v>
      </c>
      <c r="X674">
        <v>74</v>
      </c>
      <c r="Y674">
        <v>14</v>
      </c>
      <c r="Z674">
        <v>95</v>
      </c>
      <c r="AA674">
        <v>82</v>
      </c>
      <c r="AB674">
        <v>29</v>
      </c>
      <c r="AC674">
        <v>72</v>
      </c>
      <c r="AD674">
        <v>89</v>
      </c>
      <c r="AE674">
        <v>23</v>
      </c>
      <c r="AF674">
        <v>59</v>
      </c>
      <c r="AG674">
        <v>83</v>
      </c>
      <c r="AH674">
        <v>19</v>
      </c>
      <c r="AI674">
        <v>35</v>
      </c>
      <c r="AJ674">
        <v>78</v>
      </c>
      <c r="AK674">
        <v>95</v>
      </c>
      <c r="AL674">
        <v>98</v>
      </c>
      <c r="AM674">
        <v>79</v>
      </c>
      <c r="AN674">
        <v>63</v>
      </c>
      <c r="AO674">
        <v>80</v>
      </c>
      <c r="AP674">
        <v>21</v>
      </c>
      <c r="AQ674">
        <v>30</v>
      </c>
      <c r="AR674">
        <v>10</v>
      </c>
      <c r="AS674">
        <v>82</v>
      </c>
      <c r="AT674">
        <v>24</v>
      </c>
      <c r="AU674">
        <v>14</v>
      </c>
      <c r="AV674">
        <v>10</v>
      </c>
      <c r="AW674">
        <v>57</v>
      </c>
      <c r="AX674">
        <v>54</v>
      </c>
      <c r="AY674">
        <v>87</v>
      </c>
      <c r="AZ674">
        <v>71</v>
      </c>
      <c r="BA674">
        <v>65</v>
      </c>
      <c r="BB674">
        <v>68</v>
      </c>
      <c r="BC674">
        <v>98</v>
      </c>
      <c r="BD674">
        <v>85</v>
      </c>
      <c r="BE674">
        <v>34</v>
      </c>
      <c r="BF674">
        <v>52</v>
      </c>
      <c r="BG674">
        <v>34</v>
      </c>
      <c r="BH674">
        <v>15</v>
      </c>
      <c r="BI674">
        <v>13</v>
      </c>
      <c r="BJ674">
        <v>85</v>
      </c>
      <c r="BK674">
        <v>43</v>
      </c>
      <c r="BL674">
        <v>70</v>
      </c>
      <c r="BM674">
        <v>13</v>
      </c>
      <c r="BN674">
        <v>92</v>
      </c>
      <c r="BO674">
        <v>69</v>
      </c>
      <c r="BP674">
        <v>99</v>
      </c>
      <c r="BQ674">
        <v>79</v>
      </c>
      <c r="BR674">
        <v>20</v>
      </c>
      <c r="BS674">
        <v>94</v>
      </c>
      <c r="BT674">
        <v>10</v>
      </c>
      <c r="BU674">
        <v>30</v>
      </c>
      <c r="BV674">
        <v>91</v>
      </c>
      <c r="BW674">
        <v>35</v>
      </c>
      <c r="BX674">
        <v>79</v>
      </c>
      <c r="BY674">
        <v>41</v>
      </c>
      <c r="BZ674">
        <v>52</v>
      </c>
      <c r="CA674">
        <v>72</v>
      </c>
      <c r="CB674">
        <v>63</v>
      </c>
      <c r="CC674">
        <v>92</v>
      </c>
      <c r="CD674">
        <v>53</v>
      </c>
      <c r="CE674">
        <v>95</v>
      </c>
      <c r="CF674">
        <v>76</v>
      </c>
      <c r="CG674">
        <v>69</v>
      </c>
      <c r="CH674">
        <v>50</v>
      </c>
      <c r="CI674">
        <v>99</v>
      </c>
      <c r="CJ674">
        <v>25</v>
      </c>
      <c r="CK674">
        <v>30</v>
      </c>
      <c r="CL674">
        <v>57</v>
      </c>
      <c r="CM674">
        <v>96</v>
      </c>
      <c r="CN674">
        <v>75</v>
      </c>
      <c r="CO674">
        <v>12</v>
      </c>
      <c r="CP674">
        <v>91</v>
      </c>
      <c r="CQ674">
        <v>41</v>
      </c>
      <c r="CR674">
        <v>80</v>
      </c>
      <c r="CS674">
        <v>36</v>
      </c>
      <c r="CT674">
        <v>78</v>
      </c>
      <c r="CU674">
        <v>38</v>
      </c>
      <c r="CV674">
        <v>89</v>
      </c>
      <c r="CW674">
        <v>18</v>
      </c>
      <c r="CX674">
        <v>96</v>
      </c>
      <c r="CY674">
        <v>83</v>
      </c>
      <c r="CZ674">
        <v>82</v>
      </c>
      <c r="DA674">
        <v>27</v>
      </c>
      <c r="DB674">
        <v>86</v>
      </c>
      <c r="DC674">
        <v>57</v>
      </c>
      <c r="DD674">
        <v>43</v>
      </c>
      <c r="DE674">
        <v>100</v>
      </c>
      <c r="DF674">
        <v>80</v>
      </c>
      <c r="DG674">
        <v>24</v>
      </c>
      <c r="DH674">
        <v>53</v>
      </c>
      <c r="DI674">
        <v>67</v>
      </c>
      <c r="DJ674">
        <v>41</v>
      </c>
      <c r="DK674">
        <v>91</v>
      </c>
    </row>
    <row r="675" spans="1:115">
      <c r="A675" s="173">
        <f>Calculations[[#This Row],[Sum t eCO2]]*IF(Calculations[[#This Row],[GHG Scope]]="BIOGENIC",0,1)</f>
        <v>1.7659166831866346</v>
      </c>
      <c r="O675">
        <f t="shared" si="11"/>
        <v>18</v>
      </c>
      <c r="P675">
        <v>54</v>
      </c>
      <c r="Q675">
        <v>50</v>
      </c>
      <c r="R675">
        <v>54</v>
      </c>
      <c r="S675">
        <v>21</v>
      </c>
      <c r="T675">
        <v>14</v>
      </c>
      <c r="U675">
        <v>56</v>
      </c>
      <c r="V675">
        <v>32</v>
      </c>
      <c r="W675">
        <v>58</v>
      </c>
      <c r="X675">
        <v>10</v>
      </c>
      <c r="Y675">
        <v>61</v>
      </c>
      <c r="Z675">
        <v>48</v>
      </c>
      <c r="AA675">
        <v>41</v>
      </c>
      <c r="AB675">
        <v>93</v>
      </c>
      <c r="AC675">
        <v>26</v>
      </c>
      <c r="AD675">
        <v>95</v>
      </c>
      <c r="AE675">
        <v>91</v>
      </c>
      <c r="AF675">
        <v>43</v>
      </c>
      <c r="AG675">
        <v>79</v>
      </c>
      <c r="AH675">
        <v>100</v>
      </c>
      <c r="AI675">
        <v>30</v>
      </c>
      <c r="AJ675">
        <v>65</v>
      </c>
      <c r="AK675">
        <v>79</v>
      </c>
      <c r="AL675">
        <v>92</v>
      </c>
      <c r="AM675">
        <v>98</v>
      </c>
      <c r="AN675">
        <v>87</v>
      </c>
      <c r="AO675">
        <v>38</v>
      </c>
      <c r="AP675">
        <v>88</v>
      </c>
      <c r="AQ675">
        <v>28</v>
      </c>
      <c r="AR675">
        <v>41</v>
      </c>
      <c r="AS675">
        <v>93</v>
      </c>
      <c r="AT675">
        <v>37</v>
      </c>
      <c r="AU675">
        <v>62</v>
      </c>
      <c r="AV675">
        <v>58</v>
      </c>
      <c r="AW675">
        <v>35</v>
      </c>
      <c r="AX675">
        <v>98</v>
      </c>
      <c r="AY675">
        <v>22</v>
      </c>
      <c r="AZ675">
        <v>26</v>
      </c>
      <c r="BA675">
        <v>44</v>
      </c>
      <c r="BB675">
        <v>27</v>
      </c>
      <c r="BC675">
        <v>58</v>
      </c>
      <c r="BD675">
        <v>79</v>
      </c>
      <c r="BE675">
        <v>70</v>
      </c>
      <c r="BF675">
        <v>39</v>
      </c>
      <c r="BG675">
        <v>16</v>
      </c>
      <c r="BH675">
        <v>98</v>
      </c>
      <c r="BI675">
        <v>69</v>
      </c>
      <c r="BJ675">
        <v>24</v>
      </c>
      <c r="BK675">
        <v>83</v>
      </c>
      <c r="BL675">
        <v>44</v>
      </c>
      <c r="BM675">
        <v>73</v>
      </c>
      <c r="BN675">
        <v>98</v>
      </c>
      <c r="BO675">
        <v>21</v>
      </c>
      <c r="BP675">
        <v>17</v>
      </c>
      <c r="BQ675">
        <v>27</v>
      </c>
      <c r="BR675">
        <v>73</v>
      </c>
      <c r="BS675">
        <v>55</v>
      </c>
      <c r="BT675">
        <v>68</v>
      </c>
      <c r="BU675">
        <v>97</v>
      </c>
      <c r="BV675">
        <v>93</v>
      </c>
      <c r="BW675">
        <v>91</v>
      </c>
      <c r="BX675">
        <v>14</v>
      </c>
      <c r="BY675">
        <v>52</v>
      </c>
      <c r="BZ675">
        <v>27</v>
      </c>
      <c r="CA675">
        <v>64</v>
      </c>
      <c r="CB675">
        <v>93</v>
      </c>
      <c r="CC675">
        <v>12</v>
      </c>
      <c r="CD675">
        <v>64</v>
      </c>
      <c r="CE675">
        <v>41</v>
      </c>
      <c r="CF675">
        <v>70</v>
      </c>
      <c r="CG675">
        <v>49</v>
      </c>
      <c r="CH675">
        <v>94</v>
      </c>
      <c r="CI675">
        <v>14</v>
      </c>
      <c r="CJ675">
        <v>21</v>
      </c>
      <c r="CK675">
        <v>46</v>
      </c>
      <c r="CL675">
        <v>72</v>
      </c>
      <c r="CM675">
        <v>32</v>
      </c>
      <c r="CN675">
        <v>93</v>
      </c>
      <c r="CO675">
        <v>90</v>
      </c>
      <c r="CP675">
        <v>37</v>
      </c>
      <c r="CQ675">
        <v>85</v>
      </c>
      <c r="CR675">
        <v>31</v>
      </c>
      <c r="CS675">
        <v>25</v>
      </c>
      <c r="CT675">
        <v>56</v>
      </c>
      <c r="CU675">
        <v>32</v>
      </c>
      <c r="CV675">
        <v>42</v>
      </c>
      <c r="CW675">
        <v>77</v>
      </c>
      <c r="CX675">
        <v>35</v>
      </c>
      <c r="CY675">
        <v>27</v>
      </c>
      <c r="CZ675">
        <v>32</v>
      </c>
      <c r="DA675">
        <v>31</v>
      </c>
      <c r="DB675">
        <v>10</v>
      </c>
      <c r="DC675">
        <v>22</v>
      </c>
      <c r="DD675">
        <v>17</v>
      </c>
      <c r="DE675">
        <v>17</v>
      </c>
      <c r="DF675">
        <v>95</v>
      </c>
      <c r="DG675">
        <v>96</v>
      </c>
      <c r="DH675">
        <v>53</v>
      </c>
      <c r="DI675">
        <v>39</v>
      </c>
      <c r="DJ675">
        <v>13</v>
      </c>
      <c r="DK675">
        <v>29</v>
      </c>
    </row>
    <row r="676" spans="1:115">
      <c r="A676" s="173">
        <f>Calculations[[#This Row],[Sum t eCO2]]*IF(Calculations[[#This Row],[GHG Scope]]="BIOGENIC",0,1)</f>
        <v>1.2382893914824008E-3</v>
      </c>
      <c r="O676">
        <f t="shared" si="11"/>
        <v>19</v>
      </c>
      <c r="P676">
        <v>60</v>
      </c>
      <c r="Q676">
        <v>66</v>
      </c>
      <c r="R676">
        <v>41</v>
      </c>
      <c r="S676">
        <v>45</v>
      </c>
      <c r="T676">
        <v>78</v>
      </c>
      <c r="U676">
        <v>77</v>
      </c>
      <c r="V676">
        <v>49</v>
      </c>
      <c r="W676">
        <v>11</v>
      </c>
      <c r="X676">
        <v>34</v>
      </c>
      <c r="Y676">
        <v>85</v>
      </c>
      <c r="Z676">
        <v>71</v>
      </c>
      <c r="AA676">
        <v>88</v>
      </c>
      <c r="AB676">
        <v>15</v>
      </c>
      <c r="AC676">
        <v>42</v>
      </c>
      <c r="AD676">
        <v>86</v>
      </c>
      <c r="AE676">
        <v>73</v>
      </c>
      <c r="AF676">
        <v>18</v>
      </c>
      <c r="AG676">
        <v>72</v>
      </c>
      <c r="AH676">
        <v>59</v>
      </c>
      <c r="AI676">
        <v>32</v>
      </c>
      <c r="AJ676">
        <v>37</v>
      </c>
      <c r="AK676">
        <v>18</v>
      </c>
      <c r="AL676">
        <v>44</v>
      </c>
      <c r="AM676">
        <v>76</v>
      </c>
      <c r="AN676">
        <v>70</v>
      </c>
      <c r="AO676">
        <v>11</v>
      </c>
      <c r="AP676">
        <v>38</v>
      </c>
      <c r="AQ676">
        <v>64</v>
      </c>
      <c r="AR676">
        <v>33</v>
      </c>
      <c r="AS676">
        <v>34</v>
      </c>
      <c r="AT676">
        <v>78</v>
      </c>
      <c r="AU676">
        <v>96</v>
      </c>
      <c r="AV676">
        <v>28</v>
      </c>
      <c r="AW676">
        <v>36</v>
      </c>
      <c r="AX676">
        <v>69</v>
      </c>
      <c r="AY676">
        <v>100</v>
      </c>
      <c r="AZ676">
        <v>83</v>
      </c>
      <c r="BA676">
        <v>84</v>
      </c>
      <c r="BB676">
        <v>83</v>
      </c>
      <c r="BC676">
        <v>37</v>
      </c>
      <c r="BD676">
        <v>44</v>
      </c>
      <c r="BE676">
        <v>33</v>
      </c>
      <c r="BF676">
        <v>81</v>
      </c>
      <c r="BG676">
        <v>30</v>
      </c>
      <c r="BH676">
        <v>93</v>
      </c>
      <c r="BI676">
        <v>31</v>
      </c>
      <c r="BJ676">
        <v>36</v>
      </c>
      <c r="BK676">
        <v>81</v>
      </c>
      <c r="BL676">
        <v>42</v>
      </c>
      <c r="BM676">
        <v>100</v>
      </c>
      <c r="BN676">
        <v>45</v>
      </c>
      <c r="BO676">
        <v>30</v>
      </c>
      <c r="BP676">
        <v>59</v>
      </c>
      <c r="BQ676">
        <v>92</v>
      </c>
      <c r="BR676">
        <v>53</v>
      </c>
      <c r="BS676">
        <v>97</v>
      </c>
      <c r="BT676">
        <v>97</v>
      </c>
      <c r="BU676">
        <v>99</v>
      </c>
      <c r="BV676">
        <v>43</v>
      </c>
      <c r="BW676">
        <v>56</v>
      </c>
      <c r="BX676">
        <v>35</v>
      </c>
      <c r="BY676">
        <v>50</v>
      </c>
      <c r="BZ676">
        <v>44</v>
      </c>
      <c r="CA676">
        <v>35</v>
      </c>
      <c r="CB676">
        <v>62</v>
      </c>
      <c r="CC676">
        <v>93</v>
      </c>
      <c r="CD676">
        <v>86</v>
      </c>
      <c r="CE676">
        <v>10</v>
      </c>
      <c r="CF676">
        <v>75</v>
      </c>
      <c r="CG676">
        <v>55</v>
      </c>
      <c r="CH676">
        <v>58</v>
      </c>
      <c r="CI676">
        <v>92</v>
      </c>
      <c r="CJ676">
        <v>100</v>
      </c>
      <c r="CK676">
        <v>12</v>
      </c>
      <c r="CL676">
        <v>74</v>
      </c>
      <c r="CM676">
        <v>94</v>
      </c>
      <c r="CN676">
        <v>60</v>
      </c>
      <c r="CO676">
        <v>77</v>
      </c>
      <c r="CP676">
        <v>100</v>
      </c>
      <c r="CQ676">
        <v>26</v>
      </c>
      <c r="CR676">
        <v>66</v>
      </c>
      <c r="CS676">
        <v>13</v>
      </c>
      <c r="CT676">
        <v>54</v>
      </c>
      <c r="CU676">
        <v>64</v>
      </c>
      <c r="CV676">
        <v>28</v>
      </c>
      <c r="CW676">
        <v>52</v>
      </c>
      <c r="CX676">
        <v>79</v>
      </c>
      <c r="CY676">
        <v>59</v>
      </c>
      <c r="CZ676">
        <v>44</v>
      </c>
      <c r="DA676">
        <v>78</v>
      </c>
      <c r="DB676">
        <v>48</v>
      </c>
      <c r="DC676">
        <v>70</v>
      </c>
      <c r="DD676">
        <v>54</v>
      </c>
      <c r="DE676">
        <v>34</v>
      </c>
      <c r="DF676">
        <v>51</v>
      </c>
      <c r="DG676">
        <v>90</v>
      </c>
      <c r="DH676">
        <v>60</v>
      </c>
      <c r="DI676">
        <v>22</v>
      </c>
      <c r="DJ676">
        <v>85</v>
      </c>
      <c r="DK676">
        <v>45</v>
      </c>
    </row>
    <row r="677" spans="1:115">
      <c r="A677" s="173">
        <f>Calculations[[#This Row],[Sum t eCO2]]*IF(Calculations[[#This Row],[GHG Scope]]="BIOGENIC",0,1)</f>
        <v>4.8255448403900043E-3</v>
      </c>
      <c r="O677">
        <f t="shared" si="11"/>
        <v>20</v>
      </c>
      <c r="P677">
        <v>76</v>
      </c>
      <c r="Q677">
        <v>28</v>
      </c>
      <c r="R677">
        <v>87</v>
      </c>
      <c r="S677">
        <v>43</v>
      </c>
      <c r="T677">
        <v>32</v>
      </c>
      <c r="U677">
        <v>79</v>
      </c>
      <c r="V677">
        <v>98</v>
      </c>
      <c r="W677">
        <v>10</v>
      </c>
      <c r="X677">
        <v>20</v>
      </c>
      <c r="Y677">
        <v>51</v>
      </c>
      <c r="Z677">
        <v>93</v>
      </c>
      <c r="AA677">
        <v>55</v>
      </c>
      <c r="AB677">
        <v>77</v>
      </c>
      <c r="AC677">
        <v>90</v>
      </c>
      <c r="AD677">
        <v>54</v>
      </c>
      <c r="AE677">
        <v>26</v>
      </c>
      <c r="AF677">
        <v>17</v>
      </c>
      <c r="AG677">
        <v>100</v>
      </c>
      <c r="AH677">
        <v>94</v>
      </c>
      <c r="AI677">
        <v>58</v>
      </c>
      <c r="AJ677">
        <v>48</v>
      </c>
      <c r="AK677">
        <v>42</v>
      </c>
      <c r="AL677">
        <v>25</v>
      </c>
      <c r="AM677">
        <v>32</v>
      </c>
      <c r="AN677">
        <v>15</v>
      </c>
      <c r="AO677">
        <v>41</v>
      </c>
      <c r="AP677">
        <v>36</v>
      </c>
      <c r="AQ677">
        <v>41</v>
      </c>
      <c r="AR677">
        <v>36</v>
      </c>
      <c r="AS677">
        <v>92</v>
      </c>
      <c r="AT677">
        <v>96</v>
      </c>
      <c r="AU677">
        <v>94</v>
      </c>
      <c r="AV677">
        <v>10</v>
      </c>
      <c r="AW677">
        <v>46</v>
      </c>
      <c r="AX677">
        <v>67</v>
      </c>
      <c r="AY677">
        <v>43</v>
      </c>
      <c r="AZ677">
        <v>21</v>
      </c>
      <c r="BA677">
        <v>33</v>
      </c>
      <c r="BB677">
        <v>69</v>
      </c>
      <c r="BC677">
        <v>17</v>
      </c>
      <c r="BD677">
        <v>17</v>
      </c>
      <c r="BE677">
        <v>18</v>
      </c>
      <c r="BF677">
        <v>96</v>
      </c>
      <c r="BG677">
        <v>70</v>
      </c>
      <c r="BH677">
        <v>94</v>
      </c>
      <c r="BI677">
        <v>88</v>
      </c>
      <c r="BJ677">
        <v>15</v>
      </c>
      <c r="BK677">
        <v>38</v>
      </c>
      <c r="BL677">
        <v>76</v>
      </c>
      <c r="BM677">
        <v>95</v>
      </c>
      <c r="BN677">
        <v>71</v>
      </c>
      <c r="BO677">
        <v>43</v>
      </c>
      <c r="BP677">
        <v>14</v>
      </c>
      <c r="BQ677">
        <v>99</v>
      </c>
      <c r="BR677">
        <v>73</v>
      </c>
      <c r="BS677">
        <v>70</v>
      </c>
      <c r="BT677">
        <v>11</v>
      </c>
      <c r="BU677">
        <v>50</v>
      </c>
      <c r="BV677">
        <v>64</v>
      </c>
      <c r="BW677">
        <v>54</v>
      </c>
      <c r="BX677">
        <v>89</v>
      </c>
      <c r="BY677">
        <v>70</v>
      </c>
      <c r="BZ677">
        <v>53</v>
      </c>
      <c r="CA677">
        <v>44</v>
      </c>
      <c r="CB677">
        <v>88</v>
      </c>
      <c r="CC677">
        <v>19</v>
      </c>
      <c r="CD677">
        <v>34</v>
      </c>
      <c r="CE677">
        <v>39</v>
      </c>
      <c r="CF677">
        <v>24</v>
      </c>
      <c r="CG677">
        <v>10</v>
      </c>
      <c r="CH677">
        <v>82</v>
      </c>
      <c r="CI677">
        <v>72</v>
      </c>
      <c r="CJ677">
        <v>83</v>
      </c>
      <c r="CK677">
        <v>74</v>
      </c>
      <c r="CL677">
        <v>89</v>
      </c>
      <c r="CM677">
        <v>62</v>
      </c>
      <c r="CN677">
        <v>56</v>
      </c>
      <c r="CO677">
        <v>84</v>
      </c>
      <c r="CP677">
        <v>46</v>
      </c>
      <c r="CQ677">
        <v>48</v>
      </c>
      <c r="CR677">
        <v>48</v>
      </c>
      <c r="CS677">
        <v>89</v>
      </c>
      <c r="CT677">
        <v>82</v>
      </c>
      <c r="CU677">
        <v>100</v>
      </c>
      <c r="CV677">
        <v>59</v>
      </c>
      <c r="CW677">
        <v>99</v>
      </c>
      <c r="CX677">
        <v>29</v>
      </c>
      <c r="CY677">
        <v>40</v>
      </c>
      <c r="CZ677">
        <v>82</v>
      </c>
      <c r="DA677">
        <v>23</v>
      </c>
      <c r="DB677">
        <v>71</v>
      </c>
      <c r="DC677">
        <v>84</v>
      </c>
      <c r="DD677">
        <v>41</v>
      </c>
      <c r="DE677">
        <v>77</v>
      </c>
      <c r="DF677">
        <v>73</v>
      </c>
      <c r="DG677">
        <v>58</v>
      </c>
      <c r="DH677">
        <v>21</v>
      </c>
      <c r="DI677">
        <v>74</v>
      </c>
      <c r="DJ677">
        <v>62</v>
      </c>
      <c r="DK677">
        <v>18</v>
      </c>
    </row>
    <row r="678" spans="1:115">
      <c r="A678" s="173">
        <f>Calculations[[#This Row],[Sum t eCO2]]*IF(Calculations[[#This Row],[GHG Scope]]="BIOGENIC",0,1)</f>
        <v>0.30515023511201345</v>
      </c>
      <c r="O678">
        <f t="shared" si="11"/>
        <v>21</v>
      </c>
      <c r="P678">
        <v>100</v>
      </c>
      <c r="Q678">
        <v>10</v>
      </c>
      <c r="R678">
        <v>17</v>
      </c>
      <c r="S678">
        <v>50</v>
      </c>
      <c r="T678">
        <v>45</v>
      </c>
      <c r="U678">
        <v>31</v>
      </c>
      <c r="V678">
        <v>72</v>
      </c>
      <c r="W678">
        <v>91</v>
      </c>
      <c r="X678">
        <v>93</v>
      </c>
      <c r="Y678">
        <v>80</v>
      </c>
      <c r="Z678">
        <v>93</v>
      </c>
      <c r="AA678">
        <v>79</v>
      </c>
      <c r="AB678">
        <v>87</v>
      </c>
      <c r="AC678">
        <v>90</v>
      </c>
      <c r="AD678">
        <v>17</v>
      </c>
      <c r="AE678">
        <v>73</v>
      </c>
      <c r="AF678">
        <v>68</v>
      </c>
      <c r="AG678">
        <v>91</v>
      </c>
      <c r="AH678">
        <v>11</v>
      </c>
      <c r="AI678">
        <v>49</v>
      </c>
      <c r="AJ678">
        <v>42</v>
      </c>
      <c r="AK678">
        <v>90</v>
      </c>
      <c r="AL678">
        <v>92</v>
      </c>
      <c r="AM678">
        <v>12</v>
      </c>
      <c r="AN678">
        <v>86</v>
      </c>
      <c r="AO678">
        <v>69</v>
      </c>
      <c r="AP678">
        <v>94</v>
      </c>
      <c r="AQ678">
        <v>94</v>
      </c>
      <c r="AR678">
        <v>26</v>
      </c>
      <c r="AS678">
        <v>71</v>
      </c>
      <c r="AT678">
        <v>89</v>
      </c>
      <c r="AU678">
        <v>67</v>
      </c>
      <c r="AV678">
        <v>37</v>
      </c>
      <c r="AW678">
        <v>60</v>
      </c>
      <c r="AX678">
        <v>52</v>
      </c>
      <c r="AY678">
        <v>26</v>
      </c>
      <c r="AZ678">
        <v>44</v>
      </c>
      <c r="BA678">
        <v>18</v>
      </c>
      <c r="BB678">
        <v>13</v>
      </c>
      <c r="BC678">
        <v>23</v>
      </c>
      <c r="BD678">
        <v>67</v>
      </c>
      <c r="BE678">
        <v>50</v>
      </c>
      <c r="BF678">
        <v>78</v>
      </c>
      <c r="BG678">
        <v>47</v>
      </c>
      <c r="BH678">
        <v>83</v>
      </c>
      <c r="BI678">
        <v>93</v>
      </c>
      <c r="BJ678">
        <v>34</v>
      </c>
      <c r="BK678">
        <v>19</v>
      </c>
      <c r="BL678">
        <v>69</v>
      </c>
      <c r="BM678">
        <v>12</v>
      </c>
      <c r="BN678">
        <v>96</v>
      </c>
      <c r="BO678">
        <v>87</v>
      </c>
      <c r="BP678">
        <v>55</v>
      </c>
      <c r="BQ678">
        <v>66</v>
      </c>
      <c r="BR678">
        <v>62</v>
      </c>
      <c r="BS678">
        <v>60</v>
      </c>
      <c r="BT678">
        <v>32</v>
      </c>
      <c r="BU678">
        <v>32</v>
      </c>
      <c r="BV678">
        <v>58</v>
      </c>
      <c r="BW678">
        <v>97</v>
      </c>
      <c r="BX678">
        <v>44</v>
      </c>
      <c r="BY678">
        <v>91</v>
      </c>
      <c r="BZ678">
        <v>57</v>
      </c>
      <c r="CA678">
        <v>77</v>
      </c>
      <c r="CB678">
        <v>48</v>
      </c>
      <c r="CC678">
        <v>76</v>
      </c>
      <c r="CD678">
        <v>59</v>
      </c>
      <c r="CE678">
        <v>77</v>
      </c>
      <c r="CF678">
        <v>34</v>
      </c>
      <c r="CG678">
        <v>94</v>
      </c>
      <c r="CH678">
        <v>60</v>
      </c>
      <c r="CI678">
        <v>30</v>
      </c>
      <c r="CJ678">
        <v>95</v>
      </c>
      <c r="CK678">
        <v>87</v>
      </c>
      <c r="CL678">
        <v>67</v>
      </c>
      <c r="CM678">
        <v>35</v>
      </c>
      <c r="CN678">
        <v>66</v>
      </c>
      <c r="CO678">
        <v>39</v>
      </c>
      <c r="CP678">
        <v>16</v>
      </c>
      <c r="CQ678">
        <v>28</v>
      </c>
      <c r="CR678">
        <v>78</v>
      </c>
      <c r="CS678">
        <v>47</v>
      </c>
      <c r="CT678">
        <v>96</v>
      </c>
      <c r="CU678">
        <v>56</v>
      </c>
      <c r="CV678">
        <v>62</v>
      </c>
      <c r="CW678">
        <v>69</v>
      </c>
      <c r="CX678">
        <v>93</v>
      </c>
      <c r="CY678">
        <v>93</v>
      </c>
      <c r="CZ678">
        <v>17</v>
      </c>
      <c r="DA678">
        <v>26</v>
      </c>
      <c r="DB678">
        <v>46</v>
      </c>
      <c r="DC678">
        <v>76</v>
      </c>
      <c r="DD678">
        <v>16</v>
      </c>
      <c r="DE678">
        <v>89</v>
      </c>
      <c r="DF678">
        <v>55</v>
      </c>
      <c r="DG678">
        <v>79</v>
      </c>
      <c r="DH678">
        <v>96</v>
      </c>
      <c r="DI678">
        <v>43</v>
      </c>
      <c r="DJ678">
        <v>65</v>
      </c>
      <c r="DK678">
        <v>32</v>
      </c>
    </row>
    <row r="679" spans="1:115">
      <c r="A679" s="173">
        <f>Calculations[[#This Row],[Sum t eCO2]]*IF(Calculations[[#This Row],[GHG Scope]]="BIOGENIC",0,1)</f>
        <v>2.0640821397144107</v>
      </c>
      <c r="O679">
        <f t="shared" si="11"/>
        <v>22</v>
      </c>
      <c r="P679">
        <v>94</v>
      </c>
      <c r="Q679">
        <v>62</v>
      </c>
      <c r="R679">
        <v>93</v>
      </c>
      <c r="S679">
        <v>42</v>
      </c>
      <c r="T679">
        <v>94</v>
      </c>
      <c r="U679">
        <v>69</v>
      </c>
      <c r="V679">
        <v>96</v>
      </c>
      <c r="W679">
        <v>78</v>
      </c>
      <c r="X679">
        <v>21</v>
      </c>
      <c r="Y679">
        <v>13</v>
      </c>
      <c r="Z679">
        <v>70</v>
      </c>
      <c r="AA679">
        <v>30</v>
      </c>
      <c r="AB679">
        <v>56</v>
      </c>
      <c r="AC679">
        <v>79</v>
      </c>
      <c r="AD679">
        <v>88</v>
      </c>
      <c r="AE679">
        <v>27</v>
      </c>
      <c r="AF679">
        <v>87</v>
      </c>
      <c r="AG679">
        <v>51</v>
      </c>
      <c r="AH679">
        <v>45</v>
      </c>
      <c r="AI679">
        <v>31</v>
      </c>
      <c r="AJ679">
        <v>16</v>
      </c>
      <c r="AK679">
        <v>11</v>
      </c>
      <c r="AL679">
        <v>69</v>
      </c>
      <c r="AM679">
        <v>97</v>
      </c>
      <c r="AN679">
        <v>81</v>
      </c>
      <c r="AO679">
        <v>57</v>
      </c>
      <c r="AP679">
        <v>51</v>
      </c>
      <c r="AQ679">
        <v>47</v>
      </c>
      <c r="AR679">
        <v>83</v>
      </c>
      <c r="AS679">
        <v>14</v>
      </c>
      <c r="AT679">
        <v>59</v>
      </c>
      <c r="AU679">
        <v>24</v>
      </c>
      <c r="AV679">
        <v>43</v>
      </c>
      <c r="AW679">
        <v>25</v>
      </c>
      <c r="AX679">
        <v>43</v>
      </c>
      <c r="AY679">
        <v>42</v>
      </c>
      <c r="AZ679">
        <v>69</v>
      </c>
      <c r="BA679">
        <v>94</v>
      </c>
      <c r="BB679">
        <v>83</v>
      </c>
      <c r="BC679">
        <v>99</v>
      </c>
      <c r="BD679">
        <v>73</v>
      </c>
      <c r="BE679">
        <v>39</v>
      </c>
      <c r="BF679">
        <v>51</v>
      </c>
      <c r="BG679">
        <v>69</v>
      </c>
      <c r="BH679">
        <v>46</v>
      </c>
      <c r="BI679">
        <v>43</v>
      </c>
      <c r="BJ679">
        <v>42</v>
      </c>
      <c r="BK679">
        <v>41</v>
      </c>
      <c r="BL679">
        <v>40</v>
      </c>
      <c r="BM679">
        <v>48</v>
      </c>
      <c r="BN679">
        <v>36</v>
      </c>
      <c r="BO679">
        <v>20</v>
      </c>
      <c r="BP679">
        <v>11</v>
      </c>
      <c r="BQ679">
        <v>12</v>
      </c>
      <c r="BR679">
        <v>81</v>
      </c>
      <c r="BS679">
        <v>18</v>
      </c>
      <c r="BT679">
        <v>69</v>
      </c>
      <c r="BU679">
        <v>17</v>
      </c>
      <c r="BV679">
        <v>70</v>
      </c>
      <c r="BW679">
        <v>91</v>
      </c>
      <c r="BX679">
        <v>57</v>
      </c>
      <c r="BY679">
        <v>12</v>
      </c>
      <c r="BZ679">
        <v>71</v>
      </c>
      <c r="CA679">
        <v>15</v>
      </c>
      <c r="CB679">
        <v>98</v>
      </c>
      <c r="CC679">
        <v>40</v>
      </c>
      <c r="CD679">
        <v>16</v>
      </c>
      <c r="CE679">
        <v>97</v>
      </c>
      <c r="CF679">
        <v>95</v>
      </c>
      <c r="CG679">
        <v>26</v>
      </c>
      <c r="CH679">
        <v>37</v>
      </c>
      <c r="CI679">
        <v>35</v>
      </c>
      <c r="CJ679">
        <v>90</v>
      </c>
      <c r="CK679">
        <v>52</v>
      </c>
      <c r="CL679">
        <v>97</v>
      </c>
      <c r="CM679">
        <v>89</v>
      </c>
      <c r="CN679">
        <v>90</v>
      </c>
      <c r="CO679">
        <v>11</v>
      </c>
      <c r="CP679">
        <v>28</v>
      </c>
      <c r="CQ679">
        <v>33</v>
      </c>
      <c r="CR679">
        <v>70</v>
      </c>
      <c r="CS679">
        <v>87</v>
      </c>
      <c r="CT679">
        <v>52</v>
      </c>
      <c r="CU679">
        <v>82</v>
      </c>
      <c r="CV679">
        <v>28</v>
      </c>
      <c r="CW679">
        <v>56</v>
      </c>
      <c r="CX679">
        <v>19</v>
      </c>
      <c r="CY679">
        <v>63</v>
      </c>
      <c r="CZ679">
        <v>68</v>
      </c>
      <c r="DA679">
        <v>36</v>
      </c>
      <c r="DB679">
        <v>93</v>
      </c>
      <c r="DC679">
        <v>74</v>
      </c>
      <c r="DD679">
        <v>65</v>
      </c>
      <c r="DE679">
        <v>76</v>
      </c>
      <c r="DF679">
        <v>66</v>
      </c>
      <c r="DG679">
        <v>12</v>
      </c>
      <c r="DH679">
        <v>30</v>
      </c>
      <c r="DI679">
        <v>64</v>
      </c>
      <c r="DJ679">
        <v>75</v>
      </c>
      <c r="DK679">
        <v>58</v>
      </c>
    </row>
    <row r="680" spans="1:115">
      <c r="A680" s="173">
        <f>Calculations[[#This Row],[Sum t eCO2]]*IF(Calculations[[#This Row],[GHG Scope]]="BIOGENIC",0,1)</f>
        <v>1.4473678407887385E-3</v>
      </c>
      <c r="O680">
        <f t="shared" si="11"/>
        <v>23</v>
      </c>
      <c r="P680">
        <v>50</v>
      </c>
      <c r="Q680">
        <v>92</v>
      </c>
      <c r="R680">
        <v>79</v>
      </c>
      <c r="S680">
        <v>58</v>
      </c>
      <c r="T680">
        <v>82</v>
      </c>
      <c r="U680">
        <v>63</v>
      </c>
      <c r="V680">
        <v>80</v>
      </c>
      <c r="W680">
        <v>84</v>
      </c>
      <c r="X680">
        <v>91</v>
      </c>
      <c r="Y680">
        <v>53</v>
      </c>
      <c r="Z680">
        <v>43</v>
      </c>
      <c r="AA680">
        <v>21</v>
      </c>
      <c r="AB680">
        <v>19</v>
      </c>
      <c r="AC680">
        <v>51</v>
      </c>
      <c r="AD680">
        <v>53</v>
      </c>
      <c r="AE680">
        <v>11</v>
      </c>
      <c r="AF680">
        <v>67</v>
      </c>
      <c r="AG680">
        <v>17</v>
      </c>
      <c r="AH680">
        <v>78</v>
      </c>
      <c r="AI680">
        <v>72</v>
      </c>
      <c r="AJ680">
        <v>23</v>
      </c>
      <c r="AK680">
        <v>38</v>
      </c>
      <c r="AL680">
        <v>65</v>
      </c>
      <c r="AM680">
        <v>81</v>
      </c>
      <c r="AN680">
        <v>69</v>
      </c>
      <c r="AO680">
        <v>56</v>
      </c>
      <c r="AP680">
        <v>14</v>
      </c>
      <c r="AQ680">
        <v>49</v>
      </c>
      <c r="AR680">
        <v>68</v>
      </c>
      <c r="AS680">
        <v>31</v>
      </c>
      <c r="AT680">
        <v>42</v>
      </c>
      <c r="AU680">
        <v>62</v>
      </c>
      <c r="AV680">
        <v>46</v>
      </c>
      <c r="AW680">
        <v>100</v>
      </c>
      <c r="AX680">
        <v>76</v>
      </c>
      <c r="AY680">
        <v>70</v>
      </c>
      <c r="AZ680">
        <v>22</v>
      </c>
      <c r="BA680">
        <v>97</v>
      </c>
      <c r="BB680">
        <v>93</v>
      </c>
      <c r="BC680">
        <v>47</v>
      </c>
      <c r="BD680">
        <v>14</v>
      </c>
      <c r="BE680">
        <v>80</v>
      </c>
      <c r="BF680">
        <v>45</v>
      </c>
      <c r="BG680">
        <v>42</v>
      </c>
      <c r="BH680">
        <v>87</v>
      </c>
      <c r="BI680">
        <v>24</v>
      </c>
      <c r="BJ680">
        <v>72</v>
      </c>
      <c r="BK680">
        <v>22</v>
      </c>
      <c r="BL680">
        <v>21</v>
      </c>
      <c r="BM680">
        <v>33</v>
      </c>
      <c r="BN680">
        <v>57</v>
      </c>
      <c r="BO680">
        <v>16</v>
      </c>
      <c r="BP680">
        <v>71</v>
      </c>
      <c r="BQ680">
        <v>65</v>
      </c>
      <c r="BR680">
        <v>70</v>
      </c>
      <c r="BS680">
        <v>52</v>
      </c>
      <c r="BT680">
        <v>15</v>
      </c>
      <c r="BU680">
        <v>28</v>
      </c>
      <c r="BV680">
        <v>93</v>
      </c>
      <c r="BW680">
        <v>66</v>
      </c>
      <c r="BX680">
        <v>93</v>
      </c>
      <c r="BY680">
        <v>57</v>
      </c>
      <c r="BZ680">
        <v>48</v>
      </c>
      <c r="CA680">
        <v>68</v>
      </c>
      <c r="CB680">
        <v>99</v>
      </c>
      <c r="CC680">
        <v>68</v>
      </c>
      <c r="CD680">
        <v>43</v>
      </c>
      <c r="CE680">
        <v>75</v>
      </c>
      <c r="CF680">
        <v>54</v>
      </c>
      <c r="CG680">
        <v>42</v>
      </c>
      <c r="CH680">
        <v>80</v>
      </c>
      <c r="CI680">
        <v>63</v>
      </c>
      <c r="CJ680">
        <v>43</v>
      </c>
      <c r="CK680">
        <v>36</v>
      </c>
      <c r="CL680">
        <v>77</v>
      </c>
      <c r="CM680">
        <v>29</v>
      </c>
      <c r="CN680">
        <v>59</v>
      </c>
      <c r="CO680">
        <v>51</v>
      </c>
      <c r="CP680">
        <v>93</v>
      </c>
      <c r="CQ680">
        <v>76</v>
      </c>
      <c r="CR680">
        <v>17</v>
      </c>
      <c r="CS680">
        <v>51</v>
      </c>
      <c r="CT680">
        <v>88</v>
      </c>
      <c r="CU680">
        <v>65</v>
      </c>
      <c r="CV680">
        <v>68</v>
      </c>
      <c r="CW680">
        <v>91</v>
      </c>
      <c r="CX680">
        <v>13</v>
      </c>
      <c r="CY680">
        <v>10</v>
      </c>
      <c r="CZ680">
        <v>78</v>
      </c>
      <c r="DA680">
        <v>79</v>
      </c>
      <c r="DB680">
        <v>23</v>
      </c>
      <c r="DC680">
        <v>35</v>
      </c>
      <c r="DD680">
        <v>82</v>
      </c>
      <c r="DE680">
        <v>66</v>
      </c>
      <c r="DF680">
        <v>96</v>
      </c>
      <c r="DG680">
        <v>42</v>
      </c>
      <c r="DH680">
        <v>11</v>
      </c>
      <c r="DI680">
        <v>11</v>
      </c>
      <c r="DJ680">
        <v>56</v>
      </c>
      <c r="DK680">
        <v>22</v>
      </c>
    </row>
    <row r="681" spans="1:115">
      <c r="A681" s="173">
        <f>Calculations[[#This Row],[Sum t eCO2]]*IF(Calculations[[#This Row],[GHG Scope]]="BIOGENIC",0,1)</f>
        <v>5.6403119208695753E-3</v>
      </c>
      <c r="O681">
        <f t="shared" si="11"/>
        <v>24</v>
      </c>
      <c r="P681">
        <v>25</v>
      </c>
      <c r="Q681">
        <v>81</v>
      </c>
      <c r="R681">
        <v>61</v>
      </c>
      <c r="S681">
        <v>38</v>
      </c>
      <c r="T681">
        <v>31</v>
      </c>
      <c r="U681">
        <v>11</v>
      </c>
      <c r="V681">
        <v>90</v>
      </c>
      <c r="W681">
        <v>47</v>
      </c>
      <c r="X681">
        <v>39</v>
      </c>
      <c r="Y681">
        <v>50</v>
      </c>
      <c r="Z681">
        <v>45</v>
      </c>
      <c r="AA681">
        <v>29</v>
      </c>
      <c r="AB681">
        <v>71</v>
      </c>
      <c r="AC681">
        <v>15</v>
      </c>
      <c r="AD681">
        <v>42</v>
      </c>
      <c r="AE681">
        <v>31</v>
      </c>
      <c r="AF681">
        <v>26</v>
      </c>
      <c r="AG681">
        <v>16</v>
      </c>
      <c r="AH681">
        <v>14</v>
      </c>
      <c r="AI681">
        <v>50</v>
      </c>
      <c r="AJ681">
        <v>93</v>
      </c>
      <c r="AK681">
        <v>19</v>
      </c>
      <c r="AL681">
        <v>99</v>
      </c>
      <c r="AM681">
        <v>79</v>
      </c>
      <c r="AN681">
        <v>85</v>
      </c>
      <c r="AO681">
        <v>53</v>
      </c>
      <c r="AP681">
        <v>85</v>
      </c>
      <c r="AQ681">
        <v>22</v>
      </c>
      <c r="AR681">
        <v>75</v>
      </c>
      <c r="AS681">
        <v>98</v>
      </c>
      <c r="AT681">
        <v>100</v>
      </c>
      <c r="AU681">
        <v>37</v>
      </c>
      <c r="AV681">
        <v>43</v>
      </c>
      <c r="AW681">
        <v>11</v>
      </c>
      <c r="AX681">
        <v>12</v>
      </c>
      <c r="AY681">
        <v>22</v>
      </c>
      <c r="AZ681">
        <v>87</v>
      </c>
      <c r="BA681">
        <v>61</v>
      </c>
      <c r="BB681">
        <v>52</v>
      </c>
      <c r="BC681">
        <v>100</v>
      </c>
      <c r="BD681">
        <v>100</v>
      </c>
      <c r="BE681">
        <v>85</v>
      </c>
      <c r="BF681">
        <v>81</v>
      </c>
      <c r="BG681">
        <v>33</v>
      </c>
      <c r="BH681">
        <v>64</v>
      </c>
      <c r="BI681">
        <v>88</v>
      </c>
      <c r="BJ681">
        <v>11</v>
      </c>
      <c r="BK681">
        <v>27</v>
      </c>
      <c r="BL681">
        <v>29</v>
      </c>
      <c r="BM681">
        <v>40</v>
      </c>
      <c r="BN681">
        <v>96</v>
      </c>
      <c r="BO681">
        <v>75</v>
      </c>
      <c r="BP681">
        <v>19</v>
      </c>
      <c r="BQ681">
        <v>14</v>
      </c>
      <c r="BR681">
        <v>69</v>
      </c>
      <c r="BS681">
        <v>19</v>
      </c>
      <c r="BT681">
        <v>38</v>
      </c>
      <c r="BU681">
        <v>41</v>
      </c>
      <c r="BV681">
        <v>32</v>
      </c>
      <c r="BW681">
        <v>24</v>
      </c>
      <c r="BX681">
        <v>50</v>
      </c>
      <c r="BY681">
        <v>56</v>
      </c>
      <c r="BZ681">
        <v>58</v>
      </c>
      <c r="CA681">
        <v>56</v>
      </c>
      <c r="CB681">
        <v>57</v>
      </c>
      <c r="CC681">
        <v>81</v>
      </c>
      <c r="CD681">
        <v>92</v>
      </c>
      <c r="CE681">
        <v>42</v>
      </c>
      <c r="CF681">
        <v>74</v>
      </c>
      <c r="CG681">
        <v>26</v>
      </c>
      <c r="CH681">
        <v>81</v>
      </c>
      <c r="CI681">
        <v>68</v>
      </c>
      <c r="CJ681">
        <v>44</v>
      </c>
      <c r="CK681">
        <v>62</v>
      </c>
      <c r="CL681">
        <v>50</v>
      </c>
      <c r="CM681">
        <v>18</v>
      </c>
      <c r="CN681">
        <v>62</v>
      </c>
      <c r="CO681">
        <v>11</v>
      </c>
      <c r="CP681">
        <v>83</v>
      </c>
      <c r="CQ681">
        <v>44</v>
      </c>
      <c r="CR681">
        <v>89</v>
      </c>
      <c r="CS681">
        <v>94</v>
      </c>
      <c r="CT681">
        <v>97</v>
      </c>
      <c r="CU681">
        <v>34</v>
      </c>
      <c r="CV681">
        <v>73</v>
      </c>
      <c r="CW681">
        <v>42</v>
      </c>
      <c r="CX681">
        <v>58</v>
      </c>
      <c r="CY681">
        <v>92</v>
      </c>
      <c r="CZ681">
        <v>80</v>
      </c>
      <c r="DA681">
        <v>94</v>
      </c>
      <c r="DB681">
        <v>24</v>
      </c>
      <c r="DC681">
        <v>48</v>
      </c>
      <c r="DD681">
        <v>10</v>
      </c>
      <c r="DE681">
        <v>32</v>
      </c>
      <c r="DF681">
        <v>51</v>
      </c>
      <c r="DG681">
        <v>55</v>
      </c>
      <c r="DH681">
        <v>49</v>
      </c>
      <c r="DI681">
        <v>62</v>
      </c>
      <c r="DJ681">
        <v>25</v>
      </c>
      <c r="DK681">
        <v>91</v>
      </c>
    </row>
    <row r="682" spans="1:115">
      <c r="A682" s="173">
        <f>Calculations[[#This Row],[Sum t eCO2]]*IF(Calculations[[#This Row],[GHG Scope]]="BIOGENIC",0,1)</f>
        <v>0.35667319767757849</v>
      </c>
      <c r="O682">
        <f t="shared" si="11"/>
        <v>25</v>
      </c>
      <c r="P682">
        <v>67</v>
      </c>
      <c r="Q682">
        <v>88</v>
      </c>
      <c r="R682">
        <v>28</v>
      </c>
      <c r="S682">
        <v>39</v>
      </c>
      <c r="T682">
        <v>100</v>
      </c>
      <c r="U682">
        <v>87</v>
      </c>
      <c r="V682">
        <v>75</v>
      </c>
      <c r="W682">
        <v>17</v>
      </c>
      <c r="X682">
        <v>91</v>
      </c>
      <c r="Y682">
        <v>62</v>
      </c>
      <c r="Z682">
        <v>82</v>
      </c>
      <c r="AA682">
        <v>55</v>
      </c>
      <c r="AB682">
        <v>78</v>
      </c>
      <c r="AC682">
        <v>57</v>
      </c>
      <c r="AD682">
        <v>93</v>
      </c>
      <c r="AE682">
        <v>81</v>
      </c>
      <c r="AF682">
        <v>48</v>
      </c>
      <c r="AG682">
        <v>45</v>
      </c>
      <c r="AH682">
        <v>33</v>
      </c>
      <c r="AI682">
        <v>73</v>
      </c>
      <c r="AJ682">
        <v>85</v>
      </c>
      <c r="AK682">
        <v>84</v>
      </c>
      <c r="AL682">
        <v>48</v>
      </c>
      <c r="AM682">
        <v>24</v>
      </c>
      <c r="AN682">
        <v>98</v>
      </c>
      <c r="AO682">
        <v>69</v>
      </c>
      <c r="AP682">
        <v>63</v>
      </c>
      <c r="AQ682">
        <v>14</v>
      </c>
      <c r="AR682">
        <v>93</v>
      </c>
      <c r="AS682">
        <v>39</v>
      </c>
      <c r="AT682">
        <v>13</v>
      </c>
      <c r="AU682">
        <v>72</v>
      </c>
      <c r="AV682">
        <v>97</v>
      </c>
      <c r="AW682">
        <v>98</v>
      </c>
      <c r="AX682">
        <v>90</v>
      </c>
      <c r="AY682">
        <v>62</v>
      </c>
      <c r="AZ682">
        <v>60</v>
      </c>
      <c r="BA682">
        <v>99</v>
      </c>
      <c r="BB682">
        <v>28</v>
      </c>
      <c r="BC682">
        <v>66</v>
      </c>
      <c r="BD682">
        <v>43</v>
      </c>
      <c r="BE682">
        <v>49</v>
      </c>
      <c r="BF682">
        <v>67</v>
      </c>
      <c r="BG682">
        <v>90</v>
      </c>
      <c r="BH682">
        <v>50</v>
      </c>
      <c r="BI682">
        <v>92</v>
      </c>
      <c r="BJ682">
        <v>32</v>
      </c>
      <c r="BK682">
        <v>35</v>
      </c>
      <c r="BL682">
        <v>79</v>
      </c>
      <c r="BM682">
        <v>81</v>
      </c>
      <c r="BN682">
        <v>30</v>
      </c>
      <c r="BO682">
        <v>76</v>
      </c>
      <c r="BP682">
        <v>93</v>
      </c>
      <c r="BQ682">
        <v>13</v>
      </c>
      <c r="BR682">
        <v>31</v>
      </c>
      <c r="BS682">
        <v>18</v>
      </c>
      <c r="BT682">
        <v>82</v>
      </c>
      <c r="BU682">
        <v>56</v>
      </c>
      <c r="BV682">
        <v>37</v>
      </c>
      <c r="BW682">
        <v>45</v>
      </c>
      <c r="BX682">
        <v>12</v>
      </c>
      <c r="BY682">
        <v>70</v>
      </c>
      <c r="BZ682">
        <v>17</v>
      </c>
      <c r="CA682">
        <v>26</v>
      </c>
      <c r="CB682">
        <v>95</v>
      </c>
      <c r="CC682">
        <v>92</v>
      </c>
      <c r="CD682">
        <v>55</v>
      </c>
      <c r="CE682">
        <v>94</v>
      </c>
      <c r="CF682">
        <v>50</v>
      </c>
      <c r="CG682">
        <v>50</v>
      </c>
      <c r="CH682">
        <v>37</v>
      </c>
      <c r="CI682">
        <v>53</v>
      </c>
      <c r="CJ682">
        <v>57</v>
      </c>
      <c r="CK682">
        <v>87</v>
      </c>
      <c r="CL682">
        <v>89</v>
      </c>
      <c r="CM682">
        <v>20</v>
      </c>
      <c r="CN682">
        <v>15</v>
      </c>
      <c r="CO682">
        <v>79</v>
      </c>
      <c r="CP682">
        <v>52</v>
      </c>
      <c r="CQ682">
        <v>33</v>
      </c>
      <c r="CR682">
        <v>23</v>
      </c>
      <c r="CS682">
        <v>73</v>
      </c>
      <c r="CT682">
        <v>63</v>
      </c>
      <c r="CU682">
        <v>42</v>
      </c>
      <c r="CV682">
        <v>49</v>
      </c>
      <c r="CW682">
        <v>31</v>
      </c>
      <c r="CX682">
        <v>81</v>
      </c>
      <c r="CY682">
        <v>83</v>
      </c>
      <c r="CZ682">
        <v>16</v>
      </c>
      <c r="DA682">
        <v>31</v>
      </c>
      <c r="DB682">
        <v>37</v>
      </c>
      <c r="DC682">
        <v>23</v>
      </c>
      <c r="DD682">
        <v>84</v>
      </c>
      <c r="DE682">
        <v>76</v>
      </c>
      <c r="DF682">
        <v>60</v>
      </c>
      <c r="DG682">
        <v>88</v>
      </c>
      <c r="DH682">
        <v>73</v>
      </c>
      <c r="DI682">
        <v>29</v>
      </c>
      <c r="DJ682">
        <v>88</v>
      </c>
      <c r="DK682">
        <v>88</v>
      </c>
    </row>
    <row r="683" spans="1:115">
      <c r="A683" s="173">
        <f>Calculations[[#This Row],[Sum t eCO2]]*IF(Calculations[[#This Row],[GHG Scope]]="BIOGENIC",0,1)</f>
        <v>11.664163004586911</v>
      </c>
      <c r="O683">
        <f t="shared" si="11"/>
        <v>26</v>
      </c>
      <c r="P683">
        <v>67</v>
      </c>
      <c r="Q683">
        <v>48</v>
      </c>
      <c r="R683">
        <v>32</v>
      </c>
      <c r="S683">
        <v>70</v>
      </c>
      <c r="T683">
        <v>77</v>
      </c>
      <c r="U683">
        <v>58</v>
      </c>
      <c r="V683">
        <v>54</v>
      </c>
      <c r="W683">
        <v>16</v>
      </c>
      <c r="X683">
        <v>46</v>
      </c>
      <c r="Y683">
        <v>13</v>
      </c>
      <c r="Z683">
        <v>53</v>
      </c>
      <c r="AA683">
        <v>30</v>
      </c>
      <c r="AB683">
        <v>81</v>
      </c>
      <c r="AC683">
        <v>100</v>
      </c>
      <c r="AD683">
        <v>49</v>
      </c>
      <c r="AE683">
        <v>78</v>
      </c>
      <c r="AF683">
        <v>53</v>
      </c>
      <c r="AG683">
        <v>46</v>
      </c>
      <c r="AH683">
        <v>12</v>
      </c>
      <c r="AI683">
        <v>77</v>
      </c>
      <c r="AJ683">
        <v>39</v>
      </c>
      <c r="AK683">
        <v>41</v>
      </c>
      <c r="AL683">
        <v>20</v>
      </c>
      <c r="AM683">
        <v>98</v>
      </c>
      <c r="AN683">
        <v>100</v>
      </c>
      <c r="AO683">
        <v>19</v>
      </c>
      <c r="AP683">
        <v>73</v>
      </c>
      <c r="AQ683">
        <v>23</v>
      </c>
      <c r="AR683">
        <v>55</v>
      </c>
      <c r="AS683">
        <v>93</v>
      </c>
      <c r="AT683">
        <v>52</v>
      </c>
      <c r="AU683">
        <v>97</v>
      </c>
      <c r="AV683">
        <v>46</v>
      </c>
      <c r="AW683">
        <v>83</v>
      </c>
      <c r="AX683">
        <v>36</v>
      </c>
      <c r="AY683">
        <v>55</v>
      </c>
      <c r="AZ683">
        <v>96</v>
      </c>
      <c r="BA683">
        <v>44</v>
      </c>
      <c r="BB683">
        <v>39</v>
      </c>
      <c r="BC683">
        <v>16</v>
      </c>
      <c r="BD683">
        <v>82</v>
      </c>
      <c r="BE683">
        <v>13</v>
      </c>
      <c r="BF683">
        <v>30</v>
      </c>
      <c r="BG683">
        <v>29</v>
      </c>
      <c r="BH683">
        <v>60</v>
      </c>
      <c r="BI683">
        <v>15</v>
      </c>
      <c r="BJ683">
        <v>27</v>
      </c>
      <c r="BK683">
        <v>69</v>
      </c>
      <c r="BL683">
        <v>10</v>
      </c>
      <c r="BM683">
        <v>54</v>
      </c>
      <c r="BN683">
        <v>36</v>
      </c>
      <c r="BO683">
        <v>65</v>
      </c>
      <c r="BP683">
        <v>75</v>
      </c>
      <c r="BQ683">
        <v>42</v>
      </c>
      <c r="BR683">
        <v>27</v>
      </c>
      <c r="BS683">
        <v>29</v>
      </c>
      <c r="BT683">
        <v>23</v>
      </c>
      <c r="BU683">
        <v>79</v>
      </c>
      <c r="BV683">
        <v>40</v>
      </c>
      <c r="BW683">
        <v>52</v>
      </c>
      <c r="BX683">
        <v>28</v>
      </c>
      <c r="BY683">
        <v>87</v>
      </c>
      <c r="BZ683">
        <v>14</v>
      </c>
      <c r="CA683">
        <v>88</v>
      </c>
      <c r="CB683">
        <v>94</v>
      </c>
      <c r="CC683">
        <v>14</v>
      </c>
      <c r="CD683">
        <v>37</v>
      </c>
      <c r="CE683">
        <v>29</v>
      </c>
      <c r="CF683">
        <v>48</v>
      </c>
      <c r="CG683">
        <v>52</v>
      </c>
      <c r="CH683">
        <v>34</v>
      </c>
      <c r="CI683">
        <v>35</v>
      </c>
      <c r="CJ683">
        <v>69</v>
      </c>
      <c r="CK683">
        <v>10</v>
      </c>
      <c r="CL683">
        <v>76</v>
      </c>
      <c r="CM683">
        <v>15</v>
      </c>
      <c r="CN683">
        <v>83</v>
      </c>
      <c r="CO683">
        <v>69</v>
      </c>
      <c r="CP683">
        <v>84</v>
      </c>
      <c r="CQ683">
        <v>43</v>
      </c>
      <c r="CR683">
        <v>47</v>
      </c>
      <c r="CS683">
        <v>98</v>
      </c>
      <c r="CT683">
        <v>21</v>
      </c>
      <c r="CU683">
        <v>51</v>
      </c>
      <c r="CV683">
        <v>70</v>
      </c>
      <c r="CW683">
        <v>35</v>
      </c>
      <c r="CX683">
        <v>46</v>
      </c>
      <c r="CY683">
        <v>44</v>
      </c>
      <c r="CZ683">
        <v>77</v>
      </c>
      <c r="DA683">
        <v>62</v>
      </c>
      <c r="DB683">
        <v>69</v>
      </c>
      <c r="DC683">
        <v>40</v>
      </c>
      <c r="DD683">
        <v>57</v>
      </c>
      <c r="DE683">
        <v>29</v>
      </c>
      <c r="DF683">
        <v>83</v>
      </c>
      <c r="DG683">
        <v>73</v>
      </c>
      <c r="DH683">
        <v>43</v>
      </c>
      <c r="DI683">
        <v>77</v>
      </c>
      <c r="DJ683">
        <v>82</v>
      </c>
      <c r="DK683">
        <v>15</v>
      </c>
    </row>
    <row r="684" spans="1:115">
      <c r="A684" s="173">
        <f>Calculations[[#This Row],[Sum t eCO2]]*IF(Calculations[[#This Row],[GHG Scope]]="BIOGENIC",0,1)</f>
        <v>8.1791000938037789E-3</v>
      </c>
      <c r="O684">
        <f t="shared" si="11"/>
        <v>27</v>
      </c>
      <c r="P684">
        <v>92</v>
      </c>
      <c r="Q684">
        <v>29</v>
      </c>
      <c r="R684">
        <v>23</v>
      </c>
      <c r="S684">
        <v>70</v>
      </c>
      <c r="T684">
        <v>46</v>
      </c>
      <c r="U684">
        <v>98</v>
      </c>
      <c r="V684">
        <v>40</v>
      </c>
      <c r="W684">
        <v>99</v>
      </c>
      <c r="X684">
        <v>18</v>
      </c>
      <c r="Y684">
        <v>12</v>
      </c>
      <c r="Z684">
        <v>78</v>
      </c>
      <c r="AA684">
        <v>79</v>
      </c>
      <c r="AB684">
        <v>27</v>
      </c>
      <c r="AC684">
        <v>95</v>
      </c>
      <c r="AD684">
        <v>41</v>
      </c>
      <c r="AE684">
        <v>83</v>
      </c>
      <c r="AF684">
        <v>92</v>
      </c>
      <c r="AG684">
        <v>26</v>
      </c>
      <c r="AH684">
        <v>35</v>
      </c>
      <c r="AI684">
        <v>73</v>
      </c>
      <c r="AJ684">
        <v>38</v>
      </c>
      <c r="AK684">
        <v>72</v>
      </c>
      <c r="AL684">
        <v>29</v>
      </c>
      <c r="AM684">
        <v>89</v>
      </c>
      <c r="AN684">
        <v>67</v>
      </c>
      <c r="AO684">
        <v>77</v>
      </c>
      <c r="AP684">
        <v>85</v>
      </c>
      <c r="AQ684">
        <v>62</v>
      </c>
      <c r="AR684">
        <v>61</v>
      </c>
      <c r="AS684">
        <v>75</v>
      </c>
      <c r="AT684">
        <v>54</v>
      </c>
      <c r="AU684">
        <v>57</v>
      </c>
      <c r="AV684">
        <v>16</v>
      </c>
      <c r="AW684">
        <v>92</v>
      </c>
      <c r="AX684">
        <v>19</v>
      </c>
      <c r="AY684">
        <v>99</v>
      </c>
      <c r="AZ684">
        <v>44</v>
      </c>
      <c r="BA684">
        <v>75</v>
      </c>
      <c r="BB684">
        <v>84</v>
      </c>
      <c r="BC684">
        <v>45</v>
      </c>
      <c r="BD684">
        <v>61</v>
      </c>
      <c r="BE684">
        <v>51</v>
      </c>
      <c r="BF684">
        <v>82</v>
      </c>
      <c r="BG684">
        <v>73</v>
      </c>
      <c r="BH684">
        <v>73</v>
      </c>
      <c r="BI684">
        <v>80</v>
      </c>
      <c r="BJ684">
        <v>27</v>
      </c>
      <c r="BK684">
        <v>57</v>
      </c>
      <c r="BL684">
        <v>58</v>
      </c>
      <c r="BM684">
        <v>33</v>
      </c>
      <c r="BN684">
        <v>13</v>
      </c>
      <c r="BO684">
        <v>59</v>
      </c>
      <c r="BP684">
        <v>29</v>
      </c>
      <c r="BQ684">
        <v>11</v>
      </c>
      <c r="BR684">
        <v>22</v>
      </c>
      <c r="BS684">
        <v>28</v>
      </c>
      <c r="BT684">
        <v>84</v>
      </c>
      <c r="BU684">
        <v>44</v>
      </c>
      <c r="BV684">
        <v>57</v>
      </c>
      <c r="BW684">
        <v>92</v>
      </c>
      <c r="BX684">
        <v>38</v>
      </c>
      <c r="BY684">
        <v>68</v>
      </c>
      <c r="BZ684">
        <v>79</v>
      </c>
      <c r="CA684">
        <v>96</v>
      </c>
      <c r="CB684">
        <v>23</v>
      </c>
      <c r="CC684">
        <v>61</v>
      </c>
      <c r="CD684">
        <v>22</v>
      </c>
      <c r="CE684">
        <v>50</v>
      </c>
      <c r="CF684">
        <v>93</v>
      </c>
      <c r="CG684">
        <v>74</v>
      </c>
      <c r="CH684">
        <v>97</v>
      </c>
      <c r="CI684">
        <v>25</v>
      </c>
      <c r="CJ684">
        <v>70</v>
      </c>
      <c r="CK684">
        <v>37</v>
      </c>
      <c r="CL684">
        <v>77</v>
      </c>
      <c r="CM684">
        <v>47</v>
      </c>
      <c r="CN684">
        <v>64</v>
      </c>
      <c r="CO684">
        <v>94</v>
      </c>
      <c r="CP684">
        <v>72</v>
      </c>
      <c r="CQ684">
        <v>59</v>
      </c>
      <c r="CR684">
        <v>80</v>
      </c>
      <c r="CS684">
        <v>20</v>
      </c>
      <c r="CT684">
        <v>74</v>
      </c>
      <c r="CU684">
        <v>52</v>
      </c>
      <c r="CV684">
        <v>66</v>
      </c>
      <c r="CW684">
        <v>74</v>
      </c>
      <c r="CX684">
        <v>59</v>
      </c>
      <c r="CY684">
        <v>33</v>
      </c>
      <c r="CZ684">
        <v>50</v>
      </c>
      <c r="DA684">
        <v>83</v>
      </c>
      <c r="DB684">
        <v>69</v>
      </c>
      <c r="DC684">
        <v>65</v>
      </c>
      <c r="DD684">
        <v>56</v>
      </c>
      <c r="DE684">
        <v>92</v>
      </c>
      <c r="DF684">
        <v>66</v>
      </c>
      <c r="DG684">
        <v>30</v>
      </c>
      <c r="DH684">
        <v>86</v>
      </c>
      <c r="DI684">
        <v>99</v>
      </c>
      <c r="DJ684">
        <v>100</v>
      </c>
      <c r="DK684">
        <v>87</v>
      </c>
    </row>
    <row r="685" spans="1:115">
      <c r="A685" s="173">
        <f>Calculations[[#This Row],[Sum t eCO2]]*IF(Calculations[[#This Row],[GHG Scope]]="BIOGENIC",0,1)</f>
        <v>3.1873497849673825E-2</v>
      </c>
      <c r="O685">
        <f t="shared" si="11"/>
        <v>28</v>
      </c>
      <c r="P685">
        <v>47</v>
      </c>
      <c r="Q685">
        <v>33</v>
      </c>
      <c r="R685">
        <v>69</v>
      </c>
      <c r="S685">
        <v>13</v>
      </c>
      <c r="T685">
        <v>25</v>
      </c>
      <c r="U685">
        <v>53</v>
      </c>
      <c r="V685">
        <v>27</v>
      </c>
      <c r="W685">
        <v>83</v>
      </c>
      <c r="X685">
        <v>47</v>
      </c>
      <c r="Y685">
        <v>55</v>
      </c>
      <c r="Z685">
        <v>68</v>
      </c>
      <c r="AA685">
        <v>26</v>
      </c>
      <c r="AB685">
        <v>36</v>
      </c>
      <c r="AC685">
        <v>90</v>
      </c>
      <c r="AD685">
        <v>20</v>
      </c>
      <c r="AE685">
        <v>57</v>
      </c>
      <c r="AF685">
        <v>94</v>
      </c>
      <c r="AG685">
        <v>69</v>
      </c>
      <c r="AH685">
        <v>56</v>
      </c>
      <c r="AI685">
        <v>21</v>
      </c>
      <c r="AJ685">
        <v>64</v>
      </c>
      <c r="AK685">
        <v>37</v>
      </c>
      <c r="AL685">
        <v>71</v>
      </c>
      <c r="AM685">
        <v>67</v>
      </c>
      <c r="AN685">
        <v>56</v>
      </c>
      <c r="AO685">
        <v>71</v>
      </c>
      <c r="AP685">
        <v>31</v>
      </c>
      <c r="AQ685">
        <v>12</v>
      </c>
      <c r="AR685">
        <v>47</v>
      </c>
      <c r="AS685">
        <v>35</v>
      </c>
      <c r="AT685">
        <v>40</v>
      </c>
      <c r="AU685">
        <v>11</v>
      </c>
      <c r="AV685">
        <v>69</v>
      </c>
      <c r="AW685">
        <v>66</v>
      </c>
      <c r="AX685">
        <v>24</v>
      </c>
      <c r="AY685">
        <v>74</v>
      </c>
      <c r="AZ685">
        <v>95</v>
      </c>
      <c r="BA685">
        <v>10</v>
      </c>
      <c r="BB685">
        <v>60</v>
      </c>
      <c r="BC685">
        <v>59</v>
      </c>
      <c r="BD685">
        <v>35</v>
      </c>
      <c r="BE685">
        <v>48</v>
      </c>
      <c r="BF685">
        <v>70</v>
      </c>
      <c r="BG685">
        <v>45</v>
      </c>
      <c r="BH685">
        <v>19</v>
      </c>
      <c r="BI685">
        <v>25</v>
      </c>
      <c r="BJ685">
        <v>96</v>
      </c>
      <c r="BK685">
        <v>59</v>
      </c>
      <c r="BL685">
        <v>95</v>
      </c>
      <c r="BM685">
        <v>70</v>
      </c>
      <c r="BN685">
        <v>43</v>
      </c>
      <c r="BO685">
        <v>34</v>
      </c>
      <c r="BP685">
        <v>94</v>
      </c>
      <c r="BQ685">
        <v>17</v>
      </c>
      <c r="BR685">
        <v>13</v>
      </c>
      <c r="BS685">
        <v>64</v>
      </c>
      <c r="BT685">
        <v>47</v>
      </c>
      <c r="BU685">
        <v>90</v>
      </c>
      <c r="BV685">
        <v>57</v>
      </c>
      <c r="BW685">
        <v>70</v>
      </c>
      <c r="BX685">
        <v>65</v>
      </c>
      <c r="BY685">
        <v>70</v>
      </c>
      <c r="BZ685">
        <v>81</v>
      </c>
      <c r="CA685">
        <v>43</v>
      </c>
      <c r="CB685">
        <v>80</v>
      </c>
      <c r="CC685">
        <v>66</v>
      </c>
      <c r="CD685">
        <v>78</v>
      </c>
      <c r="CE685">
        <v>48</v>
      </c>
      <c r="CF685">
        <v>51</v>
      </c>
      <c r="CG685">
        <v>90</v>
      </c>
      <c r="CH685">
        <v>82</v>
      </c>
      <c r="CI685">
        <v>100</v>
      </c>
      <c r="CJ685">
        <v>88</v>
      </c>
      <c r="CK685">
        <v>33</v>
      </c>
      <c r="CL685">
        <v>10</v>
      </c>
      <c r="CM685">
        <v>26</v>
      </c>
      <c r="CN685">
        <v>16</v>
      </c>
      <c r="CO685">
        <v>18</v>
      </c>
      <c r="CP685">
        <v>91</v>
      </c>
      <c r="CQ685">
        <v>62</v>
      </c>
      <c r="CR685">
        <v>85</v>
      </c>
      <c r="CS685">
        <v>32</v>
      </c>
      <c r="CT685">
        <v>86</v>
      </c>
      <c r="CU685">
        <v>41</v>
      </c>
      <c r="CV685">
        <v>56</v>
      </c>
      <c r="CW685">
        <v>66</v>
      </c>
      <c r="CX685">
        <v>65</v>
      </c>
      <c r="CY685">
        <v>92</v>
      </c>
      <c r="CZ685">
        <v>88</v>
      </c>
      <c r="DA685">
        <v>49</v>
      </c>
      <c r="DB685">
        <v>76</v>
      </c>
      <c r="DC685">
        <v>36</v>
      </c>
      <c r="DD685">
        <v>61</v>
      </c>
      <c r="DE685">
        <v>11</v>
      </c>
      <c r="DF685">
        <v>78</v>
      </c>
      <c r="DG685">
        <v>12</v>
      </c>
      <c r="DH685">
        <v>86</v>
      </c>
      <c r="DI685">
        <v>55</v>
      </c>
      <c r="DJ685">
        <v>70</v>
      </c>
      <c r="DK685">
        <v>43</v>
      </c>
    </row>
    <row r="686" spans="1:115">
      <c r="A686" s="173">
        <f>Calculations[[#This Row],[Sum t eCO2]]*IF(Calculations[[#This Row],[GHG Scope]]="BIOGENIC",0,1)</f>
        <v>2.0155662592255887</v>
      </c>
      <c r="O686">
        <f t="shared" si="11"/>
        <v>29</v>
      </c>
      <c r="P686">
        <v>33</v>
      </c>
      <c r="Q686">
        <v>93</v>
      </c>
      <c r="R686">
        <v>71</v>
      </c>
      <c r="S686">
        <v>50</v>
      </c>
      <c r="T686">
        <v>55</v>
      </c>
      <c r="U686">
        <v>53</v>
      </c>
      <c r="V686">
        <v>37</v>
      </c>
      <c r="W686">
        <v>100</v>
      </c>
      <c r="X686">
        <v>59</v>
      </c>
      <c r="Y686">
        <v>73</v>
      </c>
      <c r="Z686">
        <v>72</v>
      </c>
      <c r="AA686">
        <v>47</v>
      </c>
      <c r="AB686">
        <v>31</v>
      </c>
      <c r="AC686">
        <v>11</v>
      </c>
      <c r="AD686">
        <v>27</v>
      </c>
      <c r="AE686">
        <v>92</v>
      </c>
      <c r="AF686">
        <v>45</v>
      </c>
      <c r="AG686">
        <v>71</v>
      </c>
      <c r="AH686">
        <v>86</v>
      </c>
      <c r="AI686">
        <v>52</v>
      </c>
      <c r="AJ686">
        <v>53</v>
      </c>
      <c r="AK686">
        <v>49</v>
      </c>
      <c r="AL686">
        <v>29</v>
      </c>
      <c r="AM686">
        <v>61</v>
      </c>
      <c r="AN686">
        <v>80</v>
      </c>
      <c r="AO686">
        <v>35</v>
      </c>
      <c r="AP686">
        <v>100</v>
      </c>
      <c r="AQ686">
        <v>34</v>
      </c>
      <c r="AR686">
        <v>24</v>
      </c>
      <c r="AS686">
        <v>35</v>
      </c>
      <c r="AT686">
        <v>92</v>
      </c>
      <c r="AU686">
        <v>80</v>
      </c>
      <c r="AV686">
        <v>28</v>
      </c>
      <c r="AW686">
        <v>86</v>
      </c>
      <c r="AX686">
        <v>17</v>
      </c>
      <c r="AY686">
        <v>49</v>
      </c>
      <c r="AZ686">
        <v>73</v>
      </c>
      <c r="BA686">
        <v>30</v>
      </c>
      <c r="BB686">
        <v>67</v>
      </c>
      <c r="BC686">
        <v>71</v>
      </c>
      <c r="BD686">
        <v>72</v>
      </c>
      <c r="BE686">
        <v>23</v>
      </c>
      <c r="BF686">
        <v>85</v>
      </c>
      <c r="BG686">
        <v>76</v>
      </c>
      <c r="BH686">
        <v>54</v>
      </c>
      <c r="BI686">
        <v>76</v>
      </c>
      <c r="BJ686">
        <v>10</v>
      </c>
      <c r="BK686">
        <v>45</v>
      </c>
      <c r="BL686">
        <v>37</v>
      </c>
      <c r="BM686">
        <v>41</v>
      </c>
      <c r="BN686">
        <v>59</v>
      </c>
      <c r="BO686">
        <v>23</v>
      </c>
      <c r="BP686">
        <v>40</v>
      </c>
      <c r="BQ686">
        <v>80</v>
      </c>
      <c r="BR686">
        <v>86</v>
      </c>
      <c r="BS686">
        <v>13</v>
      </c>
      <c r="BT686">
        <v>44</v>
      </c>
      <c r="BU686">
        <v>40</v>
      </c>
      <c r="BV686">
        <v>54</v>
      </c>
      <c r="BW686">
        <v>28</v>
      </c>
      <c r="BX686">
        <v>78</v>
      </c>
      <c r="BY686">
        <v>61</v>
      </c>
      <c r="BZ686">
        <v>13</v>
      </c>
      <c r="CA686">
        <v>65</v>
      </c>
      <c r="CB686">
        <v>49</v>
      </c>
      <c r="CC686">
        <v>99</v>
      </c>
      <c r="CD686">
        <v>57</v>
      </c>
      <c r="CE686">
        <v>24</v>
      </c>
      <c r="CF686">
        <v>47</v>
      </c>
      <c r="CG686">
        <v>73</v>
      </c>
      <c r="CH686">
        <v>84</v>
      </c>
      <c r="CI686">
        <v>63</v>
      </c>
      <c r="CJ686">
        <v>49</v>
      </c>
      <c r="CK686">
        <v>31</v>
      </c>
      <c r="CL686">
        <v>20</v>
      </c>
      <c r="CM686">
        <v>11</v>
      </c>
      <c r="CN686">
        <v>36</v>
      </c>
      <c r="CO686">
        <v>52</v>
      </c>
      <c r="CP686">
        <v>15</v>
      </c>
      <c r="CQ686">
        <v>52</v>
      </c>
      <c r="CR686">
        <v>55</v>
      </c>
      <c r="CS686">
        <v>51</v>
      </c>
      <c r="CT686">
        <v>67</v>
      </c>
      <c r="CU686">
        <v>14</v>
      </c>
      <c r="CV686">
        <v>16</v>
      </c>
      <c r="CW686">
        <v>98</v>
      </c>
      <c r="CX686">
        <v>85</v>
      </c>
      <c r="CY686">
        <v>33</v>
      </c>
      <c r="CZ686">
        <v>80</v>
      </c>
      <c r="DA686">
        <v>75</v>
      </c>
      <c r="DB686">
        <v>99</v>
      </c>
      <c r="DC686">
        <v>36</v>
      </c>
      <c r="DD686">
        <v>29</v>
      </c>
      <c r="DE686">
        <v>92</v>
      </c>
      <c r="DF686">
        <v>31</v>
      </c>
      <c r="DG686">
        <v>57</v>
      </c>
      <c r="DH686">
        <v>61</v>
      </c>
      <c r="DI686">
        <v>42</v>
      </c>
      <c r="DJ686">
        <v>62</v>
      </c>
      <c r="DK686">
        <v>69</v>
      </c>
    </row>
    <row r="687" spans="1:115">
      <c r="A687" s="173">
        <f>Calculations[[#This Row],[Sum t eCO2]]*IF(Calculations[[#This Row],[GHG Scope]]="BIOGENIC",0,1)</f>
        <v>8.6630796496447626</v>
      </c>
      <c r="O687">
        <f t="shared" si="11"/>
        <v>30</v>
      </c>
      <c r="P687">
        <v>56</v>
      </c>
      <c r="Q687">
        <v>97</v>
      </c>
      <c r="R687">
        <v>82</v>
      </c>
      <c r="S687">
        <v>84</v>
      </c>
      <c r="T687">
        <v>30</v>
      </c>
      <c r="U687">
        <v>99</v>
      </c>
      <c r="V687">
        <v>33</v>
      </c>
      <c r="W687">
        <v>26</v>
      </c>
      <c r="X687">
        <v>10</v>
      </c>
      <c r="Y687">
        <v>95</v>
      </c>
      <c r="Z687">
        <v>15</v>
      </c>
      <c r="AA687">
        <v>73</v>
      </c>
      <c r="AB687">
        <v>12</v>
      </c>
      <c r="AC687">
        <v>89</v>
      </c>
      <c r="AD687">
        <v>28</v>
      </c>
      <c r="AE687">
        <v>88</v>
      </c>
      <c r="AF687">
        <v>35</v>
      </c>
      <c r="AG687">
        <v>77</v>
      </c>
      <c r="AH687">
        <v>39</v>
      </c>
      <c r="AI687">
        <v>80</v>
      </c>
      <c r="AJ687">
        <v>48</v>
      </c>
      <c r="AK687">
        <v>52</v>
      </c>
      <c r="AL687">
        <v>24</v>
      </c>
      <c r="AM687">
        <v>43</v>
      </c>
      <c r="AN687">
        <v>21</v>
      </c>
      <c r="AO687">
        <v>55</v>
      </c>
      <c r="AP687">
        <v>23</v>
      </c>
      <c r="AQ687">
        <v>17</v>
      </c>
      <c r="AR687">
        <v>35</v>
      </c>
      <c r="AS687">
        <v>65</v>
      </c>
      <c r="AT687">
        <v>95</v>
      </c>
      <c r="AU687">
        <v>96</v>
      </c>
      <c r="AV687">
        <v>89</v>
      </c>
      <c r="AW687">
        <v>66</v>
      </c>
      <c r="AX687">
        <v>100</v>
      </c>
      <c r="AY687">
        <v>73</v>
      </c>
      <c r="AZ687">
        <v>28</v>
      </c>
      <c r="BA687">
        <v>64</v>
      </c>
      <c r="BB687">
        <v>60</v>
      </c>
      <c r="BC687">
        <v>81</v>
      </c>
      <c r="BD687">
        <v>13</v>
      </c>
      <c r="BE687">
        <v>37</v>
      </c>
      <c r="BF687">
        <v>78</v>
      </c>
      <c r="BG687">
        <v>13</v>
      </c>
      <c r="BH687">
        <v>58</v>
      </c>
      <c r="BI687">
        <v>25</v>
      </c>
      <c r="BJ687">
        <v>52</v>
      </c>
      <c r="BK687">
        <v>31</v>
      </c>
      <c r="BL687">
        <v>60</v>
      </c>
      <c r="BM687">
        <v>65</v>
      </c>
      <c r="BN687">
        <v>63</v>
      </c>
      <c r="BO687">
        <v>60</v>
      </c>
      <c r="BP687">
        <v>44</v>
      </c>
      <c r="BQ687">
        <v>22</v>
      </c>
      <c r="BR687">
        <v>20</v>
      </c>
      <c r="BS687">
        <v>96</v>
      </c>
      <c r="BT687">
        <v>99</v>
      </c>
      <c r="BU687">
        <v>22</v>
      </c>
      <c r="BV687">
        <v>28</v>
      </c>
      <c r="BW687">
        <v>89</v>
      </c>
      <c r="BX687">
        <v>30</v>
      </c>
      <c r="BY687">
        <v>73</v>
      </c>
      <c r="BZ687">
        <v>94</v>
      </c>
      <c r="CA687">
        <v>88</v>
      </c>
      <c r="CB687">
        <v>90</v>
      </c>
      <c r="CC687">
        <v>92</v>
      </c>
      <c r="CD687">
        <v>42</v>
      </c>
      <c r="CE687">
        <v>15</v>
      </c>
      <c r="CF687">
        <v>57</v>
      </c>
      <c r="CG687">
        <v>30</v>
      </c>
      <c r="CH687">
        <v>78</v>
      </c>
      <c r="CI687">
        <v>36</v>
      </c>
      <c r="CJ687">
        <v>84</v>
      </c>
      <c r="CK687">
        <v>72</v>
      </c>
      <c r="CL687">
        <v>32</v>
      </c>
      <c r="CM687">
        <v>15</v>
      </c>
      <c r="CN687">
        <v>10</v>
      </c>
      <c r="CO687">
        <v>97</v>
      </c>
      <c r="CP687">
        <v>72</v>
      </c>
      <c r="CQ687">
        <v>41</v>
      </c>
      <c r="CR687">
        <v>98</v>
      </c>
      <c r="CS687">
        <v>63</v>
      </c>
      <c r="CT687">
        <v>29</v>
      </c>
      <c r="CU687">
        <v>16</v>
      </c>
      <c r="CV687">
        <v>100</v>
      </c>
      <c r="CW687">
        <v>67</v>
      </c>
      <c r="CX687">
        <v>43</v>
      </c>
      <c r="CY687">
        <v>28</v>
      </c>
      <c r="CZ687">
        <v>45</v>
      </c>
      <c r="DA687">
        <v>18</v>
      </c>
      <c r="DB687">
        <v>84</v>
      </c>
      <c r="DC687">
        <v>34</v>
      </c>
      <c r="DD687">
        <v>40</v>
      </c>
      <c r="DE687">
        <v>40</v>
      </c>
      <c r="DF687">
        <v>19</v>
      </c>
      <c r="DG687">
        <v>45</v>
      </c>
      <c r="DH687">
        <v>54</v>
      </c>
      <c r="DI687">
        <v>89</v>
      </c>
      <c r="DJ687">
        <v>73</v>
      </c>
      <c r="DK687">
        <v>55</v>
      </c>
    </row>
    <row r="688" spans="1:115">
      <c r="A688" s="173">
        <f>Calculations[[#This Row],[Sum t eCO2]]*IF(Calculations[[#This Row],[GHG Scope]]="BIOGENIC",0,1)</f>
        <v>6.0746918186221346E-3</v>
      </c>
      <c r="O688">
        <f t="shared" si="11"/>
        <v>31</v>
      </c>
      <c r="P688">
        <v>89</v>
      </c>
      <c r="Q688">
        <v>29</v>
      </c>
      <c r="R688">
        <v>27</v>
      </c>
      <c r="S688">
        <v>68</v>
      </c>
      <c r="T688">
        <v>45</v>
      </c>
      <c r="U688">
        <v>65</v>
      </c>
      <c r="V688">
        <v>18</v>
      </c>
      <c r="W688">
        <v>67</v>
      </c>
      <c r="X688">
        <v>25</v>
      </c>
      <c r="Y688">
        <v>45</v>
      </c>
      <c r="Z688">
        <v>36</v>
      </c>
      <c r="AA688">
        <v>26</v>
      </c>
      <c r="AB688">
        <v>84</v>
      </c>
      <c r="AC688">
        <v>59</v>
      </c>
      <c r="AD688">
        <v>64</v>
      </c>
      <c r="AE688">
        <v>35</v>
      </c>
      <c r="AF688">
        <v>34</v>
      </c>
      <c r="AG688">
        <v>17</v>
      </c>
      <c r="AH688">
        <v>17</v>
      </c>
      <c r="AI688">
        <v>64</v>
      </c>
      <c r="AJ688">
        <v>68</v>
      </c>
      <c r="AK688">
        <v>27</v>
      </c>
      <c r="AL688">
        <v>37</v>
      </c>
      <c r="AM688">
        <v>59</v>
      </c>
      <c r="AN688">
        <v>93</v>
      </c>
      <c r="AO688">
        <v>93</v>
      </c>
      <c r="AP688">
        <v>15</v>
      </c>
      <c r="AQ688">
        <v>57</v>
      </c>
      <c r="AR688">
        <v>38</v>
      </c>
      <c r="AS688">
        <v>25</v>
      </c>
      <c r="AT688">
        <v>80</v>
      </c>
      <c r="AU688">
        <v>84</v>
      </c>
      <c r="AV688">
        <v>49</v>
      </c>
      <c r="AW688">
        <v>16</v>
      </c>
      <c r="AX688">
        <v>61</v>
      </c>
      <c r="AY688">
        <v>73</v>
      </c>
      <c r="AZ688">
        <v>12</v>
      </c>
      <c r="BA688">
        <v>76</v>
      </c>
      <c r="BB688">
        <v>57</v>
      </c>
      <c r="BC688">
        <v>80</v>
      </c>
      <c r="BD688">
        <v>62</v>
      </c>
      <c r="BE688">
        <v>31</v>
      </c>
      <c r="BF688">
        <v>78</v>
      </c>
      <c r="BG688">
        <v>42</v>
      </c>
      <c r="BH688">
        <v>75</v>
      </c>
      <c r="BI688">
        <v>17</v>
      </c>
      <c r="BJ688">
        <v>34</v>
      </c>
      <c r="BK688">
        <v>82</v>
      </c>
      <c r="BL688">
        <v>60</v>
      </c>
      <c r="BM688">
        <v>59</v>
      </c>
      <c r="BN688">
        <v>39</v>
      </c>
      <c r="BO688">
        <v>67</v>
      </c>
      <c r="BP688">
        <v>62</v>
      </c>
      <c r="BQ688">
        <v>85</v>
      </c>
      <c r="BR688">
        <v>40</v>
      </c>
      <c r="BS688">
        <v>95</v>
      </c>
      <c r="BT688">
        <v>96</v>
      </c>
      <c r="BU688">
        <v>53</v>
      </c>
      <c r="BV688">
        <v>76</v>
      </c>
      <c r="BW688">
        <v>34</v>
      </c>
      <c r="BX688">
        <v>50</v>
      </c>
      <c r="BY688">
        <v>17</v>
      </c>
      <c r="BZ688">
        <v>35</v>
      </c>
      <c r="CA688">
        <v>32</v>
      </c>
      <c r="CB688">
        <v>11</v>
      </c>
      <c r="CC688">
        <v>94</v>
      </c>
      <c r="CD688">
        <v>48</v>
      </c>
      <c r="CE688">
        <v>81</v>
      </c>
      <c r="CF688">
        <v>72</v>
      </c>
      <c r="CG688">
        <v>51</v>
      </c>
      <c r="CH688">
        <v>30</v>
      </c>
      <c r="CI688">
        <v>73</v>
      </c>
      <c r="CJ688">
        <v>15</v>
      </c>
      <c r="CK688">
        <v>48</v>
      </c>
      <c r="CL688">
        <v>70</v>
      </c>
      <c r="CM688">
        <v>80</v>
      </c>
      <c r="CN688">
        <v>58</v>
      </c>
      <c r="CO688">
        <v>49</v>
      </c>
      <c r="CP688">
        <v>27</v>
      </c>
      <c r="CQ688">
        <v>98</v>
      </c>
      <c r="CR688">
        <v>41</v>
      </c>
      <c r="CS688">
        <v>40</v>
      </c>
      <c r="CT688">
        <v>36</v>
      </c>
      <c r="CU688">
        <v>15</v>
      </c>
      <c r="CV688">
        <v>15</v>
      </c>
      <c r="CW688">
        <v>36</v>
      </c>
      <c r="CX688">
        <v>81</v>
      </c>
      <c r="CY688">
        <v>57</v>
      </c>
      <c r="CZ688">
        <v>79</v>
      </c>
      <c r="DA688">
        <v>27</v>
      </c>
      <c r="DB688">
        <v>67</v>
      </c>
      <c r="DC688">
        <v>96</v>
      </c>
      <c r="DD688">
        <v>100</v>
      </c>
      <c r="DE688">
        <v>94</v>
      </c>
      <c r="DF688">
        <v>12</v>
      </c>
      <c r="DG688">
        <v>79</v>
      </c>
      <c r="DH688">
        <v>96</v>
      </c>
      <c r="DI688">
        <v>78</v>
      </c>
      <c r="DJ688">
        <v>90</v>
      </c>
      <c r="DK688">
        <v>18</v>
      </c>
    </row>
    <row r="689" spans="1:115">
      <c r="A689" s="173">
        <f>Calculations[[#This Row],[Sum t eCO2]]*IF(Calculations[[#This Row],[GHG Scope]]="BIOGENIC",0,1)</f>
        <v>2.3672735924208255E-2</v>
      </c>
      <c r="O689">
        <f t="shared" si="11"/>
        <v>32</v>
      </c>
      <c r="P689">
        <v>62</v>
      </c>
      <c r="Q689">
        <v>30</v>
      </c>
      <c r="R689">
        <v>47</v>
      </c>
      <c r="S689">
        <v>49</v>
      </c>
      <c r="T689">
        <v>90</v>
      </c>
      <c r="U689">
        <v>87</v>
      </c>
      <c r="V689">
        <v>97</v>
      </c>
      <c r="W689">
        <v>79</v>
      </c>
      <c r="X689">
        <v>96</v>
      </c>
      <c r="Y689">
        <v>60</v>
      </c>
      <c r="Z689">
        <v>96</v>
      </c>
      <c r="AA689">
        <v>21</v>
      </c>
      <c r="AB689">
        <v>73</v>
      </c>
      <c r="AC689">
        <v>63</v>
      </c>
      <c r="AD689">
        <v>78</v>
      </c>
      <c r="AE689">
        <v>15</v>
      </c>
      <c r="AF689">
        <v>79</v>
      </c>
      <c r="AG689">
        <v>31</v>
      </c>
      <c r="AH689">
        <v>36</v>
      </c>
      <c r="AI689">
        <v>77</v>
      </c>
      <c r="AJ689">
        <v>78</v>
      </c>
      <c r="AK689">
        <v>99</v>
      </c>
      <c r="AL689">
        <v>78</v>
      </c>
      <c r="AM689">
        <v>64</v>
      </c>
      <c r="AN689">
        <v>27</v>
      </c>
      <c r="AO689">
        <v>31</v>
      </c>
      <c r="AP689">
        <v>19</v>
      </c>
      <c r="AQ689">
        <v>79</v>
      </c>
      <c r="AR689">
        <v>17</v>
      </c>
      <c r="AS689">
        <v>10</v>
      </c>
      <c r="AT689">
        <v>54</v>
      </c>
      <c r="AU689">
        <v>45</v>
      </c>
      <c r="AV689">
        <v>31</v>
      </c>
      <c r="AW689">
        <v>51</v>
      </c>
      <c r="AX689">
        <v>46</v>
      </c>
      <c r="AY689">
        <v>24</v>
      </c>
      <c r="AZ689">
        <v>56</v>
      </c>
      <c r="BA689">
        <v>85</v>
      </c>
      <c r="BB689">
        <v>18</v>
      </c>
      <c r="BC689">
        <v>77</v>
      </c>
      <c r="BD689">
        <v>81</v>
      </c>
      <c r="BE689">
        <v>50</v>
      </c>
      <c r="BF689">
        <v>63</v>
      </c>
      <c r="BG689">
        <v>70</v>
      </c>
      <c r="BH689">
        <v>37</v>
      </c>
      <c r="BI689">
        <v>48</v>
      </c>
      <c r="BJ689">
        <v>81</v>
      </c>
      <c r="BK689">
        <v>78</v>
      </c>
      <c r="BL689">
        <v>74</v>
      </c>
      <c r="BM689">
        <v>83</v>
      </c>
      <c r="BN689">
        <v>61</v>
      </c>
      <c r="BO689">
        <v>84</v>
      </c>
      <c r="BP689">
        <v>37</v>
      </c>
      <c r="BQ689">
        <v>52</v>
      </c>
      <c r="BR689">
        <v>15</v>
      </c>
      <c r="BS689">
        <v>82</v>
      </c>
      <c r="BT689">
        <v>40</v>
      </c>
      <c r="BU689">
        <v>97</v>
      </c>
      <c r="BV689">
        <v>41</v>
      </c>
      <c r="BW689">
        <v>66</v>
      </c>
      <c r="BX689">
        <v>85</v>
      </c>
      <c r="BY689">
        <v>89</v>
      </c>
      <c r="BZ689">
        <v>99</v>
      </c>
      <c r="CA689">
        <v>40</v>
      </c>
      <c r="CB689">
        <v>73</v>
      </c>
      <c r="CC689">
        <v>31</v>
      </c>
      <c r="CD689">
        <v>93</v>
      </c>
      <c r="CE689">
        <v>81</v>
      </c>
      <c r="CF689">
        <v>97</v>
      </c>
      <c r="CG689">
        <v>72</v>
      </c>
      <c r="CH689">
        <v>53</v>
      </c>
      <c r="CI689">
        <v>64</v>
      </c>
      <c r="CJ689">
        <v>77</v>
      </c>
      <c r="CK689">
        <v>31</v>
      </c>
      <c r="CL689">
        <v>16</v>
      </c>
      <c r="CM689">
        <v>66</v>
      </c>
      <c r="CN689">
        <v>100</v>
      </c>
      <c r="CO689">
        <v>11</v>
      </c>
      <c r="CP689">
        <v>22</v>
      </c>
      <c r="CQ689">
        <v>84</v>
      </c>
      <c r="CR689">
        <v>21</v>
      </c>
      <c r="CS689">
        <v>83</v>
      </c>
      <c r="CT689">
        <v>11</v>
      </c>
      <c r="CU689">
        <v>66</v>
      </c>
      <c r="CV689">
        <v>11</v>
      </c>
      <c r="CW689">
        <v>71</v>
      </c>
      <c r="CX689">
        <v>38</v>
      </c>
      <c r="CY689">
        <v>57</v>
      </c>
      <c r="CZ689">
        <v>97</v>
      </c>
      <c r="DA689">
        <v>50</v>
      </c>
      <c r="DB689">
        <v>54</v>
      </c>
      <c r="DC689">
        <v>45</v>
      </c>
      <c r="DD689">
        <v>63</v>
      </c>
      <c r="DE689">
        <v>52</v>
      </c>
      <c r="DF689">
        <v>12</v>
      </c>
      <c r="DG689">
        <v>70</v>
      </c>
      <c r="DH689">
        <v>91</v>
      </c>
      <c r="DI689">
        <v>63</v>
      </c>
      <c r="DJ689">
        <v>72</v>
      </c>
      <c r="DK689">
        <v>55</v>
      </c>
    </row>
    <row r="690" spans="1:115">
      <c r="A690" s="173">
        <f>Calculations[[#This Row],[Sum t eCO2]]*IF(Calculations[[#This Row],[GHG Scope]]="BIOGENIC",0,1)</f>
        <v>1.4969793405614538</v>
      </c>
      <c r="O690">
        <f t="shared" si="11"/>
        <v>33</v>
      </c>
      <c r="P690">
        <v>61</v>
      </c>
      <c r="Q690">
        <v>92</v>
      </c>
      <c r="R690">
        <v>88</v>
      </c>
      <c r="S690">
        <v>31</v>
      </c>
      <c r="T690">
        <v>46</v>
      </c>
      <c r="U690">
        <v>35</v>
      </c>
      <c r="V690">
        <v>16</v>
      </c>
      <c r="W690">
        <v>56</v>
      </c>
      <c r="X690">
        <v>73</v>
      </c>
      <c r="Y690">
        <v>20</v>
      </c>
      <c r="Z690">
        <v>27</v>
      </c>
      <c r="AA690">
        <v>27</v>
      </c>
      <c r="AB690">
        <v>28</v>
      </c>
      <c r="AC690">
        <v>36</v>
      </c>
      <c r="AD690">
        <v>54</v>
      </c>
      <c r="AE690">
        <v>30</v>
      </c>
      <c r="AF690">
        <v>57</v>
      </c>
      <c r="AG690">
        <v>73</v>
      </c>
      <c r="AH690">
        <v>90</v>
      </c>
      <c r="AI690">
        <v>52</v>
      </c>
      <c r="AJ690">
        <v>50</v>
      </c>
      <c r="AK690">
        <v>63</v>
      </c>
      <c r="AL690">
        <v>45</v>
      </c>
      <c r="AM690">
        <v>38</v>
      </c>
      <c r="AN690">
        <v>43</v>
      </c>
      <c r="AO690">
        <v>13</v>
      </c>
      <c r="AP690">
        <v>83</v>
      </c>
      <c r="AQ690">
        <v>79</v>
      </c>
      <c r="AR690">
        <v>76</v>
      </c>
      <c r="AS690">
        <v>60</v>
      </c>
      <c r="AT690">
        <v>42</v>
      </c>
      <c r="AU690">
        <v>49</v>
      </c>
      <c r="AV690">
        <v>90</v>
      </c>
      <c r="AW690">
        <v>48</v>
      </c>
      <c r="AX690">
        <v>42</v>
      </c>
      <c r="AY690">
        <v>31</v>
      </c>
      <c r="AZ690">
        <v>74</v>
      </c>
      <c r="BA690">
        <v>66</v>
      </c>
      <c r="BB690">
        <v>41</v>
      </c>
      <c r="BC690">
        <v>75</v>
      </c>
      <c r="BD690">
        <v>18</v>
      </c>
      <c r="BE690">
        <v>14</v>
      </c>
      <c r="BF690">
        <v>63</v>
      </c>
      <c r="BG690">
        <v>29</v>
      </c>
      <c r="BH690">
        <v>51</v>
      </c>
      <c r="BI690">
        <v>71</v>
      </c>
      <c r="BJ690">
        <v>84</v>
      </c>
      <c r="BK690">
        <v>75</v>
      </c>
      <c r="BL690">
        <v>47</v>
      </c>
      <c r="BM690">
        <v>83</v>
      </c>
      <c r="BN690">
        <v>96</v>
      </c>
      <c r="BO690">
        <v>88</v>
      </c>
      <c r="BP690">
        <v>60</v>
      </c>
      <c r="BQ690">
        <v>44</v>
      </c>
      <c r="BR690">
        <v>64</v>
      </c>
      <c r="BS690">
        <v>30</v>
      </c>
      <c r="BT690">
        <v>35</v>
      </c>
      <c r="BU690">
        <v>29</v>
      </c>
      <c r="BV690">
        <v>37</v>
      </c>
      <c r="BW690">
        <v>66</v>
      </c>
      <c r="BX690">
        <v>10</v>
      </c>
      <c r="BY690">
        <v>87</v>
      </c>
      <c r="BZ690">
        <v>13</v>
      </c>
      <c r="CA690">
        <v>97</v>
      </c>
      <c r="CB690">
        <v>32</v>
      </c>
      <c r="CC690">
        <v>46</v>
      </c>
      <c r="CD690">
        <v>100</v>
      </c>
      <c r="CE690">
        <v>90</v>
      </c>
      <c r="CF690">
        <v>24</v>
      </c>
      <c r="CG690">
        <v>89</v>
      </c>
      <c r="CH690">
        <v>43</v>
      </c>
      <c r="CI690">
        <v>95</v>
      </c>
      <c r="CJ690">
        <v>88</v>
      </c>
      <c r="CK690">
        <v>58</v>
      </c>
      <c r="CL690">
        <v>70</v>
      </c>
      <c r="CM690">
        <v>25</v>
      </c>
      <c r="CN690">
        <v>29</v>
      </c>
      <c r="CO690">
        <v>74</v>
      </c>
      <c r="CP690">
        <v>13</v>
      </c>
      <c r="CQ690">
        <v>100</v>
      </c>
      <c r="CR690">
        <v>13</v>
      </c>
      <c r="CS690">
        <v>37</v>
      </c>
      <c r="CT690">
        <v>14</v>
      </c>
      <c r="CU690">
        <v>67</v>
      </c>
      <c r="CV690">
        <v>69</v>
      </c>
      <c r="CW690">
        <v>87</v>
      </c>
      <c r="CX690">
        <v>13</v>
      </c>
      <c r="CY690">
        <v>30</v>
      </c>
      <c r="CZ690">
        <v>71</v>
      </c>
      <c r="DA690">
        <v>93</v>
      </c>
      <c r="DB690">
        <v>34</v>
      </c>
      <c r="DC690">
        <v>60</v>
      </c>
      <c r="DD690">
        <v>70</v>
      </c>
      <c r="DE690">
        <v>64</v>
      </c>
      <c r="DF690">
        <v>34</v>
      </c>
      <c r="DG690">
        <v>97</v>
      </c>
      <c r="DH690">
        <v>40</v>
      </c>
      <c r="DI690">
        <v>11</v>
      </c>
      <c r="DJ690">
        <v>39</v>
      </c>
      <c r="DK690">
        <v>54</v>
      </c>
    </row>
    <row r="691" spans="1:115">
      <c r="A691" s="173">
        <f>Calculations[[#This Row],[Sum t eCO2]]*IF(Calculations[[#This Row],[GHG Scope]]="BIOGENIC",0,1)</f>
        <v>220.24409232609474</v>
      </c>
      <c r="O691">
        <f t="shared" si="11"/>
        <v>34</v>
      </c>
      <c r="P691">
        <v>44</v>
      </c>
      <c r="Q691">
        <v>35</v>
      </c>
      <c r="R691">
        <v>67</v>
      </c>
      <c r="S691">
        <v>78</v>
      </c>
      <c r="T691">
        <v>19</v>
      </c>
      <c r="U691">
        <v>73</v>
      </c>
      <c r="V691">
        <v>39</v>
      </c>
      <c r="W691">
        <v>11</v>
      </c>
      <c r="X691">
        <v>71</v>
      </c>
      <c r="Y691">
        <v>81</v>
      </c>
      <c r="Z691">
        <v>78</v>
      </c>
      <c r="AA691">
        <v>84</v>
      </c>
      <c r="AB691">
        <v>75</v>
      </c>
      <c r="AC691">
        <v>82</v>
      </c>
      <c r="AD691">
        <v>58</v>
      </c>
      <c r="AE691">
        <v>56</v>
      </c>
      <c r="AF691">
        <v>47</v>
      </c>
      <c r="AG691">
        <v>45</v>
      </c>
      <c r="AH691">
        <v>13</v>
      </c>
      <c r="AI691">
        <v>46</v>
      </c>
      <c r="AJ691">
        <v>12</v>
      </c>
      <c r="AK691">
        <v>50</v>
      </c>
      <c r="AL691">
        <v>77</v>
      </c>
      <c r="AM691">
        <v>100</v>
      </c>
      <c r="AN691">
        <v>46</v>
      </c>
      <c r="AO691">
        <v>47</v>
      </c>
      <c r="AP691">
        <v>60</v>
      </c>
      <c r="AQ691">
        <v>47</v>
      </c>
      <c r="AR691">
        <v>78</v>
      </c>
      <c r="AS691">
        <v>43</v>
      </c>
      <c r="AT691">
        <v>61</v>
      </c>
      <c r="AU691">
        <v>35</v>
      </c>
      <c r="AV691">
        <v>74</v>
      </c>
      <c r="AW691">
        <v>11</v>
      </c>
      <c r="AX691">
        <v>90</v>
      </c>
      <c r="AY691">
        <v>23</v>
      </c>
      <c r="AZ691">
        <v>14</v>
      </c>
      <c r="BA691">
        <v>58</v>
      </c>
      <c r="BB691">
        <v>93</v>
      </c>
      <c r="BC691">
        <v>71</v>
      </c>
      <c r="BD691">
        <v>20</v>
      </c>
      <c r="BE691">
        <v>62</v>
      </c>
      <c r="BF691">
        <v>81</v>
      </c>
      <c r="BG691">
        <v>75</v>
      </c>
      <c r="BH691">
        <v>80</v>
      </c>
      <c r="BI691">
        <v>33</v>
      </c>
      <c r="BJ691">
        <v>82</v>
      </c>
      <c r="BK691">
        <v>60</v>
      </c>
      <c r="BL691">
        <v>95</v>
      </c>
      <c r="BM691">
        <v>39</v>
      </c>
      <c r="BN691">
        <v>39</v>
      </c>
      <c r="BO691">
        <v>80</v>
      </c>
      <c r="BP691">
        <v>95</v>
      </c>
      <c r="BQ691">
        <v>80</v>
      </c>
      <c r="BR691">
        <v>40</v>
      </c>
      <c r="BS691">
        <v>55</v>
      </c>
      <c r="BT691">
        <v>21</v>
      </c>
      <c r="BU691">
        <v>11</v>
      </c>
      <c r="BV691">
        <v>94</v>
      </c>
      <c r="BW691">
        <v>99</v>
      </c>
      <c r="BX691">
        <v>76</v>
      </c>
      <c r="BY691">
        <v>67</v>
      </c>
      <c r="BZ691">
        <v>18</v>
      </c>
      <c r="CA691">
        <v>52</v>
      </c>
      <c r="CB691">
        <v>56</v>
      </c>
      <c r="CC691">
        <v>35</v>
      </c>
      <c r="CD691">
        <v>58</v>
      </c>
      <c r="CE691">
        <v>54</v>
      </c>
      <c r="CF691">
        <v>15</v>
      </c>
      <c r="CG691">
        <v>39</v>
      </c>
      <c r="CH691">
        <v>42</v>
      </c>
      <c r="CI691">
        <v>34</v>
      </c>
      <c r="CJ691">
        <v>20</v>
      </c>
      <c r="CK691">
        <v>15</v>
      </c>
      <c r="CL691">
        <v>15</v>
      </c>
      <c r="CM691">
        <v>56</v>
      </c>
      <c r="CN691">
        <v>12</v>
      </c>
      <c r="CO691">
        <v>43</v>
      </c>
      <c r="CP691">
        <v>57</v>
      </c>
      <c r="CQ691">
        <v>88</v>
      </c>
      <c r="CR691">
        <v>56</v>
      </c>
      <c r="CS691">
        <v>27</v>
      </c>
      <c r="CT691">
        <v>30</v>
      </c>
      <c r="CU691">
        <v>76</v>
      </c>
      <c r="CV691">
        <v>68</v>
      </c>
      <c r="CW691">
        <v>97</v>
      </c>
      <c r="CX691">
        <v>78</v>
      </c>
      <c r="CY691">
        <v>38</v>
      </c>
      <c r="CZ691">
        <v>76</v>
      </c>
      <c r="DA691">
        <v>34</v>
      </c>
      <c r="DB691">
        <v>95</v>
      </c>
      <c r="DC691">
        <v>80</v>
      </c>
      <c r="DD691">
        <v>10</v>
      </c>
      <c r="DE691">
        <v>47</v>
      </c>
      <c r="DF691">
        <v>90</v>
      </c>
      <c r="DG691">
        <v>96</v>
      </c>
      <c r="DH691">
        <v>55</v>
      </c>
      <c r="DI691">
        <v>75</v>
      </c>
      <c r="DJ691">
        <v>87</v>
      </c>
      <c r="DK691">
        <v>71</v>
      </c>
    </row>
    <row r="692" spans="1:115">
      <c r="A692" s="173">
        <f>Calculations[[#This Row],[Sum t eCO2]]*IF(Calculations[[#This Row],[GHG Scope]]="BIOGENIC",0,1)</f>
        <v>0.15443872616455143</v>
      </c>
      <c r="O692">
        <f t="shared" si="11"/>
        <v>35</v>
      </c>
      <c r="P692">
        <v>70</v>
      </c>
      <c r="Q692">
        <v>66</v>
      </c>
      <c r="R692">
        <v>54</v>
      </c>
      <c r="S692">
        <v>86</v>
      </c>
      <c r="T692">
        <v>57</v>
      </c>
      <c r="U692">
        <v>24</v>
      </c>
      <c r="V692">
        <v>15</v>
      </c>
      <c r="W692">
        <v>54</v>
      </c>
      <c r="X692">
        <v>68</v>
      </c>
      <c r="Y692">
        <v>96</v>
      </c>
      <c r="Z692">
        <v>45</v>
      </c>
      <c r="AA692">
        <v>100</v>
      </c>
      <c r="AB692">
        <v>84</v>
      </c>
      <c r="AC692">
        <v>28</v>
      </c>
      <c r="AD692">
        <v>20</v>
      </c>
      <c r="AE692">
        <v>65</v>
      </c>
      <c r="AF692">
        <v>90</v>
      </c>
      <c r="AG692">
        <v>59</v>
      </c>
      <c r="AH692">
        <v>68</v>
      </c>
      <c r="AI692">
        <v>94</v>
      </c>
      <c r="AJ692">
        <v>69</v>
      </c>
      <c r="AK692">
        <v>77</v>
      </c>
      <c r="AL692">
        <v>28</v>
      </c>
      <c r="AM692">
        <v>22</v>
      </c>
      <c r="AN692">
        <v>100</v>
      </c>
      <c r="AO692">
        <v>17</v>
      </c>
      <c r="AP692">
        <v>30</v>
      </c>
      <c r="AQ692">
        <v>14</v>
      </c>
      <c r="AR692">
        <v>37</v>
      </c>
      <c r="AS692">
        <v>66</v>
      </c>
      <c r="AT692">
        <v>47</v>
      </c>
      <c r="AU692">
        <v>39</v>
      </c>
      <c r="AV692">
        <v>18</v>
      </c>
      <c r="AW692">
        <v>79</v>
      </c>
      <c r="AX692">
        <v>14</v>
      </c>
      <c r="AY692">
        <v>19</v>
      </c>
      <c r="AZ692">
        <v>62</v>
      </c>
      <c r="BA692">
        <v>54</v>
      </c>
      <c r="BB692">
        <v>77</v>
      </c>
      <c r="BC692">
        <v>17</v>
      </c>
      <c r="BD692">
        <v>95</v>
      </c>
      <c r="BE692">
        <v>18</v>
      </c>
      <c r="BF692">
        <v>88</v>
      </c>
      <c r="BG692">
        <v>93</v>
      </c>
      <c r="BH692">
        <v>11</v>
      </c>
      <c r="BI692">
        <v>65</v>
      </c>
      <c r="BJ692">
        <v>93</v>
      </c>
      <c r="BK692">
        <v>73</v>
      </c>
      <c r="BL692">
        <v>25</v>
      </c>
      <c r="BM692">
        <v>61</v>
      </c>
      <c r="BN692">
        <v>41</v>
      </c>
      <c r="BO692">
        <v>80</v>
      </c>
      <c r="BP692">
        <v>46</v>
      </c>
      <c r="BQ692">
        <v>20</v>
      </c>
      <c r="BR692">
        <v>60</v>
      </c>
      <c r="BS692">
        <v>92</v>
      </c>
      <c r="BT692">
        <v>34</v>
      </c>
      <c r="BU692">
        <v>14</v>
      </c>
      <c r="BV692">
        <v>56</v>
      </c>
      <c r="BW692">
        <v>24</v>
      </c>
      <c r="BX692">
        <v>42</v>
      </c>
      <c r="BY692">
        <v>67</v>
      </c>
      <c r="BZ692">
        <v>14</v>
      </c>
      <c r="CA692">
        <v>74</v>
      </c>
      <c r="CB692">
        <v>61</v>
      </c>
      <c r="CC692">
        <v>83</v>
      </c>
      <c r="CD692">
        <v>49</v>
      </c>
      <c r="CE692">
        <v>70</v>
      </c>
      <c r="CF692">
        <v>35</v>
      </c>
      <c r="CG692">
        <v>31</v>
      </c>
      <c r="CH692">
        <v>76</v>
      </c>
      <c r="CI692">
        <v>19</v>
      </c>
      <c r="CJ692">
        <v>90</v>
      </c>
      <c r="CK692">
        <v>49</v>
      </c>
      <c r="CL692">
        <v>81</v>
      </c>
      <c r="CM692">
        <v>28</v>
      </c>
      <c r="CN692">
        <v>80</v>
      </c>
      <c r="CO692">
        <v>37</v>
      </c>
      <c r="CP692">
        <v>41</v>
      </c>
      <c r="CQ692">
        <v>64</v>
      </c>
      <c r="CR692">
        <v>23</v>
      </c>
      <c r="CS692">
        <v>65</v>
      </c>
      <c r="CT692">
        <v>66</v>
      </c>
      <c r="CU692">
        <v>91</v>
      </c>
      <c r="CV692">
        <v>60</v>
      </c>
      <c r="CW692">
        <v>53</v>
      </c>
      <c r="CX692">
        <v>79</v>
      </c>
      <c r="CY692">
        <v>43</v>
      </c>
      <c r="CZ692">
        <v>48</v>
      </c>
      <c r="DA692">
        <v>43</v>
      </c>
      <c r="DB692">
        <v>29</v>
      </c>
      <c r="DC692">
        <v>77</v>
      </c>
      <c r="DD692">
        <v>12</v>
      </c>
      <c r="DE692">
        <v>31</v>
      </c>
      <c r="DF692">
        <v>84</v>
      </c>
      <c r="DG692">
        <v>49</v>
      </c>
      <c r="DH692">
        <v>79</v>
      </c>
      <c r="DI692">
        <v>65</v>
      </c>
      <c r="DJ692">
        <v>89</v>
      </c>
      <c r="DK692">
        <v>42</v>
      </c>
    </row>
    <row r="693" spans="1:115">
      <c r="A693" s="173">
        <f>Calculations[[#This Row],[Sum t eCO2]]*IF(Calculations[[#This Row],[GHG Scope]]="BIOGENIC",0,1)</f>
        <v>0.60183912042369114</v>
      </c>
      <c r="O693">
        <f t="shared" si="11"/>
        <v>36</v>
      </c>
      <c r="P693">
        <v>90</v>
      </c>
      <c r="Q693">
        <v>43</v>
      </c>
      <c r="R693">
        <v>88</v>
      </c>
      <c r="S693">
        <v>30</v>
      </c>
      <c r="T693">
        <v>56</v>
      </c>
      <c r="U693">
        <v>76</v>
      </c>
      <c r="V693">
        <v>85</v>
      </c>
      <c r="W693">
        <v>29</v>
      </c>
      <c r="X693">
        <v>56</v>
      </c>
      <c r="Y693">
        <v>90</v>
      </c>
      <c r="Z693">
        <v>31</v>
      </c>
      <c r="AA693">
        <v>60</v>
      </c>
      <c r="AB693">
        <v>53</v>
      </c>
      <c r="AC693">
        <v>28</v>
      </c>
      <c r="AD693">
        <v>32</v>
      </c>
      <c r="AE693">
        <v>35</v>
      </c>
      <c r="AF693">
        <v>38</v>
      </c>
      <c r="AG693">
        <v>10</v>
      </c>
      <c r="AH693">
        <v>15</v>
      </c>
      <c r="AI693">
        <v>48</v>
      </c>
      <c r="AJ693">
        <v>87</v>
      </c>
      <c r="AK693">
        <v>59</v>
      </c>
      <c r="AL693">
        <v>90</v>
      </c>
      <c r="AM693">
        <v>44</v>
      </c>
      <c r="AN693">
        <v>29</v>
      </c>
      <c r="AO693">
        <v>41</v>
      </c>
      <c r="AP693">
        <v>49</v>
      </c>
      <c r="AQ693">
        <v>46</v>
      </c>
      <c r="AR693">
        <v>22</v>
      </c>
      <c r="AS693">
        <v>93</v>
      </c>
      <c r="AT693">
        <v>60</v>
      </c>
      <c r="AU693">
        <v>72</v>
      </c>
      <c r="AV693">
        <v>97</v>
      </c>
      <c r="AW693">
        <v>45</v>
      </c>
      <c r="AX693">
        <v>34</v>
      </c>
      <c r="AY693">
        <v>53</v>
      </c>
      <c r="AZ693">
        <v>89</v>
      </c>
      <c r="BA693">
        <v>31</v>
      </c>
      <c r="BB693">
        <v>85</v>
      </c>
      <c r="BC693">
        <v>57</v>
      </c>
      <c r="BD693">
        <v>40</v>
      </c>
      <c r="BE693">
        <v>84</v>
      </c>
      <c r="BF693">
        <v>31</v>
      </c>
      <c r="BG693">
        <v>85</v>
      </c>
      <c r="BH693">
        <v>83</v>
      </c>
      <c r="BI693">
        <v>17</v>
      </c>
      <c r="BJ693">
        <v>16</v>
      </c>
      <c r="BK693">
        <v>75</v>
      </c>
      <c r="BL693">
        <v>25</v>
      </c>
      <c r="BM693">
        <v>34</v>
      </c>
      <c r="BN693">
        <v>18</v>
      </c>
      <c r="BO693">
        <v>21</v>
      </c>
      <c r="BP693">
        <v>25</v>
      </c>
      <c r="BQ693">
        <v>65</v>
      </c>
      <c r="BR693">
        <v>63</v>
      </c>
      <c r="BS693">
        <v>51</v>
      </c>
      <c r="BT693">
        <v>11</v>
      </c>
      <c r="BU693">
        <v>39</v>
      </c>
      <c r="BV693">
        <v>70</v>
      </c>
      <c r="BW693">
        <v>93</v>
      </c>
      <c r="BX693">
        <v>60</v>
      </c>
      <c r="BY693">
        <v>44</v>
      </c>
      <c r="BZ693">
        <v>91</v>
      </c>
      <c r="CA693">
        <v>15</v>
      </c>
      <c r="CB693">
        <v>76</v>
      </c>
      <c r="CC693">
        <v>80</v>
      </c>
      <c r="CD693">
        <v>13</v>
      </c>
      <c r="CE693">
        <v>88</v>
      </c>
      <c r="CF693">
        <v>30</v>
      </c>
      <c r="CG693">
        <v>62</v>
      </c>
      <c r="CH693">
        <v>13</v>
      </c>
      <c r="CI693">
        <v>38</v>
      </c>
      <c r="CJ693">
        <v>96</v>
      </c>
      <c r="CK693">
        <v>22</v>
      </c>
      <c r="CL693">
        <v>37</v>
      </c>
      <c r="CM693">
        <v>36</v>
      </c>
      <c r="CN693">
        <v>71</v>
      </c>
      <c r="CO693">
        <v>68</v>
      </c>
      <c r="CP693">
        <v>52</v>
      </c>
      <c r="CQ693">
        <v>87</v>
      </c>
      <c r="CR693">
        <v>78</v>
      </c>
      <c r="CS693">
        <v>11</v>
      </c>
      <c r="CT693">
        <v>21</v>
      </c>
      <c r="CU693">
        <v>74</v>
      </c>
      <c r="CV693">
        <v>89</v>
      </c>
      <c r="CW693">
        <v>66</v>
      </c>
      <c r="CX693">
        <v>16</v>
      </c>
      <c r="CY693">
        <v>85</v>
      </c>
      <c r="CZ693">
        <v>53</v>
      </c>
      <c r="DA693">
        <v>91</v>
      </c>
      <c r="DB693">
        <v>28</v>
      </c>
      <c r="DC693">
        <v>55</v>
      </c>
      <c r="DD693">
        <v>65</v>
      </c>
      <c r="DE693">
        <v>43</v>
      </c>
      <c r="DF693">
        <v>39</v>
      </c>
      <c r="DG693">
        <v>71</v>
      </c>
      <c r="DH693">
        <v>35</v>
      </c>
      <c r="DI693">
        <v>20</v>
      </c>
      <c r="DJ693">
        <v>90</v>
      </c>
      <c r="DK693">
        <v>15</v>
      </c>
    </row>
    <row r="694" spans="1:115">
      <c r="A694" s="173">
        <f>Calculations[[#This Row],[Sum t eCO2]]*IF(Calculations[[#This Row],[GHG Scope]]="BIOGENIC",0,1)</f>
        <v>38.058158233185928</v>
      </c>
      <c r="O694">
        <f t="shared" si="11"/>
        <v>37</v>
      </c>
      <c r="P694">
        <v>17</v>
      </c>
      <c r="Q694">
        <v>83</v>
      </c>
      <c r="R694">
        <v>18</v>
      </c>
      <c r="S694">
        <v>54</v>
      </c>
      <c r="T694">
        <v>64</v>
      </c>
      <c r="U694">
        <v>52</v>
      </c>
      <c r="V694">
        <v>47</v>
      </c>
      <c r="W694">
        <v>38</v>
      </c>
      <c r="X694">
        <v>10</v>
      </c>
      <c r="Y694">
        <v>89</v>
      </c>
      <c r="Z694">
        <v>82</v>
      </c>
      <c r="AA694">
        <v>43</v>
      </c>
      <c r="AB694">
        <v>52</v>
      </c>
      <c r="AC694">
        <v>35</v>
      </c>
      <c r="AD694">
        <v>16</v>
      </c>
      <c r="AE694">
        <v>79</v>
      </c>
      <c r="AF694">
        <v>36</v>
      </c>
      <c r="AG694">
        <v>74</v>
      </c>
      <c r="AH694">
        <v>54</v>
      </c>
      <c r="AI694">
        <v>81</v>
      </c>
      <c r="AJ694">
        <v>36</v>
      </c>
      <c r="AK694">
        <v>65</v>
      </c>
      <c r="AL694">
        <v>70</v>
      </c>
      <c r="AM694">
        <v>43</v>
      </c>
      <c r="AN694">
        <v>100</v>
      </c>
      <c r="AO694">
        <v>36</v>
      </c>
      <c r="AP694">
        <v>11</v>
      </c>
      <c r="AQ694">
        <v>10</v>
      </c>
      <c r="AR694">
        <v>57</v>
      </c>
      <c r="AS694">
        <v>48</v>
      </c>
      <c r="AT694">
        <v>78</v>
      </c>
      <c r="AU694">
        <v>74</v>
      </c>
      <c r="AV694">
        <v>46</v>
      </c>
      <c r="AW694">
        <v>17</v>
      </c>
      <c r="AX694">
        <v>51</v>
      </c>
      <c r="AY694">
        <v>94</v>
      </c>
      <c r="AZ694">
        <v>14</v>
      </c>
      <c r="BA694">
        <v>62</v>
      </c>
      <c r="BB694">
        <v>77</v>
      </c>
      <c r="BC694">
        <v>92</v>
      </c>
      <c r="BD694">
        <v>99</v>
      </c>
      <c r="BE694">
        <v>55</v>
      </c>
      <c r="BF694">
        <v>58</v>
      </c>
      <c r="BG694">
        <v>36</v>
      </c>
      <c r="BH694">
        <v>14</v>
      </c>
      <c r="BI694">
        <v>68</v>
      </c>
      <c r="BJ694">
        <v>51</v>
      </c>
      <c r="BK694">
        <v>75</v>
      </c>
      <c r="BL694">
        <v>85</v>
      </c>
      <c r="BM694">
        <v>88</v>
      </c>
      <c r="BN694">
        <v>91</v>
      </c>
      <c r="BO694">
        <v>46</v>
      </c>
      <c r="BP694">
        <v>88</v>
      </c>
      <c r="BQ694">
        <v>46</v>
      </c>
      <c r="BR694">
        <v>41</v>
      </c>
      <c r="BS694">
        <v>60</v>
      </c>
      <c r="BT694">
        <v>89</v>
      </c>
      <c r="BU694">
        <v>95</v>
      </c>
      <c r="BV694">
        <v>17</v>
      </c>
      <c r="BW694">
        <v>51</v>
      </c>
      <c r="BX694">
        <v>28</v>
      </c>
      <c r="BY694">
        <v>95</v>
      </c>
      <c r="BZ694">
        <v>58</v>
      </c>
      <c r="CA694">
        <v>55</v>
      </c>
      <c r="CB694">
        <v>55</v>
      </c>
      <c r="CC694">
        <v>27</v>
      </c>
      <c r="CD694">
        <v>57</v>
      </c>
      <c r="CE694">
        <v>35</v>
      </c>
      <c r="CF694">
        <v>93</v>
      </c>
      <c r="CG694">
        <v>72</v>
      </c>
      <c r="CH694">
        <v>87</v>
      </c>
      <c r="CI694">
        <v>90</v>
      </c>
      <c r="CJ694">
        <v>58</v>
      </c>
      <c r="CK694">
        <v>57</v>
      </c>
      <c r="CL694">
        <v>97</v>
      </c>
      <c r="CM694">
        <v>70</v>
      </c>
      <c r="CN694">
        <v>72</v>
      </c>
      <c r="CO694">
        <v>90</v>
      </c>
      <c r="CP694">
        <v>19</v>
      </c>
      <c r="CQ694">
        <v>84</v>
      </c>
      <c r="CR694">
        <v>61</v>
      </c>
      <c r="CS694">
        <v>20</v>
      </c>
      <c r="CT694">
        <v>23</v>
      </c>
      <c r="CU694">
        <v>93</v>
      </c>
      <c r="CV694">
        <v>14</v>
      </c>
      <c r="CW694">
        <v>70</v>
      </c>
      <c r="CX694">
        <v>100</v>
      </c>
      <c r="CY694">
        <v>77</v>
      </c>
      <c r="CZ694">
        <v>60</v>
      </c>
      <c r="DA694">
        <v>11</v>
      </c>
      <c r="DB694">
        <v>96</v>
      </c>
      <c r="DC694">
        <v>64</v>
      </c>
      <c r="DD694">
        <v>20</v>
      </c>
      <c r="DE694">
        <v>10</v>
      </c>
      <c r="DF694">
        <v>39</v>
      </c>
      <c r="DG694">
        <v>80</v>
      </c>
      <c r="DH694">
        <v>38</v>
      </c>
      <c r="DI694">
        <v>78</v>
      </c>
      <c r="DJ694">
        <v>29</v>
      </c>
      <c r="DK694">
        <v>47</v>
      </c>
    </row>
    <row r="695" spans="1:115">
      <c r="A695" s="173">
        <f>Calculations[[#This Row],[Sum t eCO2]]*IF(Calculations[[#This Row],[GHG Scope]]="BIOGENIC",0,1)</f>
        <v>48.307998276497464</v>
      </c>
      <c r="O695">
        <f t="shared" si="11"/>
        <v>38</v>
      </c>
      <c r="P695">
        <v>42</v>
      </c>
      <c r="Q695">
        <v>82</v>
      </c>
      <c r="R695">
        <v>93</v>
      </c>
      <c r="S695">
        <v>58</v>
      </c>
      <c r="T695">
        <v>64</v>
      </c>
      <c r="U695">
        <v>44</v>
      </c>
      <c r="V695">
        <v>61</v>
      </c>
      <c r="W695">
        <v>14</v>
      </c>
      <c r="X695">
        <v>93</v>
      </c>
      <c r="Y695">
        <v>40</v>
      </c>
      <c r="Z695">
        <v>100</v>
      </c>
      <c r="AA695">
        <v>13</v>
      </c>
      <c r="AB695">
        <v>39</v>
      </c>
      <c r="AC695">
        <v>82</v>
      </c>
      <c r="AD695">
        <v>30</v>
      </c>
      <c r="AE695">
        <v>97</v>
      </c>
      <c r="AF695">
        <v>94</v>
      </c>
      <c r="AG695">
        <v>45</v>
      </c>
      <c r="AH695">
        <v>27</v>
      </c>
      <c r="AI695">
        <v>65</v>
      </c>
      <c r="AJ695">
        <v>77</v>
      </c>
      <c r="AK695">
        <v>87</v>
      </c>
      <c r="AL695">
        <v>85</v>
      </c>
      <c r="AM695">
        <v>71</v>
      </c>
      <c r="AN695">
        <v>48</v>
      </c>
      <c r="AO695">
        <v>74</v>
      </c>
      <c r="AP695">
        <v>91</v>
      </c>
      <c r="AQ695">
        <v>76</v>
      </c>
      <c r="AR695">
        <v>16</v>
      </c>
      <c r="AS695">
        <v>79</v>
      </c>
      <c r="AT695">
        <v>33</v>
      </c>
      <c r="AU695">
        <v>74</v>
      </c>
      <c r="AV695">
        <v>74</v>
      </c>
      <c r="AW695">
        <v>70</v>
      </c>
      <c r="AX695">
        <v>89</v>
      </c>
      <c r="AY695">
        <v>73</v>
      </c>
      <c r="AZ695">
        <v>95</v>
      </c>
      <c r="BA695">
        <v>32</v>
      </c>
      <c r="BB695">
        <v>91</v>
      </c>
      <c r="BC695">
        <v>54</v>
      </c>
      <c r="BD695">
        <v>64</v>
      </c>
      <c r="BE695">
        <v>40</v>
      </c>
      <c r="BF695">
        <v>100</v>
      </c>
      <c r="BG695">
        <v>55</v>
      </c>
      <c r="BH695">
        <v>61</v>
      </c>
      <c r="BI695">
        <v>42</v>
      </c>
      <c r="BJ695">
        <v>21</v>
      </c>
      <c r="BK695">
        <v>30</v>
      </c>
      <c r="BL695">
        <v>49</v>
      </c>
      <c r="BM695">
        <v>41</v>
      </c>
      <c r="BN695">
        <v>86</v>
      </c>
      <c r="BO695">
        <v>37</v>
      </c>
      <c r="BP695">
        <v>71</v>
      </c>
      <c r="BQ695">
        <v>46</v>
      </c>
      <c r="BR695">
        <v>63</v>
      </c>
      <c r="BS695">
        <v>59</v>
      </c>
      <c r="BT695">
        <v>14</v>
      </c>
      <c r="BU695">
        <v>11</v>
      </c>
      <c r="BV695">
        <v>62</v>
      </c>
      <c r="BW695">
        <v>27</v>
      </c>
      <c r="BX695">
        <v>32</v>
      </c>
      <c r="BY695">
        <v>99</v>
      </c>
      <c r="BZ695">
        <v>21</v>
      </c>
      <c r="CA695">
        <v>26</v>
      </c>
      <c r="CB695">
        <v>65</v>
      </c>
      <c r="CC695">
        <v>40</v>
      </c>
      <c r="CD695">
        <v>24</v>
      </c>
      <c r="CE695">
        <v>27</v>
      </c>
      <c r="CF695">
        <v>77</v>
      </c>
      <c r="CG695">
        <v>73</v>
      </c>
      <c r="CH695">
        <v>21</v>
      </c>
      <c r="CI695">
        <v>19</v>
      </c>
      <c r="CJ695">
        <v>65</v>
      </c>
      <c r="CK695">
        <v>32</v>
      </c>
      <c r="CL695">
        <v>23</v>
      </c>
      <c r="CM695">
        <v>40</v>
      </c>
      <c r="CN695">
        <v>70</v>
      </c>
      <c r="CO695">
        <v>65</v>
      </c>
      <c r="CP695">
        <v>83</v>
      </c>
      <c r="CQ695">
        <v>76</v>
      </c>
      <c r="CR695">
        <v>55</v>
      </c>
      <c r="CS695">
        <v>49</v>
      </c>
      <c r="CT695">
        <v>14</v>
      </c>
      <c r="CU695">
        <v>74</v>
      </c>
      <c r="CV695">
        <v>66</v>
      </c>
      <c r="CW695">
        <v>17</v>
      </c>
      <c r="CX695">
        <v>63</v>
      </c>
      <c r="CY695">
        <v>86</v>
      </c>
      <c r="CZ695">
        <v>77</v>
      </c>
      <c r="DA695">
        <v>34</v>
      </c>
      <c r="DB695">
        <v>25</v>
      </c>
      <c r="DC695">
        <v>41</v>
      </c>
      <c r="DD695">
        <v>60</v>
      </c>
      <c r="DE695">
        <v>16</v>
      </c>
      <c r="DF695">
        <v>81</v>
      </c>
      <c r="DG695">
        <v>28</v>
      </c>
      <c r="DH695">
        <v>79</v>
      </c>
      <c r="DI695">
        <v>17</v>
      </c>
      <c r="DJ695">
        <v>93</v>
      </c>
      <c r="DK695">
        <v>64</v>
      </c>
    </row>
    <row r="696" spans="1:115">
      <c r="A696" s="173">
        <f>Calculations[[#This Row],[Sum t eCO2]]*IF(Calculations[[#This Row],[GHG Scope]]="BIOGENIC",0,1)</f>
        <v>3.3874351128271661E-2</v>
      </c>
      <c r="O696">
        <f t="shared" si="11"/>
        <v>39</v>
      </c>
      <c r="P696">
        <v>21</v>
      </c>
      <c r="Q696">
        <v>91</v>
      </c>
      <c r="R696">
        <v>55</v>
      </c>
      <c r="S696">
        <v>46</v>
      </c>
      <c r="T696">
        <v>65</v>
      </c>
      <c r="U696">
        <v>34</v>
      </c>
      <c r="V696">
        <v>73</v>
      </c>
      <c r="W696">
        <v>45</v>
      </c>
      <c r="X696">
        <v>57</v>
      </c>
      <c r="Y696">
        <v>42</v>
      </c>
      <c r="Z696">
        <v>49</v>
      </c>
      <c r="AA696">
        <v>95</v>
      </c>
      <c r="AB696">
        <v>62</v>
      </c>
      <c r="AC696">
        <v>93</v>
      </c>
      <c r="AD696">
        <v>94</v>
      </c>
      <c r="AE696">
        <v>91</v>
      </c>
      <c r="AF696">
        <v>85</v>
      </c>
      <c r="AG696">
        <v>99</v>
      </c>
      <c r="AH696">
        <v>67</v>
      </c>
      <c r="AI696">
        <v>75</v>
      </c>
      <c r="AJ696">
        <v>92</v>
      </c>
      <c r="AK696">
        <v>75</v>
      </c>
      <c r="AL696">
        <v>52</v>
      </c>
      <c r="AM696">
        <v>100</v>
      </c>
      <c r="AN696">
        <v>99</v>
      </c>
      <c r="AO696">
        <v>41</v>
      </c>
      <c r="AP696">
        <v>96</v>
      </c>
      <c r="AQ696">
        <v>13</v>
      </c>
      <c r="AR696">
        <v>44</v>
      </c>
      <c r="AS696">
        <v>30</v>
      </c>
      <c r="AT696">
        <v>81</v>
      </c>
      <c r="AU696">
        <v>59</v>
      </c>
      <c r="AV696">
        <v>80</v>
      </c>
      <c r="AW696">
        <v>60</v>
      </c>
      <c r="AX696">
        <v>45</v>
      </c>
      <c r="AY696">
        <v>12</v>
      </c>
      <c r="AZ696">
        <v>70</v>
      </c>
      <c r="BA696">
        <v>10</v>
      </c>
      <c r="BB696">
        <v>16</v>
      </c>
      <c r="BC696">
        <v>27</v>
      </c>
      <c r="BD696">
        <v>40</v>
      </c>
      <c r="BE696">
        <v>82</v>
      </c>
      <c r="BF696">
        <v>45</v>
      </c>
      <c r="BG696">
        <v>46</v>
      </c>
      <c r="BH696">
        <v>90</v>
      </c>
      <c r="BI696">
        <v>80</v>
      </c>
      <c r="BJ696">
        <v>90</v>
      </c>
      <c r="BK696">
        <v>75</v>
      </c>
      <c r="BL696">
        <v>90</v>
      </c>
      <c r="BM696">
        <v>58</v>
      </c>
      <c r="BN696">
        <v>42</v>
      </c>
      <c r="BO696">
        <v>63</v>
      </c>
      <c r="BP696">
        <v>68</v>
      </c>
      <c r="BQ696">
        <v>80</v>
      </c>
      <c r="BR696">
        <v>62</v>
      </c>
      <c r="BS696">
        <v>59</v>
      </c>
      <c r="BT696">
        <v>16</v>
      </c>
      <c r="BU696">
        <v>65</v>
      </c>
      <c r="BV696">
        <v>17</v>
      </c>
      <c r="BW696">
        <v>91</v>
      </c>
      <c r="BX696">
        <v>92</v>
      </c>
      <c r="BY696">
        <v>33</v>
      </c>
      <c r="BZ696">
        <v>36</v>
      </c>
      <c r="CA696">
        <v>40</v>
      </c>
      <c r="CB696">
        <v>28</v>
      </c>
      <c r="CC696">
        <v>60</v>
      </c>
      <c r="CD696">
        <v>30</v>
      </c>
      <c r="CE696">
        <v>31</v>
      </c>
      <c r="CF696">
        <v>10</v>
      </c>
      <c r="CG696">
        <v>11</v>
      </c>
      <c r="CH696">
        <v>82</v>
      </c>
      <c r="CI696">
        <v>86</v>
      </c>
      <c r="CJ696">
        <v>52</v>
      </c>
      <c r="CK696">
        <v>49</v>
      </c>
      <c r="CL696">
        <v>52</v>
      </c>
      <c r="CM696">
        <v>89</v>
      </c>
      <c r="CN696">
        <v>48</v>
      </c>
      <c r="CO696">
        <v>63</v>
      </c>
      <c r="CP696">
        <v>63</v>
      </c>
      <c r="CQ696">
        <v>77</v>
      </c>
      <c r="CR696">
        <v>13</v>
      </c>
      <c r="CS696">
        <v>37</v>
      </c>
      <c r="CT696">
        <v>90</v>
      </c>
      <c r="CU696">
        <v>19</v>
      </c>
      <c r="CV696">
        <v>98</v>
      </c>
      <c r="CW696">
        <v>11</v>
      </c>
      <c r="CX696">
        <v>17</v>
      </c>
      <c r="CY696">
        <v>12</v>
      </c>
      <c r="CZ696">
        <v>25</v>
      </c>
      <c r="DA696">
        <v>14</v>
      </c>
      <c r="DB696">
        <v>53</v>
      </c>
      <c r="DC696">
        <v>16</v>
      </c>
      <c r="DD696">
        <v>82</v>
      </c>
      <c r="DE696">
        <v>96</v>
      </c>
      <c r="DF696">
        <v>16</v>
      </c>
      <c r="DG696">
        <v>15</v>
      </c>
      <c r="DH696">
        <v>89</v>
      </c>
      <c r="DI696">
        <v>68</v>
      </c>
      <c r="DJ696">
        <v>25</v>
      </c>
      <c r="DK696">
        <v>41</v>
      </c>
    </row>
    <row r="697" spans="1:115">
      <c r="A697" s="173">
        <f>Calculations[[#This Row],[Sum t eCO2]]*IF(Calculations[[#This Row],[GHG Scope]]="BIOGENIC",0,1)</f>
        <v>0.13200646103646591</v>
      </c>
      <c r="O697">
        <f t="shared" si="11"/>
        <v>40</v>
      </c>
      <c r="P697">
        <v>93</v>
      </c>
      <c r="Q697">
        <v>82</v>
      </c>
      <c r="R697">
        <v>11</v>
      </c>
      <c r="S697">
        <v>60</v>
      </c>
      <c r="T697">
        <v>97</v>
      </c>
      <c r="U697">
        <v>14</v>
      </c>
      <c r="V697">
        <v>27</v>
      </c>
      <c r="W697">
        <v>100</v>
      </c>
      <c r="X697">
        <v>96</v>
      </c>
      <c r="Y697">
        <v>61</v>
      </c>
      <c r="Z697">
        <v>58</v>
      </c>
      <c r="AA697">
        <v>100</v>
      </c>
      <c r="AB697">
        <v>27</v>
      </c>
      <c r="AC697">
        <v>41</v>
      </c>
      <c r="AD697">
        <v>44</v>
      </c>
      <c r="AE697">
        <v>37</v>
      </c>
      <c r="AF697">
        <v>80</v>
      </c>
      <c r="AG697">
        <v>94</v>
      </c>
      <c r="AH697">
        <v>89</v>
      </c>
      <c r="AI697">
        <v>12</v>
      </c>
      <c r="AJ697">
        <v>53</v>
      </c>
      <c r="AK697">
        <v>17</v>
      </c>
      <c r="AL697">
        <v>63</v>
      </c>
      <c r="AM697">
        <v>42</v>
      </c>
      <c r="AN697">
        <v>83</v>
      </c>
      <c r="AO697">
        <v>15</v>
      </c>
      <c r="AP697">
        <v>77</v>
      </c>
      <c r="AQ697">
        <v>97</v>
      </c>
      <c r="AR697">
        <v>49</v>
      </c>
      <c r="AS697">
        <v>60</v>
      </c>
      <c r="AT697">
        <v>13</v>
      </c>
      <c r="AU697">
        <v>27</v>
      </c>
      <c r="AV697">
        <v>97</v>
      </c>
      <c r="AW697">
        <v>94</v>
      </c>
      <c r="AX697">
        <v>25</v>
      </c>
      <c r="AY697">
        <v>58</v>
      </c>
      <c r="AZ697">
        <v>20</v>
      </c>
      <c r="BA697">
        <v>80</v>
      </c>
      <c r="BB697">
        <v>77</v>
      </c>
      <c r="BC697">
        <v>67</v>
      </c>
      <c r="BD697">
        <v>71</v>
      </c>
      <c r="BE697">
        <v>29</v>
      </c>
      <c r="BF697">
        <v>26</v>
      </c>
      <c r="BG697">
        <v>28</v>
      </c>
      <c r="BH697">
        <v>21</v>
      </c>
      <c r="BI697">
        <v>44</v>
      </c>
      <c r="BJ697">
        <v>78</v>
      </c>
      <c r="BK697">
        <v>89</v>
      </c>
      <c r="BL697">
        <v>29</v>
      </c>
      <c r="BM697">
        <v>13</v>
      </c>
      <c r="BN697">
        <v>36</v>
      </c>
      <c r="BO697">
        <v>59</v>
      </c>
      <c r="BP697">
        <v>31</v>
      </c>
      <c r="BQ697">
        <v>35</v>
      </c>
      <c r="BR697">
        <v>72</v>
      </c>
      <c r="BS697">
        <v>21</v>
      </c>
      <c r="BT697">
        <v>84</v>
      </c>
      <c r="BU697">
        <v>72</v>
      </c>
      <c r="BV697">
        <v>57</v>
      </c>
      <c r="BW697">
        <v>95</v>
      </c>
      <c r="BX697">
        <v>48</v>
      </c>
      <c r="BY697">
        <v>28</v>
      </c>
      <c r="BZ697">
        <v>79</v>
      </c>
      <c r="CA697">
        <v>54</v>
      </c>
      <c r="CB697">
        <v>62</v>
      </c>
      <c r="CC697">
        <v>38</v>
      </c>
      <c r="CD697">
        <v>45</v>
      </c>
      <c r="CE697">
        <v>50</v>
      </c>
      <c r="CF697">
        <v>57</v>
      </c>
      <c r="CG697">
        <v>99</v>
      </c>
      <c r="CH697">
        <v>11</v>
      </c>
      <c r="CI697">
        <v>90</v>
      </c>
      <c r="CJ697">
        <v>100</v>
      </c>
      <c r="CK697">
        <v>26</v>
      </c>
      <c r="CL697">
        <v>44</v>
      </c>
      <c r="CM697">
        <v>99</v>
      </c>
      <c r="CN697">
        <v>82</v>
      </c>
      <c r="CO697">
        <v>70</v>
      </c>
      <c r="CP697">
        <v>65</v>
      </c>
      <c r="CQ697">
        <v>99</v>
      </c>
      <c r="CR697">
        <v>78</v>
      </c>
      <c r="CS697">
        <v>33</v>
      </c>
      <c r="CT697">
        <v>51</v>
      </c>
      <c r="CU697">
        <v>28</v>
      </c>
      <c r="CV697">
        <v>38</v>
      </c>
      <c r="CW697">
        <v>35</v>
      </c>
      <c r="CX697">
        <v>23</v>
      </c>
      <c r="CY697">
        <v>95</v>
      </c>
      <c r="CZ697">
        <v>85</v>
      </c>
      <c r="DA697">
        <v>63</v>
      </c>
      <c r="DB697">
        <v>30</v>
      </c>
      <c r="DC697">
        <v>41</v>
      </c>
      <c r="DD697">
        <v>57</v>
      </c>
      <c r="DE697">
        <v>68</v>
      </c>
      <c r="DF697">
        <v>16</v>
      </c>
      <c r="DG697">
        <v>27</v>
      </c>
      <c r="DH697">
        <v>12</v>
      </c>
      <c r="DI697">
        <v>57</v>
      </c>
      <c r="DJ697">
        <v>87</v>
      </c>
      <c r="DK697">
        <v>70</v>
      </c>
    </row>
    <row r="698" spans="1:115">
      <c r="A698" s="173">
        <f>Calculations[[#This Row],[Sum t eCO2]]*IF(Calculations[[#This Row],[GHG Scope]]="BIOGENIC",0,1)</f>
        <v>8.3476175134509365</v>
      </c>
      <c r="O698">
        <f t="shared" si="11"/>
        <v>41</v>
      </c>
      <c r="P698">
        <v>47</v>
      </c>
      <c r="Q698">
        <v>20</v>
      </c>
      <c r="R698">
        <v>66</v>
      </c>
      <c r="S698">
        <v>69</v>
      </c>
      <c r="T698">
        <v>30</v>
      </c>
      <c r="U698">
        <v>89</v>
      </c>
      <c r="V698">
        <v>97</v>
      </c>
      <c r="W698">
        <v>60</v>
      </c>
      <c r="X698">
        <v>13</v>
      </c>
      <c r="Y698">
        <v>71</v>
      </c>
      <c r="Z698">
        <v>78</v>
      </c>
      <c r="AA698">
        <v>34</v>
      </c>
      <c r="AB698">
        <v>56</v>
      </c>
      <c r="AC698">
        <v>25</v>
      </c>
      <c r="AD698">
        <v>86</v>
      </c>
      <c r="AE698">
        <v>90</v>
      </c>
      <c r="AF698">
        <v>67</v>
      </c>
      <c r="AG698">
        <v>32</v>
      </c>
      <c r="AH698">
        <v>100</v>
      </c>
      <c r="AI698">
        <v>90</v>
      </c>
      <c r="AJ698">
        <v>39</v>
      </c>
      <c r="AK698">
        <v>35</v>
      </c>
      <c r="AL698">
        <v>61</v>
      </c>
      <c r="AM698">
        <v>20</v>
      </c>
      <c r="AN698">
        <v>12</v>
      </c>
      <c r="AO698">
        <v>12</v>
      </c>
      <c r="AP698">
        <v>21</v>
      </c>
      <c r="AQ698">
        <v>36</v>
      </c>
      <c r="AR698">
        <v>17</v>
      </c>
      <c r="AS698">
        <v>37</v>
      </c>
      <c r="AT698">
        <v>71</v>
      </c>
      <c r="AU698">
        <v>31</v>
      </c>
      <c r="AV698">
        <v>22</v>
      </c>
      <c r="AW698">
        <v>78</v>
      </c>
      <c r="AX698">
        <v>71</v>
      </c>
      <c r="AY698">
        <v>72</v>
      </c>
      <c r="AZ698">
        <v>49</v>
      </c>
      <c r="BA698">
        <v>49</v>
      </c>
      <c r="BB698">
        <v>100</v>
      </c>
      <c r="BC698">
        <v>24</v>
      </c>
      <c r="BD698">
        <v>51</v>
      </c>
      <c r="BE698">
        <v>87</v>
      </c>
      <c r="BF698">
        <v>90</v>
      </c>
      <c r="BG698">
        <v>17</v>
      </c>
      <c r="BH698">
        <v>56</v>
      </c>
      <c r="BI698">
        <v>49</v>
      </c>
      <c r="BJ698">
        <v>24</v>
      </c>
      <c r="BK698">
        <v>60</v>
      </c>
      <c r="BL698">
        <v>19</v>
      </c>
      <c r="BM698">
        <v>88</v>
      </c>
      <c r="BN698">
        <v>29</v>
      </c>
      <c r="BO698">
        <v>24</v>
      </c>
      <c r="BP698">
        <v>71</v>
      </c>
      <c r="BQ698">
        <v>94</v>
      </c>
      <c r="BR698">
        <v>74</v>
      </c>
      <c r="BS698">
        <v>84</v>
      </c>
      <c r="BT698">
        <v>23</v>
      </c>
      <c r="BU698">
        <v>92</v>
      </c>
      <c r="BV698">
        <v>24</v>
      </c>
      <c r="BW698">
        <v>59</v>
      </c>
      <c r="BX698">
        <v>67</v>
      </c>
      <c r="BY698">
        <v>80</v>
      </c>
      <c r="BZ698">
        <v>87</v>
      </c>
      <c r="CA698">
        <v>14</v>
      </c>
      <c r="CB698">
        <v>96</v>
      </c>
      <c r="CC698">
        <v>86</v>
      </c>
      <c r="CD698">
        <v>90</v>
      </c>
      <c r="CE698">
        <v>47</v>
      </c>
      <c r="CF698">
        <v>100</v>
      </c>
      <c r="CG698">
        <v>18</v>
      </c>
      <c r="CH698">
        <v>17</v>
      </c>
      <c r="CI698">
        <v>87</v>
      </c>
      <c r="CJ698">
        <v>21</v>
      </c>
      <c r="CK698">
        <v>81</v>
      </c>
      <c r="CL698">
        <v>11</v>
      </c>
      <c r="CM698">
        <v>25</v>
      </c>
      <c r="CN698">
        <v>71</v>
      </c>
      <c r="CO698">
        <v>37</v>
      </c>
      <c r="CP698">
        <v>25</v>
      </c>
      <c r="CQ698">
        <v>97</v>
      </c>
      <c r="CR698">
        <v>16</v>
      </c>
      <c r="CS698">
        <v>41</v>
      </c>
      <c r="CT698">
        <v>26</v>
      </c>
      <c r="CU698">
        <v>47</v>
      </c>
      <c r="CV698">
        <v>34</v>
      </c>
      <c r="CW698">
        <v>33</v>
      </c>
      <c r="CX698">
        <v>46</v>
      </c>
      <c r="CY698">
        <v>45</v>
      </c>
      <c r="CZ698">
        <v>15</v>
      </c>
      <c r="DA698">
        <v>71</v>
      </c>
      <c r="DB698">
        <v>23</v>
      </c>
      <c r="DC698">
        <v>74</v>
      </c>
      <c r="DD698">
        <v>72</v>
      </c>
      <c r="DE698">
        <v>88</v>
      </c>
      <c r="DF698">
        <v>17</v>
      </c>
      <c r="DG698">
        <v>93</v>
      </c>
      <c r="DH698">
        <v>11</v>
      </c>
      <c r="DI698">
        <v>93</v>
      </c>
      <c r="DJ698">
        <v>98</v>
      </c>
      <c r="DK698">
        <v>17</v>
      </c>
    </row>
    <row r="699" spans="1:115">
      <c r="A699" s="173">
        <f>Calculations[[#This Row],[Sum t eCO2]]*IF(Calculations[[#This Row],[GHG Scope]]="BIOGENIC",0,1)</f>
        <v>0.58625794302827372</v>
      </c>
      <c r="O699">
        <f t="shared" si="11"/>
        <v>42</v>
      </c>
      <c r="P699">
        <v>40</v>
      </c>
      <c r="Q699">
        <v>58</v>
      </c>
      <c r="R699">
        <v>34</v>
      </c>
      <c r="S699">
        <v>21</v>
      </c>
      <c r="T699">
        <v>18</v>
      </c>
      <c r="U699">
        <v>58</v>
      </c>
      <c r="V699">
        <v>73</v>
      </c>
      <c r="W699">
        <v>67</v>
      </c>
      <c r="X699">
        <v>44</v>
      </c>
      <c r="Y699">
        <v>53</v>
      </c>
      <c r="Z699">
        <v>16</v>
      </c>
      <c r="AA699">
        <v>59</v>
      </c>
      <c r="AB699">
        <v>50</v>
      </c>
      <c r="AC699">
        <v>59</v>
      </c>
      <c r="AD699">
        <v>67</v>
      </c>
      <c r="AE699">
        <v>22</v>
      </c>
      <c r="AF699">
        <v>56</v>
      </c>
      <c r="AG699">
        <v>43</v>
      </c>
      <c r="AH699">
        <v>37</v>
      </c>
      <c r="AI699">
        <v>52</v>
      </c>
      <c r="AJ699">
        <v>71</v>
      </c>
      <c r="AK699">
        <v>29</v>
      </c>
      <c r="AL699">
        <v>55</v>
      </c>
      <c r="AM699">
        <v>16</v>
      </c>
      <c r="AN699">
        <v>30</v>
      </c>
      <c r="AO699">
        <v>12</v>
      </c>
      <c r="AP699">
        <v>20</v>
      </c>
      <c r="AQ699">
        <v>40</v>
      </c>
      <c r="AR699">
        <v>85</v>
      </c>
      <c r="AS699">
        <v>84</v>
      </c>
      <c r="AT699">
        <v>36</v>
      </c>
      <c r="AU699">
        <v>83</v>
      </c>
      <c r="AV699">
        <v>12</v>
      </c>
      <c r="AW699">
        <v>87</v>
      </c>
      <c r="AX699">
        <v>46</v>
      </c>
      <c r="AY699">
        <v>63</v>
      </c>
      <c r="AZ699">
        <v>29</v>
      </c>
      <c r="BA699">
        <v>31</v>
      </c>
      <c r="BB699">
        <v>60</v>
      </c>
      <c r="BC699">
        <v>85</v>
      </c>
      <c r="BD699">
        <v>39</v>
      </c>
      <c r="BE699">
        <v>32</v>
      </c>
      <c r="BF699">
        <v>28</v>
      </c>
      <c r="BG699">
        <v>88</v>
      </c>
      <c r="BH699">
        <v>80</v>
      </c>
      <c r="BI699">
        <v>21</v>
      </c>
      <c r="BJ699">
        <v>70</v>
      </c>
      <c r="BK699">
        <v>48</v>
      </c>
      <c r="BL699">
        <v>64</v>
      </c>
      <c r="BM699">
        <v>94</v>
      </c>
      <c r="BN699">
        <v>60</v>
      </c>
      <c r="BO699">
        <v>76</v>
      </c>
      <c r="BP699">
        <v>11</v>
      </c>
      <c r="BQ699">
        <v>52</v>
      </c>
      <c r="BR699">
        <v>96</v>
      </c>
      <c r="BS699">
        <v>88</v>
      </c>
      <c r="BT699">
        <v>75</v>
      </c>
      <c r="BU699">
        <v>37</v>
      </c>
      <c r="BV699">
        <v>99</v>
      </c>
      <c r="BW699">
        <v>17</v>
      </c>
      <c r="BX699">
        <v>74</v>
      </c>
      <c r="BY699">
        <v>60</v>
      </c>
      <c r="BZ699">
        <v>29</v>
      </c>
      <c r="CA699">
        <v>77</v>
      </c>
      <c r="CB699">
        <v>89</v>
      </c>
      <c r="CC699">
        <v>50</v>
      </c>
      <c r="CD699">
        <v>37</v>
      </c>
      <c r="CE699">
        <v>63</v>
      </c>
      <c r="CF699">
        <v>84</v>
      </c>
      <c r="CG699">
        <v>60</v>
      </c>
      <c r="CH699">
        <v>13</v>
      </c>
      <c r="CI699">
        <v>64</v>
      </c>
      <c r="CJ699">
        <v>99</v>
      </c>
      <c r="CK699">
        <v>20</v>
      </c>
      <c r="CL699">
        <v>67</v>
      </c>
      <c r="CM699">
        <v>89</v>
      </c>
      <c r="CN699">
        <v>66</v>
      </c>
      <c r="CO699">
        <v>49</v>
      </c>
      <c r="CP699">
        <v>18</v>
      </c>
      <c r="CQ699">
        <v>21</v>
      </c>
      <c r="CR699">
        <v>15</v>
      </c>
      <c r="CS699">
        <v>74</v>
      </c>
      <c r="CT699">
        <v>85</v>
      </c>
      <c r="CU699">
        <v>21</v>
      </c>
      <c r="CV699">
        <v>15</v>
      </c>
      <c r="CW699">
        <v>86</v>
      </c>
      <c r="CX699">
        <v>99</v>
      </c>
      <c r="CY699">
        <v>62</v>
      </c>
      <c r="CZ699">
        <v>23</v>
      </c>
      <c r="DA699">
        <v>30</v>
      </c>
      <c r="DB699">
        <v>52</v>
      </c>
      <c r="DC699">
        <v>36</v>
      </c>
      <c r="DD699">
        <v>42</v>
      </c>
      <c r="DE699">
        <v>78</v>
      </c>
      <c r="DF699">
        <v>58</v>
      </c>
      <c r="DG699">
        <v>43</v>
      </c>
      <c r="DH699">
        <v>30</v>
      </c>
      <c r="DI699">
        <v>49</v>
      </c>
      <c r="DJ699">
        <v>97</v>
      </c>
      <c r="DK699">
        <v>49</v>
      </c>
    </row>
    <row r="700" spans="1:115">
      <c r="A700" s="173">
        <f>Calculations[[#This Row],[Sum t eCO2]]*IF(Calculations[[#This Row],[GHG Scope]]="BIOGENIC",0,1)</f>
        <v>0.12054736941581891</v>
      </c>
      <c r="O700">
        <f t="shared" si="11"/>
        <v>43</v>
      </c>
      <c r="P700">
        <v>50</v>
      </c>
      <c r="Q700">
        <v>35</v>
      </c>
      <c r="R700">
        <v>89</v>
      </c>
      <c r="S700">
        <v>61</v>
      </c>
      <c r="T700">
        <v>34</v>
      </c>
      <c r="U700">
        <v>76</v>
      </c>
      <c r="V700">
        <v>13</v>
      </c>
      <c r="W700">
        <v>85</v>
      </c>
      <c r="X700">
        <v>28</v>
      </c>
      <c r="Y700">
        <v>11</v>
      </c>
      <c r="Z700">
        <v>84</v>
      </c>
      <c r="AA700">
        <v>93</v>
      </c>
      <c r="AB700">
        <v>50</v>
      </c>
      <c r="AC700">
        <v>85</v>
      </c>
      <c r="AD700">
        <v>98</v>
      </c>
      <c r="AE700">
        <v>62</v>
      </c>
      <c r="AF700">
        <v>96</v>
      </c>
      <c r="AG700">
        <v>20</v>
      </c>
      <c r="AH700">
        <v>76</v>
      </c>
      <c r="AI700">
        <v>86</v>
      </c>
      <c r="AJ700">
        <v>44</v>
      </c>
      <c r="AK700">
        <v>18</v>
      </c>
      <c r="AL700">
        <v>14</v>
      </c>
      <c r="AM700">
        <v>99</v>
      </c>
      <c r="AN700">
        <v>12</v>
      </c>
      <c r="AO700">
        <v>45</v>
      </c>
      <c r="AP700">
        <v>86</v>
      </c>
      <c r="AQ700">
        <v>23</v>
      </c>
      <c r="AR700">
        <v>63</v>
      </c>
      <c r="AS700">
        <v>46</v>
      </c>
      <c r="AT700">
        <v>87</v>
      </c>
      <c r="AU700">
        <v>36</v>
      </c>
      <c r="AV700">
        <v>39</v>
      </c>
      <c r="AW700">
        <v>17</v>
      </c>
      <c r="AX700">
        <v>63</v>
      </c>
      <c r="AY700">
        <v>62</v>
      </c>
      <c r="AZ700">
        <v>65</v>
      </c>
      <c r="BA700">
        <v>49</v>
      </c>
      <c r="BB700">
        <v>10</v>
      </c>
      <c r="BC700">
        <v>89</v>
      </c>
      <c r="BD700">
        <v>95</v>
      </c>
      <c r="BE700">
        <v>94</v>
      </c>
      <c r="BF700">
        <v>46</v>
      </c>
      <c r="BG700">
        <v>61</v>
      </c>
      <c r="BH700">
        <v>39</v>
      </c>
      <c r="BI700">
        <v>26</v>
      </c>
      <c r="BJ700">
        <v>73</v>
      </c>
      <c r="BK700">
        <v>90</v>
      </c>
      <c r="BL700">
        <v>63</v>
      </c>
      <c r="BM700">
        <v>49</v>
      </c>
      <c r="BN700">
        <v>71</v>
      </c>
      <c r="BO700">
        <v>48</v>
      </c>
      <c r="BP700">
        <v>24</v>
      </c>
      <c r="BQ700">
        <v>58</v>
      </c>
      <c r="BR700">
        <v>12</v>
      </c>
      <c r="BS700">
        <v>14</v>
      </c>
      <c r="BT700">
        <v>95</v>
      </c>
      <c r="BU700">
        <v>35</v>
      </c>
      <c r="BV700">
        <v>28</v>
      </c>
      <c r="BW700">
        <v>50</v>
      </c>
      <c r="BX700">
        <v>74</v>
      </c>
      <c r="BY700">
        <v>56</v>
      </c>
      <c r="BZ700">
        <v>27</v>
      </c>
      <c r="CA700">
        <v>64</v>
      </c>
      <c r="CB700">
        <v>48</v>
      </c>
      <c r="CC700">
        <v>42</v>
      </c>
      <c r="CD700">
        <v>47</v>
      </c>
      <c r="CE700">
        <v>41</v>
      </c>
      <c r="CF700">
        <v>28</v>
      </c>
      <c r="CG700">
        <v>82</v>
      </c>
      <c r="CH700">
        <v>15</v>
      </c>
      <c r="CI700">
        <v>30</v>
      </c>
      <c r="CJ700">
        <v>65</v>
      </c>
      <c r="CK700">
        <v>21</v>
      </c>
      <c r="CL700">
        <v>93</v>
      </c>
      <c r="CM700">
        <v>76</v>
      </c>
      <c r="CN700">
        <v>55</v>
      </c>
      <c r="CO700">
        <v>32</v>
      </c>
      <c r="CP700">
        <v>26</v>
      </c>
      <c r="CQ700">
        <v>96</v>
      </c>
      <c r="CR700">
        <v>44</v>
      </c>
      <c r="CS700">
        <v>37</v>
      </c>
      <c r="CT700">
        <v>46</v>
      </c>
      <c r="CU700">
        <v>67</v>
      </c>
      <c r="CV700">
        <v>68</v>
      </c>
      <c r="CW700">
        <v>46</v>
      </c>
      <c r="CX700">
        <v>18</v>
      </c>
      <c r="CY700">
        <v>56</v>
      </c>
      <c r="CZ700">
        <v>41</v>
      </c>
      <c r="DA700">
        <v>82</v>
      </c>
      <c r="DB700">
        <v>39</v>
      </c>
      <c r="DC700">
        <v>84</v>
      </c>
      <c r="DD700">
        <v>18</v>
      </c>
      <c r="DE700">
        <v>13</v>
      </c>
      <c r="DF700">
        <v>61</v>
      </c>
      <c r="DG700">
        <v>76</v>
      </c>
      <c r="DH700">
        <v>100</v>
      </c>
      <c r="DI700">
        <v>22</v>
      </c>
      <c r="DJ700">
        <v>40</v>
      </c>
      <c r="DK700">
        <v>25</v>
      </c>
    </row>
    <row r="701" spans="1:115">
      <c r="A701" s="173">
        <f>Calculations[[#This Row],[Sum t eCO2]]*IF(Calculations[[#This Row],[GHG Scope]]="BIOGENIC",0,1)</f>
        <v>346.9416579143483</v>
      </c>
      <c r="O701">
        <f t="shared" si="11"/>
        <v>44</v>
      </c>
      <c r="P701">
        <v>96</v>
      </c>
      <c r="Q701">
        <v>53</v>
      </c>
      <c r="R701">
        <v>96</v>
      </c>
      <c r="S701">
        <v>81</v>
      </c>
      <c r="T701">
        <v>48</v>
      </c>
      <c r="U701">
        <v>97</v>
      </c>
      <c r="V701">
        <v>76</v>
      </c>
      <c r="W701">
        <v>44</v>
      </c>
      <c r="X701">
        <v>84</v>
      </c>
      <c r="Y701">
        <v>18</v>
      </c>
      <c r="Z701">
        <v>42</v>
      </c>
      <c r="AA701">
        <v>81</v>
      </c>
      <c r="AB701">
        <v>67</v>
      </c>
      <c r="AC701">
        <v>100</v>
      </c>
      <c r="AD701">
        <v>40</v>
      </c>
      <c r="AE701">
        <v>27</v>
      </c>
      <c r="AF701">
        <v>13</v>
      </c>
      <c r="AG701">
        <v>83</v>
      </c>
      <c r="AH701">
        <v>56</v>
      </c>
      <c r="AI701">
        <v>10</v>
      </c>
      <c r="AJ701">
        <v>57</v>
      </c>
      <c r="AK701">
        <v>71</v>
      </c>
      <c r="AL701">
        <v>72</v>
      </c>
      <c r="AM701">
        <v>78</v>
      </c>
      <c r="AN701">
        <v>85</v>
      </c>
      <c r="AO701">
        <v>52</v>
      </c>
      <c r="AP701">
        <v>95</v>
      </c>
      <c r="AQ701">
        <v>49</v>
      </c>
      <c r="AR701">
        <v>55</v>
      </c>
      <c r="AS701">
        <v>42</v>
      </c>
      <c r="AT701">
        <v>79</v>
      </c>
      <c r="AU701">
        <v>49</v>
      </c>
      <c r="AV701">
        <v>64</v>
      </c>
      <c r="AW701">
        <v>76</v>
      </c>
      <c r="AX701">
        <v>56</v>
      </c>
      <c r="AY701">
        <v>64</v>
      </c>
      <c r="AZ701">
        <v>39</v>
      </c>
      <c r="BA701">
        <v>83</v>
      </c>
      <c r="BB701">
        <v>60</v>
      </c>
      <c r="BC701">
        <v>34</v>
      </c>
      <c r="BD701">
        <v>70</v>
      </c>
      <c r="BE701">
        <v>41</v>
      </c>
      <c r="BF701">
        <v>91</v>
      </c>
      <c r="BG701">
        <v>80</v>
      </c>
      <c r="BH701">
        <v>84</v>
      </c>
      <c r="BI701">
        <v>32</v>
      </c>
      <c r="BJ701">
        <v>40</v>
      </c>
      <c r="BK701">
        <v>82</v>
      </c>
      <c r="BL701">
        <v>59</v>
      </c>
      <c r="BM701">
        <v>48</v>
      </c>
      <c r="BN701">
        <v>21</v>
      </c>
      <c r="BO701">
        <v>79</v>
      </c>
      <c r="BP701">
        <v>44</v>
      </c>
      <c r="BQ701">
        <v>78</v>
      </c>
      <c r="BR701">
        <v>49</v>
      </c>
      <c r="BS701">
        <v>56</v>
      </c>
      <c r="BT701">
        <v>40</v>
      </c>
      <c r="BU701">
        <v>38</v>
      </c>
      <c r="BV701">
        <v>65</v>
      </c>
      <c r="BW701">
        <v>70</v>
      </c>
      <c r="BX701">
        <v>94</v>
      </c>
      <c r="BY701">
        <v>57</v>
      </c>
      <c r="BZ701">
        <v>25</v>
      </c>
      <c r="CA701">
        <v>20</v>
      </c>
      <c r="CB701">
        <v>93</v>
      </c>
      <c r="CC701">
        <v>51</v>
      </c>
      <c r="CD701">
        <v>20</v>
      </c>
      <c r="CE701">
        <v>74</v>
      </c>
      <c r="CF701">
        <v>69</v>
      </c>
      <c r="CG701">
        <v>78</v>
      </c>
      <c r="CH701">
        <v>10</v>
      </c>
      <c r="CI701">
        <v>90</v>
      </c>
      <c r="CJ701">
        <v>34</v>
      </c>
      <c r="CK701">
        <v>60</v>
      </c>
      <c r="CL701">
        <v>43</v>
      </c>
      <c r="CM701">
        <v>43</v>
      </c>
      <c r="CN701">
        <v>16</v>
      </c>
      <c r="CO701">
        <v>41</v>
      </c>
      <c r="CP701">
        <v>21</v>
      </c>
      <c r="CQ701">
        <v>12</v>
      </c>
      <c r="CR701">
        <v>43</v>
      </c>
      <c r="CS701">
        <v>73</v>
      </c>
      <c r="CT701">
        <v>60</v>
      </c>
      <c r="CU701">
        <v>42</v>
      </c>
      <c r="CV701">
        <v>41</v>
      </c>
      <c r="CW701">
        <v>46</v>
      </c>
      <c r="CX701">
        <v>77</v>
      </c>
      <c r="CY701">
        <v>41</v>
      </c>
      <c r="CZ701">
        <v>33</v>
      </c>
      <c r="DA701">
        <v>69</v>
      </c>
      <c r="DB701">
        <v>12</v>
      </c>
      <c r="DC701">
        <v>53</v>
      </c>
      <c r="DD701">
        <v>91</v>
      </c>
      <c r="DE701">
        <v>51</v>
      </c>
      <c r="DF701">
        <v>82</v>
      </c>
      <c r="DG701">
        <v>67</v>
      </c>
      <c r="DH701">
        <v>45</v>
      </c>
      <c r="DI701">
        <v>53</v>
      </c>
      <c r="DJ701">
        <v>26</v>
      </c>
      <c r="DK701">
        <v>71</v>
      </c>
    </row>
    <row r="702" spans="1:115">
      <c r="A702" s="173">
        <f>Calculations[[#This Row],[Sum t eCO2]]*IF(Calculations[[#This Row],[GHG Scope]]="BIOGENIC",0,1)</f>
        <v>70.624803180850762</v>
      </c>
      <c r="O702">
        <f t="shared" si="11"/>
        <v>45</v>
      </c>
      <c r="P702">
        <v>92</v>
      </c>
      <c r="Q702">
        <v>88</v>
      </c>
      <c r="R702">
        <v>24</v>
      </c>
      <c r="S702">
        <v>53</v>
      </c>
      <c r="T702">
        <v>17</v>
      </c>
      <c r="U702">
        <v>54</v>
      </c>
      <c r="V702">
        <v>42</v>
      </c>
      <c r="W702">
        <v>19</v>
      </c>
      <c r="X702">
        <v>86</v>
      </c>
      <c r="Y702">
        <v>95</v>
      </c>
      <c r="Z702">
        <v>17</v>
      </c>
      <c r="AA702">
        <v>88</v>
      </c>
      <c r="AB702">
        <v>97</v>
      </c>
      <c r="AC702">
        <v>36</v>
      </c>
      <c r="AD702">
        <v>89</v>
      </c>
      <c r="AE702">
        <v>53</v>
      </c>
      <c r="AF702">
        <v>51</v>
      </c>
      <c r="AG702">
        <v>82</v>
      </c>
      <c r="AH702">
        <v>61</v>
      </c>
      <c r="AI702">
        <v>53</v>
      </c>
      <c r="AJ702">
        <v>79</v>
      </c>
      <c r="AK702">
        <v>44</v>
      </c>
      <c r="AL702">
        <v>92</v>
      </c>
      <c r="AM702">
        <v>95</v>
      </c>
      <c r="AN702">
        <v>47</v>
      </c>
      <c r="AO702">
        <v>92</v>
      </c>
      <c r="AP702">
        <v>47</v>
      </c>
      <c r="AQ702">
        <v>23</v>
      </c>
      <c r="AR702">
        <v>63</v>
      </c>
      <c r="AS702">
        <v>11</v>
      </c>
      <c r="AT702">
        <v>23</v>
      </c>
      <c r="AU702">
        <v>15</v>
      </c>
      <c r="AV702">
        <v>77</v>
      </c>
      <c r="AW702">
        <v>98</v>
      </c>
      <c r="AX702">
        <v>41</v>
      </c>
      <c r="AY702">
        <v>24</v>
      </c>
      <c r="AZ702">
        <v>71</v>
      </c>
      <c r="BA702">
        <v>60</v>
      </c>
      <c r="BB702">
        <v>82</v>
      </c>
      <c r="BC702">
        <v>55</v>
      </c>
      <c r="BD702">
        <v>96</v>
      </c>
      <c r="BE702">
        <v>13</v>
      </c>
      <c r="BF702">
        <v>22</v>
      </c>
      <c r="BG702">
        <v>50</v>
      </c>
      <c r="BH702">
        <v>91</v>
      </c>
      <c r="BI702">
        <v>82</v>
      </c>
      <c r="BJ702">
        <v>66</v>
      </c>
      <c r="BK702">
        <v>98</v>
      </c>
      <c r="BL702">
        <v>14</v>
      </c>
      <c r="BM702">
        <v>76</v>
      </c>
      <c r="BN702">
        <v>22</v>
      </c>
      <c r="BO702">
        <v>39</v>
      </c>
      <c r="BP702">
        <v>39</v>
      </c>
      <c r="BQ702">
        <v>28</v>
      </c>
      <c r="BR702">
        <v>39</v>
      </c>
      <c r="BS702">
        <v>87</v>
      </c>
      <c r="BT702">
        <v>24</v>
      </c>
      <c r="BU702">
        <v>60</v>
      </c>
      <c r="BV702">
        <v>87</v>
      </c>
      <c r="BW702">
        <v>46</v>
      </c>
      <c r="BX702">
        <v>92</v>
      </c>
      <c r="BY702">
        <v>41</v>
      </c>
      <c r="BZ702">
        <v>61</v>
      </c>
      <c r="CA702">
        <v>81</v>
      </c>
      <c r="CB702">
        <v>16</v>
      </c>
      <c r="CC702">
        <v>68</v>
      </c>
      <c r="CD702">
        <v>86</v>
      </c>
      <c r="CE702">
        <v>89</v>
      </c>
      <c r="CF702">
        <v>23</v>
      </c>
      <c r="CG702">
        <v>60</v>
      </c>
      <c r="CH702">
        <v>34</v>
      </c>
      <c r="CI702">
        <v>94</v>
      </c>
      <c r="CJ702">
        <v>86</v>
      </c>
      <c r="CK702">
        <v>70</v>
      </c>
      <c r="CL702">
        <v>54</v>
      </c>
      <c r="CM702">
        <v>69</v>
      </c>
      <c r="CN702">
        <v>91</v>
      </c>
      <c r="CO702">
        <v>29</v>
      </c>
      <c r="CP702">
        <v>90</v>
      </c>
      <c r="CQ702">
        <v>82</v>
      </c>
      <c r="CR702">
        <v>16</v>
      </c>
      <c r="CS702">
        <v>74</v>
      </c>
      <c r="CT702">
        <v>96</v>
      </c>
      <c r="CU702">
        <v>15</v>
      </c>
      <c r="CV702">
        <v>20</v>
      </c>
      <c r="CW702">
        <v>98</v>
      </c>
      <c r="CX702">
        <v>15</v>
      </c>
      <c r="CY702">
        <v>71</v>
      </c>
      <c r="CZ702">
        <v>49</v>
      </c>
      <c r="DA702">
        <v>63</v>
      </c>
      <c r="DB702">
        <v>35</v>
      </c>
      <c r="DC702">
        <v>49</v>
      </c>
      <c r="DD702">
        <v>32</v>
      </c>
      <c r="DE702">
        <v>98</v>
      </c>
      <c r="DF702">
        <v>49</v>
      </c>
      <c r="DG702">
        <v>97</v>
      </c>
      <c r="DH702">
        <v>47</v>
      </c>
      <c r="DI702">
        <v>57</v>
      </c>
      <c r="DJ702">
        <v>72</v>
      </c>
      <c r="DK702">
        <v>37</v>
      </c>
    </row>
    <row r="703" spans="1:115">
      <c r="A703" s="173">
        <f>Calculations[[#This Row],[Sum t eCO2]]*IF(Calculations[[#This Row],[GHG Scope]]="BIOGENIC",0,1)</f>
        <v>42.572065425245491</v>
      </c>
      <c r="O703">
        <f t="shared" si="11"/>
        <v>46</v>
      </c>
      <c r="P703">
        <v>66</v>
      </c>
      <c r="Q703">
        <v>23</v>
      </c>
      <c r="R703">
        <v>60</v>
      </c>
      <c r="S703">
        <v>28</v>
      </c>
      <c r="T703">
        <v>29</v>
      </c>
      <c r="U703">
        <v>29</v>
      </c>
      <c r="V703">
        <v>46</v>
      </c>
      <c r="W703">
        <v>57</v>
      </c>
      <c r="X703">
        <v>91</v>
      </c>
      <c r="Y703">
        <v>17</v>
      </c>
      <c r="Z703">
        <v>47</v>
      </c>
      <c r="AA703">
        <v>36</v>
      </c>
      <c r="AB703">
        <v>14</v>
      </c>
      <c r="AC703">
        <v>18</v>
      </c>
      <c r="AD703">
        <v>24</v>
      </c>
      <c r="AE703">
        <v>61</v>
      </c>
      <c r="AF703">
        <v>90</v>
      </c>
      <c r="AG703">
        <v>77</v>
      </c>
      <c r="AH703">
        <v>32</v>
      </c>
      <c r="AI703">
        <v>52</v>
      </c>
      <c r="AJ703">
        <v>43</v>
      </c>
      <c r="AK703">
        <v>69</v>
      </c>
      <c r="AL703">
        <v>78</v>
      </c>
      <c r="AM703">
        <v>68</v>
      </c>
      <c r="AN703">
        <v>27</v>
      </c>
      <c r="AO703">
        <v>14</v>
      </c>
      <c r="AP703">
        <v>72</v>
      </c>
      <c r="AQ703">
        <v>65</v>
      </c>
      <c r="AR703">
        <v>78</v>
      </c>
      <c r="AS703">
        <v>69</v>
      </c>
      <c r="AT703">
        <v>82</v>
      </c>
      <c r="AU703">
        <v>62</v>
      </c>
      <c r="AV703">
        <v>94</v>
      </c>
      <c r="AW703">
        <v>57</v>
      </c>
      <c r="AX703">
        <v>84</v>
      </c>
      <c r="AY703">
        <v>68</v>
      </c>
      <c r="AZ703">
        <v>28</v>
      </c>
      <c r="BA703">
        <v>75</v>
      </c>
      <c r="BB703">
        <v>25</v>
      </c>
      <c r="BC703">
        <v>57</v>
      </c>
      <c r="BD703">
        <v>53</v>
      </c>
      <c r="BE703">
        <v>42</v>
      </c>
      <c r="BF703">
        <v>13</v>
      </c>
      <c r="BG703">
        <v>27</v>
      </c>
      <c r="BH703">
        <v>29</v>
      </c>
      <c r="BI703">
        <v>43</v>
      </c>
      <c r="BJ703">
        <v>81</v>
      </c>
      <c r="BK703">
        <v>23</v>
      </c>
      <c r="BL703">
        <v>78</v>
      </c>
      <c r="BM703">
        <v>39</v>
      </c>
      <c r="BN703">
        <v>56</v>
      </c>
      <c r="BO703">
        <v>60</v>
      </c>
      <c r="BP703">
        <v>67</v>
      </c>
      <c r="BQ703">
        <v>66</v>
      </c>
      <c r="BR703">
        <v>48</v>
      </c>
      <c r="BS703">
        <v>39</v>
      </c>
      <c r="BT703">
        <v>45</v>
      </c>
      <c r="BU703">
        <v>20</v>
      </c>
      <c r="BV703">
        <v>85</v>
      </c>
      <c r="BW703">
        <v>41</v>
      </c>
      <c r="BX703">
        <v>33</v>
      </c>
      <c r="BY703">
        <v>73</v>
      </c>
      <c r="BZ703">
        <v>95</v>
      </c>
      <c r="CA703">
        <v>56</v>
      </c>
      <c r="CB703">
        <v>30</v>
      </c>
      <c r="CC703">
        <v>33</v>
      </c>
      <c r="CD703">
        <v>34</v>
      </c>
      <c r="CE703">
        <v>94</v>
      </c>
      <c r="CF703">
        <v>62</v>
      </c>
      <c r="CG703">
        <v>68</v>
      </c>
      <c r="CH703">
        <v>18</v>
      </c>
      <c r="CI703">
        <v>14</v>
      </c>
      <c r="CJ703">
        <v>40</v>
      </c>
      <c r="CK703">
        <v>60</v>
      </c>
      <c r="CL703">
        <v>60</v>
      </c>
      <c r="CM703">
        <v>78</v>
      </c>
      <c r="CN703">
        <v>62</v>
      </c>
      <c r="CO703">
        <v>62</v>
      </c>
      <c r="CP703">
        <v>100</v>
      </c>
      <c r="CQ703">
        <v>65</v>
      </c>
      <c r="CR703">
        <v>36</v>
      </c>
      <c r="CS703">
        <v>26</v>
      </c>
      <c r="CT703">
        <v>64</v>
      </c>
      <c r="CU703">
        <v>26</v>
      </c>
      <c r="CV703">
        <v>15</v>
      </c>
      <c r="CW703">
        <v>30</v>
      </c>
      <c r="CX703">
        <v>64</v>
      </c>
      <c r="CY703">
        <v>49</v>
      </c>
      <c r="CZ703">
        <v>71</v>
      </c>
      <c r="DA703">
        <v>23</v>
      </c>
      <c r="DB703">
        <v>10</v>
      </c>
      <c r="DC703">
        <v>76</v>
      </c>
      <c r="DD703">
        <v>53</v>
      </c>
      <c r="DE703">
        <v>66</v>
      </c>
      <c r="DF703">
        <v>43</v>
      </c>
      <c r="DG703">
        <v>90</v>
      </c>
      <c r="DH703">
        <v>13</v>
      </c>
      <c r="DI703">
        <v>59</v>
      </c>
      <c r="DJ703">
        <v>74</v>
      </c>
      <c r="DK703">
        <v>71</v>
      </c>
    </row>
    <row r="704" spans="1:115">
      <c r="A704" s="173">
        <f>Calculations[[#This Row],[Sum t eCO2]]*IF(Calculations[[#This Row],[GHG Scope]]="BIOGENIC",0,1)</f>
        <v>2.9852222073381215E-2</v>
      </c>
      <c r="O704">
        <f t="shared" si="11"/>
        <v>47</v>
      </c>
      <c r="P704">
        <v>98</v>
      </c>
      <c r="Q704">
        <v>92</v>
      </c>
      <c r="R704">
        <v>95</v>
      </c>
      <c r="S704">
        <v>68</v>
      </c>
      <c r="T704">
        <v>80</v>
      </c>
      <c r="U704">
        <v>10</v>
      </c>
      <c r="V704">
        <v>56</v>
      </c>
      <c r="W704">
        <v>21</v>
      </c>
      <c r="X704">
        <v>45</v>
      </c>
      <c r="Y704">
        <v>82</v>
      </c>
      <c r="Z704">
        <v>13</v>
      </c>
      <c r="AA704">
        <v>63</v>
      </c>
      <c r="AB704">
        <v>31</v>
      </c>
      <c r="AC704">
        <v>87</v>
      </c>
      <c r="AD704">
        <v>79</v>
      </c>
      <c r="AE704">
        <v>86</v>
      </c>
      <c r="AF704">
        <v>16</v>
      </c>
      <c r="AG704">
        <v>66</v>
      </c>
      <c r="AH704">
        <v>84</v>
      </c>
      <c r="AI704">
        <v>37</v>
      </c>
      <c r="AJ704">
        <v>49</v>
      </c>
      <c r="AK704">
        <v>68</v>
      </c>
      <c r="AL704">
        <v>99</v>
      </c>
      <c r="AM704">
        <v>18</v>
      </c>
      <c r="AN704">
        <v>96</v>
      </c>
      <c r="AO704">
        <v>31</v>
      </c>
      <c r="AP704">
        <v>37</v>
      </c>
      <c r="AQ704">
        <v>25</v>
      </c>
      <c r="AR704">
        <v>21</v>
      </c>
      <c r="AS704">
        <v>43</v>
      </c>
      <c r="AT704">
        <v>86</v>
      </c>
      <c r="AU704">
        <v>86</v>
      </c>
      <c r="AV704">
        <v>98</v>
      </c>
      <c r="AW704">
        <v>100</v>
      </c>
      <c r="AX704">
        <v>93</v>
      </c>
      <c r="AY704">
        <v>73</v>
      </c>
      <c r="AZ704">
        <v>13</v>
      </c>
      <c r="BA704">
        <v>59</v>
      </c>
      <c r="BB704">
        <v>68</v>
      </c>
      <c r="BC704">
        <v>77</v>
      </c>
      <c r="BD704">
        <v>57</v>
      </c>
      <c r="BE704">
        <v>59</v>
      </c>
      <c r="BF704">
        <v>44</v>
      </c>
      <c r="BG704">
        <v>49</v>
      </c>
      <c r="BH704">
        <v>96</v>
      </c>
      <c r="BI704">
        <v>30</v>
      </c>
      <c r="BJ704">
        <v>57</v>
      </c>
      <c r="BK704">
        <v>50</v>
      </c>
      <c r="BL704">
        <v>18</v>
      </c>
      <c r="BM704">
        <v>14</v>
      </c>
      <c r="BN704">
        <v>55</v>
      </c>
      <c r="BO704">
        <v>56</v>
      </c>
      <c r="BP704">
        <v>30</v>
      </c>
      <c r="BQ704">
        <v>50</v>
      </c>
      <c r="BR704">
        <v>73</v>
      </c>
      <c r="BS704">
        <v>80</v>
      </c>
      <c r="BT704">
        <v>45</v>
      </c>
      <c r="BU704">
        <v>30</v>
      </c>
      <c r="BV704">
        <v>67</v>
      </c>
      <c r="BW704">
        <v>46</v>
      </c>
      <c r="BX704">
        <v>35</v>
      </c>
      <c r="BY704">
        <v>49</v>
      </c>
      <c r="BZ704">
        <v>62</v>
      </c>
      <c r="CA704">
        <v>52</v>
      </c>
      <c r="CB704">
        <v>59</v>
      </c>
      <c r="CC704">
        <v>68</v>
      </c>
      <c r="CD704">
        <v>100</v>
      </c>
      <c r="CE704">
        <v>71</v>
      </c>
      <c r="CF704">
        <v>71</v>
      </c>
      <c r="CG704">
        <v>50</v>
      </c>
      <c r="CH704">
        <v>48</v>
      </c>
      <c r="CI704">
        <v>25</v>
      </c>
      <c r="CJ704">
        <v>98</v>
      </c>
      <c r="CK704">
        <v>33</v>
      </c>
      <c r="CL704">
        <v>73</v>
      </c>
      <c r="CM704">
        <v>56</v>
      </c>
      <c r="CN704">
        <v>23</v>
      </c>
      <c r="CO704">
        <v>96</v>
      </c>
      <c r="CP704">
        <v>75</v>
      </c>
      <c r="CQ704">
        <v>53</v>
      </c>
      <c r="CR704">
        <v>66</v>
      </c>
      <c r="CS704">
        <v>24</v>
      </c>
      <c r="CT704">
        <v>11</v>
      </c>
      <c r="CU704">
        <v>46</v>
      </c>
      <c r="CV704">
        <v>82</v>
      </c>
      <c r="CW704">
        <v>83</v>
      </c>
      <c r="CX704">
        <v>72</v>
      </c>
      <c r="CY704">
        <v>22</v>
      </c>
      <c r="CZ704">
        <v>98</v>
      </c>
      <c r="DA704">
        <v>51</v>
      </c>
      <c r="DB704">
        <v>67</v>
      </c>
      <c r="DC704">
        <v>18</v>
      </c>
      <c r="DD704">
        <v>69</v>
      </c>
      <c r="DE704">
        <v>60</v>
      </c>
      <c r="DF704">
        <v>19</v>
      </c>
      <c r="DG704">
        <v>81</v>
      </c>
      <c r="DH704">
        <v>39</v>
      </c>
      <c r="DI704">
        <v>33</v>
      </c>
      <c r="DJ704">
        <v>59</v>
      </c>
      <c r="DK704">
        <v>53</v>
      </c>
    </row>
    <row r="705" spans="1:115">
      <c r="A705" s="173">
        <f>Calculations[[#This Row],[Sum t eCO2]]*IF(Calculations[[#This Row],[GHG Scope]]="BIOGENIC",0,1)</f>
        <v>0.11633244796511581</v>
      </c>
      <c r="O705">
        <f t="shared" si="11"/>
        <v>48</v>
      </c>
      <c r="P705">
        <v>60</v>
      </c>
      <c r="Q705">
        <v>97</v>
      </c>
      <c r="R705">
        <v>32</v>
      </c>
      <c r="S705">
        <v>98</v>
      </c>
      <c r="T705">
        <v>74</v>
      </c>
      <c r="U705">
        <v>52</v>
      </c>
      <c r="V705">
        <v>57</v>
      </c>
      <c r="W705">
        <v>25</v>
      </c>
      <c r="X705">
        <v>63</v>
      </c>
      <c r="Y705">
        <v>65</v>
      </c>
      <c r="Z705">
        <v>81</v>
      </c>
      <c r="AA705">
        <v>14</v>
      </c>
      <c r="AB705">
        <v>37</v>
      </c>
      <c r="AC705">
        <v>77</v>
      </c>
      <c r="AD705">
        <v>44</v>
      </c>
      <c r="AE705">
        <v>73</v>
      </c>
      <c r="AF705">
        <v>89</v>
      </c>
      <c r="AG705">
        <v>26</v>
      </c>
      <c r="AH705">
        <v>43</v>
      </c>
      <c r="AI705">
        <v>34</v>
      </c>
      <c r="AJ705">
        <v>99</v>
      </c>
      <c r="AK705">
        <v>81</v>
      </c>
      <c r="AL705">
        <v>74</v>
      </c>
      <c r="AM705">
        <v>17</v>
      </c>
      <c r="AN705">
        <v>55</v>
      </c>
      <c r="AO705">
        <v>89</v>
      </c>
      <c r="AP705">
        <v>29</v>
      </c>
      <c r="AQ705">
        <v>73</v>
      </c>
      <c r="AR705">
        <v>55</v>
      </c>
      <c r="AS705">
        <v>70</v>
      </c>
      <c r="AT705">
        <v>77</v>
      </c>
      <c r="AU705">
        <v>42</v>
      </c>
      <c r="AV705">
        <v>97</v>
      </c>
      <c r="AW705">
        <v>29</v>
      </c>
      <c r="AX705">
        <v>91</v>
      </c>
      <c r="AY705">
        <v>51</v>
      </c>
      <c r="AZ705">
        <v>30</v>
      </c>
      <c r="BA705">
        <v>13</v>
      </c>
      <c r="BB705">
        <v>55</v>
      </c>
      <c r="BC705">
        <v>23</v>
      </c>
      <c r="BD705">
        <v>84</v>
      </c>
      <c r="BE705">
        <v>54</v>
      </c>
      <c r="BF705">
        <v>72</v>
      </c>
      <c r="BG705">
        <v>99</v>
      </c>
      <c r="BH705">
        <v>75</v>
      </c>
      <c r="BI705">
        <v>49</v>
      </c>
      <c r="BJ705">
        <v>54</v>
      </c>
      <c r="BK705">
        <v>34</v>
      </c>
      <c r="BL705">
        <v>92</v>
      </c>
      <c r="BM705">
        <v>85</v>
      </c>
      <c r="BN705">
        <v>85</v>
      </c>
      <c r="BO705">
        <v>56</v>
      </c>
      <c r="BP705">
        <v>63</v>
      </c>
      <c r="BQ705">
        <v>43</v>
      </c>
      <c r="BR705">
        <v>84</v>
      </c>
      <c r="BS705">
        <v>83</v>
      </c>
      <c r="BT705">
        <v>53</v>
      </c>
      <c r="BU705">
        <v>85</v>
      </c>
      <c r="BV705">
        <v>90</v>
      </c>
      <c r="BW705">
        <v>42</v>
      </c>
      <c r="BX705">
        <v>27</v>
      </c>
      <c r="BY705">
        <v>32</v>
      </c>
      <c r="BZ705">
        <v>70</v>
      </c>
      <c r="CA705">
        <v>38</v>
      </c>
      <c r="CB705">
        <v>99</v>
      </c>
      <c r="CC705">
        <v>64</v>
      </c>
      <c r="CD705">
        <v>13</v>
      </c>
      <c r="CE705">
        <v>77</v>
      </c>
      <c r="CF705">
        <v>87</v>
      </c>
      <c r="CG705">
        <v>57</v>
      </c>
      <c r="CH705">
        <v>74</v>
      </c>
      <c r="CI705">
        <v>92</v>
      </c>
      <c r="CJ705">
        <v>29</v>
      </c>
      <c r="CK705">
        <v>35</v>
      </c>
      <c r="CL705">
        <v>79</v>
      </c>
      <c r="CM705">
        <v>53</v>
      </c>
      <c r="CN705">
        <v>49</v>
      </c>
      <c r="CO705">
        <v>85</v>
      </c>
      <c r="CP705">
        <v>56</v>
      </c>
      <c r="CQ705">
        <v>27</v>
      </c>
      <c r="CR705">
        <v>91</v>
      </c>
      <c r="CS705">
        <v>31</v>
      </c>
      <c r="CT705">
        <v>18</v>
      </c>
      <c r="CU705">
        <v>50</v>
      </c>
      <c r="CV705">
        <v>91</v>
      </c>
      <c r="CW705">
        <v>33</v>
      </c>
      <c r="CX705">
        <v>79</v>
      </c>
      <c r="CY705">
        <v>41</v>
      </c>
      <c r="CZ705">
        <v>64</v>
      </c>
      <c r="DA705">
        <v>11</v>
      </c>
      <c r="DB705">
        <v>96</v>
      </c>
      <c r="DC705">
        <v>47</v>
      </c>
      <c r="DD705">
        <v>24</v>
      </c>
      <c r="DE705">
        <v>89</v>
      </c>
      <c r="DF705">
        <v>66</v>
      </c>
      <c r="DG705">
        <v>20</v>
      </c>
      <c r="DH705">
        <v>50</v>
      </c>
      <c r="DI705">
        <v>59</v>
      </c>
      <c r="DJ705">
        <v>28</v>
      </c>
      <c r="DK705">
        <v>23</v>
      </c>
    </row>
    <row r="706" spans="1:115">
      <c r="A706" s="173">
        <f>Calculations[[#This Row],[Sum t eCO2]]*IF(Calculations[[#This Row],[GHG Scope]]="BIOGENIC",0,1)</f>
        <v>7.3564488616050472</v>
      </c>
      <c r="O706">
        <f t="shared" si="11"/>
        <v>49</v>
      </c>
      <c r="P706">
        <v>78</v>
      </c>
      <c r="Q706">
        <v>14</v>
      </c>
      <c r="R706">
        <v>42</v>
      </c>
      <c r="S706">
        <v>96</v>
      </c>
      <c r="T706">
        <v>56</v>
      </c>
      <c r="U706">
        <v>63</v>
      </c>
      <c r="V706">
        <v>48</v>
      </c>
      <c r="W706">
        <v>22</v>
      </c>
      <c r="X706">
        <v>89</v>
      </c>
      <c r="Y706">
        <v>30</v>
      </c>
      <c r="Z706">
        <v>46</v>
      </c>
      <c r="AA706">
        <v>84</v>
      </c>
      <c r="AB706">
        <v>23</v>
      </c>
      <c r="AC706">
        <v>87</v>
      </c>
      <c r="AD706">
        <v>71</v>
      </c>
      <c r="AE706">
        <v>55</v>
      </c>
      <c r="AF706">
        <v>81</v>
      </c>
      <c r="AG706">
        <v>33</v>
      </c>
      <c r="AH706">
        <v>73</v>
      </c>
      <c r="AI706">
        <v>80</v>
      </c>
      <c r="AJ706">
        <v>75</v>
      </c>
      <c r="AK706">
        <v>16</v>
      </c>
      <c r="AL706">
        <v>93</v>
      </c>
      <c r="AM706">
        <v>94</v>
      </c>
      <c r="AN706">
        <v>35</v>
      </c>
      <c r="AO706">
        <v>81</v>
      </c>
      <c r="AP706">
        <v>90</v>
      </c>
      <c r="AQ706">
        <v>81</v>
      </c>
      <c r="AR706">
        <v>24</v>
      </c>
      <c r="AS706">
        <v>59</v>
      </c>
      <c r="AT706">
        <v>89</v>
      </c>
      <c r="AU706">
        <v>33</v>
      </c>
      <c r="AV706">
        <v>35</v>
      </c>
      <c r="AW706">
        <v>94</v>
      </c>
      <c r="AX706">
        <v>88</v>
      </c>
      <c r="AY706">
        <v>76</v>
      </c>
      <c r="AZ706">
        <v>87</v>
      </c>
      <c r="BA706">
        <v>27</v>
      </c>
      <c r="BB706">
        <v>14</v>
      </c>
      <c r="BC706">
        <v>64</v>
      </c>
      <c r="BD706">
        <v>21</v>
      </c>
      <c r="BE706">
        <v>52</v>
      </c>
      <c r="BF706">
        <v>92</v>
      </c>
      <c r="BG706">
        <v>14</v>
      </c>
      <c r="BH706">
        <v>67</v>
      </c>
      <c r="BI706">
        <v>18</v>
      </c>
      <c r="BJ706">
        <v>26</v>
      </c>
      <c r="BK706">
        <v>79</v>
      </c>
      <c r="BL706">
        <v>10</v>
      </c>
      <c r="BM706">
        <v>91</v>
      </c>
      <c r="BN706">
        <v>83</v>
      </c>
      <c r="BO706">
        <v>24</v>
      </c>
      <c r="BP706">
        <v>57</v>
      </c>
      <c r="BQ706">
        <v>46</v>
      </c>
      <c r="BR706">
        <v>92</v>
      </c>
      <c r="BS706">
        <v>63</v>
      </c>
      <c r="BT706">
        <v>76</v>
      </c>
      <c r="BU706">
        <v>54</v>
      </c>
      <c r="BV706">
        <v>39</v>
      </c>
      <c r="BW706">
        <v>81</v>
      </c>
      <c r="BX706">
        <v>14</v>
      </c>
      <c r="BY706">
        <v>61</v>
      </c>
      <c r="BZ706">
        <v>85</v>
      </c>
      <c r="CA706">
        <v>76</v>
      </c>
      <c r="CB706">
        <v>63</v>
      </c>
      <c r="CC706">
        <v>35</v>
      </c>
      <c r="CD706">
        <v>59</v>
      </c>
      <c r="CE706">
        <v>97</v>
      </c>
      <c r="CF706">
        <v>69</v>
      </c>
      <c r="CG706">
        <v>48</v>
      </c>
      <c r="CH706">
        <v>80</v>
      </c>
      <c r="CI706">
        <v>45</v>
      </c>
      <c r="CJ706">
        <v>100</v>
      </c>
      <c r="CK706">
        <v>17</v>
      </c>
      <c r="CL706">
        <v>85</v>
      </c>
      <c r="CM706">
        <v>82</v>
      </c>
      <c r="CN706">
        <v>53</v>
      </c>
      <c r="CO706">
        <v>47</v>
      </c>
      <c r="CP706">
        <v>96</v>
      </c>
      <c r="CQ706">
        <v>22</v>
      </c>
      <c r="CR706">
        <v>55</v>
      </c>
      <c r="CS706">
        <v>66</v>
      </c>
      <c r="CT706">
        <v>73</v>
      </c>
      <c r="CU706">
        <v>57</v>
      </c>
      <c r="CV706">
        <v>60</v>
      </c>
      <c r="CW706">
        <v>26</v>
      </c>
      <c r="CX706">
        <v>19</v>
      </c>
      <c r="CY706">
        <v>78</v>
      </c>
      <c r="CZ706">
        <v>73</v>
      </c>
      <c r="DA706">
        <v>32</v>
      </c>
      <c r="DB706">
        <v>46</v>
      </c>
      <c r="DC706">
        <v>93</v>
      </c>
      <c r="DD706">
        <v>91</v>
      </c>
      <c r="DE706">
        <v>24</v>
      </c>
      <c r="DF706">
        <v>41</v>
      </c>
      <c r="DG706">
        <v>41</v>
      </c>
      <c r="DH706">
        <v>81</v>
      </c>
      <c r="DI706">
        <v>100</v>
      </c>
      <c r="DJ706">
        <v>21</v>
      </c>
      <c r="DK706">
        <v>100</v>
      </c>
    </row>
    <row r="707" spans="1:115">
      <c r="A707" s="173">
        <f>Calculations[[#This Row],[Sum t eCO2]]*IF(Calculations[[#This Row],[GHG Scope]]="BIOGENIC",0,1)</f>
        <v>1089.013682067206</v>
      </c>
      <c r="O707">
        <f t="shared" si="11"/>
        <v>50</v>
      </c>
      <c r="P707">
        <v>98</v>
      </c>
      <c r="Q707">
        <v>16</v>
      </c>
      <c r="R707">
        <v>27</v>
      </c>
      <c r="S707">
        <v>77</v>
      </c>
      <c r="T707">
        <v>58</v>
      </c>
      <c r="U707">
        <v>42</v>
      </c>
      <c r="V707">
        <v>51</v>
      </c>
      <c r="W707">
        <v>39</v>
      </c>
      <c r="X707">
        <v>19</v>
      </c>
      <c r="Y707">
        <v>19</v>
      </c>
      <c r="Z707">
        <v>90</v>
      </c>
      <c r="AA707">
        <v>38</v>
      </c>
      <c r="AB707">
        <v>24</v>
      </c>
      <c r="AC707">
        <v>48</v>
      </c>
      <c r="AD707">
        <v>50</v>
      </c>
      <c r="AE707">
        <v>24</v>
      </c>
      <c r="AF707">
        <v>28</v>
      </c>
      <c r="AG707">
        <v>67</v>
      </c>
      <c r="AH707">
        <v>89</v>
      </c>
      <c r="AI707">
        <v>42</v>
      </c>
      <c r="AJ707">
        <v>70</v>
      </c>
      <c r="AK707">
        <v>33</v>
      </c>
      <c r="AL707">
        <v>97</v>
      </c>
      <c r="AM707">
        <v>13</v>
      </c>
      <c r="AN707">
        <v>42</v>
      </c>
      <c r="AO707">
        <v>98</v>
      </c>
      <c r="AP707">
        <v>11</v>
      </c>
      <c r="AQ707">
        <v>22</v>
      </c>
      <c r="AR707">
        <v>42</v>
      </c>
      <c r="AS707">
        <v>69</v>
      </c>
      <c r="AT707">
        <v>52</v>
      </c>
      <c r="AU707">
        <v>27</v>
      </c>
      <c r="AV707">
        <v>64</v>
      </c>
      <c r="AW707">
        <v>97</v>
      </c>
      <c r="AX707">
        <v>91</v>
      </c>
      <c r="AY707">
        <v>73</v>
      </c>
      <c r="AZ707">
        <v>58</v>
      </c>
      <c r="BA707">
        <v>74</v>
      </c>
      <c r="BB707">
        <v>12</v>
      </c>
      <c r="BC707">
        <v>99</v>
      </c>
      <c r="BD707">
        <v>60</v>
      </c>
      <c r="BE707">
        <v>31</v>
      </c>
      <c r="BF707">
        <v>99</v>
      </c>
      <c r="BG707">
        <v>17</v>
      </c>
      <c r="BH707">
        <v>33</v>
      </c>
      <c r="BI707">
        <v>82</v>
      </c>
      <c r="BJ707">
        <v>70</v>
      </c>
      <c r="BK707">
        <v>69</v>
      </c>
      <c r="BL707">
        <v>28</v>
      </c>
      <c r="BM707">
        <v>13</v>
      </c>
      <c r="BN707">
        <v>56</v>
      </c>
      <c r="BO707">
        <v>84</v>
      </c>
      <c r="BP707">
        <v>43</v>
      </c>
      <c r="BQ707">
        <v>79</v>
      </c>
      <c r="BR707">
        <v>31</v>
      </c>
      <c r="BS707">
        <v>61</v>
      </c>
      <c r="BT707">
        <v>97</v>
      </c>
      <c r="BU707">
        <v>63</v>
      </c>
      <c r="BV707">
        <v>11</v>
      </c>
      <c r="BW707">
        <v>66</v>
      </c>
      <c r="BX707">
        <v>69</v>
      </c>
      <c r="BY707">
        <v>27</v>
      </c>
      <c r="BZ707">
        <v>28</v>
      </c>
      <c r="CA707">
        <v>86</v>
      </c>
      <c r="CB707">
        <v>65</v>
      </c>
      <c r="CC707">
        <v>86</v>
      </c>
      <c r="CD707">
        <v>42</v>
      </c>
      <c r="CE707">
        <v>48</v>
      </c>
      <c r="CF707">
        <v>26</v>
      </c>
      <c r="CG707">
        <v>36</v>
      </c>
      <c r="CH707">
        <v>98</v>
      </c>
      <c r="CI707">
        <v>58</v>
      </c>
      <c r="CJ707">
        <v>65</v>
      </c>
      <c r="CK707">
        <v>28</v>
      </c>
      <c r="CL707">
        <v>94</v>
      </c>
      <c r="CM707">
        <v>88</v>
      </c>
      <c r="CN707">
        <v>96</v>
      </c>
      <c r="CO707">
        <v>88</v>
      </c>
      <c r="CP707">
        <v>96</v>
      </c>
      <c r="CQ707">
        <v>81</v>
      </c>
      <c r="CR707">
        <v>45</v>
      </c>
      <c r="CS707">
        <v>12</v>
      </c>
      <c r="CT707">
        <v>87</v>
      </c>
      <c r="CU707">
        <v>19</v>
      </c>
      <c r="CV707">
        <v>55</v>
      </c>
      <c r="CW707">
        <v>48</v>
      </c>
      <c r="CX707">
        <v>88</v>
      </c>
      <c r="CY707">
        <v>88</v>
      </c>
      <c r="CZ707">
        <v>85</v>
      </c>
      <c r="DA707">
        <v>68</v>
      </c>
      <c r="DB707">
        <v>50</v>
      </c>
      <c r="DC707">
        <v>97</v>
      </c>
      <c r="DD707">
        <v>49</v>
      </c>
      <c r="DE707">
        <v>37</v>
      </c>
      <c r="DF707">
        <v>77</v>
      </c>
      <c r="DG707">
        <v>74</v>
      </c>
      <c r="DH707">
        <v>81</v>
      </c>
      <c r="DI707">
        <v>58</v>
      </c>
      <c r="DJ707">
        <v>72</v>
      </c>
      <c r="DK707">
        <v>33</v>
      </c>
    </row>
    <row r="708" spans="1:115">
      <c r="A708" s="173">
        <f>Calculations[[#This Row],[Sum t eCO2]]*IF(Calculations[[#This Row],[GHG Scope]]="BIOGENIC",0,1)</f>
        <v>3.5809123413131592</v>
      </c>
      <c r="O708">
        <f t="shared" si="11"/>
        <v>51</v>
      </c>
      <c r="P708">
        <v>47</v>
      </c>
      <c r="Q708">
        <v>29</v>
      </c>
      <c r="R708">
        <v>94</v>
      </c>
      <c r="S708">
        <v>64</v>
      </c>
      <c r="T708">
        <v>28</v>
      </c>
      <c r="U708">
        <v>99</v>
      </c>
      <c r="V708">
        <v>19</v>
      </c>
      <c r="W708">
        <v>51</v>
      </c>
      <c r="X708">
        <v>11</v>
      </c>
      <c r="Y708">
        <v>61</v>
      </c>
      <c r="Z708">
        <v>44</v>
      </c>
      <c r="AA708">
        <v>15</v>
      </c>
      <c r="AB708">
        <v>11</v>
      </c>
      <c r="AC708">
        <v>21</v>
      </c>
      <c r="AD708">
        <v>71</v>
      </c>
      <c r="AE708">
        <v>80</v>
      </c>
      <c r="AF708">
        <v>22</v>
      </c>
      <c r="AG708">
        <v>71</v>
      </c>
      <c r="AH708">
        <v>51</v>
      </c>
      <c r="AI708">
        <v>26</v>
      </c>
      <c r="AJ708">
        <v>34</v>
      </c>
      <c r="AK708">
        <v>24</v>
      </c>
      <c r="AL708">
        <v>47</v>
      </c>
      <c r="AM708">
        <v>59</v>
      </c>
      <c r="AN708">
        <v>41</v>
      </c>
      <c r="AO708">
        <v>92</v>
      </c>
      <c r="AP708">
        <v>28</v>
      </c>
      <c r="AQ708">
        <v>86</v>
      </c>
      <c r="AR708">
        <v>20</v>
      </c>
      <c r="AS708">
        <v>72</v>
      </c>
      <c r="AT708">
        <v>80</v>
      </c>
      <c r="AU708">
        <v>86</v>
      </c>
      <c r="AV708">
        <v>65</v>
      </c>
      <c r="AW708">
        <v>73</v>
      </c>
      <c r="AX708">
        <v>98</v>
      </c>
      <c r="AY708">
        <v>68</v>
      </c>
      <c r="AZ708">
        <v>96</v>
      </c>
      <c r="BA708">
        <v>78</v>
      </c>
      <c r="BB708">
        <v>100</v>
      </c>
      <c r="BC708">
        <v>19</v>
      </c>
      <c r="BD708">
        <v>65</v>
      </c>
      <c r="BE708">
        <v>80</v>
      </c>
      <c r="BF708">
        <v>30</v>
      </c>
      <c r="BG708">
        <v>47</v>
      </c>
      <c r="BH708">
        <v>20</v>
      </c>
      <c r="BI708">
        <v>33</v>
      </c>
      <c r="BJ708">
        <v>96</v>
      </c>
      <c r="BK708">
        <v>81</v>
      </c>
      <c r="BL708">
        <v>15</v>
      </c>
      <c r="BM708">
        <v>53</v>
      </c>
      <c r="BN708">
        <v>82</v>
      </c>
      <c r="BO708">
        <v>82</v>
      </c>
      <c r="BP708">
        <v>71</v>
      </c>
      <c r="BQ708">
        <v>64</v>
      </c>
      <c r="BR708">
        <v>65</v>
      </c>
      <c r="BS708">
        <v>48</v>
      </c>
      <c r="BT708">
        <v>25</v>
      </c>
      <c r="BU708">
        <v>98</v>
      </c>
      <c r="BV708">
        <v>77</v>
      </c>
      <c r="BW708">
        <v>38</v>
      </c>
      <c r="BX708">
        <v>69</v>
      </c>
      <c r="BY708">
        <v>71</v>
      </c>
      <c r="BZ708">
        <v>17</v>
      </c>
      <c r="CA708">
        <v>36</v>
      </c>
      <c r="CB708">
        <v>60</v>
      </c>
      <c r="CC708">
        <v>55</v>
      </c>
      <c r="CD708">
        <v>18</v>
      </c>
      <c r="CE708">
        <v>62</v>
      </c>
      <c r="CF708">
        <v>65</v>
      </c>
      <c r="CG708">
        <v>12</v>
      </c>
      <c r="CH708">
        <v>18</v>
      </c>
      <c r="CI708">
        <v>34</v>
      </c>
      <c r="CJ708">
        <v>47</v>
      </c>
      <c r="CK708">
        <v>88</v>
      </c>
      <c r="CL708">
        <v>43</v>
      </c>
      <c r="CM708">
        <v>62</v>
      </c>
      <c r="CN708">
        <v>27</v>
      </c>
      <c r="CO708">
        <v>73</v>
      </c>
      <c r="CP708">
        <v>91</v>
      </c>
      <c r="CQ708">
        <v>83</v>
      </c>
      <c r="CR708">
        <v>39</v>
      </c>
      <c r="CS708">
        <v>71</v>
      </c>
      <c r="CT708">
        <v>34</v>
      </c>
      <c r="CU708">
        <v>40</v>
      </c>
      <c r="CV708">
        <v>62</v>
      </c>
      <c r="CW708">
        <v>45</v>
      </c>
      <c r="CX708">
        <v>57</v>
      </c>
      <c r="CY708">
        <v>12</v>
      </c>
      <c r="CZ708">
        <v>64</v>
      </c>
      <c r="DA708">
        <v>17</v>
      </c>
      <c r="DB708">
        <v>64</v>
      </c>
      <c r="DC708">
        <v>78</v>
      </c>
      <c r="DD708">
        <v>99</v>
      </c>
      <c r="DE708">
        <v>36</v>
      </c>
      <c r="DF708">
        <v>48</v>
      </c>
      <c r="DG708">
        <v>10</v>
      </c>
      <c r="DH708">
        <v>30</v>
      </c>
      <c r="DI708">
        <v>66</v>
      </c>
      <c r="DJ708">
        <v>32</v>
      </c>
      <c r="DK708">
        <v>97</v>
      </c>
    </row>
    <row r="709" spans="1:115">
      <c r="A709" s="173">
        <f>Calculations[[#This Row],[Sum t eCO2]]*IF(Calculations[[#This Row],[GHG Scope]]="BIOGENIC",0,1)</f>
        <v>437.63148354032603</v>
      </c>
      <c r="O709">
        <f t="shared" si="11"/>
        <v>52</v>
      </c>
      <c r="P709">
        <v>54</v>
      </c>
      <c r="Q709">
        <v>20</v>
      </c>
      <c r="R709">
        <v>90</v>
      </c>
      <c r="S709">
        <v>96</v>
      </c>
      <c r="T709">
        <v>53</v>
      </c>
      <c r="U709">
        <v>71</v>
      </c>
      <c r="V709">
        <v>72</v>
      </c>
      <c r="W709">
        <v>11</v>
      </c>
      <c r="X709">
        <v>21</v>
      </c>
      <c r="Y709">
        <v>56</v>
      </c>
      <c r="Z709">
        <v>25</v>
      </c>
      <c r="AA709">
        <v>75</v>
      </c>
      <c r="AB709">
        <v>22</v>
      </c>
      <c r="AC709">
        <v>53</v>
      </c>
      <c r="AD709">
        <v>40</v>
      </c>
      <c r="AE709">
        <v>14</v>
      </c>
      <c r="AF709">
        <v>11</v>
      </c>
      <c r="AG709">
        <v>32</v>
      </c>
      <c r="AH709">
        <v>79</v>
      </c>
      <c r="AI709">
        <v>46</v>
      </c>
      <c r="AJ709">
        <v>64</v>
      </c>
      <c r="AK709">
        <v>40</v>
      </c>
      <c r="AL709">
        <v>45</v>
      </c>
      <c r="AM709">
        <v>61</v>
      </c>
      <c r="AN709">
        <v>23</v>
      </c>
      <c r="AO709">
        <v>58</v>
      </c>
      <c r="AP709">
        <v>99</v>
      </c>
      <c r="AQ709">
        <v>56</v>
      </c>
      <c r="AR709">
        <v>39</v>
      </c>
      <c r="AS709">
        <v>82</v>
      </c>
      <c r="AT709">
        <v>68</v>
      </c>
      <c r="AU709">
        <v>81</v>
      </c>
      <c r="AV709">
        <v>11</v>
      </c>
      <c r="AW709">
        <v>17</v>
      </c>
      <c r="AX709">
        <v>80</v>
      </c>
      <c r="AY709">
        <v>95</v>
      </c>
      <c r="AZ709">
        <v>22</v>
      </c>
      <c r="BA709">
        <v>34</v>
      </c>
      <c r="BB709">
        <v>45</v>
      </c>
      <c r="BC709">
        <v>38</v>
      </c>
      <c r="BD709">
        <v>10</v>
      </c>
      <c r="BE709">
        <v>37</v>
      </c>
      <c r="BF709">
        <v>99</v>
      </c>
      <c r="BG709">
        <v>27</v>
      </c>
      <c r="BH709">
        <v>88</v>
      </c>
      <c r="BI709">
        <v>47</v>
      </c>
      <c r="BJ709">
        <v>70</v>
      </c>
      <c r="BK709">
        <v>41</v>
      </c>
      <c r="BL709">
        <v>18</v>
      </c>
      <c r="BM709">
        <v>44</v>
      </c>
      <c r="BN709">
        <v>42</v>
      </c>
      <c r="BO709">
        <v>54</v>
      </c>
      <c r="BP709">
        <v>62</v>
      </c>
      <c r="BQ709">
        <v>48</v>
      </c>
      <c r="BR709">
        <v>21</v>
      </c>
      <c r="BS709">
        <v>50</v>
      </c>
      <c r="BT709">
        <v>73</v>
      </c>
      <c r="BU709">
        <v>70</v>
      </c>
      <c r="BV709">
        <v>43</v>
      </c>
      <c r="BW709">
        <v>13</v>
      </c>
      <c r="BX709">
        <v>56</v>
      </c>
      <c r="BY709">
        <v>34</v>
      </c>
      <c r="BZ709">
        <v>12</v>
      </c>
      <c r="CA709">
        <v>63</v>
      </c>
      <c r="CB709">
        <v>21</v>
      </c>
      <c r="CC709">
        <v>41</v>
      </c>
      <c r="CD709">
        <v>50</v>
      </c>
      <c r="CE709">
        <v>30</v>
      </c>
      <c r="CF709">
        <v>86</v>
      </c>
      <c r="CG709">
        <v>81</v>
      </c>
      <c r="CH709">
        <v>84</v>
      </c>
      <c r="CI709">
        <v>41</v>
      </c>
      <c r="CJ709">
        <v>100</v>
      </c>
      <c r="CK709">
        <v>90</v>
      </c>
      <c r="CL709">
        <v>24</v>
      </c>
      <c r="CM709">
        <v>94</v>
      </c>
      <c r="CN709">
        <v>79</v>
      </c>
      <c r="CO709">
        <v>52</v>
      </c>
      <c r="CP709">
        <v>44</v>
      </c>
      <c r="CQ709">
        <v>17</v>
      </c>
      <c r="CR709">
        <v>70</v>
      </c>
      <c r="CS709">
        <v>25</v>
      </c>
      <c r="CT709">
        <v>63</v>
      </c>
      <c r="CU709">
        <v>35</v>
      </c>
      <c r="CV709">
        <v>96</v>
      </c>
      <c r="CW709">
        <v>64</v>
      </c>
      <c r="CX709">
        <v>23</v>
      </c>
      <c r="CY709">
        <v>27</v>
      </c>
      <c r="CZ709">
        <v>62</v>
      </c>
      <c r="DA709">
        <v>94</v>
      </c>
      <c r="DB709">
        <v>62</v>
      </c>
      <c r="DC709">
        <v>20</v>
      </c>
      <c r="DD709">
        <v>34</v>
      </c>
      <c r="DE709">
        <v>49</v>
      </c>
      <c r="DF709">
        <v>26</v>
      </c>
      <c r="DG709">
        <v>69</v>
      </c>
      <c r="DH709">
        <v>48</v>
      </c>
      <c r="DI709">
        <v>91</v>
      </c>
      <c r="DJ709">
        <v>38</v>
      </c>
      <c r="DK709">
        <v>85</v>
      </c>
    </row>
    <row r="710" spans="1:115">
      <c r="A710" s="173">
        <f>Calculations[[#This Row],[Sum t eCO2]]*IF(Calculations[[#This Row],[GHG Scope]]="BIOGENIC",0,1)</f>
        <v>127.60605670865682</v>
      </c>
      <c r="O710">
        <f t="shared" si="11"/>
        <v>53</v>
      </c>
      <c r="P710">
        <v>83</v>
      </c>
      <c r="Q710">
        <v>40</v>
      </c>
      <c r="R710">
        <v>95</v>
      </c>
      <c r="S710">
        <v>17</v>
      </c>
      <c r="T710">
        <v>57</v>
      </c>
      <c r="U710">
        <v>69</v>
      </c>
      <c r="V710">
        <v>33</v>
      </c>
      <c r="W710">
        <v>13</v>
      </c>
      <c r="X710">
        <v>25</v>
      </c>
      <c r="Y710">
        <v>49</v>
      </c>
      <c r="Z710">
        <v>83</v>
      </c>
      <c r="AA710">
        <v>75</v>
      </c>
      <c r="AB710">
        <v>28</v>
      </c>
      <c r="AC710">
        <v>21</v>
      </c>
      <c r="AD710">
        <v>56</v>
      </c>
      <c r="AE710">
        <v>49</v>
      </c>
      <c r="AF710">
        <v>38</v>
      </c>
      <c r="AG710">
        <v>83</v>
      </c>
      <c r="AH710">
        <v>92</v>
      </c>
      <c r="AI710">
        <v>24</v>
      </c>
      <c r="AJ710">
        <v>21</v>
      </c>
      <c r="AK710">
        <v>61</v>
      </c>
      <c r="AL710">
        <v>36</v>
      </c>
      <c r="AM710">
        <v>79</v>
      </c>
      <c r="AN710">
        <v>70</v>
      </c>
      <c r="AO710">
        <v>84</v>
      </c>
      <c r="AP710">
        <v>18</v>
      </c>
      <c r="AQ710">
        <v>89</v>
      </c>
      <c r="AR710">
        <v>47</v>
      </c>
      <c r="AS710">
        <v>37</v>
      </c>
      <c r="AT710">
        <v>20</v>
      </c>
      <c r="AU710">
        <v>100</v>
      </c>
      <c r="AV710">
        <v>59</v>
      </c>
      <c r="AW710">
        <v>15</v>
      </c>
      <c r="AX710">
        <v>65</v>
      </c>
      <c r="AY710">
        <v>99</v>
      </c>
      <c r="AZ710">
        <v>76</v>
      </c>
      <c r="BA710">
        <v>70</v>
      </c>
      <c r="BB710">
        <v>43</v>
      </c>
      <c r="BC710">
        <v>75</v>
      </c>
      <c r="BD710">
        <v>60</v>
      </c>
      <c r="BE710">
        <v>19</v>
      </c>
      <c r="BF710">
        <v>52</v>
      </c>
      <c r="BG710">
        <v>15</v>
      </c>
      <c r="BH710">
        <v>15</v>
      </c>
      <c r="BI710">
        <v>93</v>
      </c>
      <c r="BJ710">
        <v>17</v>
      </c>
      <c r="BK710">
        <v>57</v>
      </c>
      <c r="BL710">
        <v>90</v>
      </c>
      <c r="BM710">
        <v>90</v>
      </c>
      <c r="BN710">
        <v>74</v>
      </c>
      <c r="BO710">
        <v>13</v>
      </c>
      <c r="BP710">
        <v>66</v>
      </c>
      <c r="BQ710">
        <v>46</v>
      </c>
      <c r="BR710">
        <v>36</v>
      </c>
      <c r="BS710">
        <v>67</v>
      </c>
      <c r="BT710">
        <v>71</v>
      </c>
      <c r="BU710">
        <v>72</v>
      </c>
      <c r="BV710">
        <v>90</v>
      </c>
      <c r="BW710">
        <v>53</v>
      </c>
      <c r="BX710">
        <v>85</v>
      </c>
      <c r="BY710">
        <v>22</v>
      </c>
      <c r="BZ710">
        <v>40</v>
      </c>
      <c r="CA710">
        <v>32</v>
      </c>
      <c r="CB710">
        <v>76</v>
      </c>
      <c r="CC710">
        <v>39</v>
      </c>
      <c r="CD710">
        <v>91</v>
      </c>
      <c r="CE710">
        <v>12</v>
      </c>
      <c r="CF710">
        <v>99</v>
      </c>
      <c r="CG710">
        <v>13</v>
      </c>
      <c r="CH710">
        <v>85</v>
      </c>
      <c r="CI710">
        <v>93</v>
      </c>
      <c r="CJ710">
        <v>62</v>
      </c>
      <c r="CK710">
        <v>70</v>
      </c>
      <c r="CL710">
        <v>77</v>
      </c>
      <c r="CM710">
        <v>18</v>
      </c>
      <c r="CN710">
        <v>52</v>
      </c>
      <c r="CO710">
        <v>76</v>
      </c>
      <c r="CP710">
        <v>81</v>
      </c>
      <c r="CQ710">
        <v>10</v>
      </c>
      <c r="CR710">
        <v>92</v>
      </c>
      <c r="CS710">
        <v>34</v>
      </c>
      <c r="CT710">
        <v>70</v>
      </c>
      <c r="CU710">
        <v>84</v>
      </c>
      <c r="CV710">
        <v>44</v>
      </c>
      <c r="CW710">
        <v>16</v>
      </c>
      <c r="CX710">
        <v>14</v>
      </c>
      <c r="CY710">
        <v>23</v>
      </c>
      <c r="CZ710">
        <v>64</v>
      </c>
      <c r="DA710">
        <v>27</v>
      </c>
      <c r="DB710">
        <v>19</v>
      </c>
      <c r="DC710">
        <v>55</v>
      </c>
      <c r="DD710">
        <v>83</v>
      </c>
      <c r="DE710">
        <v>67</v>
      </c>
      <c r="DF710">
        <v>69</v>
      </c>
      <c r="DG710">
        <v>62</v>
      </c>
      <c r="DH710">
        <v>65</v>
      </c>
      <c r="DI710">
        <v>39</v>
      </c>
      <c r="DJ710">
        <v>13</v>
      </c>
      <c r="DK710">
        <v>19</v>
      </c>
    </row>
    <row r="711" spans="1:115">
      <c r="A711" s="173">
        <f>Calculations[[#This Row],[Sum t eCO2]]*IF(Calculations[[#This Row],[GHG Scope]]="BIOGENIC",0,1)</f>
        <v>0.34321843526963214</v>
      </c>
      <c r="O711">
        <f t="shared" si="11"/>
        <v>54</v>
      </c>
      <c r="P711">
        <v>70</v>
      </c>
      <c r="Q711">
        <v>78</v>
      </c>
      <c r="R711">
        <v>88</v>
      </c>
      <c r="S711">
        <v>64</v>
      </c>
      <c r="T711">
        <v>33</v>
      </c>
      <c r="U711">
        <v>62</v>
      </c>
      <c r="V711">
        <v>42</v>
      </c>
      <c r="W711">
        <v>59</v>
      </c>
      <c r="X711">
        <v>72</v>
      </c>
      <c r="Y711">
        <v>19</v>
      </c>
      <c r="Z711">
        <v>16</v>
      </c>
      <c r="AA711">
        <v>41</v>
      </c>
      <c r="AB711">
        <v>64</v>
      </c>
      <c r="AC711">
        <v>23</v>
      </c>
      <c r="AD711">
        <v>69</v>
      </c>
      <c r="AE711">
        <v>67</v>
      </c>
      <c r="AF711">
        <v>38</v>
      </c>
      <c r="AG711">
        <v>95</v>
      </c>
      <c r="AH711">
        <v>18</v>
      </c>
      <c r="AI711">
        <v>20</v>
      </c>
      <c r="AJ711">
        <v>25</v>
      </c>
      <c r="AK711">
        <v>81</v>
      </c>
      <c r="AL711">
        <v>62</v>
      </c>
      <c r="AM711">
        <v>79</v>
      </c>
      <c r="AN711">
        <v>21</v>
      </c>
      <c r="AO711">
        <v>50</v>
      </c>
      <c r="AP711">
        <v>38</v>
      </c>
      <c r="AQ711">
        <v>93</v>
      </c>
      <c r="AR711">
        <v>78</v>
      </c>
      <c r="AS711">
        <v>39</v>
      </c>
      <c r="AT711">
        <v>84</v>
      </c>
      <c r="AU711">
        <v>21</v>
      </c>
      <c r="AV711">
        <v>21</v>
      </c>
      <c r="AW711">
        <v>84</v>
      </c>
      <c r="AX711">
        <v>60</v>
      </c>
      <c r="AY711">
        <v>82</v>
      </c>
      <c r="AZ711">
        <v>58</v>
      </c>
      <c r="BA711">
        <v>99</v>
      </c>
      <c r="BB711">
        <v>53</v>
      </c>
      <c r="BC711">
        <v>93</v>
      </c>
      <c r="BD711">
        <v>40</v>
      </c>
      <c r="BE711">
        <v>34</v>
      </c>
      <c r="BF711">
        <v>39</v>
      </c>
      <c r="BG711">
        <v>53</v>
      </c>
      <c r="BH711">
        <v>20</v>
      </c>
      <c r="BI711">
        <v>60</v>
      </c>
      <c r="BJ711">
        <v>49</v>
      </c>
      <c r="BK711">
        <v>37</v>
      </c>
      <c r="BL711">
        <v>58</v>
      </c>
      <c r="BM711">
        <v>32</v>
      </c>
      <c r="BN711">
        <v>87</v>
      </c>
      <c r="BO711">
        <v>86</v>
      </c>
      <c r="BP711">
        <v>57</v>
      </c>
      <c r="BQ711">
        <v>90</v>
      </c>
      <c r="BR711">
        <v>13</v>
      </c>
      <c r="BS711">
        <v>79</v>
      </c>
      <c r="BT711">
        <v>62</v>
      </c>
      <c r="BU711">
        <v>60</v>
      </c>
      <c r="BV711">
        <v>15</v>
      </c>
      <c r="BW711">
        <v>79</v>
      </c>
      <c r="BX711">
        <v>14</v>
      </c>
      <c r="BY711">
        <v>68</v>
      </c>
      <c r="BZ711">
        <v>51</v>
      </c>
      <c r="CA711">
        <v>13</v>
      </c>
      <c r="CB711">
        <v>27</v>
      </c>
      <c r="CC711">
        <v>54</v>
      </c>
      <c r="CD711">
        <v>35</v>
      </c>
      <c r="CE711">
        <v>66</v>
      </c>
      <c r="CF711">
        <v>41</v>
      </c>
      <c r="CG711">
        <v>92</v>
      </c>
      <c r="CH711">
        <v>89</v>
      </c>
      <c r="CI711">
        <v>14</v>
      </c>
      <c r="CJ711">
        <v>97</v>
      </c>
      <c r="CK711">
        <v>17</v>
      </c>
      <c r="CL711">
        <v>58</v>
      </c>
      <c r="CM711">
        <v>72</v>
      </c>
      <c r="CN711">
        <v>28</v>
      </c>
      <c r="CO711">
        <v>90</v>
      </c>
      <c r="CP711">
        <v>25</v>
      </c>
      <c r="CQ711">
        <v>63</v>
      </c>
      <c r="CR711">
        <v>39</v>
      </c>
      <c r="CS711">
        <v>47</v>
      </c>
      <c r="CT711">
        <v>41</v>
      </c>
      <c r="CU711">
        <v>17</v>
      </c>
      <c r="CV711">
        <v>24</v>
      </c>
      <c r="CW711">
        <v>25</v>
      </c>
      <c r="CX711">
        <v>26</v>
      </c>
      <c r="CY711">
        <v>24</v>
      </c>
      <c r="CZ711">
        <v>97</v>
      </c>
      <c r="DA711">
        <v>90</v>
      </c>
      <c r="DB711">
        <v>32</v>
      </c>
      <c r="DC711">
        <v>35</v>
      </c>
      <c r="DD711">
        <v>11</v>
      </c>
      <c r="DE711">
        <v>64</v>
      </c>
      <c r="DF711">
        <v>63</v>
      </c>
      <c r="DG711">
        <v>53</v>
      </c>
      <c r="DH711">
        <v>90</v>
      </c>
      <c r="DI711">
        <v>41</v>
      </c>
      <c r="DJ711">
        <v>16</v>
      </c>
      <c r="DK711">
        <v>45</v>
      </c>
    </row>
    <row r="712" spans="1:115">
      <c r="A712" s="173">
        <f>Calculations[[#This Row],[Sum t eCO2]]*IF(Calculations[[#This Row],[GHG Scope]]="BIOGENIC",0,1)</f>
        <v>1.6254181788818709</v>
      </c>
      <c r="O712">
        <f t="shared" si="11"/>
        <v>55</v>
      </c>
      <c r="P712">
        <v>31</v>
      </c>
      <c r="Q712">
        <v>31</v>
      </c>
      <c r="R712">
        <v>31</v>
      </c>
      <c r="S712">
        <v>60</v>
      </c>
      <c r="T712">
        <v>58</v>
      </c>
      <c r="U712">
        <v>43</v>
      </c>
      <c r="V712">
        <v>54</v>
      </c>
      <c r="W712">
        <v>31</v>
      </c>
      <c r="X712">
        <v>21</v>
      </c>
      <c r="Y712">
        <v>27</v>
      </c>
      <c r="Z712">
        <v>14</v>
      </c>
      <c r="AA712">
        <v>23</v>
      </c>
      <c r="AB712">
        <v>72</v>
      </c>
      <c r="AC712">
        <v>24</v>
      </c>
      <c r="AD712">
        <v>71</v>
      </c>
      <c r="AE712">
        <v>88</v>
      </c>
      <c r="AF712">
        <v>22</v>
      </c>
      <c r="AG712">
        <v>11</v>
      </c>
      <c r="AH712">
        <v>69</v>
      </c>
      <c r="AI712">
        <v>98</v>
      </c>
      <c r="AJ712">
        <v>38</v>
      </c>
      <c r="AK712">
        <v>39</v>
      </c>
      <c r="AL712">
        <v>53</v>
      </c>
      <c r="AM712">
        <v>44</v>
      </c>
      <c r="AN712">
        <v>26</v>
      </c>
      <c r="AO712">
        <v>68</v>
      </c>
      <c r="AP712">
        <v>80</v>
      </c>
      <c r="AQ712">
        <v>88</v>
      </c>
      <c r="AR712">
        <v>66</v>
      </c>
      <c r="AS712">
        <v>15</v>
      </c>
      <c r="AT712">
        <v>93</v>
      </c>
      <c r="AU712">
        <v>70</v>
      </c>
      <c r="AV712">
        <v>88</v>
      </c>
      <c r="AW712">
        <v>47</v>
      </c>
      <c r="AX712">
        <v>85</v>
      </c>
      <c r="AY712">
        <v>18</v>
      </c>
      <c r="AZ712">
        <v>75</v>
      </c>
      <c r="BA712">
        <v>56</v>
      </c>
      <c r="BB712">
        <v>13</v>
      </c>
      <c r="BC712">
        <v>32</v>
      </c>
      <c r="BD712">
        <v>33</v>
      </c>
      <c r="BE712">
        <v>72</v>
      </c>
      <c r="BF712">
        <v>60</v>
      </c>
      <c r="BG712">
        <v>11</v>
      </c>
      <c r="BH712">
        <v>54</v>
      </c>
      <c r="BI712">
        <v>79</v>
      </c>
      <c r="BJ712">
        <v>28</v>
      </c>
      <c r="BK712">
        <v>72</v>
      </c>
      <c r="BL712">
        <v>56</v>
      </c>
      <c r="BM712">
        <v>95</v>
      </c>
      <c r="BN712">
        <v>78</v>
      </c>
      <c r="BO712">
        <v>55</v>
      </c>
      <c r="BP712">
        <v>95</v>
      </c>
      <c r="BQ712">
        <v>69</v>
      </c>
      <c r="BR712">
        <v>31</v>
      </c>
      <c r="BS712">
        <v>63</v>
      </c>
      <c r="BT712">
        <v>30</v>
      </c>
      <c r="BU712">
        <v>98</v>
      </c>
      <c r="BV712">
        <v>60</v>
      </c>
      <c r="BW712">
        <v>74</v>
      </c>
      <c r="BX712">
        <v>22</v>
      </c>
      <c r="BY712">
        <v>55</v>
      </c>
      <c r="BZ712">
        <v>47</v>
      </c>
      <c r="CA712">
        <v>95</v>
      </c>
      <c r="CB712">
        <v>52</v>
      </c>
      <c r="CC712">
        <v>40</v>
      </c>
      <c r="CD712">
        <v>92</v>
      </c>
      <c r="CE712">
        <v>82</v>
      </c>
      <c r="CF712">
        <v>57</v>
      </c>
      <c r="CG712">
        <v>47</v>
      </c>
      <c r="CH712">
        <v>37</v>
      </c>
      <c r="CI712">
        <v>35</v>
      </c>
      <c r="CJ712">
        <v>81</v>
      </c>
      <c r="CK712">
        <v>75</v>
      </c>
      <c r="CL712">
        <v>35</v>
      </c>
      <c r="CM712">
        <v>19</v>
      </c>
      <c r="CN712">
        <v>81</v>
      </c>
      <c r="CO712">
        <v>23</v>
      </c>
      <c r="CP712">
        <v>81</v>
      </c>
      <c r="CQ712">
        <v>40</v>
      </c>
      <c r="CR712">
        <v>35</v>
      </c>
      <c r="CS712">
        <v>94</v>
      </c>
      <c r="CT712">
        <v>73</v>
      </c>
      <c r="CU712">
        <v>63</v>
      </c>
      <c r="CV712">
        <v>48</v>
      </c>
      <c r="CW712">
        <v>87</v>
      </c>
      <c r="CX712">
        <v>78</v>
      </c>
      <c r="CY712">
        <v>59</v>
      </c>
      <c r="CZ712">
        <v>86</v>
      </c>
      <c r="DA712">
        <v>42</v>
      </c>
      <c r="DB712">
        <v>66</v>
      </c>
      <c r="DC712">
        <v>97</v>
      </c>
      <c r="DD712">
        <v>61</v>
      </c>
      <c r="DE712">
        <v>85</v>
      </c>
      <c r="DF712">
        <v>25</v>
      </c>
      <c r="DG712">
        <v>58</v>
      </c>
      <c r="DH712">
        <v>74</v>
      </c>
      <c r="DI712">
        <v>91</v>
      </c>
      <c r="DJ712">
        <v>55</v>
      </c>
      <c r="DK712">
        <v>53</v>
      </c>
    </row>
    <row r="713" spans="1:115">
      <c r="A713" s="173">
        <f>Calculations[[#This Row],[Sum t eCO2]]*IF(Calculations[[#This Row],[GHG Scope]]="BIOGENIC",0,1)</f>
        <v>3.491845770031424</v>
      </c>
      <c r="O713">
        <f t="shared" si="11"/>
        <v>56</v>
      </c>
      <c r="P713">
        <v>46</v>
      </c>
      <c r="Q713">
        <v>41</v>
      </c>
      <c r="R713">
        <v>28</v>
      </c>
      <c r="S713">
        <v>53</v>
      </c>
      <c r="T713">
        <v>61</v>
      </c>
      <c r="U713">
        <v>24</v>
      </c>
      <c r="V713">
        <v>99</v>
      </c>
      <c r="W713">
        <v>64</v>
      </c>
      <c r="X713">
        <v>55</v>
      </c>
      <c r="Y713">
        <v>17</v>
      </c>
      <c r="Z713">
        <v>86</v>
      </c>
      <c r="AA713">
        <v>71</v>
      </c>
      <c r="AB713">
        <v>97</v>
      </c>
      <c r="AC713">
        <v>86</v>
      </c>
      <c r="AD713">
        <v>70</v>
      </c>
      <c r="AE713">
        <v>14</v>
      </c>
      <c r="AF713">
        <v>45</v>
      </c>
      <c r="AG713">
        <v>14</v>
      </c>
      <c r="AH713">
        <v>12</v>
      </c>
      <c r="AI713">
        <v>18</v>
      </c>
      <c r="AJ713">
        <v>39</v>
      </c>
      <c r="AK713">
        <v>48</v>
      </c>
      <c r="AL713">
        <v>53</v>
      </c>
      <c r="AM713">
        <v>36</v>
      </c>
      <c r="AN713">
        <v>42</v>
      </c>
      <c r="AO713">
        <v>85</v>
      </c>
      <c r="AP713">
        <v>43</v>
      </c>
      <c r="AQ713">
        <v>30</v>
      </c>
      <c r="AR713">
        <v>41</v>
      </c>
      <c r="AS713">
        <v>34</v>
      </c>
      <c r="AT713">
        <v>13</v>
      </c>
      <c r="AU713">
        <v>20</v>
      </c>
      <c r="AV713">
        <v>99</v>
      </c>
      <c r="AW713">
        <v>62</v>
      </c>
      <c r="AX713">
        <v>54</v>
      </c>
      <c r="AY713">
        <v>28</v>
      </c>
      <c r="AZ713">
        <v>32</v>
      </c>
      <c r="BA713">
        <v>51</v>
      </c>
      <c r="BB713">
        <v>17</v>
      </c>
      <c r="BC713">
        <v>73</v>
      </c>
      <c r="BD713">
        <v>26</v>
      </c>
      <c r="BE713">
        <v>40</v>
      </c>
      <c r="BF713">
        <v>48</v>
      </c>
      <c r="BG713">
        <v>71</v>
      </c>
      <c r="BH713">
        <v>33</v>
      </c>
      <c r="BI713">
        <v>64</v>
      </c>
      <c r="BJ713">
        <v>59</v>
      </c>
      <c r="BK713">
        <v>74</v>
      </c>
      <c r="BL713">
        <v>94</v>
      </c>
      <c r="BM713">
        <v>100</v>
      </c>
      <c r="BN713">
        <v>25</v>
      </c>
      <c r="BO713">
        <v>68</v>
      </c>
      <c r="BP713">
        <v>53</v>
      </c>
      <c r="BQ713">
        <v>94</v>
      </c>
      <c r="BR713">
        <v>85</v>
      </c>
      <c r="BS713">
        <v>34</v>
      </c>
      <c r="BT713">
        <v>80</v>
      </c>
      <c r="BU713">
        <v>11</v>
      </c>
      <c r="BV713">
        <v>75</v>
      </c>
      <c r="BW713">
        <v>87</v>
      </c>
      <c r="BX713">
        <v>22</v>
      </c>
      <c r="BY713">
        <v>45</v>
      </c>
      <c r="BZ713">
        <v>91</v>
      </c>
      <c r="CA713">
        <v>51</v>
      </c>
      <c r="CB713">
        <v>57</v>
      </c>
      <c r="CC713">
        <v>21</v>
      </c>
      <c r="CD713">
        <v>87</v>
      </c>
      <c r="CE713">
        <v>97</v>
      </c>
      <c r="CF713">
        <v>33</v>
      </c>
      <c r="CG713">
        <v>22</v>
      </c>
      <c r="CH713">
        <v>22</v>
      </c>
      <c r="CI713">
        <v>50</v>
      </c>
      <c r="CJ713">
        <v>56</v>
      </c>
      <c r="CK713">
        <v>75</v>
      </c>
      <c r="CL713">
        <v>15</v>
      </c>
      <c r="CM713">
        <v>83</v>
      </c>
      <c r="CN713">
        <v>20</v>
      </c>
      <c r="CO713">
        <v>34</v>
      </c>
      <c r="CP713">
        <v>66</v>
      </c>
      <c r="CQ713">
        <v>80</v>
      </c>
      <c r="CR713">
        <v>33</v>
      </c>
      <c r="CS713">
        <v>13</v>
      </c>
      <c r="CT713">
        <v>84</v>
      </c>
      <c r="CU713">
        <v>89</v>
      </c>
      <c r="CV713">
        <v>29</v>
      </c>
      <c r="CW713">
        <v>55</v>
      </c>
      <c r="CX713">
        <v>97</v>
      </c>
      <c r="CY713">
        <v>53</v>
      </c>
      <c r="CZ713">
        <v>38</v>
      </c>
      <c r="DA713">
        <v>82</v>
      </c>
      <c r="DB713">
        <v>40</v>
      </c>
      <c r="DC713">
        <v>53</v>
      </c>
      <c r="DD713">
        <v>25</v>
      </c>
      <c r="DE713">
        <v>91</v>
      </c>
      <c r="DF713">
        <v>49</v>
      </c>
      <c r="DG713">
        <v>45</v>
      </c>
      <c r="DH713">
        <v>30</v>
      </c>
      <c r="DI713">
        <v>15</v>
      </c>
      <c r="DJ713">
        <v>45</v>
      </c>
      <c r="DK713">
        <v>94</v>
      </c>
    </row>
    <row r="714" spans="1:115">
      <c r="A714" s="173">
        <f>Calculations[[#This Row],[Sum t eCO2]]*IF(Calculations[[#This Row],[GHG Scope]]="BIOGENIC",0,1)</f>
        <v>2.2178220946925489</v>
      </c>
      <c r="O714">
        <f t="shared" si="11"/>
        <v>57</v>
      </c>
      <c r="P714">
        <v>74</v>
      </c>
      <c r="Q714">
        <v>93</v>
      </c>
      <c r="R714">
        <v>35</v>
      </c>
      <c r="S714">
        <v>20</v>
      </c>
      <c r="T714">
        <v>90</v>
      </c>
      <c r="U714">
        <v>93</v>
      </c>
      <c r="V714">
        <v>88</v>
      </c>
      <c r="W714">
        <v>33</v>
      </c>
      <c r="X714">
        <v>56</v>
      </c>
      <c r="Y714">
        <v>42</v>
      </c>
      <c r="Z714">
        <v>81</v>
      </c>
      <c r="AA714">
        <v>10</v>
      </c>
      <c r="AB714">
        <v>68</v>
      </c>
      <c r="AC714">
        <v>64</v>
      </c>
      <c r="AD714">
        <v>56</v>
      </c>
      <c r="AE714">
        <v>48</v>
      </c>
      <c r="AF714">
        <v>23</v>
      </c>
      <c r="AG714">
        <v>61</v>
      </c>
      <c r="AH714">
        <v>79</v>
      </c>
      <c r="AI714">
        <v>42</v>
      </c>
      <c r="AJ714">
        <v>18</v>
      </c>
      <c r="AK714">
        <v>40</v>
      </c>
      <c r="AL714">
        <v>50</v>
      </c>
      <c r="AM714">
        <v>36</v>
      </c>
      <c r="AN714">
        <v>16</v>
      </c>
      <c r="AO714">
        <v>69</v>
      </c>
      <c r="AP714">
        <v>32</v>
      </c>
      <c r="AQ714">
        <v>79</v>
      </c>
      <c r="AR714">
        <v>24</v>
      </c>
      <c r="AS714">
        <v>30</v>
      </c>
      <c r="AT714">
        <v>62</v>
      </c>
      <c r="AU714">
        <v>33</v>
      </c>
      <c r="AV714">
        <v>98</v>
      </c>
      <c r="AW714">
        <v>92</v>
      </c>
      <c r="AX714">
        <v>23</v>
      </c>
      <c r="AY714">
        <v>74</v>
      </c>
      <c r="AZ714">
        <v>29</v>
      </c>
      <c r="BA714">
        <v>50</v>
      </c>
      <c r="BB714">
        <v>31</v>
      </c>
      <c r="BC714">
        <v>65</v>
      </c>
      <c r="BD714">
        <v>12</v>
      </c>
      <c r="BE714">
        <v>24</v>
      </c>
      <c r="BF714">
        <v>92</v>
      </c>
      <c r="BG714">
        <v>17</v>
      </c>
      <c r="BH714">
        <v>24</v>
      </c>
      <c r="BI714">
        <v>71</v>
      </c>
      <c r="BJ714">
        <v>79</v>
      </c>
      <c r="BK714">
        <v>36</v>
      </c>
      <c r="BL714">
        <v>26</v>
      </c>
      <c r="BM714">
        <v>30</v>
      </c>
      <c r="BN714">
        <v>88</v>
      </c>
      <c r="BO714">
        <v>67</v>
      </c>
      <c r="BP714">
        <v>22</v>
      </c>
      <c r="BQ714">
        <v>94</v>
      </c>
      <c r="BR714">
        <v>58</v>
      </c>
      <c r="BS714">
        <v>10</v>
      </c>
      <c r="BT714">
        <v>87</v>
      </c>
      <c r="BU714">
        <v>12</v>
      </c>
      <c r="BV714">
        <v>100</v>
      </c>
      <c r="BW714">
        <v>70</v>
      </c>
      <c r="BX714">
        <v>93</v>
      </c>
      <c r="BY714">
        <v>17</v>
      </c>
      <c r="BZ714">
        <v>92</v>
      </c>
      <c r="CA714">
        <v>90</v>
      </c>
      <c r="CB714">
        <v>14</v>
      </c>
      <c r="CC714">
        <v>85</v>
      </c>
      <c r="CD714">
        <v>39</v>
      </c>
      <c r="CE714">
        <v>87</v>
      </c>
      <c r="CF714">
        <v>72</v>
      </c>
      <c r="CG714">
        <v>13</v>
      </c>
      <c r="CH714">
        <v>39</v>
      </c>
      <c r="CI714">
        <v>12</v>
      </c>
      <c r="CJ714">
        <v>92</v>
      </c>
      <c r="CK714">
        <v>88</v>
      </c>
      <c r="CL714">
        <v>87</v>
      </c>
      <c r="CM714">
        <v>61</v>
      </c>
      <c r="CN714">
        <v>83</v>
      </c>
      <c r="CO714">
        <v>81</v>
      </c>
      <c r="CP714">
        <v>65</v>
      </c>
      <c r="CQ714">
        <v>11</v>
      </c>
      <c r="CR714">
        <v>53</v>
      </c>
      <c r="CS714">
        <v>36</v>
      </c>
      <c r="CT714">
        <v>50</v>
      </c>
      <c r="CU714">
        <v>26</v>
      </c>
      <c r="CV714">
        <v>43</v>
      </c>
      <c r="CW714">
        <v>84</v>
      </c>
      <c r="CX714">
        <v>99</v>
      </c>
      <c r="CY714">
        <v>18</v>
      </c>
      <c r="CZ714">
        <v>85</v>
      </c>
      <c r="DA714">
        <v>17</v>
      </c>
      <c r="DB714">
        <v>58</v>
      </c>
      <c r="DC714">
        <v>88</v>
      </c>
      <c r="DD714">
        <v>23</v>
      </c>
      <c r="DE714">
        <v>13</v>
      </c>
      <c r="DF714">
        <v>70</v>
      </c>
      <c r="DG714">
        <v>58</v>
      </c>
      <c r="DH714">
        <v>55</v>
      </c>
      <c r="DI714">
        <v>68</v>
      </c>
      <c r="DJ714">
        <v>40</v>
      </c>
      <c r="DK714">
        <v>94</v>
      </c>
    </row>
    <row r="715" spans="1:115">
      <c r="A715" s="173">
        <f>Calculations[[#This Row],[Sum t eCO2]]*IF(Calculations[[#This Row],[GHG Scope]]="BIOGENIC",0,1)</f>
        <v>12.532950084654843</v>
      </c>
      <c r="O715">
        <f t="shared" si="11"/>
        <v>58</v>
      </c>
      <c r="P715">
        <v>22</v>
      </c>
      <c r="Q715">
        <v>83</v>
      </c>
      <c r="R715">
        <v>42</v>
      </c>
      <c r="S715">
        <v>45</v>
      </c>
      <c r="T715">
        <v>87</v>
      </c>
      <c r="U715">
        <v>30</v>
      </c>
      <c r="V715">
        <v>20</v>
      </c>
      <c r="W715">
        <v>64</v>
      </c>
      <c r="X715">
        <v>16</v>
      </c>
      <c r="Y715">
        <v>17</v>
      </c>
      <c r="Z715">
        <v>13</v>
      </c>
      <c r="AA715">
        <v>51</v>
      </c>
      <c r="AB715">
        <v>64</v>
      </c>
      <c r="AC715">
        <v>28</v>
      </c>
      <c r="AD715">
        <v>16</v>
      </c>
      <c r="AE715">
        <v>27</v>
      </c>
      <c r="AF715">
        <v>33</v>
      </c>
      <c r="AG715">
        <v>74</v>
      </c>
      <c r="AH715">
        <v>90</v>
      </c>
      <c r="AI715">
        <v>31</v>
      </c>
      <c r="AJ715">
        <v>69</v>
      </c>
      <c r="AK715">
        <v>52</v>
      </c>
      <c r="AL715">
        <v>35</v>
      </c>
      <c r="AM715">
        <v>62</v>
      </c>
      <c r="AN715">
        <v>24</v>
      </c>
      <c r="AO715">
        <v>14</v>
      </c>
      <c r="AP715">
        <v>62</v>
      </c>
      <c r="AQ715">
        <v>93</v>
      </c>
      <c r="AR715">
        <v>23</v>
      </c>
      <c r="AS715">
        <v>59</v>
      </c>
      <c r="AT715">
        <v>53</v>
      </c>
      <c r="AU715">
        <v>95</v>
      </c>
      <c r="AV715">
        <v>47</v>
      </c>
      <c r="AW715">
        <v>100</v>
      </c>
      <c r="AX715">
        <v>31</v>
      </c>
      <c r="AY715">
        <v>78</v>
      </c>
      <c r="AZ715">
        <v>94</v>
      </c>
      <c r="BA715">
        <v>32</v>
      </c>
      <c r="BB715">
        <v>87</v>
      </c>
      <c r="BC715">
        <v>98</v>
      </c>
      <c r="BD715">
        <v>66</v>
      </c>
      <c r="BE715">
        <v>53</v>
      </c>
      <c r="BF715">
        <v>30</v>
      </c>
      <c r="BG715">
        <v>75</v>
      </c>
      <c r="BH715">
        <v>84</v>
      </c>
      <c r="BI715">
        <v>93</v>
      </c>
      <c r="BJ715">
        <v>36</v>
      </c>
      <c r="BK715">
        <v>85</v>
      </c>
      <c r="BL715">
        <v>100</v>
      </c>
      <c r="BM715">
        <v>22</v>
      </c>
      <c r="BN715">
        <v>66</v>
      </c>
      <c r="BO715">
        <v>52</v>
      </c>
      <c r="BP715">
        <v>23</v>
      </c>
      <c r="BQ715">
        <v>70</v>
      </c>
      <c r="BR715">
        <v>50</v>
      </c>
      <c r="BS715">
        <v>70</v>
      </c>
      <c r="BT715">
        <v>92</v>
      </c>
      <c r="BU715">
        <v>25</v>
      </c>
      <c r="BV715">
        <v>36</v>
      </c>
      <c r="BW715">
        <v>18</v>
      </c>
      <c r="BX715">
        <v>88</v>
      </c>
      <c r="BY715">
        <v>79</v>
      </c>
      <c r="BZ715">
        <v>74</v>
      </c>
      <c r="CA715">
        <v>27</v>
      </c>
      <c r="CB715">
        <v>93</v>
      </c>
      <c r="CC715">
        <v>96</v>
      </c>
      <c r="CD715">
        <v>74</v>
      </c>
      <c r="CE715">
        <v>41</v>
      </c>
      <c r="CF715">
        <v>92</v>
      </c>
      <c r="CG715">
        <v>96</v>
      </c>
      <c r="CH715">
        <v>89</v>
      </c>
      <c r="CI715">
        <v>36</v>
      </c>
      <c r="CJ715">
        <v>75</v>
      </c>
      <c r="CK715">
        <v>47</v>
      </c>
      <c r="CL715">
        <v>81</v>
      </c>
      <c r="CM715">
        <v>80</v>
      </c>
      <c r="CN715">
        <v>18</v>
      </c>
      <c r="CO715">
        <v>38</v>
      </c>
      <c r="CP715">
        <v>55</v>
      </c>
      <c r="CQ715">
        <v>89</v>
      </c>
      <c r="CR715">
        <v>85</v>
      </c>
      <c r="CS715">
        <v>41</v>
      </c>
      <c r="CT715">
        <v>66</v>
      </c>
      <c r="CU715">
        <v>40</v>
      </c>
      <c r="CV715">
        <v>67</v>
      </c>
      <c r="CW715">
        <v>19</v>
      </c>
      <c r="CX715">
        <v>90</v>
      </c>
      <c r="CY715">
        <v>92</v>
      </c>
      <c r="CZ715">
        <v>98</v>
      </c>
      <c r="DA715">
        <v>92</v>
      </c>
      <c r="DB715">
        <v>81</v>
      </c>
      <c r="DC715">
        <v>15</v>
      </c>
      <c r="DD715">
        <v>65</v>
      </c>
      <c r="DE715">
        <v>50</v>
      </c>
      <c r="DF715">
        <v>47</v>
      </c>
      <c r="DG715">
        <v>56</v>
      </c>
      <c r="DH715">
        <v>31</v>
      </c>
      <c r="DI715">
        <v>74</v>
      </c>
      <c r="DJ715">
        <v>11</v>
      </c>
      <c r="DK715">
        <v>37</v>
      </c>
    </row>
    <row r="716" spans="1:115">
      <c r="A716" s="173">
        <f>Calculations[[#This Row],[Sum t eCO2]]*IF(Calculations[[#This Row],[GHG Scope]]="BIOGENIC",0,1)</f>
        <v>9.3083356933275425</v>
      </c>
      <c r="O716">
        <f t="shared" si="11"/>
        <v>59</v>
      </c>
      <c r="P716">
        <v>10</v>
      </c>
      <c r="Q716">
        <v>85</v>
      </c>
      <c r="R716">
        <v>100</v>
      </c>
      <c r="S716">
        <v>30</v>
      </c>
      <c r="T716">
        <v>30</v>
      </c>
      <c r="U716">
        <v>83</v>
      </c>
      <c r="V716">
        <v>28</v>
      </c>
      <c r="W716">
        <v>17</v>
      </c>
      <c r="X716">
        <v>88</v>
      </c>
      <c r="Y716">
        <v>34</v>
      </c>
      <c r="Z716">
        <v>39</v>
      </c>
      <c r="AA716">
        <v>59</v>
      </c>
      <c r="AB716">
        <v>16</v>
      </c>
      <c r="AC716">
        <v>38</v>
      </c>
      <c r="AD716">
        <v>76</v>
      </c>
      <c r="AE716">
        <v>84</v>
      </c>
      <c r="AF716">
        <v>97</v>
      </c>
      <c r="AG716">
        <v>93</v>
      </c>
      <c r="AH716">
        <v>76</v>
      </c>
      <c r="AI716">
        <v>41</v>
      </c>
      <c r="AJ716">
        <v>45</v>
      </c>
      <c r="AK716">
        <v>32</v>
      </c>
      <c r="AL716">
        <v>58</v>
      </c>
      <c r="AM716">
        <v>77</v>
      </c>
      <c r="AN716">
        <v>30</v>
      </c>
      <c r="AO716">
        <v>22</v>
      </c>
      <c r="AP716">
        <v>93</v>
      </c>
      <c r="AQ716">
        <v>76</v>
      </c>
      <c r="AR716">
        <v>84</v>
      </c>
      <c r="AS716">
        <v>40</v>
      </c>
      <c r="AT716">
        <v>80</v>
      </c>
      <c r="AU716">
        <v>87</v>
      </c>
      <c r="AV716">
        <v>27</v>
      </c>
      <c r="AW716">
        <v>64</v>
      </c>
      <c r="AX716">
        <v>95</v>
      </c>
      <c r="AY716">
        <v>82</v>
      </c>
      <c r="AZ716">
        <v>65</v>
      </c>
      <c r="BA716">
        <v>75</v>
      </c>
      <c r="BB716">
        <v>49</v>
      </c>
      <c r="BC716">
        <v>95</v>
      </c>
      <c r="BD716">
        <v>84</v>
      </c>
      <c r="BE716">
        <v>35</v>
      </c>
      <c r="BF716">
        <v>52</v>
      </c>
      <c r="BG716">
        <v>67</v>
      </c>
      <c r="BH716">
        <v>35</v>
      </c>
      <c r="BI716">
        <v>16</v>
      </c>
      <c r="BJ716">
        <v>43</v>
      </c>
      <c r="BK716">
        <v>84</v>
      </c>
      <c r="BL716">
        <v>64</v>
      </c>
      <c r="BM716">
        <v>80</v>
      </c>
      <c r="BN716">
        <v>95</v>
      </c>
      <c r="BO716">
        <v>41</v>
      </c>
      <c r="BP716">
        <v>98</v>
      </c>
      <c r="BQ716">
        <v>66</v>
      </c>
      <c r="BR716">
        <v>63</v>
      </c>
      <c r="BS716">
        <v>72</v>
      </c>
      <c r="BT716">
        <v>95</v>
      </c>
      <c r="BU716">
        <v>55</v>
      </c>
      <c r="BV716">
        <v>79</v>
      </c>
      <c r="BW716">
        <v>36</v>
      </c>
      <c r="BX716">
        <v>68</v>
      </c>
      <c r="BY716">
        <v>21</v>
      </c>
      <c r="BZ716">
        <v>98</v>
      </c>
      <c r="CA716">
        <v>45</v>
      </c>
      <c r="CB716">
        <v>18</v>
      </c>
      <c r="CC716">
        <v>82</v>
      </c>
      <c r="CD716">
        <v>70</v>
      </c>
      <c r="CE716">
        <v>39</v>
      </c>
      <c r="CF716">
        <v>35</v>
      </c>
      <c r="CG716">
        <v>52</v>
      </c>
      <c r="CH716">
        <v>14</v>
      </c>
      <c r="CI716">
        <v>71</v>
      </c>
      <c r="CJ716">
        <v>90</v>
      </c>
      <c r="CK716">
        <v>55</v>
      </c>
      <c r="CL716">
        <v>16</v>
      </c>
      <c r="CM716">
        <v>11</v>
      </c>
      <c r="CN716">
        <v>65</v>
      </c>
      <c r="CO716">
        <v>77</v>
      </c>
      <c r="CP716">
        <v>24</v>
      </c>
      <c r="CQ716">
        <v>83</v>
      </c>
      <c r="CR716">
        <v>60</v>
      </c>
      <c r="CS716">
        <v>19</v>
      </c>
      <c r="CT716">
        <v>46</v>
      </c>
      <c r="CU716">
        <v>70</v>
      </c>
      <c r="CV716">
        <v>65</v>
      </c>
      <c r="CW716">
        <v>35</v>
      </c>
      <c r="CX716">
        <v>92</v>
      </c>
      <c r="CY716">
        <v>55</v>
      </c>
      <c r="CZ716">
        <v>84</v>
      </c>
      <c r="DA716">
        <v>60</v>
      </c>
      <c r="DB716">
        <v>77</v>
      </c>
      <c r="DC716">
        <v>71</v>
      </c>
      <c r="DD716">
        <v>94</v>
      </c>
      <c r="DE716">
        <v>100</v>
      </c>
      <c r="DF716">
        <v>77</v>
      </c>
      <c r="DG716">
        <v>36</v>
      </c>
      <c r="DH716">
        <v>41</v>
      </c>
      <c r="DI716">
        <v>52</v>
      </c>
      <c r="DJ716">
        <v>78</v>
      </c>
      <c r="DK716">
        <v>29</v>
      </c>
    </row>
    <row r="717" spans="1:115">
      <c r="A717" s="173">
        <f>Calculations[[#This Row],[Sum t eCO2]]*IF(Calculations[[#This Row],[GHG Scope]]="BIOGENIC",0,1)</f>
        <v>1.4995408669321839</v>
      </c>
      <c r="O717">
        <f t="shared" si="11"/>
        <v>60</v>
      </c>
      <c r="P717">
        <v>93</v>
      </c>
      <c r="Q717">
        <v>36</v>
      </c>
      <c r="R717">
        <v>92</v>
      </c>
      <c r="S717">
        <v>56</v>
      </c>
      <c r="T717">
        <v>16</v>
      </c>
      <c r="U717">
        <v>31</v>
      </c>
      <c r="V717">
        <v>80</v>
      </c>
      <c r="W717">
        <v>85</v>
      </c>
      <c r="X717">
        <v>93</v>
      </c>
      <c r="Y717">
        <v>66</v>
      </c>
      <c r="Z717">
        <v>60</v>
      </c>
      <c r="AA717">
        <v>71</v>
      </c>
      <c r="AB717">
        <v>71</v>
      </c>
      <c r="AC717">
        <v>93</v>
      </c>
      <c r="AD717">
        <v>31</v>
      </c>
      <c r="AE717">
        <v>41</v>
      </c>
      <c r="AF717">
        <v>50</v>
      </c>
      <c r="AG717">
        <v>94</v>
      </c>
      <c r="AH717">
        <v>85</v>
      </c>
      <c r="AI717">
        <v>100</v>
      </c>
      <c r="AJ717">
        <v>92</v>
      </c>
      <c r="AK717">
        <v>98</v>
      </c>
      <c r="AL717">
        <v>81</v>
      </c>
      <c r="AM717">
        <v>71</v>
      </c>
      <c r="AN717">
        <v>65</v>
      </c>
      <c r="AO717">
        <v>52</v>
      </c>
      <c r="AP717">
        <v>100</v>
      </c>
      <c r="AQ717">
        <v>81</v>
      </c>
      <c r="AR717">
        <v>49</v>
      </c>
      <c r="AS717">
        <v>81</v>
      </c>
      <c r="AT717">
        <v>27</v>
      </c>
      <c r="AU717">
        <v>64</v>
      </c>
      <c r="AV717">
        <v>54</v>
      </c>
      <c r="AW717">
        <v>90</v>
      </c>
      <c r="AX717">
        <v>75</v>
      </c>
      <c r="AY717">
        <v>85</v>
      </c>
      <c r="AZ717">
        <v>76</v>
      </c>
      <c r="BA717">
        <v>12</v>
      </c>
      <c r="BB717">
        <v>76</v>
      </c>
      <c r="BC717">
        <v>43</v>
      </c>
      <c r="BD717">
        <v>92</v>
      </c>
      <c r="BE717">
        <v>12</v>
      </c>
      <c r="BF717">
        <v>82</v>
      </c>
      <c r="BG717">
        <v>59</v>
      </c>
      <c r="BH717">
        <v>22</v>
      </c>
      <c r="BI717">
        <v>50</v>
      </c>
      <c r="BJ717">
        <v>65</v>
      </c>
      <c r="BK717">
        <v>57</v>
      </c>
      <c r="BL717">
        <v>79</v>
      </c>
      <c r="BM717">
        <v>66</v>
      </c>
      <c r="BN717">
        <v>16</v>
      </c>
      <c r="BO717">
        <v>24</v>
      </c>
      <c r="BP717">
        <v>31</v>
      </c>
      <c r="BQ717">
        <v>100</v>
      </c>
      <c r="BR717">
        <v>58</v>
      </c>
      <c r="BS717">
        <v>45</v>
      </c>
      <c r="BT717">
        <v>18</v>
      </c>
      <c r="BU717">
        <v>53</v>
      </c>
      <c r="BV717">
        <v>67</v>
      </c>
      <c r="BW717">
        <v>31</v>
      </c>
      <c r="BX717">
        <v>98</v>
      </c>
      <c r="BY717">
        <v>85</v>
      </c>
      <c r="BZ717">
        <v>86</v>
      </c>
      <c r="CA717">
        <v>15</v>
      </c>
      <c r="CB717">
        <v>25</v>
      </c>
      <c r="CC717">
        <v>65</v>
      </c>
      <c r="CD717">
        <v>70</v>
      </c>
      <c r="CE717">
        <v>49</v>
      </c>
      <c r="CF717">
        <v>65</v>
      </c>
      <c r="CG717">
        <v>93</v>
      </c>
      <c r="CH717">
        <v>94</v>
      </c>
      <c r="CI717">
        <v>19</v>
      </c>
      <c r="CJ717">
        <v>98</v>
      </c>
      <c r="CK717">
        <v>58</v>
      </c>
      <c r="CL717">
        <v>66</v>
      </c>
      <c r="CM717">
        <v>54</v>
      </c>
      <c r="CN717">
        <v>54</v>
      </c>
      <c r="CO717">
        <v>42</v>
      </c>
      <c r="CP717">
        <v>30</v>
      </c>
      <c r="CQ717">
        <v>35</v>
      </c>
      <c r="CR717">
        <v>37</v>
      </c>
      <c r="CS717">
        <v>40</v>
      </c>
      <c r="CT717">
        <v>100</v>
      </c>
      <c r="CU717">
        <v>39</v>
      </c>
      <c r="CV717">
        <v>93</v>
      </c>
      <c r="CW717">
        <v>82</v>
      </c>
      <c r="CX717">
        <v>47</v>
      </c>
      <c r="CY717">
        <v>25</v>
      </c>
      <c r="CZ717">
        <v>56</v>
      </c>
      <c r="DA717">
        <v>68</v>
      </c>
      <c r="DB717">
        <v>75</v>
      </c>
      <c r="DC717">
        <v>27</v>
      </c>
      <c r="DD717">
        <v>14</v>
      </c>
      <c r="DE717">
        <v>27</v>
      </c>
      <c r="DF717">
        <v>65</v>
      </c>
      <c r="DG717">
        <v>96</v>
      </c>
      <c r="DH717">
        <v>86</v>
      </c>
      <c r="DI717">
        <v>62</v>
      </c>
      <c r="DJ717">
        <v>55</v>
      </c>
      <c r="DK717">
        <v>99</v>
      </c>
    </row>
    <row r="718" spans="1:115">
      <c r="A718" s="173">
        <f>Calculations[[#This Row],[Sum t eCO2]]*IF(Calculations[[#This Row],[GHG Scope]]="BIOGENIC",0,1)</f>
        <v>11.703405424259198</v>
      </c>
      <c r="O718">
        <f t="shared" si="11"/>
        <v>61</v>
      </c>
      <c r="P718">
        <v>80</v>
      </c>
      <c r="Q718">
        <v>59</v>
      </c>
      <c r="R718">
        <v>95</v>
      </c>
      <c r="S718">
        <v>83</v>
      </c>
      <c r="T718">
        <v>48</v>
      </c>
      <c r="U718">
        <v>70</v>
      </c>
      <c r="V718">
        <v>48</v>
      </c>
      <c r="W718">
        <v>84</v>
      </c>
      <c r="X718">
        <v>15</v>
      </c>
      <c r="Y718">
        <v>32</v>
      </c>
      <c r="Z718">
        <v>78</v>
      </c>
      <c r="AA718">
        <v>26</v>
      </c>
      <c r="AB718">
        <v>23</v>
      </c>
      <c r="AC718">
        <v>31</v>
      </c>
      <c r="AD718">
        <v>55</v>
      </c>
      <c r="AE718">
        <v>66</v>
      </c>
      <c r="AF718">
        <v>59</v>
      </c>
      <c r="AG718">
        <v>26</v>
      </c>
      <c r="AH718">
        <v>55</v>
      </c>
      <c r="AI718">
        <v>52</v>
      </c>
      <c r="AJ718">
        <v>96</v>
      </c>
      <c r="AK718">
        <v>65</v>
      </c>
      <c r="AL718">
        <v>20</v>
      </c>
      <c r="AM718">
        <v>44</v>
      </c>
      <c r="AN718">
        <v>60</v>
      </c>
      <c r="AO718">
        <v>95</v>
      </c>
      <c r="AP718">
        <v>91</v>
      </c>
      <c r="AQ718">
        <v>61</v>
      </c>
      <c r="AR718">
        <v>66</v>
      </c>
      <c r="AS718">
        <v>100</v>
      </c>
      <c r="AT718">
        <v>96</v>
      </c>
      <c r="AU718">
        <v>86</v>
      </c>
      <c r="AV718">
        <v>24</v>
      </c>
      <c r="AW718">
        <v>86</v>
      </c>
      <c r="AX718">
        <v>30</v>
      </c>
      <c r="AY718">
        <v>79</v>
      </c>
      <c r="AZ718">
        <v>72</v>
      </c>
      <c r="BA718">
        <v>46</v>
      </c>
      <c r="BB718">
        <v>96</v>
      </c>
      <c r="BC718">
        <v>33</v>
      </c>
      <c r="BD718">
        <v>35</v>
      </c>
      <c r="BE718">
        <v>35</v>
      </c>
      <c r="BF718">
        <v>60</v>
      </c>
      <c r="BG718">
        <v>48</v>
      </c>
      <c r="BH718">
        <v>19</v>
      </c>
      <c r="BI718">
        <v>27</v>
      </c>
      <c r="BJ718">
        <v>80</v>
      </c>
      <c r="BK718">
        <v>67</v>
      </c>
      <c r="BL718">
        <v>46</v>
      </c>
      <c r="BM718">
        <v>11</v>
      </c>
      <c r="BN718">
        <v>25</v>
      </c>
      <c r="BO718">
        <v>70</v>
      </c>
      <c r="BP718">
        <v>32</v>
      </c>
      <c r="BQ718">
        <v>27</v>
      </c>
      <c r="BR718">
        <v>18</v>
      </c>
      <c r="BS718">
        <v>11</v>
      </c>
      <c r="BT718">
        <v>50</v>
      </c>
      <c r="BU718">
        <v>74</v>
      </c>
      <c r="BV718">
        <v>52</v>
      </c>
      <c r="BW718">
        <v>25</v>
      </c>
      <c r="BX718">
        <v>33</v>
      </c>
      <c r="BY718">
        <v>75</v>
      </c>
      <c r="BZ718">
        <v>19</v>
      </c>
      <c r="CA718">
        <v>65</v>
      </c>
      <c r="CB718">
        <v>89</v>
      </c>
      <c r="CC718">
        <v>18</v>
      </c>
      <c r="CD718">
        <v>55</v>
      </c>
      <c r="CE718">
        <v>39</v>
      </c>
      <c r="CF718">
        <v>17</v>
      </c>
      <c r="CG718">
        <v>63</v>
      </c>
      <c r="CH718">
        <v>87</v>
      </c>
      <c r="CI718">
        <v>71</v>
      </c>
      <c r="CJ718">
        <v>99</v>
      </c>
      <c r="CK718">
        <v>75</v>
      </c>
      <c r="CL718">
        <v>80</v>
      </c>
      <c r="CM718">
        <v>100</v>
      </c>
      <c r="CN718">
        <v>79</v>
      </c>
      <c r="CO718">
        <v>73</v>
      </c>
      <c r="CP718">
        <v>37</v>
      </c>
      <c r="CQ718">
        <v>63</v>
      </c>
      <c r="CR718">
        <v>18</v>
      </c>
      <c r="CS718">
        <v>68</v>
      </c>
      <c r="CT718">
        <v>86</v>
      </c>
      <c r="CU718">
        <v>14</v>
      </c>
      <c r="CV718">
        <v>69</v>
      </c>
      <c r="CW718">
        <v>47</v>
      </c>
      <c r="CX718">
        <v>11</v>
      </c>
      <c r="CY718">
        <v>23</v>
      </c>
      <c r="CZ718">
        <v>36</v>
      </c>
      <c r="DA718">
        <v>53</v>
      </c>
      <c r="DB718">
        <v>74</v>
      </c>
      <c r="DC718">
        <v>76</v>
      </c>
      <c r="DD718">
        <v>27</v>
      </c>
      <c r="DE718">
        <v>50</v>
      </c>
      <c r="DF718">
        <v>57</v>
      </c>
      <c r="DG718">
        <v>66</v>
      </c>
      <c r="DH718">
        <v>31</v>
      </c>
      <c r="DI718">
        <v>55</v>
      </c>
      <c r="DJ718">
        <v>72</v>
      </c>
      <c r="DK718">
        <v>54</v>
      </c>
    </row>
    <row r="719" spans="1:115">
      <c r="A719" s="173">
        <f>Calculations[[#This Row],[Sum t eCO2]]*IF(Calculations[[#This Row],[GHG Scope]]="BIOGENIC",0,1)</f>
        <v>177.01465912147688</v>
      </c>
      <c r="O719">
        <f t="shared" si="11"/>
        <v>62</v>
      </c>
      <c r="P719">
        <v>89</v>
      </c>
      <c r="Q719">
        <v>57</v>
      </c>
      <c r="R719">
        <v>60</v>
      </c>
      <c r="S719">
        <v>74</v>
      </c>
      <c r="T719">
        <v>96</v>
      </c>
      <c r="U719">
        <v>76</v>
      </c>
      <c r="V719">
        <v>74</v>
      </c>
      <c r="W719">
        <v>28</v>
      </c>
      <c r="X719">
        <v>15</v>
      </c>
      <c r="Y719">
        <v>27</v>
      </c>
      <c r="Z719">
        <v>97</v>
      </c>
      <c r="AA719">
        <v>52</v>
      </c>
      <c r="AB719">
        <v>42</v>
      </c>
      <c r="AC719">
        <v>69</v>
      </c>
      <c r="AD719">
        <v>62</v>
      </c>
      <c r="AE719">
        <v>83</v>
      </c>
      <c r="AF719">
        <v>65</v>
      </c>
      <c r="AG719">
        <v>22</v>
      </c>
      <c r="AH719">
        <v>26</v>
      </c>
      <c r="AI719">
        <v>28</v>
      </c>
      <c r="AJ719">
        <v>48</v>
      </c>
      <c r="AK719">
        <v>81</v>
      </c>
      <c r="AL719">
        <v>78</v>
      </c>
      <c r="AM719">
        <v>78</v>
      </c>
      <c r="AN719">
        <v>51</v>
      </c>
      <c r="AO719">
        <v>91</v>
      </c>
      <c r="AP719">
        <v>67</v>
      </c>
      <c r="AQ719">
        <v>74</v>
      </c>
      <c r="AR719">
        <v>26</v>
      </c>
      <c r="AS719">
        <v>64</v>
      </c>
      <c r="AT719">
        <v>44</v>
      </c>
      <c r="AU719">
        <v>46</v>
      </c>
      <c r="AV719">
        <v>88</v>
      </c>
      <c r="AW719">
        <v>12</v>
      </c>
      <c r="AX719">
        <v>88</v>
      </c>
      <c r="AY719">
        <v>53</v>
      </c>
      <c r="AZ719">
        <v>79</v>
      </c>
      <c r="BA719">
        <v>71</v>
      </c>
      <c r="BB719">
        <v>54</v>
      </c>
      <c r="BC719">
        <v>88</v>
      </c>
      <c r="BD719">
        <v>29</v>
      </c>
      <c r="BE719">
        <v>84</v>
      </c>
      <c r="BF719">
        <v>25</v>
      </c>
      <c r="BG719">
        <v>12</v>
      </c>
      <c r="BH719">
        <v>92</v>
      </c>
      <c r="BI719">
        <v>48</v>
      </c>
      <c r="BJ719">
        <v>54</v>
      </c>
      <c r="BK719">
        <v>43</v>
      </c>
      <c r="BL719">
        <v>20</v>
      </c>
      <c r="BM719">
        <v>35</v>
      </c>
      <c r="BN719">
        <v>99</v>
      </c>
      <c r="BO719">
        <v>14</v>
      </c>
      <c r="BP719">
        <v>96</v>
      </c>
      <c r="BQ719">
        <v>97</v>
      </c>
      <c r="BR719">
        <v>28</v>
      </c>
      <c r="BS719">
        <v>85</v>
      </c>
      <c r="BT719">
        <v>69</v>
      </c>
      <c r="BU719">
        <v>66</v>
      </c>
      <c r="BV719">
        <v>47</v>
      </c>
      <c r="BW719">
        <v>28</v>
      </c>
      <c r="BX719">
        <v>40</v>
      </c>
      <c r="BY719">
        <v>93</v>
      </c>
      <c r="BZ719">
        <v>71</v>
      </c>
      <c r="CA719">
        <v>19</v>
      </c>
      <c r="CB719">
        <v>61</v>
      </c>
      <c r="CC719">
        <v>29</v>
      </c>
      <c r="CD719">
        <v>85</v>
      </c>
      <c r="CE719">
        <v>34</v>
      </c>
      <c r="CF719">
        <v>93</v>
      </c>
      <c r="CG719">
        <v>99</v>
      </c>
      <c r="CH719">
        <v>43</v>
      </c>
      <c r="CI719">
        <v>89</v>
      </c>
      <c r="CJ719">
        <v>13</v>
      </c>
      <c r="CK719">
        <v>68</v>
      </c>
      <c r="CL719">
        <v>96</v>
      </c>
      <c r="CM719">
        <v>90</v>
      </c>
      <c r="CN719">
        <v>43</v>
      </c>
      <c r="CO719">
        <v>21</v>
      </c>
      <c r="CP719">
        <v>74</v>
      </c>
      <c r="CQ719">
        <v>34</v>
      </c>
      <c r="CR719">
        <v>82</v>
      </c>
      <c r="CS719">
        <v>89</v>
      </c>
      <c r="CT719">
        <v>50</v>
      </c>
      <c r="CU719">
        <v>26</v>
      </c>
      <c r="CV719">
        <v>33</v>
      </c>
      <c r="CW719">
        <v>42</v>
      </c>
      <c r="CX719">
        <v>23</v>
      </c>
      <c r="CY719">
        <v>37</v>
      </c>
      <c r="CZ719">
        <v>51</v>
      </c>
      <c r="DA719">
        <v>77</v>
      </c>
      <c r="DB719">
        <v>92</v>
      </c>
      <c r="DC719">
        <v>86</v>
      </c>
      <c r="DD719">
        <v>96</v>
      </c>
      <c r="DE719">
        <v>93</v>
      </c>
      <c r="DF719">
        <v>43</v>
      </c>
      <c r="DG719">
        <v>84</v>
      </c>
      <c r="DH719">
        <v>61</v>
      </c>
      <c r="DI719">
        <v>14</v>
      </c>
      <c r="DJ719">
        <v>99</v>
      </c>
      <c r="DK719">
        <v>39</v>
      </c>
    </row>
    <row r="720" spans="1:115">
      <c r="A720" s="173">
        <f>Calculations[[#This Row],[Sum t eCO2]]*IF(Calculations[[#This Row],[GHG Scope]]="BIOGENIC",0,1)</f>
        <v>741.56716768431659</v>
      </c>
      <c r="O720">
        <f t="shared" si="11"/>
        <v>63</v>
      </c>
      <c r="P720">
        <v>98</v>
      </c>
      <c r="Q720">
        <v>86</v>
      </c>
      <c r="R720">
        <v>84</v>
      </c>
      <c r="S720">
        <v>84</v>
      </c>
      <c r="T720">
        <v>89</v>
      </c>
      <c r="U720">
        <v>27</v>
      </c>
      <c r="V720">
        <v>60</v>
      </c>
      <c r="W720">
        <v>75</v>
      </c>
      <c r="X720">
        <v>12</v>
      </c>
      <c r="Y720">
        <v>23</v>
      </c>
      <c r="Z720">
        <v>20</v>
      </c>
      <c r="AA720">
        <v>30</v>
      </c>
      <c r="AB720">
        <v>52</v>
      </c>
      <c r="AC720">
        <v>60</v>
      </c>
      <c r="AD720">
        <v>81</v>
      </c>
      <c r="AE720">
        <v>95</v>
      </c>
      <c r="AF720">
        <v>44</v>
      </c>
      <c r="AG720">
        <v>40</v>
      </c>
      <c r="AH720">
        <v>21</v>
      </c>
      <c r="AI720">
        <v>40</v>
      </c>
      <c r="AJ720">
        <v>47</v>
      </c>
      <c r="AK720">
        <v>53</v>
      </c>
      <c r="AL720">
        <v>67</v>
      </c>
      <c r="AM720">
        <v>55</v>
      </c>
      <c r="AN720">
        <v>23</v>
      </c>
      <c r="AO720">
        <v>79</v>
      </c>
      <c r="AP720">
        <v>33</v>
      </c>
      <c r="AQ720">
        <v>22</v>
      </c>
      <c r="AR720">
        <v>64</v>
      </c>
      <c r="AS720">
        <v>38</v>
      </c>
      <c r="AT720">
        <v>91</v>
      </c>
      <c r="AU720">
        <v>77</v>
      </c>
      <c r="AV720">
        <v>47</v>
      </c>
      <c r="AW720">
        <v>43</v>
      </c>
      <c r="AX720">
        <v>37</v>
      </c>
      <c r="AY720">
        <v>47</v>
      </c>
      <c r="AZ720">
        <v>30</v>
      </c>
      <c r="BA720">
        <v>92</v>
      </c>
      <c r="BB720">
        <v>49</v>
      </c>
      <c r="BC720">
        <v>12</v>
      </c>
      <c r="BD720">
        <v>60</v>
      </c>
      <c r="BE720">
        <v>39</v>
      </c>
      <c r="BF720">
        <v>58</v>
      </c>
      <c r="BG720">
        <v>78</v>
      </c>
      <c r="BH720">
        <v>89</v>
      </c>
      <c r="BI720">
        <v>23</v>
      </c>
      <c r="BJ720">
        <v>34</v>
      </c>
      <c r="BK720">
        <v>76</v>
      </c>
      <c r="BL720">
        <v>24</v>
      </c>
      <c r="BM720">
        <v>16</v>
      </c>
      <c r="BN720">
        <v>39</v>
      </c>
      <c r="BO720">
        <v>72</v>
      </c>
      <c r="BP720">
        <v>55</v>
      </c>
      <c r="BQ720">
        <v>89</v>
      </c>
      <c r="BR720">
        <v>100</v>
      </c>
      <c r="BS720">
        <v>66</v>
      </c>
      <c r="BT720">
        <v>92</v>
      </c>
      <c r="BU720">
        <v>37</v>
      </c>
      <c r="BV720">
        <v>62</v>
      </c>
      <c r="BW720">
        <v>87</v>
      </c>
      <c r="BX720">
        <v>53</v>
      </c>
      <c r="BY720">
        <v>60</v>
      </c>
      <c r="BZ720">
        <v>74</v>
      </c>
      <c r="CA720">
        <v>43</v>
      </c>
      <c r="CB720">
        <v>58</v>
      </c>
      <c r="CC720">
        <v>72</v>
      </c>
      <c r="CD720">
        <v>11</v>
      </c>
      <c r="CE720">
        <v>79</v>
      </c>
      <c r="CF720">
        <v>61</v>
      </c>
      <c r="CG720">
        <v>17</v>
      </c>
      <c r="CH720">
        <v>48</v>
      </c>
      <c r="CI720">
        <v>66</v>
      </c>
      <c r="CJ720">
        <v>88</v>
      </c>
      <c r="CK720">
        <v>10</v>
      </c>
      <c r="CL720">
        <v>24</v>
      </c>
      <c r="CM720">
        <v>46</v>
      </c>
      <c r="CN720">
        <v>29</v>
      </c>
      <c r="CO720">
        <v>31</v>
      </c>
      <c r="CP720">
        <v>82</v>
      </c>
      <c r="CQ720">
        <v>66</v>
      </c>
      <c r="CR720">
        <v>15</v>
      </c>
      <c r="CS720">
        <v>97</v>
      </c>
      <c r="CT720">
        <v>84</v>
      </c>
      <c r="CU720">
        <v>53</v>
      </c>
      <c r="CV720">
        <v>86</v>
      </c>
      <c r="CW720">
        <v>94</v>
      </c>
      <c r="CX720">
        <v>67</v>
      </c>
      <c r="CY720">
        <v>37</v>
      </c>
      <c r="CZ720">
        <v>83</v>
      </c>
      <c r="DA720">
        <v>64</v>
      </c>
      <c r="DB720">
        <v>85</v>
      </c>
      <c r="DC720">
        <v>100</v>
      </c>
      <c r="DD720">
        <v>40</v>
      </c>
      <c r="DE720">
        <v>75</v>
      </c>
      <c r="DF720">
        <v>99</v>
      </c>
      <c r="DG720">
        <v>76</v>
      </c>
      <c r="DH720">
        <v>47</v>
      </c>
      <c r="DI720">
        <v>51</v>
      </c>
      <c r="DJ720">
        <v>14</v>
      </c>
      <c r="DK720">
        <v>39</v>
      </c>
    </row>
    <row r="721" spans="1:115">
      <c r="A721" s="173">
        <f>Calculations[[#This Row],[Sum t eCO2]]*IF(Calculations[[#This Row],[GHG Scope]]="BIOGENIC",0,1)</f>
        <v>11.437343701540525</v>
      </c>
      <c r="O721">
        <f t="shared" si="11"/>
        <v>64</v>
      </c>
      <c r="P721">
        <v>29</v>
      </c>
      <c r="Q721">
        <v>95</v>
      </c>
      <c r="R721">
        <v>48</v>
      </c>
      <c r="S721">
        <v>16</v>
      </c>
      <c r="T721">
        <v>88</v>
      </c>
      <c r="U721">
        <v>12</v>
      </c>
      <c r="V721">
        <v>53</v>
      </c>
      <c r="W721">
        <v>26</v>
      </c>
      <c r="X721">
        <v>89</v>
      </c>
      <c r="Y721">
        <v>71</v>
      </c>
      <c r="Z721">
        <v>28</v>
      </c>
      <c r="AA721">
        <v>49</v>
      </c>
      <c r="AB721">
        <v>48</v>
      </c>
      <c r="AC721">
        <v>82</v>
      </c>
      <c r="AD721">
        <v>16</v>
      </c>
      <c r="AE721">
        <v>13</v>
      </c>
      <c r="AF721">
        <v>25</v>
      </c>
      <c r="AG721">
        <v>17</v>
      </c>
      <c r="AH721">
        <v>62</v>
      </c>
      <c r="AI721">
        <v>39</v>
      </c>
      <c r="AJ721">
        <v>38</v>
      </c>
      <c r="AK721">
        <v>61</v>
      </c>
      <c r="AL721">
        <v>76</v>
      </c>
      <c r="AM721">
        <v>70</v>
      </c>
      <c r="AN721">
        <v>14</v>
      </c>
      <c r="AO721">
        <v>68</v>
      </c>
      <c r="AP721">
        <v>100</v>
      </c>
      <c r="AQ721">
        <v>64</v>
      </c>
      <c r="AR721">
        <v>44</v>
      </c>
      <c r="AS721">
        <v>37</v>
      </c>
      <c r="AT721">
        <v>59</v>
      </c>
      <c r="AU721">
        <v>67</v>
      </c>
      <c r="AV721">
        <v>54</v>
      </c>
      <c r="AW721">
        <v>23</v>
      </c>
      <c r="AX721">
        <v>93</v>
      </c>
      <c r="AY721">
        <v>86</v>
      </c>
      <c r="AZ721">
        <v>78</v>
      </c>
      <c r="BA721">
        <v>79</v>
      </c>
      <c r="BB721">
        <v>17</v>
      </c>
      <c r="BC721">
        <v>70</v>
      </c>
      <c r="BD721">
        <v>95</v>
      </c>
      <c r="BE721">
        <v>66</v>
      </c>
      <c r="BF721">
        <v>97</v>
      </c>
      <c r="BG721">
        <v>29</v>
      </c>
      <c r="BH721">
        <v>70</v>
      </c>
      <c r="BI721">
        <v>36</v>
      </c>
      <c r="BJ721">
        <v>11</v>
      </c>
      <c r="BK721">
        <v>27</v>
      </c>
      <c r="BL721">
        <v>34</v>
      </c>
      <c r="BM721">
        <v>92</v>
      </c>
      <c r="BN721">
        <v>11</v>
      </c>
      <c r="BO721">
        <v>74</v>
      </c>
      <c r="BP721">
        <v>23</v>
      </c>
      <c r="BQ721">
        <v>49</v>
      </c>
      <c r="BR721">
        <v>30</v>
      </c>
      <c r="BS721">
        <v>64</v>
      </c>
      <c r="BT721">
        <v>80</v>
      </c>
      <c r="BU721">
        <v>79</v>
      </c>
      <c r="BV721">
        <v>13</v>
      </c>
      <c r="BW721">
        <v>70</v>
      </c>
      <c r="BX721">
        <v>57</v>
      </c>
      <c r="BY721">
        <v>85</v>
      </c>
      <c r="BZ721">
        <v>48</v>
      </c>
      <c r="CA721">
        <v>27</v>
      </c>
      <c r="CB721">
        <v>11</v>
      </c>
      <c r="CC721">
        <v>97</v>
      </c>
      <c r="CD721">
        <v>66</v>
      </c>
      <c r="CE721">
        <v>52</v>
      </c>
      <c r="CF721">
        <v>41</v>
      </c>
      <c r="CG721">
        <v>40</v>
      </c>
      <c r="CH721">
        <v>97</v>
      </c>
      <c r="CI721">
        <v>77</v>
      </c>
      <c r="CJ721">
        <v>37</v>
      </c>
      <c r="CK721">
        <v>88</v>
      </c>
      <c r="CL721">
        <v>47</v>
      </c>
      <c r="CM721">
        <v>99</v>
      </c>
      <c r="CN721">
        <v>75</v>
      </c>
      <c r="CO721">
        <v>75</v>
      </c>
      <c r="CP721">
        <v>46</v>
      </c>
      <c r="CQ721">
        <v>91</v>
      </c>
      <c r="CR721">
        <v>55</v>
      </c>
      <c r="CS721">
        <v>76</v>
      </c>
      <c r="CT721">
        <v>83</v>
      </c>
      <c r="CU721">
        <v>30</v>
      </c>
      <c r="CV721">
        <v>76</v>
      </c>
      <c r="CW721">
        <v>53</v>
      </c>
      <c r="CX721">
        <v>59</v>
      </c>
      <c r="CY721">
        <v>23</v>
      </c>
      <c r="CZ721">
        <v>95</v>
      </c>
      <c r="DA721">
        <v>100</v>
      </c>
      <c r="DB721">
        <v>100</v>
      </c>
      <c r="DC721">
        <v>94</v>
      </c>
      <c r="DD721">
        <v>15</v>
      </c>
      <c r="DE721">
        <v>55</v>
      </c>
      <c r="DF721">
        <v>23</v>
      </c>
      <c r="DG721">
        <v>52</v>
      </c>
      <c r="DH721">
        <v>70</v>
      </c>
      <c r="DI721">
        <v>39</v>
      </c>
      <c r="DJ721">
        <v>36</v>
      </c>
      <c r="DK721">
        <v>46</v>
      </c>
    </row>
    <row r="722" spans="1:115">
      <c r="A722" s="173">
        <f>Calculations[[#This Row],[Sum t eCO2]]*IF(Calculations[[#This Row],[GHG Scope]]="BIOGENIC",0,1)</f>
        <v>92.683248601247968</v>
      </c>
      <c r="O722">
        <f t="shared" si="11"/>
        <v>65</v>
      </c>
      <c r="P722">
        <v>16</v>
      </c>
      <c r="Q722">
        <v>73</v>
      </c>
      <c r="R722">
        <v>98</v>
      </c>
      <c r="S722">
        <v>23</v>
      </c>
      <c r="T722">
        <v>24</v>
      </c>
      <c r="U722">
        <v>88</v>
      </c>
      <c r="V722">
        <v>46</v>
      </c>
      <c r="W722">
        <v>71</v>
      </c>
      <c r="X722">
        <v>71</v>
      </c>
      <c r="Y722">
        <v>97</v>
      </c>
      <c r="Z722">
        <v>50</v>
      </c>
      <c r="AA722">
        <v>39</v>
      </c>
      <c r="AB722">
        <v>47</v>
      </c>
      <c r="AC722">
        <v>74</v>
      </c>
      <c r="AD722">
        <v>67</v>
      </c>
      <c r="AE722">
        <v>95</v>
      </c>
      <c r="AF722">
        <v>13</v>
      </c>
      <c r="AG722">
        <v>84</v>
      </c>
      <c r="AH722">
        <v>76</v>
      </c>
      <c r="AI722">
        <v>58</v>
      </c>
      <c r="AJ722">
        <v>34</v>
      </c>
      <c r="AK722">
        <v>55</v>
      </c>
      <c r="AL722">
        <v>98</v>
      </c>
      <c r="AM722">
        <v>86</v>
      </c>
      <c r="AN722">
        <v>68</v>
      </c>
      <c r="AO722">
        <v>100</v>
      </c>
      <c r="AP722">
        <v>27</v>
      </c>
      <c r="AQ722">
        <v>97</v>
      </c>
      <c r="AR722">
        <v>94</v>
      </c>
      <c r="AS722">
        <v>74</v>
      </c>
      <c r="AT722">
        <v>56</v>
      </c>
      <c r="AU722">
        <v>63</v>
      </c>
      <c r="AV722">
        <v>97</v>
      </c>
      <c r="AW722">
        <v>18</v>
      </c>
      <c r="AX722">
        <v>89</v>
      </c>
      <c r="AY722">
        <v>65</v>
      </c>
      <c r="AZ722">
        <v>37</v>
      </c>
      <c r="BA722">
        <v>73</v>
      </c>
      <c r="BB722">
        <v>77</v>
      </c>
      <c r="BC722">
        <v>28</v>
      </c>
      <c r="BD722">
        <v>77</v>
      </c>
      <c r="BE722">
        <v>98</v>
      </c>
      <c r="BF722">
        <v>26</v>
      </c>
      <c r="BG722">
        <v>80</v>
      </c>
      <c r="BH722">
        <v>94</v>
      </c>
      <c r="BI722">
        <v>39</v>
      </c>
      <c r="BJ722">
        <v>43</v>
      </c>
      <c r="BK722">
        <v>93</v>
      </c>
      <c r="BL722">
        <v>14</v>
      </c>
      <c r="BM722">
        <v>73</v>
      </c>
      <c r="BN722">
        <v>22</v>
      </c>
      <c r="BO722">
        <v>39</v>
      </c>
      <c r="BP722">
        <v>63</v>
      </c>
      <c r="BQ722">
        <v>58</v>
      </c>
      <c r="BR722">
        <v>16</v>
      </c>
      <c r="BS722">
        <v>74</v>
      </c>
      <c r="BT722">
        <v>71</v>
      </c>
      <c r="BU722">
        <v>38</v>
      </c>
      <c r="BV722">
        <v>62</v>
      </c>
      <c r="BW722">
        <v>43</v>
      </c>
      <c r="BX722">
        <v>46</v>
      </c>
      <c r="BY722">
        <v>99</v>
      </c>
      <c r="BZ722">
        <v>78</v>
      </c>
      <c r="CA722">
        <v>31</v>
      </c>
      <c r="CB722">
        <v>94</v>
      </c>
      <c r="CC722">
        <v>89</v>
      </c>
      <c r="CD722">
        <v>98</v>
      </c>
      <c r="CE722">
        <v>76</v>
      </c>
      <c r="CF722">
        <v>67</v>
      </c>
      <c r="CG722">
        <v>21</v>
      </c>
      <c r="CH722">
        <v>17</v>
      </c>
      <c r="CI722">
        <v>92</v>
      </c>
      <c r="CJ722">
        <v>82</v>
      </c>
      <c r="CK722">
        <v>75</v>
      </c>
      <c r="CL722">
        <v>21</v>
      </c>
      <c r="CM722">
        <v>77</v>
      </c>
      <c r="CN722">
        <v>95</v>
      </c>
      <c r="CO722">
        <v>87</v>
      </c>
      <c r="CP722">
        <v>45</v>
      </c>
      <c r="CQ722">
        <v>44</v>
      </c>
      <c r="CR722">
        <v>54</v>
      </c>
      <c r="CS722">
        <v>75</v>
      </c>
      <c r="CT722">
        <v>13</v>
      </c>
      <c r="CU722">
        <v>100</v>
      </c>
      <c r="CV722">
        <v>60</v>
      </c>
      <c r="CW722">
        <v>27</v>
      </c>
      <c r="CX722">
        <v>67</v>
      </c>
      <c r="CY722">
        <v>92</v>
      </c>
      <c r="CZ722">
        <v>48</v>
      </c>
      <c r="DA722">
        <v>59</v>
      </c>
      <c r="DB722">
        <v>49</v>
      </c>
      <c r="DC722">
        <v>89</v>
      </c>
      <c r="DD722">
        <v>65</v>
      </c>
      <c r="DE722">
        <v>43</v>
      </c>
      <c r="DF722">
        <v>50</v>
      </c>
      <c r="DG722">
        <v>62</v>
      </c>
      <c r="DH722">
        <v>59</v>
      </c>
      <c r="DI722">
        <v>11</v>
      </c>
      <c r="DJ722">
        <v>53</v>
      </c>
      <c r="DK722">
        <v>94</v>
      </c>
    </row>
    <row r="723" spans="1:115">
      <c r="A723" s="173">
        <f>Calculations[[#This Row],[Sum t eCO2]]*IF(Calculations[[#This Row],[GHG Scope]]="BIOGENIC",0,1)</f>
        <v>1261.9312592786941</v>
      </c>
      <c r="O723">
        <f t="shared" si="11"/>
        <v>66</v>
      </c>
      <c r="P723">
        <v>59</v>
      </c>
      <c r="Q723">
        <v>61</v>
      </c>
      <c r="R723">
        <v>98</v>
      </c>
      <c r="S723">
        <v>10</v>
      </c>
      <c r="T723">
        <v>34</v>
      </c>
      <c r="U723">
        <v>95</v>
      </c>
      <c r="V723">
        <v>21</v>
      </c>
      <c r="W723">
        <v>76</v>
      </c>
      <c r="X723">
        <v>57</v>
      </c>
      <c r="Y723">
        <v>95</v>
      </c>
      <c r="Z723">
        <v>74</v>
      </c>
      <c r="AA723">
        <v>38</v>
      </c>
      <c r="AB723">
        <v>13</v>
      </c>
      <c r="AC723">
        <v>78</v>
      </c>
      <c r="AD723">
        <v>17</v>
      </c>
      <c r="AE723">
        <v>57</v>
      </c>
      <c r="AF723">
        <v>34</v>
      </c>
      <c r="AG723">
        <v>25</v>
      </c>
      <c r="AH723">
        <v>36</v>
      </c>
      <c r="AI723">
        <v>28</v>
      </c>
      <c r="AJ723">
        <v>78</v>
      </c>
      <c r="AK723">
        <v>89</v>
      </c>
      <c r="AL723">
        <v>25</v>
      </c>
      <c r="AM723">
        <v>88</v>
      </c>
      <c r="AN723">
        <v>20</v>
      </c>
      <c r="AO723">
        <v>52</v>
      </c>
      <c r="AP723">
        <v>14</v>
      </c>
      <c r="AQ723">
        <v>79</v>
      </c>
      <c r="AR723">
        <v>67</v>
      </c>
      <c r="AS723">
        <v>67</v>
      </c>
      <c r="AT723">
        <v>76</v>
      </c>
      <c r="AU723">
        <v>100</v>
      </c>
      <c r="AV723">
        <v>14</v>
      </c>
      <c r="AW723">
        <v>98</v>
      </c>
      <c r="AX723">
        <v>58</v>
      </c>
      <c r="AY723">
        <v>34</v>
      </c>
      <c r="AZ723">
        <v>63</v>
      </c>
      <c r="BA723">
        <v>99</v>
      </c>
      <c r="BB723">
        <v>62</v>
      </c>
      <c r="BC723">
        <v>48</v>
      </c>
      <c r="BD723">
        <v>89</v>
      </c>
      <c r="BE723">
        <v>86</v>
      </c>
      <c r="BF723">
        <v>35</v>
      </c>
      <c r="BG723">
        <v>79</v>
      </c>
      <c r="BH723">
        <v>93</v>
      </c>
      <c r="BI723">
        <v>67</v>
      </c>
      <c r="BJ723">
        <v>39</v>
      </c>
      <c r="BK723">
        <v>15</v>
      </c>
      <c r="BL723">
        <v>78</v>
      </c>
      <c r="BM723">
        <v>35</v>
      </c>
      <c r="BN723">
        <v>45</v>
      </c>
      <c r="BO723">
        <v>80</v>
      </c>
      <c r="BP723">
        <v>55</v>
      </c>
      <c r="BQ723">
        <v>29</v>
      </c>
      <c r="BR723">
        <v>89</v>
      </c>
      <c r="BS723">
        <v>37</v>
      </c>
      <c r="BT723">
        <v>69</v>
      </c>
      <c r="BU723">
        <v>16</v>
      </c>
      <c r="BV723">
        <v>62</v>
      </c>
      <c r="BW723">
        <v>52</v>
      </c>
      <c r="BX723">
        <v>96</v>
      </c>
      <c r="BY723">
        <v>81</v>
      </c>
      <c r="BZ723">
        <v>67</v>
      </c>
      <c r="CA723">
        <v>92</v>
      </c>
      <c r="CB723">
        <v>49</v>
      </c>
      <c r="CC723">
        <v>64</v>
      </c>
      <c r="CD723">
        <v>66</v>
      </c>
      <c r="CE723">
        <v>61</v>
      </c>
      <c r="CF723">
        <v>83</v>
      </c>
      <c r="CG723">
        <v>58</v>
      </c>
      <c r="CH723">
        <v>91</v>
      </c>
      <c r="CI723">
        <v>23</v>
      </c>
      <c r="CJ723">
        <v>39</v>
      </c>
      <c r="CK723">
        <v>73</v>
      </c>
      <c r="CL723">
        <v>56</v>
      </c>
      <c r="CM723">
        <v>33</v>
      </c>
      <c r="CN723">
        <v>27</v>
      </c>
      <c r="CO723">
        <v>54</v>
      </c>
      <c r="CP723">
        <v>66</v>
      </c>
      <c r="CQ723">
        <v>39</v>
      </c>
      <c r="CR723">
        <v>92</v>
      </c>
      <c r="CS723">
        <v>49</v>
      </c>
      <c r="CT723">
        <v>100</v>
      </c>
      <c r="CU723">
        <v>66</v>
      </c>
      <c r="CV723">
        <v>27</v>
      </c>
      <c r="CW723">
        <v>77</v>
      </c>
      <c r="CX723">
        <v>17</v>
      </c>
      <c r="CY723">
        <v>88</v>
      </c>
      <c r="CZ723">
        <v>77</v>
      </c>
      <c r="DA723">
        <v>98</v>
      </c>
      <c r="DB723">
        <v>78</v>
      </c>
      <c r="DC723">
        <v>49</v>
      </c>
      <c r="DD723">
        <v>17</v>
      </c>
      <c r="DE723">
        <v>45</v>
      </c>
      <c r="DF723">
        <v>31</v>
      </c>
      <c r="DG723">
        <v>35</v>
      </c>
      <c r="DH723">
        <v>17</v>
      </c>
      <c r="DI723">
        <v>32</v>
      </c>
      <c r="DJ723">
        <v>93</v>
      </c>
      <c r="DK723">
        <v>48</v>
      </c>
    </row>
    <row r="724" spans="1:115">
      <c r="A724" s="173">
        <f>Calculations[[#This Row],[Sum t eCO2]]*IF(Calculations[[#This Row],[GHG Scope]]="BIOGENIC",0,1)</f>
        <v>2.1362715965760479</v>
      </c>
      <c r="O724">
        <f t="shared" ref="O724:O787" si="12">O723+1</f>
        <v>67</v>
      </c>
      <c r="P724">
        <v>83</v>
      </c>
      <c r="Q724">
        <v>64</v>
      </c>
      <c r="R724">
        <v>58</v>
      </c>
      <c r="S724">
        <v>21</v>
      </c>
      <c r="T724">
        <v>59</v>
      </c>
      <c r="U724">
        <v>48</v>
      </c>
      <c r="V724">
        <v>66</v>
      </c>
      <c r="W724">
        <v>17</v>
      </c>
      <c r="X724">
        <v>64</v>
      </c>
      <c r="Y724">
        <v>87</v>
      </c>
      <c r="Z724">
        <v>55</v>
      </c>
      <c r="AA724">
        <v>41</v>
      </c>
      <c r="AB724">
        <v>33</v>
      </c>
      <c r="AC724">
        <v>63</v>
      </c>
      <c r="AD724">
        <v>51</v>
      </c>
      <c r="AE724">
        <v>27</v>
      </c>
      <c r="AF724">
        <v>57</v>
      </c>
      <c r="AG724">
        <v>42</v>
      </c>
      <c r="AH724">
        <v>95</v>
      </c>
      <c r="AI724">
        <v>18</v>
      </c>
      <c r="AJ724">
        <v>49</v>
      </c>
      <c r="AK724">
        <v>50</v>
      </c>
      <c r="AL724">
        <v>45</v>
      </c>
      <c r="AM724">
        <v>90</v>
      </c>
      <c r="AN724">
        <v>99</v>
      </c>
      <c r="AO724">
        <v>95</v>
      </c>
      <c r="AP724">
        <v>76</v>
      </c>
      <c r="AQ724">
        <v>79</v>
      </c>
      <c r="AR724">
        <v>82</v>
      </c>
      <c r="AS724">
        <v>46</v>
      </c>
      <c r="AT724">
        <v>10</v>
      </c>
      <c r="AU724">
        <v>46</v>
      </c>
      <c r="AV724">
        <v>28</v>
      </c>
      <c r="AW724">
        <v>31</v>
      </c>
      <c r="AX724">
        <v>29</v>
      </c>
      <c r="AY724">
        <v>89</v>
      </c>
      <c r="AZ724">
        <v>67</v>
      </c>
      <c r="BA724">
        <v>30</v>
      </c>
      <c r="BB724">
        <v>96</v>
      </c>
      <c r="BC724">
        <v>12</v>
      </c>
      <c r="BD724">
        <v>39</v>
      </c>
      <c r="BE724">
        <v>100</v>
      </c>
      <c r="BF724">
        <v>70</v>
      </c>
      <c r="BG724">
        <v>71</v>
      </c>
      <c r="BH724">
        <v>16</v>
      </c>
      <c r="BI724">
        <v>73</v>
      </c>
      <c r="BJ724">
        <v>96</v>
      </c>
      <c r="BK724">
        <v>74</v>
      </c>
      <c r="BL724">
        <v>83</v>
      </c>
      <c r="BM724">
        <v>59</v>
      </c>
      <c r="BN724">
        <v>48</v>
      </c>
      <c r="BO724">
        <v>53</v>
      </c>
      <c r="BP724">
        <v>94</v>
      </c>
      <c r="BQ724">
        <v>17</v>
      </c>
      <c r="BR724">
        <v>73</v>
      </c>
      <c r="BS724">
        <v>97</v>
      </c>
      <c r="BT724">
        <v>17</v>
      </c>
      <c r="BU724">
        <v>89</v>
      </c>
      <c r="BV724">
        <v>14</v>
      </c>
      <c r="BW724">
        <v>44</v>
      </c>
      <c r="BX724">
        <v>75</v>
      </c>
      <c r="BY724">
        <v>49</v>
      </c>
      <c r="BZ724">
        <v>46</v>
      </c>
      <c r="CA724">
        <v>36</v>
      </c>
      <c r="CB724">
        <v>60</v>
      </c>
      <c r="CC724">
        <v>56</v>
      </c>
      <c r="CD724">
        <v>46</v>
      </c>
      <c r="CE724">
        <v>58</v>
      </c>
      <c r="CF724">
        <v>41</v>
      </c>
      <c r="CG724">
        <v>58</v>
      </c>
      <c r="CH724">
        <v>78</v>
      </c>
      <c r="CI724">
        <v>90</v>
      </c>
      <c r="CJ724">
        <v>51</v>
      </c>
      <c r="CK724">
        <v>69</v>
      </c>
      <c r="CL724">
        <v>93</v>
      </c>
      <c r="CM724">
        <v>56</v>
      </c>
      <c r="CN724">
        <v>76</v>
      </c>
      <c r="CO724">
        <v>39</v>
      </c>
      <c r="CP724">
        <v>59</v>
      </c>
      <c r="CQ724">
        <v>65</v>
      </c>
      <c r="CR724">
        <v>81</v>
      </c>
      <c r="CS724">
        <v>37</v>
      </c>
      <c r="CT724">
        <v>91</v>
      </c>
      <c r="CU724">
        <v>26</v>
      </c>
      <c r="CV724">
        <v>54</v>
      </c>
      <c r="CW724">
        <v>95</v>
      </c>
      <c r="CX724">
        <v>82</v>
      </c>
      <c r="CY724">
        <v>23</v>
      </c>
      <c r="CZ724">
        <v>86</v>
      </c>
      <c r="DA724">
        <v>48</v>
      </c>
      <c r="DB724">
        <v>20</v>
      </c>
      <c r="DC724">
        <v>65</v>
      </c>
      <c r="DD724">
        <v>99</v>
      </c>
      <c r="DE724">
        <v>97</v>
      </c>
      <c r="DF724">
        <v>46</v>
      </c>
      <c r="DG724">
        <v>87</v>
      </c>
      <c r="DH724">
        <v>16</v>
      </c>
      <c r="DI724">
        <v>32</v>
      </c>
      <c r="DJ724">
        <v>30</v>
      </c>
      <c r="DK724">
        <v>83</v>
      </c>
    </row>
    <row r="725" spans="1:115">
      <c r="A725" s="173">
        <f>Calculations[[#This Row],[Sum t eCO2]]*IF(Calculations[[#This Row],[GHG Scope]]="BIOGENIC",0,1)</f>
        <v>4.4494286939664052E-3</v>
      </c>
      <c r="O725">
        <f t="shared" si="12"/>
        <v>68</v>
      </c>
      <c r="P725">
        <v>21</v>
      </c>
      <c r="Q725">
        <v>63</v>
      </c>
      <c r="R725">
        <v>92</v>
      </c>
      <c r="S725">
        <v>23</v>
      </c>
      <c r="T725">
        <v>22</v>
      </c>
      <c r="U725">
        <v>68</v>
      </c>
      <c r="V725">
        <v>37</v>
      </c>
      <c r="W725">
        <v>72</v>
      </c>
      <c r="X725">
        <v>98</v>
      </c>
      <c r="Y725">
        <v>33</v>
      </c>
      <c r="Z725">
        <v>13</v>
      </c>
      <c r="AA725">
        <v>48</v>
      </c>
      <c r="AB725">
        <v>32</v>
      </c>
      <c r="AC725">
        <v>62</v>
      </c>
      <c r="AD725">
        <v>46</v>
      </c>
      <c r="AE725">
        <v>38</v>
      </c>
      <c r="AF725">
        <v>30</v>
      </c>
      <c r="AG725">
        <v>41</v>
      </c>
      <c r="AH725">
        <v>20</v>
      </c>
      <c r="AI725">
        <v>41</v>
      </c>
      <c r="AJ725">
        <v>25</v>
      </c>
      <c r="AK725">
        <v>32</v>
      </c>
      <c r="AL725">
        <v>68</v>
      </c>
      <c r="AM725">
        <v>35</v>
      </c>
      <c r="AN725">
        <v>13</v>
      </c>
      <c r="AO725">
        <v>77</v>
      </c>
      <c r="AP725">
        <v>10</v>
      </c>
      <c r="AQ725">
        <v>43</v>
      </c>
      <c r="AR725">
        <v>15</v>
      </c>
      <c r="AS725">
        <v>84</v>
      </c>
      <c r="AT725">
        <v>83</v>
      </c>
      <c r="AU725">
        <v>70</v>
      </c>
      <c r="AV725">
        <v>60</v>
      </c>
      <c r="AW725">
        <v>20</v>
      </c>
      <c r="AX725">
        <v>36</v>
      </c>
      <c r="AY725">
        <v>73</v>
      </c>
      <c r="AZ725">
        <v>52</v>
      </c>
      <c r="BA725">
        <v>68</v>
      </c>
      <c r="BB725">
        <v>35</v>
      </c>
      <c r="BC725">
        <v>59</v>
      </c>
      <c r="BD725">
        <v>84</v>
      </c>
      <c r="BE725">
        <v>16</v>
      </c>
      <c r="BF725">
        <v>62</v>
      </c>
      <c r="BG725">
        <v>44</v>
      </c>
      <c r="BH725">
        <v>31</v>
      </c>
      <c r="BI725">
        <v>35</v>
      </c>
      <c r="BJ725">
        <v>41</v>
      </c>
      <c r="BK725">
        <v>59</v>
      </c>
      <c r="BL725">
        <v>99</v>
      </c>
      <c r="BM725">
        <v>46</v>
      </c>
      <c r="BN725">
        <v>75</v>
      </c>
      <c r="BO725">
        <v>71</v>
      </c>
      <c r="BP725">
        <v>56</v>
      </c>
      <c r="BQ725">
        <v>30</v>
      </c>
      <c r="BR725">
        <v>40</v>
      </c>
      <c r="BS725">
        <v>32</v>
      </c>
      <c r="BT725">
        <v>12</v>
      </c>
      <c r="BU725">
        <v>69</v>
      </c>
      <c r="BV725">
        <v>22</v>
      </c>
      <c r="BW725">
        <v>16</v>
      </c>
      <c r="BX725">
        <v>31</v>
      </c>
      <c r="BY725">
        <v>23</v>
      </c>
      <c r="BZ725">
        <v>14</v>
      </c>
      <c r="CA725">
        <v>45</v>
      </c>
      <c r="CB725">
        <v>21</v>
      </c>
      <c r="CC725">
        <v>20</v>
      </c>
      <c r="CD725">
        <v>59</v>
      </c>
      <c r="CE725">
        <v>18</v>
      </c>
      <c r="CF725">
        <v>16</v>
      </c>
      <c r="CG725">
        <v>19</v>
      </c>
      <c r="CH725">
        <v>58</v>
      </c>
      <c r="CI725">
        <v>85</v>
      </c>
      <c r="CJ725">
        <v>88</v>
      </c>
      <c r="CK725">
        <v>91</v>
      </c>
      <c r="CL725">
        <v>13</v>
      </c>
      <c r="CM725">
        <v>15</v>
      </c>
      <c r="CN725">
        <v>93</v>
      </c>
      <c r="CO725">
        <v>31</v>
      </c>
      <c r="CP725">
        <v>40</v>
      </c>
      <c r="CQ725">
        <v>99</v>
      </c>
      <c r="CR725">
        <v>17</v>
      </c>
      <c r="CS725">
        <v>97</v>
      </c>
      <c r="CT725">
        <v>70</v>
      </c>
      <c r="CU725">
        <v>70</v>
      </c>
      <c r="CV725">
        <v>84</v>
      </c>
      <c r="CW725">
        <v>67</v>
      </c>
      <c r="CX725">
        <v>51</v>
      </c>
      <c r="CY725">
        <v>90</v>
      </c>
      <c r="CZ725">
        <v>100</v>
      </c>
      <c r="DA725">
        <v>24</v>
      </c>
      <c r="DB725">
        <v>18</v>
      </c>
      <c r="DC725">
        <v>19</v>
      </c>
      <c r="DD725">
        <v>47</v>
      </c>
      <c r="DE725">
        <v>32</v>
      </c>
      <c r="DF725">
        <v>90</v>
      </c>
      <c r="DG725">
        <v>26</v>
      </c>
      <c r="DH725">
        <v>31</v>
      </c>
      <c r="DI725">
        <v>35</v>
      </c>
      <c r="DJ725">
        <v>26</v>
      </c>
      <c r="DK725">
        <v>91</v>
      </c>
    </row>
    <row r="726" spans="1:115">
      <c r="A726" s="173">
        <f>Calculations[[#This Row],[Sum t eCO2]]*IF(Calculations[[#This Row],[GHG Scope]]="BIOGENIC",0,1)</f>
        <v>1.3213909757880844</v>
      </c>
      <c r="O726">
        <f t="shared" si="12"/>
        <v>69</v>
      </c>
      <c r="P726">
        <v>97</v>
      </c>
      <c r="Q726">
        <v>12</v>
      </c>
      <c r="R726">
        <v>87</v>
      </c>
      <c r="S726">
        <v>26</v>
      </c>
      <c r="T726">
        <v>24</v>
      </c>
      <c r="U726">
        <v>85</v>
      </c>
      <c r="V726">
        <v>94</v>
      </c>
      <c r="W726">
        <v>79</v>
      </c>
      <c r="X726">
        <v>77</v>
      </c>
      <c r="Y726">
        <v>30</v>
      </c>
      <c r="Z726">
        <v>35</v>
      </c>
      <c r="AA726">
        <v>35</v>
      </c>
      <c r="AB726">
        <v>32</v>
      </c>
      <c r="AC726">
        <v>20</v>
      </c>
      <c r="AD726">
        <v>67</v>
      </c>
      <c r="AE726">
        <v>65</v>
      </c>
      <c r="AF726">
        <v>77</v>
      </c>
      <c r="AG726">
        <v>57</v>
      </c>
      <c r="AH726">
        <v>36</v>
      </c>
      <c r="AI726">
        <v>86</v>
      </c>
      <c r="AJ726">
        <v>27</v>
      </c>
      <c r="AK726">
        <v>28</v>
      </c>
      <c r="AL726">
        <v>53</v>
      </c>
      <c r="AM726">
        <v>19</v>
      </c>
      <c r="AN726">
        <v>86</v>
      </c>
      <c r="AO726">
        <v>44</v>
      </c>
      <c r="AP726">
        <v>55</v>
      </c>
      <c r="AQ726">
        <v>70</v>
      </c>
      <c r="AR726">
        <v>45</v>
      </c>
      <c r="AS726">
        <v>69</v>
      </c>
      <c r="AT726">
        <v>72</v>
      </c>
      <c r="AU726">
        <v>45</v>
      </c>
      <c r="AV726">
        <v>26</v>
      </c>
      <c r="AW726">
        <v>77</v>
      </c>
      <c r="AX726">
        <v>85</v>
      </c>
      <c r="AY726">
        <v>47</v>
      </c>
      <c r="AZ726">
        <v>28</v>
      </c>
      <c r="BA726">
        <v>47</v>
      </c>
      <c r="BB726">
        <v>70</v>
      </c>
      <c r="BC726">
        <v>79</v>
      </c>
      <c r="BD726">
        <v>50</v>
      </c>
      <c r="BE726">
        <v>85</v>
      </c>
      <c r="BF726">
        <v>37</v>
      </c>
      <c r="BG726">
        <v>64</v>
      </c>
      <c r="BH726">
        <v>97</v>
      </c>
      <c r="BI726">
        <v>55</v>
      </c>
      <c r="BJ726">
        <v>60</v>
      </c>
      <c r="BK726">
        <v>99</v>
      </c>
      <c r="BL726">
        <v>49</v>
      </c>
      <c r="BM726">
        <v>31</v>
      </c>
      <c r="BN726">
        <v>94</v>
      </c>
      <c r="BO726">
        <v>37</v>
      </c>
      <c r="BP726">
        <v>77</v>
      </c>
      <c r="BQ726">
        <v>90</v>
      </c>
      <c r="BR726">
        <v>46</v>
      </c>
      <c r="BS726">
        <v>83</v>
      </c>
      <c r="BT726">
        <v>36</v>
      </c>
      <c r="BU726">
        <v>37</v>
      </c>
      <c r="BV726">
        <v>29</v>
      </c>
      <c r="BW726">
        <v>15</v>
      </c>
      <c r="BX726">
        <v>25</v>
      </c>
      <c r="BY726">
        <v>78</v>
      </c>
      <c r="BZ726">
        <v>74</v>
      </c>
      <c r="CA726">
        <v>87</v>
      </c>
      <c r="CB726">
        <v>65</v>
      </c>
      <c r="CC726">
        <v>24</v>
      </c>
      <c r="CD726">
        <v>50</v>
      </c>
      <c r="CE726">
        <v>90</v>
      </c>
      <c r="CF726">
        <v>58</v>
      </c>
      <c r="CG726">
        <v>31</v>
      </c>
      <c r="CH726">
        <v>64</v>
      </c>
      <c r="CI726">
        <v>46</v>
      </c>
      <c r="CJ726">
        <v>16</v>
      </c>
      <c r="CK726">
        <v>19</v>
      </c>
      <c r="CL726">
        <v>80</v>
      </c>
      <c r="CM726">
        <v>67</v>
      </c>
      <c r="CN726">
        <v>43</v>
      </c>
      <c r="CO726">
        <v>41</v>
      </c>
      <c r="CP726">
        <v>80</v>
      </c>
      <c r="CQ726">
        <v>94</v>
      </c>
      <c r="CR726">
        <v>62</v>
      </c>
      <c r="CS726">
        <v>52</v>
      </c>
      <c r="CT726">
        <v>37</v>
      </c>
      <c r="CU726">
        <v>83</v>
      </c>
      <c r="CV726">
        <v>51</v>
      </c>
      <c r="CW726">
        <v>53</v>
      </c>
      <c r="CX726">
        <v>55</v>
      </c>
      <c r="CY726">
        <v>50</v>
      </c>
      <c r="CZ726">
        <v>96</v>
      </c>
      <c r="DA726">
        <v>56</v>
      </c>
      <c r="DB726">
        <v>63</v>
      </c>
      <c r="DC726">
        <v>52</v>
      </c>
      <c r="DD726">
        <v>77</v>
      </c>
      <c r="DE726">
        <v>77</v>
      </c>
      <c r="DF726">
        <v>40</v>
      </c>
      <c r="DG726">
        <v>34</v>
      </c>
      <c r="DH726">
        <v>48</v>
      </c>
      <c r="DI726">
        <v>95</v>
      </c>
      <c r="DJ726">
        <v>67</v>
      </c>
      <c r="DK726">
        <v>36</v>
      </c>
    </row>
    <row r="727" spans="1:115">
      <c r="A727" s="173">
        <f>Calculations[[#This Row],[Sum t eCO2]]*IF(Calculations[[#This Row],[GHG Scope]]="BIOGENIC",0,1)</f>
        <v>4.2589931458646424</v>
      </c>
      <c r="O727">
        <f t="shared" si="12"/>
        <v>70</v>
      </c>
      <c r="P727">
        <v>87</v>
      </c>
      <c r="Q727">
        <v>58</v>
      </c>
      <c r="R727">
        <v>79</v>
      </c>
      <c r="S727">
        <v>43</v>
      </c>
      <c r="T727">
        <v>67</v>
      </c>
      <c r="U727">
        <v>51</v>
      </c>
      <c r="V727">
        <v>73</v>
      </c>
      <c r="W727">
        <v>16</v>
      </c>
      <c r="X727">
        <v>61</v>
      </c>
      <c r="Y727">
        <v>81</v>
      </c>
      <c r="Z727">
        <v>37</v>
      </c>
      <c r="AA727">
        <v>77</v>
      </c>
      <c r="AB727">
        <v>91</v>
      </c>
      <c r="AC727">
        <v>57</v>
      </c>
      <c r="AD727">
        <v>39</v>
      </c>
      <c r="AE727">
        <v>85</v>
      </c>
      <c r="AF727">
        <v>16</v>
      </c>
      <c r="AG727">
        <v>59</v>
      </c>
      <c r="AH727">
        <v>25</v>
      </c>
      <c r="AI727">
        <v>49</v>
      </c>
      <c r="AJ727">
        <v>94</v>
      </c>
      <c r="AK727">
        <v>91</v>
      </c>
      <c r="AL727">
        <v>80</v>
      </c>
      <c r="AM727">
        <v>61</v>
      </c>
      <c r="AN727">
        <v>76</v>
      </c>
      <c r="AO727">
        <v>38</v>
      </c>
      <c r="AP727">
        <v>88</v>
      </c>
      <c r="AQ727">
        <v>61</v>
      </c>
      <c r="AR727">
        <v>53</v>
      </c>
      <c r="AS727">
        <v>28</v>
      </c>
      <c r="AT727">
        <v>67</v>
      </c>
      <c r="AU727">
        <v>22</v>
      </c>
      <c r="AV727">
        <v>39</v>
      </c>
      <c r="AW727">
        <v>24</v>
      </c>
      <c r="AX727">
        <v>81</v>
      </c>
      <c r="AY727">
        <v>88</v>
      </c>
      <c r="AZ727">
        <v>73</v>
      </c>
      <c r="BA727">
        <v>10</v>
      </c>
      <c r="BB727">
        <v>91</v>
      </c>
      <c r="BC727">
        <v>100</v>
      </c>
      <c r="BD727">
        <v>94</v>
      </c>
      <c r="BE727">
        <v>86</v>
      </c>
      <c r="BF727">
        <v>70</v>
      </c>
      <c r="BG727">
        <v>90</v>
      </c>
      <c r="BH727">
        <v>43</v>
      </c>
      <c r="BI727">
        <v>42</v>
      </c>
      <c r="BJ727">
        <v>49</v>
      </c>
      <c r="BK727">
        <v>44</v>
      </c>
      <c r="BL727">
        <v>75</v>
      </c>
      <c r="BM727">
        <v>91</v>
      </c>
      <c r="BN727">
        <v>36</v>
      </c>
      <c r="BO727">
        <v>78</v>
      </c>
      <c r="BP727">
        <v>39</v>
      </c>
      <c r="BQ727">
        <v>62</v>
      </c>
      <c r="BR727">
        <v>74</v>
      </c>
      <c r="BS727">
        <v>60</v>
      </c>
      <c r="BT727">
        <v>96</v>
      </c>
      <c r="BU727">
        <v>48</v>
      </c>
      <c r="BV727">
        <v>18</v>
      </c>
      <c r="BW727">
        <v>35</v>
      </c>
      <c r="BX727">
        <v>81</v>
      </c>
      <c r="BY727">
        <v>60</v>
      </c>
      <c r="BZ727">
        <v>35</v>
      </c>
      <c r="CA727">
        <v>19</v>
      </c>
      <c r="CB727">
        <v>98</v>
      </c>
      <c r="CC727">
        <v>11</v>
      </c>
      <c r="CD727">
        <v>76</v>
      </c>
      <c r="CE727">
        <v>12</v>
      </c>
      <c r="CF727">
        <v>11</v>
      </c>
      <c r="CG727">
        <v>21</v>
      </c>
      <c r="CH727">
        <v>44</v>
      </c>
      <c r="CI727">
        <v>41</v>
      </c>
      <c r="CJ727">
        <v>10</v>
      </c>
      <c r="CK727">
        <v>72</v>
      </c>
      <c r="CL727">
        <v>10</v>
      </c>
      <c r="CM727">
        <v>79</v>
      </c>
      <c r="CN727">
        <v>50</v>
      </c>
      <c r="CO727">
        <v>79</v>
      </c>
      <c r="CP727">
        <v>31</v>
      </c>
      <c r="CQ727">
        <v>46</v>
      </c>
      <c r="CR727">
        <v>38</v>
      </c>
      <c r="CS727">
        <v>16</v>
      </c>
      <c r="CT727">
        <v>68</v>
      </c>
      <c r="CU727">
        <v>64</v>
      </c>
      <c r="CV727">
        <v>21</v>
      </c>
      <c r="CW727">
        <v>69</v>
      </c>
      <c r="CX727">
        <v>64</v>
      </c>
      <c r="CY727">
        <v>36</v>
      </c>
      <c r="CZ727">
        <v>21</v>
      </c>
      <c r="DA727">
        <v>70</v>
      </c>
      <c r="DB727">
        <v>17</v>
      </c>
      <c r="DC727">
        <v>36</v>
      </c>
      <c r="DD727">
        <v>18</v>
      </c>
      <c r="DE727">
        <v>48</v>
      </c>
      <c r="DF727">
        <v>25</v>
      </c>
      <c r="DG727">
        <v>94</v>
      </c>
      <c r="DH727">
        <v>45</v>
      </c>
      <c r="DI727">
        <v>11</v>
      </c>
      <c r="DJ727">
        <v>97</v>
      </c>
      <c r="DK727">
        <v>99</v>
      </c>
    </row>
    <row r="728" spans="1:115">
      <c r="A728" s="173">
        <f>Calculations[[#This Row],[Sum t eCO2]]*IF(Calculations[[#This Row],[GHG Scope]]="BIOGENIC",0,1)</f>
        <v>108.85660535097811</v>
      </c>
      <c r="O728">
        <f t="shared" si="12"/>
        <v>71</v>
      </c>
      <c r="P728">
        <v>35</v>
      </c>
      <c r="Q728">
        <v>55</v>
      </c>
      <c r="R728">
        <v>58</v>
      </c>
      <c r="S728">
        <v>62</v>
      </c>
      <c r="T728">
        <v>100</v>
      </c>
      <c r="U728">
        <v>87</v>
      </c>
      <c r="V728">
        <v>10</v>
      </c>
      <c r="W728">
        <v>84</v>
      </c>
      <c r="X728">
        <v>93</v>
      </c>
      <c r="Y728">
        <v>45</v>
      </c>
      <c r="Z728">
        <v>50</v>
      </c>
      <c r="AA728">
        <v>19</v>
      </c>
      <c r="AB728">
        <v>29</v>
      </c>
      <c r="AC728">
        <v>25</v>
      </c>
      <c r="AD728">
        <v>31</v>
      </c>
      <c r="AE728">
        <v>51</v>
      </c>
      <c r="AF728">
        <v>85</v>
      </c>
      <c r="AG728">
        <v>93</v>
      </c>
      <c r="AH728">
        <v>32</v>
      </c>
      <c r="AI728">
        <v>71</v>
      </c>
      <c r="AJ728">
        <v>69</v>
      </c>
      <c r="AK728">
        <v>98</v>
      </c>
      <c r="AL728">
        <v>79</v>
      </c>
      <c r="AM728">
        <v>95</v>
      </c>
      <c r="AN728">
        <v>70</v>
      </c>
      <c r="AO728">
        <v>53</v>
      </c>
      <c r="AP728">
        <v>55</v>
      </c>
      <c r="AQ728">
        <v>14</v>
      </c>
      <c r="AR728">
        <v>25</v>
      </c>
      <c r="AS728">
        <v>68</v>
      </c>
      <c r="AT728">
        <v>19</v>
      </c>
      <c r="AU728">
        <v>55</v>
      </c>
      <c r="AV728">
        <v>89</v>
      </c>
      <c r="AW728">
        <v>57</v>
      </c>
      <c r="AX728">
        <v>48</v>
      </c>
      <c r="AY728">
        <v>35</v>
      </c>
      <c r="AZ728">
        <v>26</v>
      </c>
      <c r="BA728">
        <v>32</v>
      </c>
      <c r="BB728">
        <v>62</v>
      </c>
      <c r="BC728">
        <v>29</v>
      </c>
      <c r="BD728">
        <v>58</v>
      </c>
      <c r="BE728">
        <v>19</v>
      </c>
      <c r="BF728">
        <v>16</v>
      </c>
      <c r="BG728">
        <v>73</v>
      </c>
      <c r="BH728">
        <v>55</v>
      </c>
      <c r="BI728">
        <v>33</v>
      </c>
      <c r="BJ728">
        <v>80</v>
      </c>
      <c r="BK728">
        <v>73</v>
      </c>
      <c r="BL728">
        <v>36</v>
      </c>
      <c r="BM728">
        <v>58</v>
      </c>
      <c r="BN728">
        <v>17</v>
      </c>
      <c r="BO728">
        <v>81</v>
      </c>
      <c r="BP728">
        <v>63</v>
      </c>
      <c r="BQ728">
        <v>24</v>
      </c>
      <c r="BR728">
        <v>36</v>
      </c>
      <c r="BS728">
        <v>69</v>
      </c>
      <c r="BT728">
        <v>84</v>
      </c>
      <c r="BU728">
        <v>94</v>
      </c>
      <c r="BV728">
        <v>91</v>
      </c>
      <c r="BW728">
        <v>77</v>
      </c>
      <c r="BX728">
        <v>88</v>
      </c>
      <c r="BY728">
        <v>45</v>
      </c>
      <c r="BZ728">
        <v>83</v>
      </c>
      <c r="CA728">
        <v>91</v>
      </c>
      <c r="CB728">
        <v>19</v>
      </c>
      <c r="CC728">
        <v>97</v>
      </c>
      <c r="CD728">
        <v>26</v>
      </c>
      <c r="CE728">
        <v>24</v>
      </c>
      <c r="CF728">
        <v>65</v>
      </c>
      <c r="CG728">
        <v>71</v>
      </c>
      <c r="CH728">
        <v>61</v>
      </c>
      <c r="CI728">
        <v>79</v>
      </c>
      <c r="CJ728">
        <v>93</v>
      </c>
      <c r="CK728">
        <v>84</v>
      </c>
      <c r="CL728">
        <v>60</v>
      </c>
      <c r="CM728">
        <v>24</v>
      </c>
      <c r="CN728">
        <v>71</v>
      </c>
      <c r="CO728">
        <v>22</v>
      </c>
      <c r="CP728">
        <v>41</v>
      </c>
      <c r="CQ728">
        <v>92</v>
      </c>
      <c r="CR728">
        <v>21</v>
      </c>
      <c r="CS728">
        <v>85</v>
      </c>
      <c r="CT728">
        <v>86</v>
      </c>
      <c r="CU728">
        <v>60</v>
      </c>
      <c r="CV728">
        <v>70</v>
      </c>
      <c r="CW728">
        <v>66</v>
      </c>
      <c r="CX728">
        <v>68</v>
      </c>
      <c r="CY728">
        <v>91</v>
      </c>
      <c r="CZ728">
        <v>32</v>
      </c>
      <c r="DA728">
        <v>27</v>
      </c>
      <c r="DB728">
        <v>82</v>
      </c>
      <c r="DC728">
        <v>92</v>
      </c>
      <c r="DD728">
        <v>37</v>
      </c>
      <c r="DE728">
        <v>77</v>
      </c>
      <c r="DF728">
        <v>100</v>
      </c>
      <c r="DG728">
        <v>48</v>
      </c>
      <c r="DH728">
        <v>67</v>
      </c>
      <c r="DI728">
        <v>92</v>
      </c>
      <c r="DJ728">
        <v>65</v>
      </c>
      <c r="DK728">
        <v>83</v>
      </c>
    </row>
    <row r="729" spans="1:115">
      <c r="A729" s="173">
        <f>Calculations[[#This Row],[Sum t eCO2]]*IF(Calculations[[#This Row],[GHG Scope]]="BIOGENIC",0,1)</f>
        <v>1.1641840653698499E-3</v>
      </c>
      <c r="O729">
        <f t="shared" si="12"/>
        <v>72</v>
      </c>
      <c r="P729">
        <v>100</v>
      </c>
      <c r="Q729">
        <v>96</v>
      </c>
      <c r="R729">
        <v>85</v>
      </c>
      <c r="S729">
        <v>13</v>
      </c>
      <c r="T729">
        <v>14</v>
      </c>
      <c r="U729">
        <v>35</v>
      </c>
      <c r="V729">
        <v>21</v>
      </c>
      <c r="W729">
        <v>82</v>
      </c>
      <c r="X729">
        <v>73</v>
      </c>
      <c r="Y729">
        <v>56</v>
      </c>
      <c r="Z729">
        <v>29</v>
      </c>
      <c r="AA729">
        <v>59</v>
      </c>
      <c r="AB729">
        <v>61</v>
      </c>
      <c r="AC729">
        <v>66</v>
      </c>
      <c r="AD729">
        <v>44</v>
      </c>
      <c r="AE729">
        <v>37</v>
      </c>
      <c r="AF729">
        <v>81</v>
      </c>
      <c r="AG729">
        <v>97</v>
      </c>
      <c r="AH729">
        <v>41</v>
      </c>
      <c r="AI729">
        <v>30</v>
      </c>
      <c r="AJ729">
        <v>69</v>
      </c>
      <c r="AK729">
        <v>52</v>
      </c>
      <c r="AL729">
        <v>29</v>
      </c>
      <c r="AM729">
        <v>32</v>
      </c>
      <c r="AN729">
        <v>58</v>
      </c>
      <c r="AO729">
        <v>60</v>
      </c>
      <c r="AP729">
        <v>85</v>
      </c>
      <c r="AQ729">
        <v>94</v>
      </c>
      <c r="AR729">
        <v>53</v>
      </c>
      <c r="AS729">
        <v>60</v>
      </c>
      <c r="AT729">
        <v>38</v>
      </c>
      <c r="AU729">
        <v>88</v>
      </c>
      <c r="AV729">
        <v>26</v>
      </c>
      <c r="AW729">
        <v>31</v>
      </c>
      <c r="AX729">
        <v>77</v>
      </c>
      <c r="AY729">
        <v>73</v>
      </c>
      <c r="AZ729">
        <v>31</v>
      </c>
      <c r="BA729">
        <v>72</v>
      </c>
      <c r="BB729">
        <v>45</v>
      </c>
      <c r="BC729">
        <v>96</v>
      </c>
      <c r="BD729">
        <v>93</v>
      </c>
      <c r="BE729">
        <v>89</v>
      </c>
      <c r="BF729">
        <v>63</v>
      </c>
      <c r="BG729">
        <v>82</v>
      </c>
      <c r="BH729">
        <v>92</v>
      </c>
      <c r="BI729">
        <v>58</v>
      </c>
      <c r="BJ729">
        <v>11</v>
      </c>
      <c r="BK729">
        <v>59</v>
      </c>
      <c r="BL729">
        <v>16</v>
      </c>
      <c r="BM729">
        <v>65</v>
      </c>
      <c r="BN729">
        <v>52</v>
      </c>
      <c r="BO729">
        <v>46</v>
      </c>
      <c r="BP729">
        <v>36</v>
      </c>
      <c r="BQ729">
        <v>66</v>
      </c>
      <c r="BR729">
        <v>13</v>
      </c>
      <c r="BS729">
        <v>32</v>
      </c>
      <c r="BT729">
        <v>97</v>
      </c>
      <c r="BU729">
        <v>77</v>
      </c>
      <c r="BV729">
        <v>46</v>
      </c>
      <c r="BW729">
        <v>30</v>
      </c>
      <c r="BX729">
        <v>64</v>
      </c>
      <c r="BY729">
        <v>13</v>
      </c>
      <c r="BZ729">
        <v>99</v>
      </c>
      <c r="CA729">
        <v>27</v>
      </c>
      <c r="CB729">
        <v>37</v>
      </c>
      <c r="CC729">
        <v>78</v>
      </c>
      <c r="CD729">
        <v>64</v>
      </c>
      <c r="CE729">
        <v>77</v>
      </c>
      <c r="CF729">
        <v>25</v>
      </c>
      <c r="CG729">
        <v>83</v>
      </c>
      <c r="CH729">
        <v>89</v>
      </c>
      <c r="CI729">
        <v>12</v>
      </c>
      <c r="CJ729">
        <v>17</v>
      </c>
      <c r="CK729">
        <v>71</v>
      </c>
      <c r="CL729">
        <v>40</v>
      </c>
      <c r="CM729">
        <v>100</v>
      </c>
      <c r="CN729">
        <v>42</v>
      </c>
      <c r="CO729">
        <v>17</v>
      </c>
      <c r="CP729">
        <v>42</v>
      </c>
      <c r="CQ729">
        <v>91</v>
      </c>
      <c r="CR729">
        <v>23</v>
      </c>
      <c r="CS729">
        <v>24</v>
      </c>
      <c r="CT729">
        <v>39</v>
      </c>
      <c r="CU729">
        <v>81</v>
      </c>
      <c r="CV729">
        <v>74</v>
      </c>
      <c r="CW729">
        <v>86</v>
      </c>
      <c r="CX729">
        <v>71</v>
      </c>
      <c r="CY729">
        <v>87</v>
      </c>
      <c r="CZ729">
        <v>59</v>
      </c>
      <c r="DA729">
        <v>22</v>
      </c>
      <c r="DB729">
        <v>96</v>
      </c>
      <c r="DC729">
        <v>44</v>
      </c>
      <c r="DD729">
        <v>13</v>
      </c>
      <c r="DE729">
        <v>63</v>
      </c>
      <c r="DF729">
        <v>73</v>
      </c>
      <c r="DG729">
        <v>93</v>
      </c>
      <c r="DH729">
        <v>35</v>
      </c>
      <c r="DI729">
        <v>76</v>
      </c>
      <c r="DJ729">
        <v>55</v>
      </c>
      <c r="DK729">
        <v>20</v>
      </c>
    </row>
    <row r="730" spans="1:115">
      <c r="A730" s="173">
        <f>Calculations[[#This Row],[Sum t eCO2]]*IF(Calculations[[#This Row],[GHG Scope]]="BIOGENIC",0,1)</f>
        <v>1.1572788871241497</v>
      </c>
      <c r="O730">
        <f t="shared" si="12"/>
        <v>73</v>
      </c>
      <c r="P730">
        <v>78</v>
      </c>
      <c r="Q730">
        <v>76</v>
      </c>
      <c r="R730">
        <v>47</v>
      </c>
      <c r="S730">
        <v>15</v>
      </c>
      <c r="T730">
        <v>34</v>
      </c>
      <c r="U730">
        <v>16</v>
      </c>
      <c r="V730">
        <v>100</v>
      </c>
      <c r="W730">
        <v>42</v>
      </c>
      <c r="X730">
        <v>77</v>
      </c>
      <c r="Y730">
        <v>59</v>
      </c>
      <c r="Z730">
        <v>12</v>
      </c>
      <c r="AA730">
        <v>32</v>
      </c>
      <c r="AB730">
        <v>83</v>
      </c>
      <c r="AC730">
        <v>40</v>
      </c>
      <c r="AD730">
        <v>54</v>
      </c>
      <c r="AE730">
        <v>36</v>
      </c>
      <c r="AF730">
        <v>61</v>
      </c>
      <c r="AG730">
        <v>69</v>
      </c>
      <c r="AH730">
        <v>85</v>
      </c>
      <c r="AI730">
        <v>38</v>
      </c>
      <c r="AJ730">
        <v>22</v>
      </c>
      <c r="AK730">
        <v>30</v>
      </c>
      <c r="AL730">
        <v>14</v>
      </c>
      <c r="AM730">
        <v>12</v>
      </c>
      <c r="AN730">
        <v>20</v>
      </c>
      <c r="AO730">
        <v>34</v>
      </c>
      <c r="AP730">
        <v>61</v>
      </c>
      <c r="AQ730">
        <v>90</v>
      </c>
      <c r="AR730">
        <v>86</v>
      </c>
      <c r="AS730">
        <v>93</v>
      </c>
      <c r="AT730">
        <v>63</v>
      </c>
      <c r="AU730">
        <v>46</v>
      </c>
      <c r="AV730">
        <v>65</v>
      </c>
      <c r="AW730">
        <v>64</v>
      </c>
      <c r="AX730">
        <v>34</v>
      </c>
      <c r="AY730">
        <v>77</v>
      </c>
      <c r="AZ730">
        <v>77</v>
      </c>
      <c r="BA730">
        <v>98</v>
      </c>
      <c r="BB730">
        <v>84</v>
      </c>
      <c r="BC730">
        <v>33</v>
      </c>
      <c r="BD730">
        <v>92</v>
      </c>
      <c r="BE730">
        <v>97</v>
      </c>
      <c r="BF730">
        <v>61</v>
      </c>
      <c r="BG730">
        <v>14</v>
      </c>
      <c r="BH730">
        <v>17</v>
      </c>
      <c r="BI730">
        <v>38</v>
      </c>
      <c r="BJ730">
        <v>27</v>
      </c>
      <c r="BK730">
        <v>40</v>
      </c>
      <c r="BL730">
        <v>23</v>
      </c>
      <c r="BM730">
        <v>38</v>
      </c>
      <c r="BN730">
        <v>16</v>
      </c>
      <c r="BO730">
        <v>97</v>
      </c>
      <c r="BP730">
        <v>94</v>
      </c>
      <c r="BQ730">
        <v>21</v>
      </c>
      <c r="BR730">
        <v>58</v>
      </c>
      <c r="BS730">
        <v>73</v>
      </c>
      <c r="BT730">
        <v>30</v>
      </c>
      <c r="BU730">
        <v>73</v>
      </c>
      <c r="BV730">
        <v>26</v>
      </c>
      <c r="BW730">
        <v>75</v>
      </c>
      <c r="BX730">
        <v>99</v>
      </c>
      <c r="BY730">
        <v>78</v>
      </c>
      <c r="BZ730">
        <v>32</v>
      </c>
      <c r="CA730">
        <v>63</v>
      </c>
      <c r="CB730">
        <v>48</v>
      </c>
      <c r="CC730">
        <v>94</v>
      </c>
      <c r="CD730">
        <v>93</v>
      </c>
      <c r="CE730">
        <v>72</v>
      </c>
      <c r="CF730">
        <v>66</v>
      </c>
      <c r="CG730">
        <v>32</v>
      </c>
      <c r="CH730">
        <v>50</v>
      </c>
      <c r="CI730">
        <v>22</v>
      </c>
      <c r="CJ730">
        <v>26</v>
      </c>
      <c r="CK730">
        <v>76</v>
      </c>
      <c r="CL730">
        <v>49</v>
      </c>
      <c r="CM730">
        <v>43</v>
      </c>
      <c r="CN730">
        <v>26</v>
      </c>
      <c r="CO730">
        <v>76</v>
      </c>
      <c r="CP730">
        <v>82</v>
      </c>
      <c r="CQ730">
        <v>65</v>
      </c>
      <c r="CR730">
        <v>86</v>
      </c>
      <c r="CS730">
        <v>99</v>
      </c>
      <c r="CT730">
        <v>48</v>
      </c>
      <c r="CU730">
        <v>11</v>
      </c>
      <c r="CV730">
        <v>80</v>
      </c>
      <c r="CW730">
        <v>74</v>
      </c>
      <c r="CX730">
        <v>82</v>
      </c>
      <c r="CY730">
        <v>63</v>
      </c>
      <c r="CZ730">
        <v>45</v>
      </c>
      <c r="DA730">
        <v>31</v>
      </c>
      <c r="DB730">
        <v>53</v>
      </c>
      <c r="DC730">
        <v>45</v>
      </c>
      <c r="DD730">
        <v>46</v>
      </c>
      <c r="DE730">
        <v>89</v>
      </c>
      <c r="DF730">
        <v>56</v>
      </c>
      <c r="DG730">
        <v>59</v>
      </c>
      <c r="DH730">
        <v>91</v>
      </c>
      <c r="DI730">
        <v>36</v>
      </c>
      <c r="DJ730">
        <v>56</v>
      </c>
      <c r="DK730">
        <v>49</v>
      </c>
    </row>
    <row r="731" spans="1:115">
      <c r="A731" s="173">
        <f>Calculations[[#This Row],[Sum t eCO2]]*IF(Calculations[[#This Row],[GHG Scope]]="BIOGENIC",0,1)</f>
        <v>45.213224876639998</v>
      </c>
      <c r="O731">
        <f t="shared" si="12"/>
        <v>74</v>
      </c>
      <c r="P731">
        <v>59</v>
      </c>
      <c r="Q731">
        <v>81</v>
      </c>
      <c r="R731">
        <v>72</v>
      </c>
      <c r="S731">
        <v>49</v>
      </c>
      <c r="T731">
        <v>49</v>
      </c>
      <c r="U731">
        <v>21</v>
      </c>
      <c r="V731">
        <v>33</v>
      </c>
      <c r="W731">
        <v>26</v>
      </c>
      <c r="X731">
        <v>84</v>
      </c>
      <c r="Y731">
        <v>51</v>
      </c>
      <c r="Z731">
        <v>58</v>
      </c>
      <c r="AA731">
        <v>38</v>
      </c>
      <c r="AB731">
        <v>27</v>
      </c>
      <c r="AC731">
        <v>11</v>
      </c>
      <c r="AD731">
        <v>77</v>
      </c>
      <c r="AE731">
        <v>82</v>
      </c>
      <c r="AF731">
        <v>29</v>
      </c>
      <c r="AG731">
        <v>94</v>
      </c>
      <c r="AH731">
        <v>35</v>
      </c>
      <c r="AI731">
        <v>88</v>
      </c>
      <c r="AJ731">
        <v>27</v>
      </c>
      <c r="AK731">
        <v>15</v>
      </c>
      <c r="AL731">
        <v>81</v>
      </c>
      <c r="AM731">
        <v>95</v>
      </c>
      <c r="AN731">
        <v>97</v>
      </c>
      <c r="AO731">
        <v>100</v>
      </c>
      <c r="AP731">
        <v>29</v>
      </c>
      <c r="AQ731">
        <v>100</v>
      </c>
      <c r="AR731">
        <v>79</v>
      </c>
      <c r="AS731">
        <v>27</v>
      </c>
      <c r="AT731">
        <v>96</v>
      </c>
      <c r="AU731">
        <v>64</v>
      </c>
      <c r="AV731">
        <v>49</v>
      </c>
      <c r="AW731">
        <v>71</v>
      </c>
      <c r="AX731">
        <v>46</v>
      </c>
      <c r="AY731">
        <v>85</v>
      </c>
      <c r="AZ731">
        <v>35</v>
      </c>
      <c r="BA731">
        <v>45</v>
      </c>
      <c r="BB731">
        <v>56</v>
      </c>
      <c r="BC731">
        <v>56</v>
      </c>
      <c r="BD731">
        <v>43</v>
      </c>
      <c r="BE731">
        <v>44</v>
      </c>
      <c r="BF731">
        <v>91</v>
      </c>
      <c r="BG731">
        <v>12</v>
      </c>
      <c r="BH731">
        <v>73</v>
      </c>
      <c r="BI731">
        <v>79</v>
      </c>
      <c r="BJ731">
        <v>15</v>
      </c>
      <c r="BK731">
        <v>97</v>
      </c>
      <c r="BL731">
        <v>71</v>
      </c>
      <c r="BM731">
        <v>29</v>
      </c>
      <c r="BN731">
        <v>43</v>
      </c>
      <c r="BO731">
        <v>94</v>
      </c>
      <c r="BP731">
        <v>96</v>
      </c>
      <c r="BQ731">
        <v>45</v>
      </c>
      <c r="BR731">
        <v>94</v>
      </c>
      <c r="BS731">
        <v>52</v>
      </c>
      <c r="BT731">
        <v>87</v>
      </c>
      <c r="BU731">
        <v>39</v>
      </c>
      <c r="BV731">
        <v>15</v>
      </c>
      <c r="BW731">
        <v>42</v>
      </c>
      <c r="BX731">
        <v>53</v>
      </c>
      <c r="BY731">
        <v>69</v>
      </c>
      <c r="BZ731">
        <v>23</v>
      </c>
      <c r="CA731">
        <v>35</v>
      </c>
      <c r="CB731">
        <v>67</v>
      </c>
      <c r="CC731">
        <v>91</v>
      </c>
      <c r="CD731">
        <v>11</v>
      </c>
      <c r="CE731">
        <v>79</v>
      </c>
      <c r="CF731">
        <v>40</v>
      </c>
      <c r="CG731">
        <v>71</v>
      </c>
      <c r="CH731">
        <v>61</v>
      </c>
      <c r="CI731">
        <v>45</v>
      </c>
      <c r="CJ731">
        <v>93</v>
      </c>
      <c r="CK731">
        <v>23</v>
      </c>
      <c r="CL731">
        <v>58</v>
      </c>
      <c r="CM731">
        <v>89</v>
      </c>
      <c r="CN731">
        <v>52</v>
      </c>
      <c r="CO731">
        <v>75</v>
      </c>
      <c r="CP731">
        <v>98</v>
      </c>
      <c r="CQ731">
        <v>87</v>
      </c>
      <c r="CR731">
        <v>82</v>
      </c>
      <c r="CS731">
        <v>28</v>
      </c>
      <c r="CT731">
        <v>56</v>
      </c>
      <c r="CU731">
        <v>69</v>
      </c>
      <c r="CV731">
        <v>44</v>
      </c>
      <c r="CW731">
        <v>51</v>
      </c>
      <c r="CX731">
        <v>60</v>
      </c>
      <c r="CY731">
        <v>70</v>
      </c>
      <c r="CZ731">
        <v>99</v>
      </c>
      <c r="DA731">
        <v>85</v>
      </c>
      <c r="DB731">
        <v>63</v>
      </c>
      <c r="DC731">
        <v>94</v>
      </c>
      <c r="DD731">
        <v>48</v>
      </c>
      <c r="DE731">
        <v>71</v>
      </c>
      <c r="DF731">
        <v>68</v>
      </c>
      <c r="DG731">
        <v>28</v>
      </c>
      <c r="DH731">
        <v>34</v>
      </c>
      <c r="DI731">
        <v>13</v>
      </c>
      <c r="DJ731">
        <v>18</v>
      </c>
      <c r="DK731">
        <v>16</v>
      </c>
    </row>
    <row r="732" spans="1:115">
      <c r="A732" s="173">
        <f>Calculations[[#This Row],[Sum t eCO2]]*IF(Calculations[[#This Row],[GHG Scope]]="BIOGENIC",0,1)</f>
        <v>4.8353993563969821E-4</v>
      </c>
      <c r="O732">
        <f t="shared" si="12"/>
        <v>75</v>
      </c>
      <c r="P732">
        <v>14</v>
      </c>
      <c r="Q732">
        <v>51</v>
      </c>
      <c r="R732">
        <v>55</v>
      </c>
      <c r="S732">
        <v>58</v>
      </c>
      <c r="T732">
        <v>85</v>
      </c>
      <c r="U732">
        <v>71</v>
      </c>
      <c r="V732">
        <v>69</v>
      </c>
      <c r="W732">
        <v>99</v>
      </c>
      <c r="X732">
        <v>26</v>
      </c>
      <c r="Y732">
        <v>16</v>
      </c>
      <c r="Z732">
        <v>79</v>
      </c>
      <c r="AA732">
        <v>42</v>
      </c>
      <c r="AB732">
        <v>46</v>
      </c>
      <c r="AC732">
        <v>91</v>
      </c>
      <c r="AD732">
        <v>32</v>
      </c>
      <c r="AE732">
        <v>67</v>
      </c>
      <c r="AF732">
        <v>83</v>
      </c>
      <c r="AG732">
        <v>58</v>
      </c>
      <c r="AH732">
        <v>24</v>
      </c>
      <c r="AI732">
        <v>91</v>
      </c>
      <c r="AJ732">
        <v>41</v>
      </c>
      <c r="AK732">
        <v>51</v>
      </c>
      <c r="AL732">
        <v>25</v>
      </c>
      <c r="AM732">
        <v>83</v>
      </c>
      <c r="AN732">
        <v>68</v>
      </c>
      <c r="AO732">
        <v>68</v>
      </c>
      <c r="AP732">
        <v>35</v>
      </c>
      <c r="AQ732">
        <v>20</v>
      </c>
      <c r="AR732">
        <v>57</v>
      </c>
      <c r="AS732">
        <v>83</v>
      </c>
      <c r="AT732">
        <v>11</v>
      </c>
      <c r="AU732">
        <v>10</v>
      </c>
      <c r="AV732">
        <v>44</v>
      </c>
      <c r="AW732">
        <v>43</v>
      </c>
      <c r="AX732">
        <v>29</v>
      </c>
      <c r="AY732">
        <v>31</v>
      </c>
      <c r="AZ732">
        <v>30</v>
      </c>
      <c r="BA732">
        <v>85</v>
      </c>
      <c r="BB732">
        <v>77</v>
      </c>
      <c r="BC732">
        <v>32</v>
      </c>
      <c r="BD732">
        <v>71</v>
      </c>
      <c r="BE732">
        <v>66</v>
      </c>
      <c r="BF732">
        <v>34</v>
      </c>
      <c r="BG732">
        <v>95</v>
      </c>
      <c r="BH732">
        <v>88</v>
      </c>
      <c r="BI732">
        <v>100</v>
      </c>
      <c r="BJ732">
        <v>45</v>
      </c>
      <c r="BK732">
        <v>44</v>
      </c>
      <c r="BL732">
        <v>12</v>
      </c>
      <c r="BM732">
        <v>93</v>
      </c>
      <c r="BN732">
        <v>13</v>
      </c>
      <c r="BO732">
        <v>61</v>
      </c>
      <c r="BP732">
        <v>74</v>
      </c>
      <c r="BQ732">
        <v>43</v>
      </c>
      <c r="BR732">
        <v>65</v>
      </c>
      <c r="BS732">
        <v>64</v>
      </c>
      <c r="BT732">
        <v>24</v>
      </c>
      <c r="BU732">
        <v>53</v>
      </c>
      <c r="BV732">
        <v>13</v>
      </c>
      <c r="BW732">
        <v>85</v>
      </c>
      <c r="BX732">
        <v>40</v>
      </c>
      <c r="BY732">
        <v>45</v>
      </c>
      <c r="BZ732">
        <v>74</v>
      </c>
      <c r="CA732">
        <v>36</v>
      </c>
      <c r="CB732">
        <v>85</v>
      </c>
      <c r="CC732">
        <v>55</v>
      </c>
      <c r="CD732">
        <v>80</v>
      </c>
      <c r="CE732">
        <v>59</v>
      </c>
      <c r="CF732">
        <v>45</v>
      </c>
      <c r="CG732">
        <v>35</v>
      </c>
      <c r="CH732">
        <v>48</v>
      </c>
      <c r="CI732">
        <v>59</v>
      </c>
      <c r="CJ732">
        <v>26</v>
      </c>
      <c r="CK732">
        <v>57</v>
      </c>
      <c r="CL732">
        <v>50</v>
      </c>
      <c r="CM732">
        <v>91</v>
      </c>
      <c r="CN732">
        <v>85</v>
      </c>
      <c r="CO732">
        <v>14</v>
      </c>
      <c r="CP732">
        <v>78</v>
      </c>
      <c r="CQ732">
        <v>27</v>
      </c>
      <c r="CR732">
        <v>55</v>
      </c>
      <c r="CS732">
        <v>30</v>
      </c>
      <c r="CT732">
        <v>19</v>
      </c>
      <c r="CU732">
        <v>35</v>
      </c>
      <c r="CV732">
        <v>21</v>
      </c>
      <c r="CW732">
        <v>39</v>
      </c>
      <c r="CX732">
        <v>24</v>
      </c>
      <c r="CY732">
        <v>89</v>
      </c>
      <c r="CZ732">
        <v>32</v>
      </c>
      <c r="DA732">
        <v>42</v>
      </c>
      <c r="DB732">
        <v>50</v>
      </c>
      <c r="DC732">
        <v>17</v>
      </c>
      <c r="DD732">
        <v>14</v>
      </c>
      <c r="DE732">
        <v>48</v>
      </c>
      <c r="DF732">
        <v>57</v>
      </c>
      <c r="DG732">
        <v>40</v>
      </c>
      <c r="DH732">
        <v>52</v>
      </c>
      <c r="DI732">
        <v>56</v>
      </c>
      <c r="DJ732">
        <v>10</v>
      </c>
      <c r="DK732">
        <v>22</v>
      </c>
    </row>
    <row r="733" spans="1:115">
      <c r="A733" s="173">
        <f>Calculations[[#This Row],[Sum t eCO2]]*IF(Calculations[[#This Row],[GHG Scope]]="BIOGENIC",0,1)</f>
        <v>0.48067189308197289</v>
      </c>
      <c r="O733">
        <f t="shared" si="12"/>
        <v>76</v>
      </c>
      <c r="P733">
        <v>46</v>
      </c>
      <c r="Q733">
        <v>63</v>
      </c>
      <c r="R733">
        <v>41</v>
      </c>
      <c r="S733">
        <v>65</v>
      </c>
      <c r="T733">
        <v>76</v>
      </c>
      <c r="U733">
        <v>99</v>
      </c>
      <c r="V733">
        <v>87</v>
      </c>
      <c r="W733">
        <v>46</v>
      </c>
      <c r="X733">
        <v>100</v>
      </c>
      <c r="Y733">
        <v>98</v>
      </c>
      <c r="Z733">
        <v>34</v>
      </c>
      <c r="AA733">
        <v>92</v>
      </c>
      <c r="AB733">
        <v>93</v>
      </c>
      <c r="AC733">
        <v>16</v>
      </c>
      <c r="AD733">
        <v>45</v>
      </c>
      <c r="AE733">
        <v>90</v>
      </c>
      <c r="AF733">
        <v>60</v>
      </c>
      <c r="AG733">
        <v>58</v>
      </c>
      <c r="AH733">
        <v>60</v>
      </c>
      <c r="AI733">
        <v>53</v>
      </c>
      <c r="AJ733">
        <v>72</v>
      </c>
      <c r="AK733">
        <v>83</v>
      </c>
      <c r="AL733">
        <v>50</v>
      </c>
      <c r="AM733">
        <v>70</v>
      </c>
      <c r="AN733">
        <v>45</v>
      </c>
      <c r="AO733">
        <v>67</v>
      </c>
      <c r="AP733">
        <v>97</v>
      </c>
      <c r="AQ733">
        <v>99</v>
      </c>
      <c r="AR733">
        <v>92</v>
      </c>
      <c r="AS733">
        <v>14</v>
      </c>
      <c r="AT733">
        <v>64</v>
      </c>
      <c r="AU733">
        <v>68</v>
      </c>
      <c r="AV733">
        <v>58</v>
      </c>
      <c r="AW733">
        <v>21</v>
      </c>
      <c r="AX733">
        <v>30</v>
      </c>
      <c r="AY733">
        <v>75</v>
      </c>
      <c r="AZ733">
        <v>14</v>
      </c>
      <c r="BA733">
        <v>99</v>
      </c>
      <c r="BB733">
        <v>10</v>
      </c>
      <c r="BC733">
        <v>61</v>
      </c>
      <c r="BD733">
        <v>55</v>
      </c>
      <c r="BE733">
        <v>85</v>
      </c>
      <c r="BF733">
        <v>79</v>
      </c>
      <c r="BG733">
        <v>53</v>
      </c>
      <c r="BH733">
        <v>73</v>
      </c>
      <c r="BI733">
        <v>65</v>
      </c>
      <c r="BJ733">
        <v>76</v>
      </c>
      <c r="BK733">
        <v>46</v>
      </c>
      <c r="BL733">
        <v>64</v>
      </c>
      <c r="BM733">
        <v>79</v>
      </c>
      <c r="BN733">
        <v>95</v>
      </c>
      <c r="BO733">
        <v>11</v>
      </c>
      <c r="BP733">
        <v>97</v>
      </c>
      <c r="BQ733">
        <v>74</v>
      </c>
      <c r="BR733">
        <v>86</v>
      </c>
      <c r="BS733">
        <v>66</v>
      </c>
      <c r="BT733">
        <v>69</v>
      </c>
      <c r="BU733">
        <v>83</v>
      </c>
      <c r="BV733">
        <v>70</v>
      </c>
      <c r="BW733">
        <v>32</v>
      </c>
      <c r="BX733">
        <v>80</v>
      </c>
      <c r="BY733">
        <v>83</v>
      </c>
      <c r="BZ733">
        <v>38</v>
      </c>
      <c r="CA733">
        <v>98</v>
      </c>
      <c r="CB733">
        <v>99</v>
      </c>
      <c r="CC733">
        <v>30</v>
      </c>
      <c r="CD733">
        <v>47</v>
      </c>
      <c r="CE733">
        <v>13</v>
      </c>
      <c r="CF733">
        <v>98</v>
      </c>
      <c r="CG733">
        <v>28</v>
      </c>
      <c r="CH733">
        <v>38</v>
      </c>
      <c r="CI733">
        <v>47</v>
      </c>
      <c r="CJ733">
        <v>17</v>
      </c>
      <c r="CK733">
        <v>42</v>
      </c>
      <c r="CL733">
        <v>10</v>
      </c>
      <c r="CM733">
        <v>17</v>
      </c>
      <c r="CN733">
        <v>26</v>
      </c>
      <c r="CO733">
        <v>94</v>
      </c>
      <c r="CP733">
        <v>42</v>
      </c>
      <c r="CQ733">
        <v>72</v>
      </c>
      <c r="CR733">
        <v>44</v>
      </c>
      <c r="CS733">
        <v>64</v>
      </c>
      <c r="CT733">
        <v>79</v>
      </c>
      <c r="CU733">
        <v>84</v>
      </c>
      <c r="CV733">
        <v>76</v>
      </c>
      <c r="CW733">
        <v>49</v>
      </c>
      <c r="CX733">
        <v>56</v>
      </c>
      <c r="CY733">
        <v>78</v>
      </c>
      <c r="CZ733">
        <v>30</v>
      </c>
      <c r="DA733">
        <v>66</v>
      </c>
      <c r="DB733">
        <v>37</v>
      </c>
      <c r="DC733">
        <v>23</v>
      </c>
      <c r="DD733">
        <v>90</v>
      </c>
      <c r="DE733">
        <v>89</v>
      </c>
      <c r="DF733">
        <v>60</v>
      </c>
      <c r="DG733">
        <v>76</v>
      </c>
      <c r="DH733">
        <v>89</v>
      </c>
      <c r="DI733">
        <v>84</v>
      </c>
      <c r="DJ733">
        <v>23</v>
      </c>
      <c r="DK733">
        <v>16</v>
      </c>
    </row>
    <row r="734" spans="1:115">
      <c r="A734" s="173">
        <f>Calculations[[#This Row],[Sum t eCO2]]*IF(Calculations[[#This Row],[GHG Scope]]="BIOGENIC",0,1)</f>
        <v>25.570729673999999</v>
      </c>
      <c r="O734">
        <f t="shared" si="12"/>
        <v>77</v>
      </c>
      <c r="P734">
        <v>38</v>
      </c>
      <c r="Q734">
        <v>15</v>
      </c>
      <c r="R734">
        <v>63</v>
      </c>
      <c r="S734">
        <v>24</v>
      </c>
      <c r="T734">
        <v>68</v>
      </c>
      <c r="U734">
        <v>68</v>
      </c>
      <c r="V734">
        <v>11</v>
      </c>
      <c r="W734">
        <v>60</v>
      </c>
      <c r="X734">
        <v>95</v>
      </c>
      <c r="Y734">
        <v>45</v>
      </c>
      <c r="Z734">
        <v>32</v>
      </c>
      <c r="AA734">
        <v>20</v>
      </c>
      <c r="AB734">
        <v>76</v>
      </c>
      <c r="AC734">
        <v>62</v>
      </c>
      <c r="AD734">
        <v>80</v>
      </c>
      <c r="AE734">
        <v>21</v>
      </c>
      <c r="AF734">
        <v>42</v>
      </c>
      <c r="AG734">
        <v>75</v>
      </c>
      <c r="AH734">
        <v>54</v>
      </c>
      <c r="AI734">
        <v>100</v>
      </c>
      <c r="AJ734">
        <v>44</v>
      </c>
      <c r="AK734">
        <v>44</v>
      </c>
      <c r="AL734">
        <v>17</v>
      </c>
      <c r="AM734">
        <v>15</v>
      </c>
      <c r="AN734">
        <v>57</v>
      </c>
      <c r="AO734">
        <v>63</v>
      </c>
      <c r="AP734">
        <v>37</v>
      </c>
      <c r="AQ734">
        <v>31</v>
      </c>
      <c r="AR734">
        <v>70</v>
      </c>
      <c r="AS734">
        <v>73</v>
      </c>
      <c r="AT734">
        <v>50</v>
      </c>
      <c r="AU734">
        <v>100</v>
      </c>
      <c r="AV734">
        <v>58</v>
      </c>
      <c r="AW734">
        <v>56</v>
      </c>
      <c r="AX734">
        <v>64</v>
      </c>
      <c r="AY734">
        <v>12</v>
      </c>
      <c r="AZ734">
        <v>71</v>
      </c>
      <c r="BA734">
        <v>71</v>
      </c>
      <c r="BB734">
        <v>62</v>
      </c>
      <c r="BC734">
        <v>69</v>
      </c>
      <c r="BD734">
        <v>30</v>
      </c>
      <c r="BE734">
        <v>29</v>
      </c>
      <c r="BF734">
        <v>39</v>
      </c>
      <c r="BG734">
        <v>22</v>
      </c>
      <c r="BH734">
        <v>56</v>
      </c>
      <c r="BI734">
        <v>42</v>
      </c>
      <c r="BJ734">
        <v>23</v>
      </c>
      <c r="BK734">
        <v>80</v>
      </c>
      <c r="BL734">
        <v>19</v>
      </c>
      <c r="BM734">
        <v>46</v>
      </c>
      <c r="BN734">
        <v>81</v>
      </c>
      <c r="BO734">
        <v>57</v>
      </c>
      <c r="BP734">
        <v>92</v>
      </c>
      <c r="BQ734">
        <v>85</v>
      </c>
      <c r="BR734">
        <v>83</v>
      </c>
      <c r="BS734">
        <v>40</v>
      </c>
      <c r="BT734">
        <v>37</v>
      </c>
      <c r="BU734">
        <v>94</v>
      </c>
      <c r="BV734">
        <v>41</v>
      </c>
      <c r="BW734">
        <v>13</v>
      </c>
      <c r="BX734">
        <v>77</v>
      </c>
      <c r="BY734">
        <v>14</v>
      </c>
      <c r="BZ734">
        <v>50</v>
      </c>
      <c r="CA734">
        <v>26</v>
      </c>
      <c r="CB734">
        <v>55</v>
      </c>
      <c r="CC734">
        <v>55</v>
      </c>
      <c r="CD734">
        <v>73</v>
      </c>
      <c r="CE734">
        <v>77</v>
      </c>
      <c r="CF734">
        <v>82</v>
      </c>
      <c r="CG734">
        <v>32</v>
      </c>
      <c r="CH734">
        <v>40</v>
      </c>
      <c r="CI734">
        <v>77</v>
      </c>
      <c r="CJ734">
        <v>34</v>
      </c>
      <c r="CK734">
        <v>50</v>
      </c>
      <c r="CL734">
        <v>94</v>
      </c>
      <c r="CM734">
        <v>21</v>
      </c>
      <c r="CN734">
        <v>24</v>
      </c>
      <c r="CO734">
        <v>26</v>
      </c>
      <c r="CP734">
        <v>44</v>
      </c>
      <c r="CQ734">
        <v>73</v>
      </c>
      <c r="CR734">
        <v>73</v>
      </c>
      <c r="CS734">
        <v>58</v>
      </c>
      <c r="CT734">
        <v>28</v>
      </c>
      <c r="CU734">
        <v>70</v>
      </c>
      <c r="CV734">
        <v>15</v>
      </c>
      <c r="CW734">
        <v>98</v>
      </c>
      <c r="CX734">
        <v>22</v>
      </c>
      <c r="CY734">
        <v>28</v>
      </c>
      <c r="CZ734">
        <v>13</v>
      </c>
      <c r="DA734">
        <v>76</v>
      </c>
      <c r="DB734">
        <v>92</v>
      </c>
      <c r="DC734">
        <v>65</v>
      </c>
      <c r="DD734">
        <v>15</v>
      </c>
      <c r="DE734">
        <v>71</v>
      </c>
      <c r="DF734">
        <v>68</v>
      </c>
      <c r="DG734">
        <v>57</v>
      </c>
      <c r="DH734">
        <v>75</v>
      </c>
      <c r="DI734">
        <v>34</v>
      </c>
      <c r="DJ734">
        <v>77</v>
      </c>
      <c r="DK734">
        <v>10</v>
      </c>
    </row>
    <row r="735" spans="1:115">
      <c r="A735" s="173">
        <f>Calculations[[#This Row],[Sum t eCO2]]*IF(Calculations[[#This Row],[GHG Scope]]="BIOGENIC",0,1)</f>
        <v>2.7347018520712388E-4</v>
      </c>
      <c r="O735">
        <f t="shared" si="12"/>
        <v>78</v>
      </c>
      <c r="P735">
        <v>82</v>
      </c>
      <c r="Q735">
        <v>12</v>
      </c>
      <c r="R735">
        <v>55</v>
      </c>
      <c r="S735">
        <v>36</v>
      </c>
      <c r="T735">
        <v>62</v>
      </c>
      <c r="U735">
        <v>71</v>
      </c>
      <c r="V735">
        <v>77</v>
      </c>
      <c r="W735">
        <v>58</v>
      </c>
      <c r="X735">
        <v>91</v>
      </c>
      <c r="Y735">
        <v>42</v>
      </c>
      <c r="Z735">
        <v>13</v>
      </c>
      <c r="AA735">
        <v>22</v>
      </c>
      <c r="AB735">
        <v>29</v>
      </c>
      <c r="AC735">
        <v>80</v>
      </c>
      <c r="AD735">
        <v>61</v>
      </c>
      <c r="AE735">
        <v>68</v>
      </c>
      <c r="AF735">
        <v>35</v>
      </c>
      <c r="AG735">
        <v>66</v>
      </c>
      <c r="AH735">
        <v>11</v>
      </c>
      <c r="AI735">
        <v>21</v>
      </c>
      <c r="AJ735">
        <v>68</v>
      </c>
      <c r="AK735">
        <v>27</v>
      </c>
      <c r="AL735">
        <v>42</v>
      </c>
      <c r="AM735">
        <v>77</v>
      </c>
      <c r="AN735">
        <v>46</v>
      </c>
      <c r="AO735">
        <v>27</v>
      </c>
      <c r="AP735">
        <v>33</v>
      </c>
      <c r="AQ735">
        <v>83</v>
      </c>
      <c r="AR735">
        <v>61</v>
      </c>
      <c r="AS735">
        <v>87</v>
      </c>
      <c r="AT735">
        <v>37</v>
      </c>
      <c r="AU735">
        <v>12</v>
      </c>
      <c r="AV735">
        <v>17</v>
      </c>
      <c r="AW735">
        <v>32</v>
      </c>
      <c r="AX735">
        <v>50</v>
      </c>
      <c r="AY735">
        <v>78</v>
      </c>
      <c r="AZ735">
        <v>16</v>
      </c>
      <c r="BA735">
        <v>13</v>
      </c>
      <c r="BB735">
        <v>19</v>
      </c>
      <c r="BC735">
        <v>43</v>
      </c>
      <c r="BD735">
        <v>40</v>
      </c>
      <c r="BE735">
        <v>91</v>
      </c>
      <c r="BF735">
        <v>78</v>
      </c>
      <c r="BG735">
        <v>94</v>
      </c>
      <c r="BH735">
        <v>14</v>
      </c>
      <c r="BI735">
        <v>29</v>
      </c>
      <c r="BJ735">
        <v>84</v>
      </c>
      <c r="BK735">
        <v>10</v>
      </c>
      <c r="BL735">
        <v>46</v>
      </c>
      <c r="BM735">
        <v>79</v>
      </c>
      <c r="BN735">
        <v>45</v>
      </c>
      <c r="BO735">
        <v>57</v>
      </c>
      <c r="BP735">
        <v>79</v>
      </c>
      <c r="BQ735">
        <v>84</v>
      </c>
      <c r="BR735">
        <v>41</v>
      </c>
      <c r="BS735">
        <v>96</v>
      </c>
      <c r="BT735">
        <v>28</v>
      </c>
      <c r="BU735">
        <v>56</v>
      </c>
      <c r="BV735">
        <v>63</v>
      </c>
      <c r="BW735">
        <v>99</v>
      </c>
      <c r="BX735">
        <v>53</v>
      </c>
      <c r="BY735">
        <v>96</v>
      </c>
      <c r="BZ735">
        <v>71</v>
      </c>
      <c r="CA735">
        <v>11</v>
      </c>
      <c r="CB735">
        <v>58</v>
      </c>
      <c r="CC735">
        <v>35</v>
      </c>
      <c r="CD735">
        <v>64</v>
      </c>
      <c r="CE735">
        <v>43</v>
      </c>
      <c r="CF735">
        <v>26</v>
      </c>
      <c r="CG735">
        <v>70</v>
      </c>
      <c r="CH735">
        <v>43</v>
      </c>
      <c r="CI735">
        <v>35</v>
      </c>
      <c r="CJ735">
        <v>44</v>
      </c>
      <c r="CK735">
        <v>71</v>
      </c>
      <c r="CL735">
        <v>35</v>
      </c>
      <c r="CM735">
        <v>88</v>
      </c>
      <c r="CN735">
        <v>30</v>
      </c>
      <c r="CO735">
        <v>12</v>
      </c>
      <c r="CP735">
        <v>51</v>
      </c>
      <c r="CQ735">
        <v>34</v>
      </c>
      <c r="CR735">
        <v>24</v>
      </c>
      <c r="CS735">
        <v>59</v>
      </c>
      <c r="CT735">
        <v>59</v>
      </c>
      <c r="CU735">
        <v>18</v>
      </c>
      <c r="CV735">
        <v>62</v>
      </c>
      <c r="CW735">
        <v>71</v>
      </c>
      <c r="CX735">
        <v>12</v>
      </c>
      <c r="CY735">
        <v>57</v>
      </c>
      <c r="CZ735">
        <v>87</v>
      </c>
      <c r="DA735">
        <v>36</v>
      </c>
      <c r="DB735">
        <v>29</v>
      </c>
      <c r="DC735">
        <v>46</v>
      </c>
      <c r="DD735">
        <v>93</v>
      </c>
      <c r="DE735">
        <v>46</v>
      </c>
      <c r="DF735">
        <v>74</v>
      </c>
      <c r="DG735">
        <v>12</v>
      </c>
      <c r="DH735">
        <v>90</v>
      </c>
      <c r="DI735">
        <v>54</v>
      </c>
      <c r="DJ735">
        <v>39</v>
      </c>
      <c r="DK735">
        <v>64</v>
      </c>
    </row>
    <row r="736" spans="1:115">
      <c r="A736" s="173">
        <f>Calculations[[#This Row],[Sum t eCO2]]*IF(Calculations[[#This Row],[GHG Scope]]="BIOGENIC",0,1)</f>
        <v>0.27184813897757004</v>
      </c>
      <c r="O736">
        <f t="shared" si="12"/>
        <v>79</v>
      </c>
      <c r="P736">
        <v>79</v>
      </c>
      <c r="Q736">
        <v>77</v>
      </c>
      <c r="R736">
        <v>33</v>
      </c>
      <c r="S736">
        <v>77</v>
      </c>
      <c r="T736">
        <v>96</v>
      </c>
      <c r="U736">
        <v>63</v>
      </c>
      <c r="V736">
        <v>18</v>
      </c>
      <c r="W736">
        <v>27</v>
      </c>
      <c r="X736">
        <v>96</v>
      </c>
      <c r="Y736">
        <v>28</v>
      </c>
      <c r="Z736">
        <v>57</v>
      </c>
      <c r="AA736">
        <v>65</v>
      </c>
      <c r="AB736">
        <v>70</v>
      </c>
      <c r="AC736">
        <v>41</v>
      </c>
      <c r="AD736">
        <v>59</v>
      </c>
      <c r="AE736">
        <v>46</v>
      </c>
      <c r="AF736">
        <v>49</v>
      </c>
      <c r="AG736">
        <v>47</v>
      </c>
      <c r="AH736">
        <v>78</v>
      </c>
      <c r="AI736">
        <v>48</v>
      </c>
      <c r="AJ736">
        <v>15</v>
      </c>
      <c r="AK736">
        <v>64</v>
      </c>
      <c r="AL736">
        <v>95</v>
      </c>
      <c r="AM736">
        <v>62</v>
      </c>
      <c r="AN736">
        <v>24</v>
      </c>
      <c r="AO736">
        <v>44</v>
      </c>
      <c r="AP736">
        <v>45</v>
      </c>
      <c r="AQ736">
        <v>13</v>
      </c>
      <c r="AR736">
        <v>91</v>
      </c>
      <c r="AS736">
        <v>100</v>
      </c>
      <c r="AT736">
        <v>60</v>
      </c>
      <c r="AU736">
        <v>51</v>
      </c>
      <c r="AV736">
        <v>22</v>
      </c>
      <c r="AW736">
        <v>62</v>
      </c>
      <c r="AX736">
        <v>26</v>
      </c>
      <c r="AY736">
        <v>89</v>
      </c>
      <c r="AZ736">
        <v>72</v>
      </c>
      <c r="BA736">
        <v>13</v>
      </c>
      <c r="BB736">
        <v>62</v>
      </c>
      <c r="BC736">
        <v>12</v>
      </c>
      <c r="BD736">
        <v>73</v>
      </c>
      <c r="BE736">
        <v>66</v>
      </c>
      <c r="BF736">
        <v>55</v>
      </c>
      <c r="BG736">
        <v>18</v>
      </c>
      <c r="BH736">
        <v>81</v>
      </c>
      <c r="BI736">
        <v>21</v>
      </c>
      <c r="BJ736">
        <v>22</v>
      </c>
      <c r="BK736">
        <v>10</v>
      </c>
      <c r="BL736">
        <v>81</v>
      </c>
      <c r="BM736">
        <v>27</v>
      </c>
      <c r="BN736">
        <v>27</v>
      </c>
      <c r="BO736">
        <v>29</v>
      </c>
      <c r="BP736">
        <v>66</v>
      </c>
      <c r="BQ736">
        <v>95</v>
      </c>
      <c r="BR736">
        <v>78</v>
      </c>
      <c r="BS736">
        <v>35</v>
      </c>
      <c r="BT736">
        <v>41</v>
      </c>
      <c r="BU736">
        <v>86</v>
      </c>
      <c r="BV736">
        <v>30</v>
      </c>
      <c r="BW736">
        <v>82</v>
      </c>
      <c r="BX736">
        <v>24</v>
      </c>
      <c r="BY736">
        <v>36</v>
      </c>
      <c r="BZ736">
        <v>21</v>
      </c>
      <c r="CA736">
        <v>59</v>
      </c>
      <c r="CB736">
        <v>23</v>
      </c>
      <c r="CC736">
        <v>56</v>
      </c>
      <c r="CD736">
        <v>99</v>
      </c>
      <c r="CE736">
        <v>29</v>
      </c>
      <c r="CF736">
        <v>56</v>
      </c>
      <c r="CG736">
        <v>37</v>
      </c>
      <c r="CH736">
        <v>33</v>
      </c>
      <c r="CI736">
        <v>57</v>
      </c>
      <c r="CJ736">
        <v>14</v>
      </c>
      <c r="CK736">
        <v>50</v>
      </c>
      <c r="CL736">
        <v>82</v>
      </c>
      <c r="CM736">
        <v>61</v>
      </c>
      <c r="CN736">
        <v>48</v>
      </c>
      <c r="CO736">
        <v>58</v>
      </c>
      <c r="CP736">
        <v>54</v>
      </c>
      <c r="CQ736">
        <v>45</v>
      </c>
      <c r="CR736">
        <v>36</v>
      </c>
      <c r="CS736">
        <v>79</v>
      </c>
      <c r="CT736">
        <v>14</v>
      </c>
      <c r="CU736">
        <v>83</v>
      </c>
      <c r="CV736">
        <v>49</v>
      </c>
      <c r="CW736">
        <v>25</v>
      </c>
      <c r="CX736">
        <v>57</v>
      </c>
      <c r="CY736">
        <v>53</v>
      </c>
      <c r="CZ736">
        <v>96</v>
      </c>
      <c r="DA736">
        <v>58</v>
      </c>
      <c r="DB736">
        <v>43</v>
      </c>
      <c r="DC736">
        <v>95</v>
      </c>
      <c r="DD736">
        <v>39</v>
      </c>
      <c r="DE736">
        <v>21</v>
      </c>
      <c r="DF736">
        <v>86</v>
      </c>
      <c r="DG736">
        <v>43</v>
      </c>
      <c r="DH736">
        <v>74</v>
      </c>
      <c r="DI736">
        <v>64</v>
      </c>
      <c r="DJ736">
        <v>61</v>
      </c>
      <c r="DK736">
        <v>95</v>
      </c>
    </row>
    <row r="737" spans="1:115">
      <c r="A737" s="173">
        <f>Calculations[[#This Row],[Sum t eCO2]]*IF(Calculations[[#This Row],[GHG Scope]]="BIOGENIC",0,1)</f>
        <v>43.4390598111465</v>
      </c>
      <c r="O737">
        <f t="shared" si="12"/>
        <v>80</v>
      </c>
      <c r="P737">
        <v>15</v>
      </c>
      <c r="Q737">
        <v>35</v>
      </c>
      <c r="R737">
        <v>30</v>
      </c>
      <c r="S737">
        <v>31</v>
      </c>
      <c r="T737">
        <v>45</v>
      </c>
      <c r="U737">
        <v>41</v>
      </c>
      <c r="V737">
        <v>82</v>
      </c>
      <c r="W737">
        <v>79</v>
      </c>
      <c r="X737">
        <v>22</v>
      </c>
      <c r="Y737">
        <v>65</v>
      </c>
      <c r="Z737">
        <v>32</v>
      </c>
      <c r="AA737">
        <v>63</v>
      </c>
      <c r="AB737">
        <v>33</v>
      </c>
      <c r="AC737">
        <v>29</v>
      </c>
      <c r="AD737">
        <v>12</v>
      </c>
      <c r="AE737">
        <v>23</v>
      </c>
      <c r="AF737">
        <v>29</v>
      </c>
      <c r="AG737">
        <v>50</v>
      </c>
      <c r="AH737">
        <v>75</v>
      </c>
      <c r="AI737">
        <v>89</v>
      </c>
      <c r="AJ737">
        <v>83</v>
      </c>
      <c r="AK737">
        <v>68</v>
      </c>
      <c r="AL737">
        <v>61</v>
      </c>
      <c r="AM737">
        <v>92</v>
      </c>
      <c r="AN737">
        <v>28</v>
      </c>
      <c r="AO737">
        <v>90</v>
      </c>
      <c r="AP737">
        <v>27</v>
      </c>
      <c r="AQ737">
        <v>42</v>
      </c>
      <c r="AR737">
        <v>25</v>
      </c>
      <c r="AS737">
        <v>11</v>
      </c>
      <c r="AT737">
        <v>81</v>
      </c>
      <c r="AU737">
        <v>27</v>
      </c>
      <c r="AV737">
        <v>60</v>
      </c>
      <c r="AW737">
        <v>57</v>
      </c>
      <c r="AX737">
        <v>94</v>
      </c>
      <c r="AY737">
        <v>26</v>
      </c>
      <c r="AZ737">
        <v>61</v>
      </c>
      <c r="BA737">
        <v>84</v>
      </c>
      <c r="BB737">
        <v>27</v>
      </c>
      <c r="BC737">
        <v>86</v>
      </c>
      <c r="BD737">
        <v>15</v>
      </c>
      <c r="BE737">
        <v>76</v>
      </c>
      <c r="BF737">
        <v>42</v>
      </c>
      <c r="BG737">
        <v>63</v>
      </c>
      <c r="BH737">
        <v>80</v>
      </c>
      <c r="BI737">
        <v>32</v>
      </c>
      <c r="BJ737">
        <v>69</v>
      </c>
      <c r="BK737">
        <v>23</v>
      </c>
      <c r="BL737">
        <v>31</v>
      </c>
      <c r="BM737">
        <v>53</v>
      </c>
      <c r="BN737">
        <v>10</v>
      </c>
      <c r="BO737">
        <v>73</v>
      </c>
      <c r="BP737">
        <v>41</v>
      </c>
      <c r="BQ737">
        <v>99</v>
      </c>
      <c r="BR737">
        <v>50</v>
      </c>
      <c r="BS737">
        <v>27</v>
      </c>
      <c r="BT737">
        <v>73</v>
      </c>
      <c r="BU737">
        <v>51</v>
      </c>
      <c r="BV737">
        <v>19</v>
      </c>
      <c r="BW737">
        <v>34</v>
      </c>
      <c r="BX737">
        <v>62</v>
      </c>
      <c r="BY737">
        <v>34</v>
      </c>
      <c r="BZ737">
        <v>61</v>
      </c>
      <c r="CA737">
        <v>97</v>
      </c>
      <c r="CB737">
        <v>71</v>
      </c>
      <c r="CC737">
        <v>24</v>
      </c>
      <c r="CD737">
        <v>27</v>
      </c>
      <c r="CE737">
        <v>67</v>
      </c>
      <c r="CF737">
        <v>71</v>
      </c>
      <c r="CG737">
        <v>70</v>
      </c>
      <c r="CH737">
        <v>85</v>
      </c>
      <c r="CI737">
        <v>50</v>
      </c>
      <c r="CJ737">
        <v>42</v>
      </c>
      <c r="CK737">
        <v>12</v>
      </c>
      <c r="CL737">
        <v>39</v>
      </c>
      <c r="CM737">
        <v>49</v>
      </c>
      <c r="CN737">
        <v>97</v>
      </c>
      <c r="CO737">
        <v>42</v>
      </c>
      <c r="CP737">
        <v>19</v>
      </c>
      <c r="CQ737">
        <v>94</v>
      </c>
      <c r="CR737">
        <v>16</v>
      </c>
      <c r="CS737">
        <v>81</v>
      </c>
      <c r="CT737">
        <v>42</v>
      </c>
      <c r="CU737">
        <v>33</v>
      </c>
      <c r="CV737">
        <v>57</v>
      </c>
      <c r="CW737">
        <v>87</v>
      </c>
      <c r="CX737">
        <v>46</v>
      </c>
      <c r="CY737">
        <v>53</v>
      </c>
      <c r="CZ737">
        <v>39</v>
      </c>
      <c r="DA737">
        <v>35</v>
      </c>
      <c r="DB737">
        <v>44</v>
      </c>
      <c r="DC737">
        <v>54</v>
      </c>
      <c r="DD737">
        <v>14</v>
      </c>
      <c r="DE737">
        <v>93</v>
      </c>
      <c r="DF737">
        <v>44</v>
      </c>
      <c r="DG737">
        <v>84</v>
      </c>
      <c r="DH737">
        <v>22</v>
      </c>
      <c r="DI737">
        <v>41</v>
      </c>
      <c r="DJ737">
        <v>26</v>
      </c>
      <c r="DK737">
        <v>27</v>
      </c>
    </row>
    <row r="738" spans="1:115">
      <c r="A738" s="173">
        <f>Calculations[[#This Row],[Sum t eCO2]]*IF(Calculations[[#This Row],[GHG Scope]]="BIOGENIC",0,1)</f>
        <v>4.6456584865688349E-4</v>
      </c>
      <c r="O738">
        <f t="shared" si="12"/>
        <v>81</v>
      </c>
      <c r="P738">
        <v>81</v>
      </c>
      <c r="Q738">
        <v>33</v>
      </c>
      <c r="R738">
        <v>78</v>
      </c>
      <c r="S738">
        <v>42</v>
      </c>
      <c r="T738">
        <v>54</v>
      </c>
      <c r="U738">
        <v>67</v>
      </c>
      <c r="V738">
        <v>33</v>
      </c>
      <c r="W738">
        <v>10</v>
      </c>
      <c r="X738">
        <v>55</v>
      </c>
      <c r="Y738">
        <v>22</v>
      </c>
      <c r="Z738">
        <v>53</v>
      </c>
      <c r="AA738">
        <v>11</v>
      </c>
      <c r="AB738">
        <v>45</v>
      </c>
      <c r="AC738">
        <v>100</v>
      </c>
      <c r="AD738">
        <v>100</v>
      </c>
      <c r="AE738">
        <v>81</v>
      </c>
      <c r="AF738">
        <v>88</v>
      </c>
      <c r="AG738">
        <v>32</v>
      </c>
      <c r="AH738">
        <v>100</v>
      </c>
      <c r="AI738">
        <v>21</v>
      </c>
      <c r="AJ738">
        <v>71</v>
      </c>
      <c r="AK738">
        <v>44</v>
      </c>
      <c r="AL738">
        <v>49</v>
      </c>
      <c r="AM738">
        <v>89</v>
      </c>
      <c r="AN738">
        <v>32</v>
      </c>
      <c r="AO738">
        <v>54</v>
      </c>
      <c r="AP738">
        <v>31</v>
      </c>
      <c r="AQ738">
        <v>55</v>
      </c>
      <c r="AR738">
        <v>98</v>
      </c>
      <c r="AS738">
        <v>48</v>
      </c>
      <c r="AT738">
        <v>91</v>
      </c>
      <c r="AU738">
        <v>44</v>
      </c>
      <c r="AV738">
        <v>18</v>
      </c>
      <c r="AW738">
        <v>75</v>
      </c>
      <c r="AX738">
        <v>32</v>
      </c>
      <c r="AY738">
        <v>86</v>
      </c>
      <c r="AZ738">
        <v>56</v>
      </c>
      <c r="BA738">
        <v>51</v>
      </c>
      <c r="BB738">
        <v>72</v>
      </c>
      <c r="BC738">
        <v>90</v>
      </c>
      <c r="BD738">
        <v>97</v>
      </c>
      <c r="BE738">
        <v>67</v>
      </c>
      <c r="BF738">
        <v>97</v>
      </c>
      <c r="BG738">
        <v>67</v>
      </c>
      <c r="BH738">
        <v>57</v>
      </c>
      <c r="BI738">
        <v>32</v>
      </c>
      <c r="BJ738">
        <v>50</v>
      </c>
      <c r="BK738">
        <v>42</v>
      </c>
      <c r="BL738">
        <v>21</v>
      </c>
      <c r="BM738">
        <v>90</v>
      </c>
      <c r="BN738">
        <v>24</v>
      </c>
      <c r="BO738">
        <v>95</v>
      </c>
      <c r="BP738">
        <v>95</v>
      </c>
      <c r="BQ738">
        <v>19</v>
      </c>
      <c r="BR738">
        <v>32</v>
      </c>
      <c r="BS738">
        <v>69</v>
      </c>
      <c r="BT738">
        <v>69</v>
      </c>
      <c r="BU738">
        <v>40</v>
      </c>
      <c r="BV738">
        <v>46</v>
      </c>
      <c r="BW738">
        <v>76</v>
      </c>
      <c r="BX738">
        <v>93</v>
      </c>
      <c r="BY738">
        <v>57</v>
      </c>
      <c r="BZ738">
        <v>34</v>
      </c>
      <c r="CA738">
        <v>84</v>
      </c>
      <c r="CB738">
        <v>51</v>
      </c>
      <c r="CC738">
        <v>79</v>
      </c>
      <c r="CD738">
        <v>78</v>
      </c>
      <c r="CE738">
        <v>85</v>
      </c>
      <c r="CF738">
        <v>26</v>
      </c>
      <c r="CG738">
        <v>14</v>
      </c>
      <c r="CH738">
        <v>91</v>
      </c>
      <c r="CI738">
        <v>61</v>
      </c>
      <c r="CJ738">
        <v>63</v>
      </c>
      <c r="CK738">
        <v>72</v>
      </c>
      <c r="CL738">
        <v>97</v>
      </c>
      <c r="CM738">
        <v>61</v>
      </c>
      <c r="CN738">
        <v>64</v>
      </c>
      <c r="CO738">
        <v>45</v>
      </c>
      <c r="CP738">
        <v>82</v>
      </c>
      <c r="CQ738">
        <v>29</v>
      </c>
      <c r="CR738">
        <v>69</v>
      </c>
      <c r="CS738">
        <v>70</v>
      </c>
      <c r="CT738">
        <v>14</v>
      </c>
      <c r="CU738">
        <v>76</v>
      </c>
      <c r="CV738">
        <v>79</v>
      </c>
      <c r="CW738">
        <v>92</v>
      </c>
      <c r="CX738">
        <v>70</v>
      </c>
      <c r="CY738">
        <v>64</v>
      </c>
      <c r="CZ738">
        <v>65</v>
      </c>
      <c r="DA738">
        <v>100</v>
      </c>
      <c r="DB738">
        <v>86</v>
      </c>
      <c r="DC738">
        <v>75</v>
      </c>
      <c r="DD738">
        <v>11</v>
      </c>
      <c r="DE738">
        <v>48</v>
      </c>
      <c r="DF738">
        <v>53</v>
      </c>
      <c r="DG738">
        <v>83</v>
      </c>
      <c r="DH738">
        <v>62</v>
      </c>
      <c r="DI738">
        <v>53</v>
      </c>
      <c r="DJ738">
        <v>40</v>
      </c>
      <c r="DK738">
        <v>16</v>
      </c>
    </row>
    <row r="739" spans="1:115">
      <c r="A739" s="173">
        <f>Calculations[[#This Row],[Sum t eCO2]]*IF(Calculations[[#This Row],[GHG Scope]]="BIOGENIC",0,1)</f>
        <v>0.46181034796995257</v>
      </c>
      <c r="O739">
        <f t="shared" si="12"/>
        <v>82</v>
      </c>
      <c r="P739">
        <v>35</v>
      </c>
      <c r="Q739">
        <v>32</v>
      </c>
      <c r="R739">
        <v>45</v>
      </c>
      <c r="S739">
        <v>24</v>
      </c>
      <c r="T739">
        <v>47</v>
      </c>
      <c r="U739">
        <v>24</v>
      </c>
      <c r="V739">
        <v>18</v>
      </c>
      <c r="W739">
        <v>83</v>
      </c>
      <c r="X739">
        <v>61</v>
      </c>
      <c r="Y739">
        <v>78</v>
      </c>
      <c r="Z739">
        <v>22</v>
      </c>
      <c r="AA739">
        <v>18</v>
      </c>
      <c r="AB739">
        <v>65</v>
      </c>
      <c r="AC739">
        <v>69</v>
      </c>
      <c r="AD739">
        <v>42</v>
      </c>
      <c r="AE739">
        <v>89</v>
      </c>
      <c r="AF739">
        <v>17</v>
      </c>
      <c r="AG739">
        <v>23</v>
      </c>
      <c r="AH739">
        <v>12</v>
      </c>
      <c r="AI739">
        <v>72</v>
      </c>
      <c r="AJ739">
        <v>20</v>
      </c>
      <c r="AK739">
        <v>84</v>
      </c>
      <c r="AL739">
        <v>33</v>
      </c>
      <c r="AM739">
        <v>25</v>
      </c>
      <c r="AN739">
        <v>51</v>
      </c>
      <c r="AO739">
        <v>48</v>
      </c>
      <c r="AP739">
        <v>46</v>
      </c>
      <c r="AQ739">
        <v>16</v>
      </c>
      <c r="AR739">
        <v>78</v>
      </c>
      <c r="AS739">
        <v>19</v>
      </c>
      <c r="AT739">
        <v>72</v>
      </c>
      <c r="AU739">
        <v>81</v>
      </c>
      <c r="AV739">
        <v>92</v>
      </c>
      <c r="AW739">
        <v>94</v>
      </c>
      <c r="AX739">
        <v>94</v>
      </c>
      <c r="AY739">
        <v>15</v>
      </c>
      <c r="AZ739">
        <v>79</v>
      </c>
      <c r="BA739">
        <v>96</v>
      </c>
      <c r="BB739">
        <v>89</v>
      </c>
      <c r="BC739">
        <v>57</v>
      </c>
      <c r="BD739">
        <v>56</v>
      </c>
      <c r="BE739">
        <v>24</v>
      </c>
      <c r="BF739">
        <v>79</v>
      </c>
      <c r="BG739">
        <v>62</v>
      </c>
      <c r="BH739">
        <v>73</v>
      </c>
      <c r="BI739">
        <v>75</v>
      </c>
      <c r="BJ739">
        <v>17</v>
      </c>
      <c r="BK739">
        <v>27</v>
      </c>
      <c r="BL739">
        <v>81</v>
      </c>
      <c r="BM739">
        <v>60</v>
      </c>
      <c r="BN739">
        <v>25</v>
      </c>
      <c r="BO739">
        <v>99</v>
      </c>
      <c r="BP739">
        <v>43</v>
      </c>
      <c r="BQ739">
        <v>84</v>
      </c>
      <c r="BR739">
        <v>65</v>
      </c>
      <c r="BS739">
        <v>63</v>
      </c>
      <c r="BT739">
        <v>91</v>
      </c>
      <c r="BU739">
        <v>75</v>
      </c>
      <c r="BV739">
        <v>96</v>
      </c>
      <c r="BW739">
        <v>59</v>
      </c>
      <c r="BX739">
        <v>26</v>
      </c>
      <c r="BY739">
        <v>11</v>
      </c>
      <c r="BZ739">
        <v>88</v>
      </c>
      <c r="CA739">
        <v>94</v>
      </c>
      <c r="CB739">
        <v>19</v>
      </c>
      <c r="CC739">
        <v>36</v>
      </c>
      <c r="CD739">
        <v>72</v>
      </c>
      <c r="CE739">
        <v>79</v>
      </c>
      <c r="CF739">
        <v>82</v>
      </c>
      <c r="CG739">
        <v>44</v>
      </c>
      <c r="CH739">
        <v>82</v>
      </c>
      <c r="CI739">
        <v>80</v>
      </c>
      <c r="CJ739">
        <v>73</v>
      </c>
      <c r="CK739">
        <v>61</v>
      </c>
      <c r="CL739">
        <v>53</v>
      </c>
      <c r="CM739">
        <v>36</v>
      </c>
      <c r="CN739">
        <v>91</v>
      </c>
      <c r="CO739">
        <v>75</v>
      </c>
      <c r="CP739">
        <v>79</v>
      </c>
      <c r="CQ739">
        <v>84</v>
      </c>
      <c r="CR739">
        <v>60</v>
      </c>
      <c r="CS739">
        <v>12</v>
      </c>
      <c r="CT739">
        <v>68</v>
      </c>
      <c r="CU739">
        <v>63</v>
      </c>
      <c r="CV739">
        <v>56</v>
      </c>
      <c r="CW739">
        <v>22</v>
      </c>
      <c r="CX739">
        <v>63</v>
      </c>
      <c r="CY739">
        <v>87</v>
      </c>
      <c r="CZ739">
        <v>18</v>
      </c>
      <c r="DA739">
        <v>62</v>
      </c>
      <c r="DB739">
        <v>29</v>
      </c>
      <c r="DC739">
        <v>49</v>
      </c>
      <c r="DD739">
        <v>43</v>
      </c>
      <c r="DE739">
        <v>67</v>
      </c>
      <c r="DF739">
        <v>28</v>
      </c>
      <c r="DG739">
        <v>54</v>
      </c>
      <c r="DH739">
        <v>67</v>
      </c>
      <c r="DI739">
        <v>26</v>
      </c>
      <c r="DJ739">
        <v>94</v>
      </c>
      <c r="DK739">
        <v>36</v>
      </c>
    </row>
    <row r="740" spans="1:115">
      <c r="A740" s="173">
        <f>Calculations[[#This Row],[Sum t eCO2]]*IF(Calculations[[#This Row],[GHG Scope]]="BIOGENIC",0,1)</f>
        <v>24.099108088680001</v>
      </c>
      <c r="O740">
        <f t="shared" si="12"/>
        <v>83</v>
      </c>
      <c r="P740">
        <v>16</v>
      </c>
      <c r="Q740">
        <v>35</v>
      </c>
      <c r="R740">
        <v>81</v>
      </c>
      <c r="S740">
        <v>65</v>
      </c>
      <c r="T740">
        <v>23</v>
      </c>
      <c r="U740">
        <v>96</v>
      </c>
      <c r="V740">
        <v>17</v>
      </c>
      <c r="W740">
        <v>14</v>
      </c>
      <c r="X740">
        <v>17</v>
      </c>
      <c r="Y740">
        <v>100</v>
      </c>
      <c r="Z740">
        <v>94</v>
      </c>
      <c r="AA740">
        <v>48</v>
      </c>
      <c r="AB740">
        <v>89</v>
      </c>
      <c r="AC740">
        <v>50</v>
      </c>
      <c r="AD740">
        <v>98</v>
      </c>
      <c r="AE740">
        <v>45</v>
      </c>
      <c r="AF740">
        <v>19</v>
      </c>
      <c r="AG740">
        <v>54</v>
      </c>
      <c r="AH740">
        <v>14</v>
      </c>
      <c r="AI740">
        <v>31</v>
      </c>
      <c r="AJ740">
        <v>52</v>
      </c>
      <c r="AK740">
        <v>15</v>
      </c>
      <c r="AL740">
        <v>43</v>
      </c>
      <c r="AM740">
        <v>100</v>
      </c>
      <c r="AN740">
        <v>65</v>
      </c>
      <c r="AO740">
        <v>21</v>
      </c>
      <c r="AP740">
        <v>52</v>
      </c>
      <c r="AQ740">
        <v>42</v>
      </c>
      <c r="AR740">
        <v>96</v>
      </c>
      <c r="AS740">
        <v>30</v>
      </c>
      <c r="AT740">
        <v>13</v>
      </c>
      <c r="AU740">
        <v>82</v>
      </c>
      <c r="AV740">
        <v>76</v>
      </c>
      <c r="AW740">
        <v>68</v>
      </c>
      <c r="AX740">
        <v>60</v>
      </c>
      <c r="AY740">
        <v>88</v>
      </c>
      <c r="AZ740">
        <v>42</v>
      </c>
      <c r="BA740">
        <v>55</v>
      </c>
      <c r="BB740">
        <v>18</v>
      </c>
      <c r="BC740">
        <v>11</v>
      </c>
      <c r="BD740">
        <v>31</v>
      </c>
      <c r="BE740">
        <v>51</v>
      </c>
      <c r="BF740">
        <v>83</v>
      </c>
      <c r="BG740">
        <v>26</v>
      </c>
      <c r="BH740">
        <v>65</v>
      </c>
      <c r="BI740">
        <v>11</v>
      </c>
      <c r="BJ740">
        <v>36</v>
      </c>
      <c r="BK740">
        <v>93</v>
      </c>
      <c r="BL740">
        <v>60</v>
      </c>
      <c r="BM740">
        <v>39</v>
      </c>
      <c r="BN740">
        <v>75</v>
      </c>
      <c r="BO740">
        <v>47</v>
      </c>
      <c r="BP740">
        <v>43</v>
      </c>
      <c r="BQ740">
        <v>74</v>
      </c>
      <c r="BR740">
        <v>87</v>
      </c>
      <c r="BS740">
        <v>53</v>
      </c>
      <c r="BT740">
        <v>29</v>
      </c>
      <c r="BU740">
        <v>48</v>
      </c>
      <c r="BV740">
        <v>33</v>
      </c>
      <c r="BW740">
        <v>96</v>
      </c>
      <c r="BX740">
        <v>51</v>
      </c>
      <c r="BY740">
        <v>40</v>
      </c>
      <c r="BZ740">
        <v>69</v>
      </c>
      <c r="CA740">
        <v>64</v>
      </c>
      <c r="CB740">
        <v>60</v>
      </c>
      <c r="CC740">
        <v>42</v>
      </c>
      <c r="CD740">
        <v>75</v>
      </c>
      <c r="CE740">
        <v>84</v>
      </c>
      <c r="CF740">
        <v>75</v>
      </c>
      <c r="CG740">
        <v>88</v>
      </c>
      <c r="CH740">
        <v>40</v>
      </c>
      <c r="CI740">
        <v>22</v>
      </c>
      <c r="CJ740">
        <v>90</v>
      </c>
      <c r="CK740">
        <v>71</v>
      </c>
      <c r="CL740">
        <v>71</v>
      </c>
      <c r="CM740">
        <v>62</v>
      </c>
      <c r="CN740">
        <v>34</v>
      </c>
      <c r="CO740">
        <v>22</v>
      </c>
      <c r="CP740">
        <v>79</v>
      </c>
      <c r="CQ740">
        <v>77</v>
      </c>
      <c r="CR740">
        <v>35</v>
      </c>
      <c r="CS740">
        <v>46</v>
      </c>
      <c r="CT740">
        <v>83</v>
      </c>
      <c r="CU740">
        <v>71</v>
      </c>
      <c r="CV740">
        <v>54</v>
      </c>
      <c r="CW740">
        <v>54</v>
      </c>
      <c r="CX740">
        <v>74</v>
      </c>
      <c r="CY740">
        <v>75</v>
      </c>
      <c r="CZ740">
        <v>65</v>
      </c>
      <c r="DA740">
        <v>42</v>
      </c>
      <c r="DB740">
        <v>28</v>
      </c>
      <c r="DC740">
        <v>88</v>
      </c>
      <c r="DD740">
        <v>89</v>
      </c>
      <c r="DE740">
        <v>32</v>
      </c>
      <c r="DF740">
        <v>61</v>
      </c>
      <c r="DG740">
        <v>96</v>
      </c>
      <c r="DH740">
        <v>94</v>
      </c>
      <c r="DI740">
        <v>61</v>
      </c>
      <c r="DJ740">
        <v>16</v>
      </c>
      <c r="DK740">
        <v>39</v>
      </c>
    </row>
    <row r="741" spans="1:115">
      <c r="A741" s="173">
        <f>Calculations[[#This Row],[Sum t eCO2]]*IF(Calculations[[#This Row],[GHG Scope]]="BIOGENIC",0,1)</f>
        <v>2.5773169699724446E-4</v>
      </c>
      <c r="O741">
        <f t="shared" si="12"/>
        <v>84</v>
      </c>
      <c r="P741">
        <v>77</v>
      </c>
      <c r="Q741">
        <v>52</v>
      </c>
      <c r="R741">
        <v>41</v>
      </c>
      <c r="S741">
        <v>81</v>
      </c>
      <c r="T741">
        <v>38</v>
      </c>
      <c r="U741">
        <v>26</v>
      </c>
      <c r="V741">
        <v>26</v>
      </c>
      <c r="W741">
        <v>54</v>
      </c>
      <c r="X741">
        <v>57</v>
      </c>
      <c r="Y741">
        <v>43</v>
      </c>
      <c r="Z741">
        <v>58</v>
      </c>
      <c r="AA741">
        <v>83</v>
      </c>
      <c r="AB741">
        <v>54</v>
      </c>
      <c r="AC741">
        <v>57</v>
      </c>
      <c r="AD741">
        <v>32</v>
      </c>
      <c r="AE741">
        <v>15</v>
      </c>
      <c r="AF741">
        <v>17</v>
      </c>
      <c r="AG741">
        <v>41</v>
      </c>
      <c r="AH741">
        <v>17</v>
      </c>
      <c r="AI741">
        <v>25</v>
      </c>
      <c r="AJ741">
        <v>29</v>
      </c>
      <c r="AK741">
        <v>86</v>
      </c>
      <c r="AL741">
        <v>62</v>
      </c>
      <c r="AM741">
        <v>31</v>
      </c>
      <c r="AN741">
        <v>23</v>
      </c>
      <c r="AO741">
        <v>77</v>
      </c>
      <c r="AP741">
        <v>30</v>
      </c>
      <c r="AQ741">
        <v>24</v>
      </c>
      <c r="AR741">
        <v>69</v>
      </c>
      <c r="AS741">
        <v>28</v>
      </c>
      <c r="AT741">
        <v>53</v>
      </c>
      <c r="AU741">
        <v>70</v>
      </c>
      <c r="AV741">
        <v>11</v>
      </c>
      <c r="AW741">
        <v>95</v>
      </c>
      <c r="AX741">
        <v>82</v>
      </c>
      <c r="AY741">
        <v>20</v>
      </c>
      <c r="AZ741">
        <v>52</v>
      </c>
      <c r="BA741">
        <v>26</v>
      </c>
      <c r="BB741">
        <v>94</v>
      </c>
      <c r="BC741">
        <v>93</v>
      </c>
      <c r="BD741">
        <v>70</v>
      </c>
      <c r="BE741">
        <v>87</v>
      </c>
      <c r="BF741">
        <v>44</v>
      </c>
      <c r="BG741">
        <v>19</v>
      </c>
      <c r="BH741">
        <v>18</v>
      </c>
      <c r="BI741">
        <v>57</v>
      </c>
      <c r="BJ741">
        <v>82</v>
      </c>
      <c r="BK741">
        <v>63</v>
      </c>
      <c r="BL741">
        <v>66</v>
      </c>
      <c r="BM741">
        <v>41</v>
      </c>
      <c r="BN741">
        <v>56</v>
      </c>
      <c r="BO741">
        <v>20</v>
      </c>
      <c r="BP741">
        <v>15</v>
      </c>
      <c r="BQ741">
        <v>51</v>
      </c>
      <c r="BR741">
        <v>51</v>
      </c>
      <c r="BS741">
        <v>55</v>
      </c>
      <c r="BT741">
        <v>86</v>
      </c>
      <c r="BU741">
        <v>97</v>
      </c>
      <c r="BV741">
        <v>94</v>
      </c>
      <c r="BW741">
        <v>26</v>
      </c>
      <c r="BX741">
        <v>53</v>
      </c>
      <c r="BY741">
        <v>68</v>
      </c>
      <c r="BZ741">
        <v>42</v>
      </c>
      <c r="CA741">
        <v>11</v>
      </c>
      <c r="CB741">
        <v>13</v>
      </c>
      <c r="CC741">
        <v>86</v>
      </c>
      <c r="CD741">
        <v>86</v>
      </c>
      <c r="CE741">
        <v>93</v>
      </c>
      <c r="CF741">
        <v>32</v>
      </c>
      <c r="CG741">
        <v>84</v>
      </c>
      <c r="CH741">
        <v>42</v>
      </c>
      <c r="CI741">
        <v>25</v>
      </c>
      <c r="CJ741">
        <v>14</v>
      </c>
      <c r="CK741">
        <v>73</v>
      </c>
      <c r="CL741">
        <v>90</v>
      </c>
      <c r="CM741">
        <v>72</v>
      </c>
      <c r="CN741">
        <v>53</v>
      </c>
      <c r="CO741">
        <v>98</v>
      </c>
      <c r="CP741">
        <v>60</v>
      </c>
      <c r="CQ741">
        <v>27</v>
      </c>
      <c r="CR741">
        <v>89</v>
      </c>
      <c r="CS741">
        <v>13</v>
      </c>
      <c r="CT741">
        <v>70</v>
      </c>
      <c r="CU741">
        <v>25</v>
      </c>
      <c r="CV741">
        <v>16</v>
      </c>
      <c r="CW741">
        <v>89</v>
      </c>
      <c r="CX741">
        <v>27</v>
      </c>
      <c r="CY741">
        <v>40</v>
      </c>
      <c r="CZ741">
        <v>94</v>
      </c>
      <c r="DA741">
        <v>20</v>
      </c>
      <c r="DB741">
        <v>57</v>
      </c>
      <c r="DC741">
        <v>37</v>
      </c>
      <c r="DD741">
        <v>24</v>
      </c>
      <c r="DE741">
        <v>74</v>
      </c>
      <c r="DF741">
        <v>28</v>
      </c>
      <c r="DG741">
        <v>37</v>
      </c>
      <c r="DH741">
        <v>48</v>
      </c>
      <c r="DI741">
        <v>52</v>
      </c>
      <c r="DJ741">
        <v>99</v>
      </c>
      <c r="DK741">
        <v>66</v>
      </c>
    </row>
    <row r="742" spans="1:115">
      <c r="A742" s="173">
        <f>Calculations[[#This Row],[Sum t eCO2]]*IF(Calculations[[#This Row],[GHG Scope]]="BIOGENIC",0,1)</f>
        <v>0.25620300118335071</v>
      </c>
      <c r="O742">
        <f t="shared" si="12"/>
        <v>85</v>
      </c>
      <c r="P742">
        <v>31</v>
      </c>
      <c r="Q742">
        <v>46</v>
      </c>
      <c r="R742">
        <v>57</v>
      </c>
      <c r="S742">
        <v>71</v>
      </c>
      <c r="T742">
        <v>35</v>
      </c>
      <c r="U742">
        <v>53</v>
      </c>
      <c r="V742">
        <v>99</v>
      </c>
      <c r="W742">
        <v>35</v>
      </c>
      <c r="X742">
        <v>60</v>
      </c>
      <c r="Y742">
        <v>35</v>
      </c>
      <c r="Z742">
        <v>16</v>
      </c>
      <c r="AA742">
        <v>85</v>
      </c>
      <c r="AB742">
        <v>36</v>
      </c>
      <c r="AC742">
        <v>31</v>
      </c>
      <c r="AD742">
        <v>90</v>
      </c>
      <c r="AE742">
        <v>92</v>
      </c>
      <c r="AF742">
        <v>37</v>
      </c>
      <c r="AG742">
        <v>16</v>
      </c>
      <c r="AH742">
        <v>70</v>
      </c>
      <c r="AI742">
        <v>81</v>
      </c>
      <c r="AJ742">
        <v>57</v>
      </c>
      <c r="AK742">
        <v>29</v>
      </c>
      <c r="AL742">
        <v>96</v>
      </c>
      <c r="AM742">
        <v>20</v>
      </c>
      <c r="AN742">
        <v>86</v>
      </c>
      <c r="AO742">
        <v>26</v>
      </c>
      <c r="AP742">
        <v>28</v>
      </c>
      <c r="AQ742">
        <v>20</v>
      </c>
      <c r="AR742">
        <v>43</v>
      </c>
      <c r="AS742">
        <v>84</v>
      </c>
      <c r="AT742">
        <v>96</v>
      </c>
      <c r="AU742">
        <v>43</v>
      </c>
      <c r="AV742">
        <v>19</v>
      </c>
      <c r="AW742">
        <v>54</v>
      </c>
      <c r="AX742">
        <v>55</v>
      </c>
      <c r="AY742">
        <v>12</v>
      </c>
      <c r="AZ742">
        <v>30</v>
      </c>
      <c r="BA742">
        <v>46</v>
      </c>
      <c r="BB742">
        <v>42</v>
      </c>
      <c r="BC742">
        <v>88</v>
      </c>
      <c r="BD742">
        <v>50</v>
      </c>
      <c r="BE742">
        <v>60</v>
      </c>
      <c r="BF742">
        <v>97</v>
      </c>
      <c r="BG742">
        <v>73</v>
      </c>
      <c r="BH742">
        <v>19</v>
      </c>
      <c r="BI742">
        <v>62</v>
      </c>
      <c r="BJ742">
        <v>22</v>
      </c>
      <c r="BK742">
        <v>13</v>
      </c>
      <c r="BL742">
        <v>11</v>
      </c>
      <c r="BM742">
        <v>96</v>
      </c>
      <c r="BN742">
        <v>33</v>
      </c>
      <c r="BO742">
        <v>84</v>
      </c>
      <c r="BP742">
        <v>15</v>
      </c>
      <c r="BQ742">
        <v>62</v>
      </c>
      <c r="BR742">
        <v>91</v>
      </c>
      <c r="BS742">
        <v>89</v>
      </c>
      <c r="BT742">
        <v>14</v>
      </c>
      <c r="BU742">
        <v>41</v>
      </c>
      <c r="BV742">
        <v>79</v>
      </c>
      <c r="BW742">
        <v>49</v>
      </c>
      <c r="BX742">
        <v>46</v>
      </c>
      <c r="BY742">
        <v>75</v>
      </c>
      <c r="BZ742">
        <v>14</v>
      </c>
      <c r="CA742">
        <v>86</v>
      </c>
      <c r="CB742">
        <v>90</v>
      </c>
      <c r="CC742">
        <v>91</v>
      </c>
      <c r="CD742">
        <v>22</v>
      </c>
      <c r="CE742">
        <v>16</v>
      </c>
      <c r="CF742">
        <v>53</v>
      </c>
      <c r="CG742">
        <v>31</v>
      </c>
      <c r="CH742">
        <v>44</v>
      </c>
      <c r="CI742">
        <v>22</v>
      </c>
      <c r="CJ742">
        <v>42</v>
      </c>
      <c r="CK742">
        <v>21</v>
      </c>
      <c r="CL742">
        <v>61</v>
      </c>
      <c r="CM742">
        <v>70</v>
      </c>
      <c r="CN742">
        <v>31</v>
      </c>
      <c r="CO742">
        <v>16</v>
      </c>
      <c r="CP742">
        <v>33</v>
      </c>
      <c r="CQ742">
        <v>94</v>
      </c>
      <c r="CR742">
        <v>67</v>
      </c>
      <c r="CS742">
        <v>93</v>
      </c>
      <c r="CT742">
        <v>55</v>
      </c>
      <c r="CU742">
        <v>65</v>
      </c>
      <c r="CV742">
        <v>44</v>
      </c>
      <c r="CW742">
        <v>95</v>
      </c>
      <c r="CX742">
        <v>44</v>
      </c>
      <c r="CY742">
        <v>68</v>
      </c>
      <c r="CZ742">
        <v>34</v>
      </c>
      <c r="DA742">
        <v>75</v>
      </c>
      <c r="DB742">
        <v>27</v>
      </c>
      <c r="DC742">
        <v>41</v>
      </c>
      <c r="DD742">
        <v>51</v>
      </c>
      <c r="DE742">
        <v>14</v>
      </c>
      <c r="DF742">
        <v>91</v>
      </c>
      <c r="DG742">
        <v>42</v>
      </c>
      <c r="DH742">
        <v>57</v>
      </c>
      <c r="DI742">
        <v>18</v>
      </c>
      <c r="DJ742">
        <v>64</v>
      </c>
      <c r="DK742">
        <v>71</v>
      </c>
    </row>
    <row r="743" spans="1:115">
      <c r="A743" s="173">
        <f>Calculations[[#This Row],[Sum t eCO2]]*IF(Calculations[[#This Row],[GHG Scope]]="BIOGENIC",0,1)</f>
        <v>23.5333557761445</v>
      </c>
      <c r="O743">
        <f t="shared" si="12"/>
        <v>86</v>
      </c>
      <c r="P743">
        <v>92</v>
      </c>
      <c r="Q743">
        <v>87</v>
      </c>
      <c r="R743">
        <v>30</v>
      </c>
      <c r="S743">
        <v>56</v>
      </c>
      <c r="T743">
        <v>15</v>
      </c>
      <c r="U743">
        <v>74</v>
      </c>
      <c r="V743">
        <v>18</v>
      </c>
      <c r="W743">
        <v>40</v>
      </c>
      <c r="X743">
        <v>63</v>
      </c>
      <c r="Y743">
        <v>67</v>
      </c>
      <c r="Z743">
        <v>65</v>
      </c>
      <c r="AA743">
        <v>57</v>
      </c>
      <c r="AB743">
        <v>28</v>
      </c>
      <c r="AC743">
        <v>99</v>
      </c>
      <c r="AD743">
        <v>13</v>
      </c>
      <c r="AE743">
        <v>45</v>
      </c>
      <c r="AF743">
        <v>87</v>
      </c>
      <c r="AG743">
        <v>13</v>
      </c>
      <c r="AH743">
        <v>11</v>
      </c>
      <c r="AI743">
        <v>29</v>
      </c>
      <c r="AJ743">
        <v>68</v>
      </c>
      <c r="AK743">
        <v>10</v>
      </c>
      <c r="AL743">
        <v>90</v>
      </c>
      <c r="AM743">
        <v>87</v>
      </c>
      <c r="AN743">
        <v>84</v>
      </c>
      <c r="AO743">
        <v>19</v>
      </c>
      <c r="AP743">
        <v>57</v>
      </c>
      <c r="AQ743">
        <v>36</v>
      </c>
      <c r="AR743">
        <v>75</v>
      </c>
      <c r="AS743">
        <v>100</v>
      </c>
      <c r="AT743">
        <v>27</v>
      </c>
      <c r="AU743">
        <v>92</v>
      </c>
      <c r="AV743">
        <v>96</v>
      </c>
      <c r="AW743">
        <v>62</v>
      </c>
      <c r="AX743">
        <v>91</v>
      </c>
      <c r="AY743">
        <v>20</v>
      </c>
      <c r="AZ743">
        <v>96</v>
      </c>
      <c r="BA743">
        <v>86</v>
      </c>
      <c r="BB743">
        <v>97</v>
      </c>
      <c r="BC743">
        <v>97</v>
      </c>
      <c r="BD743">
        <v>35</v>
      </c>
      <c r="BE743">
        <v>59</v>
      </c>
      <c r="BF743">
        <v>58</v>
      </c>
      <c r="BG743">
        <v>52</v>
      </c>
      <c r="BH743">
        <v>92</v>
      </c>
      <c r="BI743">
        <v>81</v>
      </c>
      <c r="BJ743">
        <v>29</v>
      </c>
      <c r="BK743">
        <v>37</v>
      </c>
      <c r="BL743">
        <v>22</v>
      </c>
      <c r="BM743">
        <v>67</v>
      </c>
      <c r="BN743">
        <v>94</v>
      </c>
      <c r="BO743">
        <v>34</v>
      </c>
      <c r="BP743">
        <v>20</v>
      </c>
      <c r="BQ743">
        <v>76</v>
      </c>
      <c r="BR743">
        <v>33</v>
      </c>
      <c r="BS743">
        <v>84</v>
      </c>
      <c r="BT743">
        <v>18</v>
      </c>
      <c r="BU743">
        <v>10</v>
      </c>
      <c r="BV743">
        <v>78</v>
      </c>
      <c r="BW743">
        <v>24</v>
      </c>
      <c r="BX743">
        <v>12</v>
      </c>
      <c r="BY743">
        <v>68</v>
      </c>
      <c r="BZ743">
        <v>27</v>
      </c>
      <c r="CA743">
        <v>93</v>
      </c>
      <c r="CB743">
        <v>95</v>
      </c>
      <c r="CC743">
        <v>34</v>
      </c>
      <c r="CD743">
        <v>37</v>
      </c>
      <c r="CE743">
        <v>23</v>
      </c>
      <c r="CF743">
        <v>69</v>
      </c>
      <c r="CG743">
        <v>94</v>
      </c>
      <c r="CH743">
        <v>91</v>
      </c>
      <c r="CI743">
        <v>20</v>
      </c>
      <c r="CJ743">
        <v>54</v>
      </c>
      <c r="CK743">
        <v>56</v>
      </c>
      <c r="CL743">
        <v>49</v>
      </c>
      <c r="CM743">
        <v>68</v>
      </c>
      <c r="CN743">
        <v>83</v>
      </c>
      <c r="CO743">
        <v>17</v>
      </c>
      <c r="CP743">
        <v>69</v>
      </c>
      <c r="CQ743">
        <v>99</v>
      </c>
      <c r="CR743">
        <v>89</v>
      </c>
      <c r="CS743">
        <v>92</v>
      </c>
      <c r="CT743">
        <v>29</v>
      </c>
      <c r="CU743">
        <v>50</v>
      </c>
      <c r="CV743">
        <v>56</v>
      </c>
      <c r="CW743">
        <v>32</v>
      </c>
      <c r="CX743">
        <v>51</v>
      </c>
      <c r="CY743">
        <v>36</v>
      </c>
      <c r="CZ743">
        <v>55</v>
      </c>
      <c r="DA743">
        <v>35</v>
      </c>
      <c r="DB743">
        <v>25</v>
      </c>
      <c r="DC743">
        <v>30</v>
      </c>
      <c r="DD743">
        <v>99</v>
      </c>
      <c r="DE743">
        <v>12</v>
      </c>
      <c r="DF743">
        <v>88</v>
      </c>
      <c r="DG743">
        <v>23</v>
      </c>
      <c r="DH743">
        <v>96</v>
      </c>
      <c r="DI743">
        <v>24</v>
      </c>
      <c r="DJ743">
        <v>62</v>
      </c>
      <c r="DK743">
        <v>39</v>
      </c>
    </row>
    <row r="744" spans="1:115">
      <c r="A744" s="173">
        <f>Calculations[[#This Row],[Sum t eCO2]]*IF(Calculations[[#This Row],[GHG Scope]]="BIOGENIC",0,1)</f>
        <v>8.3974856671142781E-2</v>
      </c>
      <c r="O744">
        <f t="shared" si="12"/>
        <v>87</v>
      </c>
      <c r="P744">
        <v>21</v>
      </c>
      <c r="Q744">
        <v>58</v>
      </c>
      <c r="R744">
        <v>67</v>
      </c>
      <c r="S744">
        <v>81</v>
      </c>
      <c r="T744">
        <v>36</v>
      </c>
      <c r="U744">
        <v>75</v>
      </c>
      <c r="V744">
        <v>36</v>
      </c>
      <c r="W744">
        <v>51</v>
      </c>
      <c r="X744">
        <v>39</v>
      </c>
      <c r="Y744">
        <v>42</v>
      </c>
      <c r="Z744">
        <v>74</v>
      </c>
      <c r="AA744">
        <v>46</v>
      </c>
      <c r="AB744">
        <v>46</v>
      </c>
      <c r="AC744">
        <v>56</v>
      </c>
      <c r="AD744">
        <v>98</v>
      </c>
      <c r="AE744">
        <v>62</v>
      </c>
      <c r="AF744">
        <v>59</v>
      </c>
      <c r="AG744">
        <v>16</v>
      </c>
      <c r="AH744">
        <v>55</v>
      </c>
      <c r="AI744">
        <v>61</v>
      </c>
      <c r="AJ744">
        <v>33</v>
      </c>
      <c r="AK744">
        <v>75</v>
      </c>
      <c r="AL744">
        <v>41</v>
      </c>
      <c r="AM744">
        <v>15</v>
      </c>
      <c r="AN744">
        <v>51</v>
      </c>
      <c r="AO744">
        <v>92</v>
      </c>
      <c r="AP744">
        <v>92</v>
      </c>
      <c r="AQ744">
        <v>21</v>
      </c>
      <c r="AR744">
        <v>33</v>
      </c>
      <c r="AS744">
        <v>44</v>
      </c>
      <c r="AT744">
        <v>66</v>
      </c>
      <c r="AU744">
        <v>59</v>
      </c>
      <c r="AV744">
        <v>29</v>
      </c>
      <c r="AW744">
        <v>76</v>
      </c>
      <c r="AX744">
        <v>88</v>
      </c>
      <c r="AY744">
        <v>96</v>
      </c>
      <c r="AZ744">
        <v>71</v>
      </c>
      <c r="BA744">
        <v>79</v>
      </c>
      <c r="BB744">
        <v>16</v>
      </c>
      <c r="BC744">
        <v>75</v>
      </c>
      <c r="BD744">
        <v>95</v>
      </c>
      <c r="BE744">
        <v>95</v>
      </c>
      <c r="BF744">
        <v>33</v>
      </c>
      <c r="BG744">
        <v>84</v>
      </c>
      <c r="BH744">
        <v>70</v>
      </c>
      <c r="BI744">
        <v>41</v>
      </c>
      <c r="BJ744">
        <v>93</v>
      </c>
      <c r="BK744">
        <v>10</v>
      </c>
      <c r="BL744">
        <v>15</v>
      </c>
      <c r="BM744">
        <v>23</v>
      </c>
      <c r="BN744">
        <v>52</v>
      </c>
      <c r="BO744">
        <v>93</v>
      </c>
      <c r="BP744">
        <v>54</v>
      </c>
      <c r="BQ744">
        <v>97</v>
      </c>
      <c r="BR744">
        <v>52</v>
      </c>
      <c r="BS744">
        <v>20</v>
      </c>
      <c r="BT744">
        <v>52</v>
      </c>
      <c r="BU744">
        <v>77</v>
      </c>
      <c r="BV744">
        <v>73</v>
      </c>
      <c r="BW744">
        <v>74</v>
      </c>
      <c r="BX744">
        <v>88</v>
      </c>
      <c r="BY744">
        <v>27</v>
      </c>
      <c r="BZ744">
        <v>36</v>
      </c>
      <c r="CA744">
        <v>68</v>
      </c>
      <c r="CB744">
        <v>78</v>
      </c>
      <c r="CC744">
        <v>68</v>
      </c>
      <c r="CD744">
        <v>75</v>
      </c>
      <c r="CE744">
        <v>97</v>
      </c>
      <c r="CF744">
        <v>97</v>
      </c>
      <c r="CG744">
        <v>41</v>
      </c>
      <c r="CH744">
        <v>61</v>
      </c>
      <c r="CI744">
        <v>48</v>
      </c>
      <c r="CJ744">
        <v>87</v>
      </c>
      <c r="CK744">
        <v>71</v>
      </c>
      <c r="CL744">
        <v>100</v>
      </c>
      <c r="CM744">
        <v>50</v>
      </c>
      <c r="CN744">
        <v>63</v>
      </c>
      <c r="CO744">
        <v>51</v>
      </c>
      <c r="CP744">
        <v>11</v>
      </c>
      <c r="CQ744">
        <v>75</v>
      </c>
      <c r="CR744">
        <v>27</v>
      </c>
      <c r="CS744">
        <v>32</v>
      </c>
      <c r="CT744">
        <v>48</v>
      </c>
      <c r="CU744">
        <v>26</v>
      </c>
      <c r="CV744">
        <v>71</v>
      </c>
      <c r="CW744">
        <v>68</v>
      </c>
      <c r="CX744">
        <v>15</v>
      </c>
      <c r="CY744">
        <v>59</v>
      </c>
      <c r="CZ744">
        <v>12</v>
      </c>
      <c r="DA744">
        <v>75</v>
      </c>
      <c r="DB744">
        <v>44</v>
      </c>
      <c r="DC744">
        <v>33</v>
      </c>
      <c r="DD744">
        <v>24</v>
      </c>
      <c r="DE744">
        <v>73</v>
      </c>
      <c r="DF744">
        <v>13</v>
      </c>
      <c r="DG744">
        <v>19</v>
      </c>
      <c r="DH744">
        <v>52</v>
      </c>
      <c r="DI744">
        <v>71</v>
      </c>
      <c r="DJ744">
        <v>99</v>
      </c>
      <c r="DK744">
        <v>15</v>
      </c>
    </row>
    <row r="745" spans="1:115">
      <c r="A745" s="173">
        <f>Calculations[[#This Row],[Sum t eCO2]]*IF(Calculations[[#This Row],[GHG Scope]]="BIOGENIC",0,1)</f>
        <v>0.11537341195667299</v>
      </c>
      <c r="O745">
        <f t="shared" si="12"/>
        <v>88</v>
      </c>
      <c r="P745">
        <v>16</v>
      </c>
      <c r="Q745">
        <v>41</v>
      </c>
      <c r="R745">
        <v>53</v>
      </c>
      <c r="S745">
        <v>48</v>
      </c>
      <c r="T745">
        <v>37</v>
      </c>
      <c r="U745">
        <v>25</v>
      </c>
      <c r="V745">
        <v>69</v>
      </c>
      <c r="W745">
        <v>36</v>
      </c>
      <c r="X745">
        <v>43</v>
      </c>
      <c r="Y745">
        <v>63</v>
      </c>
      <c r="Z745">
        <v>86</v>
      </c>
      <c r="AA745">
        <v>28</v>
      </c>
      <c r="AB745">
        <v>70</v>
      </c>
      <c r="AC745">
        <v>86</v>
      </c>
      <c r="AD745">
        <v>12</v>
      </c>
      <c r="AE745">
        <v>21</v>
      </c>
      <c r="AF745">
        <v>98</v>
      </c>
      <c r="AG745">
        <v>55</v>
      </c>
      <c r="AH745">
        <v>90</v>
      </c>
      <c r="AI745">
        <v>69</v>
      </c>
      <c r="AJ745">
        <v>63</v>
      </c>
      <c r="AK745">
        <v>81</v>
      </c>
      <c r="AL745">
        <v>95</v>
      </c>
      <c r="AM745">
        <v>57</v>
      </c>
      <c r="AN745">
        <v>31</v>
      </c>
      <c r="AO745">
        <v>34</v>
      </c>
      <c r="AP745">
        <v>33</v>
      </c>
      <c r="AQ745">
        <v>35</v>
      </c>
      <c r="AR745">
        <v>20</v>
      </c>
      <c r="AS745">
        <v>36</v>
      </c>
      <c r="AT745">
        <v>48</v>
      </c>
      <c r="AU745">
        <v>47</v>
      </c>
      <c r="AV745">
        <v>76</v>
      </c>
      <c r="AW745">
        <v>51</v>
      </c>
      <c r="AX745">
        <v>56</v>
      </c>
      <c r="AY745">
        <v>39</v>
      </c>
      <c r="AZ745">
        <v>46</v>
      </c>
      <c r="BA745">
        <v>96</v>
      </c>
      <c r="BB745">
        <v>17</v>
      </c>
      <c r="BC745">
        <v>86</v>
      </c>
      <c r="BD745">
        <v>87</v>
      </c>
      <c r="BE745">
        <v>93</v>
      </c>
      <c r="BF745">
        <v>95</v>
      </c>
      <c r="BG745">
        <v>94</v>
      </c>
      <c r="BH745">
        <v>80</v>
      </c>
      <c r="BI745">
        <v>15</v>
      </c>
      <c r="BJ745">
        <v>73</v>
      </c>
      <c r="BK745">
        <v>17</v>
      </c>
      <c r="BL745">
        <v>84</v>
      </c>
      <c r="BM745">
        <v>64</v>
      </c>
      <c r="BN745">
        <v>68</v>
      </c>
      <c r="BO745">
        <v>62</v>
      </c>
      <c r="BP745">
        <v>72</v>
      </c>
      <c r="BQ745">
        <v>56</v>
      </c>
      <c r="BR745">
        <v>10</v>
      </c>
      <c r="BS745">
        <v>70</v>
      </c>
      <c r="BT745">
        <v>15</v>
      </c>
      <c r="BU745">
        <v>16</v>
      </c>
      <c r="BV745">
        <v>41</v>
      </c>
      <c r="BW745">
        <v>21</v>
      </c>
      <c r="BX745">
        <v>43</v>
      </c>
      <c r="BY745">
        <v>54</v>
      </c>
      <c r="BZ745">
        <v>30</v>
      </c>
      <c r="CA745">
        <v>20</v>
      </c>
      <c r="CB745">
        <v>23</v>
      </c>
      <c r="CC745">
        <v>75</v>
      </c>
      <c r="CD745">
        <v>20</v>
      </c>
      <c r="CE745">
        <v>19</v>
      </c>
      <c r="CF745">
        <v>28</v>
      </c>
      <c r="CG745">
        <v>75</v>
      </c>
      <c r="CH745">
        <v>88</v>
      </c>
      <c r="CI745">
        <v>20</v>
      </c>
      <c r="CJ745">
        <v>16</v>
      </c>
      <c r="CK745">
        <v>74</v>
      </c>
      <c r="CL745">
        <v>50</v>
      </c>
      <c r="CM745">
        <v>60</v>
      </c>
      <c r="CN745">
        <v>67</v>
      </c>
      <c r="CO745">
        <v>39</v>
      </c>
      <c r="CP745">
        <v>24</v>
      </c>
      <c r="CQ745">
        <v>50</v>
      </c>
      <c r="CR745">
        <v>26</v>
      </c>
      <c r="CS745">
        <v>89</v>
      </c>
      <c r="CT745">
        <v>12</v>
      </c>
      <c r="CU745">
        <v>26</v>
      </c>
      <c r="CV745">
        <v>24</v>
      </c>
      <c r="CW745">
        <v>42</v>
      </c>
      <c r="CX745">
        <v>70</v>
      </c>
      <c r="CY745">
        <v>74</v>
      </c>
      <c r="CZ745">
        <v>41</v>
      </c>
      <c r="DA745">
        <v>70</v>
      </c>
      <c r="DB745">
        <v>75</v>
      </c>
      <c r="DC745">
        <v>70</v>
      </c>
      <c r="DD745">
        <v>10</v>
      </c>
      <c r="DE745">
        <v>74</v>
      </c>
      <c r="DF745">
        <v>79</v>
      </c>
      <c r="DG745">
        <v>67</v>
      </c>
      <c r="DH745">
        <v>72</v>
      </c>
      <c r="DI745">
        <v>63</v>
      </c>
      <c r="DJ745">
        <v>23</v>
      </c>
      <c r="DK745">
        <v>14</v>
      </c>
    </row>
    <row r="746" spans="1:115">
      <c r="A746" s="173">
        <f>Calculations[[#This Row],[Sum t eCO2]]*IF(Calculations[[#This Row],[GHG Scope]]="BIOGENIC",0,1)</f>
        <v>41.625686283081613</v>
      </c>
      <c r="O746">
        <f t="shared" si="12"/>
        <v>89</v>
      </c>
      <c r="P746">
        <v>16</v>
      </c>
      <c r="Q746">
        <v>68</v>
      </c>
      <c r="R746">
        <v>100</v>
      </c>
      <c r="S746">
        <v>74</v>
      </c>
      <c r="T746">
        <v>69</v>
      </c>
      <c r="U746">
        <v>61</v>
      </c>
      <c r="V746">
        <v>26</v>
      </c>
      <c r="W746">
        <v>64</v>
      </c>
      <c r="X746">
        <v>80</v>
      </c>
      <c r="Y746">
        <v>13</v>
      </c>
      <c r="Z746">
        <v>96</v>
      </c>
      <c r="AA746">
        <v>10</v>
      </c>
      <c r="AB746">
        <v>77</v>
      </c>
      <c r="AC746">
        <v>71</v>
      </c>
      <c r="AD746">
        <v>50</v>
      </c>
      <c r="AE746">
        <v>55</v>
      </c>
      <c r="AF746">
        <v>12</v>
      </c>
      <c r="AG746">
        <v>34</v>
      </c>
      <c r="AH746">
        <v>81</v>
      </c>
      <c r="AI746">
        <v>72</v>
      </c>
      <c r="AJ746">
        <v>66</v>
      </c>
      <c r="AK746">
        <v>12</v>
      </c>
      <c r="AL746">
        <v>100</v>
      </c>
      <c r="AM746">
        <v>23</v>
      </c>
      <c r="AN746">
        <v>90</v>
      </c>
      <c r="AO746">
        <v>59</v>
      </c>
      <c r="AP746">
        <v>74</v>
      </c>
      <c r="AQ746">
        <v>38</v>
      </c>
      <c r="AR746">
        <v>36</v>
      </c>
      <c r="AS746">
        <v>81</v>
      </c>
      <c r="AT746">
        <v>96</v>
      </c>
      <c r="AU746">
        <v>23</v>
      </c>
      <c r="AV746">
        <v>54</v>
      </c>
      <c r="AW746">
        <v>23</v>
      </c>
      <c r="AX746">
        <v>56</v>
      </c>
      <c r="AY746">
        <v>27</v>
      </c>
      <c r="AZ746">
        <v>10</v>
      </c>
      <c r="BA746">
        <v>90</v>
      </c>
      <c r="BB746">
        <v>41</v>
      </c>
      <c r="BC746">
        <v>63</v>
      </c>
      <c r="BD746">
        <v>29</v>
      </c>
      <c r="BE746">
        <v>50</v>
      </c>
      <c r="BF746">
        <v>65</v>
      </c>
      <c r="BG746">
        <v>55</v>
      </c>
      <c r="BH746">
        <v>79</v>
      </c>
      <c r="BI746">
        <v>60</v>
      </c>
      <c r="BJ746">
        <v>90</v>
      </c>
      <c r="BK746">
        <v>80</v>
      </c>
      <c r="BL746">
        <v>69</v>
      </c>
      <c r="BM746">
        <v>94</v>
      </c>
      <c r="BN746">
        <v>38</v>
      </c>
      <c r="BO746">
        <v>43</v>
      </c>
      <c r="BP746">
        <v>92</v>
      </c>
      <c r="BQ746">
        <v>45</v>
      </c>
      <c r="BR746">
        <v>26</v>
      </c>
      <c r="BS746">
        <v>90</v>
      </c>
      <c r="BT746">
        <v>31</v>
      </c>
      <c r="BU746">
        <v>66</v>
      </c>
      <c r="BV746">
        <v>42</v>
      </c>
      <c r="BW746">
        <v>43</v>
      </c>
      <c r="BX746">
        <v>44</v>
      </c>
      <c r="BY746">
        <v>86</v>
      </c>
      <c r="BZ746">
        <v>70</v>
      </c>
      <c r="CA746">
        <v>42</v>
      </c>
      <c r="CB746">
        <v>49</v>
      </c>
      <c r="CC746">
        <v>37</v>
      </c>
      <c r="CD746">
        <v>22</v>
      </c>
      <c r="CE746">
        <v>78</v>
      </c>
      <c r="CF746">
        <v>85</v>
      </c>
      <c r="CG746">
        <v>92</v>
      </c>
      <c r="CH746">
        <v>61</v>
      </c>
      <c r="CI746">
        <v>93</v>
      </c>
      <c r="CJ746">
        <v>14</v>
      </c>
      <c r="CK746">
        <v>44</v>
      </c>
      <c r="CL746">
        <v>68</v>
      </c>
      <c r="CM746">
        <v>15</v>
      </c>
      <c r="CN746">
        <v>28</v>
      </c>
      <c r="CO746">
        <v>67</v>
      </c>
      <c r="CP746">
        <v>76</v>
      </c>
      <c r="CQ746">
        <v>82</v>
      </c>
      <c r="CR746">
        <v>78</v>
      </c>
      <c r="CS746">
        <v>45</v>
      </c>
      <c r="CT746">
        <v>11</v>
      </c>
      <c r="CU746">
        <v>85</v>
      </c>
      <c r="CV746">
        <v>63</v>
      </c>
      <c r="CW746">
        <v>32</v>
      </c>
      <c r="CX746">
        <v>68</v>
      </c>
      <c r="CY746">
        <v>41</v>
      </c>
      <c r="CZ746">
        <v>13</v>
      </c>
      <c r="DA746">
        <v>22</v>
      </c>
      <c r="DB746">
        <v>78</v>
      </c>
      <c r="DC746">
        <v>69</v>
      </c>
      <c r="DD746">
        <v>32</v>
      </c>
      <c r="DE746">
        <v>76</v>
      </c>
      <c r="DF746">
        <v>16</v>
      </c>
      <c r="DG746">
        <v>87</v>
      </c>
      <c r="DH746">
        <v>12</v>
      </c>
      <c r="DI746">
        <v>84</v>
      </c>
      <c r="DJ746">
        <v>90</v>
      </c>
      <c r="DK746">
        <v>81</v>
      </c>
    </row>
    <row r="747" spans="1:115">
      <c r="A747" s="173">
        <f>Calculations[[#This Row],[Sum t eCO2]]*IF(Calculations[[#This Row],[GHG Scope]]="BIOGENIC",0,1)</f>
        <v>0.14853432178181292</v>
      </c>
      <c r="O747">
        <f t="shared" si="12"/>
        <v>90</v>
      </c>
      <c r="P747">
        <v>81</v>
      </c>
      <c r="Q747">
        <v>32</v>
      </c>
      <c r="R747">
        <v>34</v>
      </c>
      <c r="S747">
        <v>80</v>
      </c>
      <c r="T747">
        <v>32</v>
      </c>
      <c r="U747">
        <v>98</v>
      </c>
      <c r="V747">
        <v>24</v>
      </c>
      <c r="W747">
        <v>31</v>
      </c>
      <c r="X747">
        <v>47</v>
      </c>
      <c r="Y747">
        <v>49</v>
      </c>
      <c r="Z747">
        <v>51</v>
      </c>
      <c r="AA747">
        <v>38</v>
      </c>
      <c r="AB747">
        <v>79</v>
      </c>
      <c r="AC747">
        <v>70</v>
      </c>
      <c r="AD747">
        <v>51</v>
      </c>
      <c r="AE747">
        <v>100</v>
      </c>
      <c r="AF747">
        <v>98</v>
      </c>
      <c r="AG747">
        <v>26</v>
      </c>
      <c r="AH747">
        <v>39</v>
      </c>
      <c r="AI747">
        <v>94</v>
      </c>
      <c r="AJ747">
        <v>12</v>
      </c>
      <c r="AK747">
        <v>19</v>
      </c>
      <c r="AL747">
        <v>14</v>
      </c>
      <c r="AM747">
        <v>18</v>
      </c>
      <c r="AN747">
        <v>38</v>
      </c>
      <c r="AO747">
        <v>25</v>
      </c>
      <c r="AP747">
        <v>74</v>
      </c>
      <c r="AQ747">
        <v>25</v>
      </c>
      <c r="AR747">
        <v>28</v>
      </c>
      <c r="AS747">
        <v>91</v>
      </c>
      <c r="AT747">
        <v>78</v>
      </c>
      <c r="AU747">
        <v>54</v>
      </c>
      <c r="AV747">
        <v>65</v>
      </c>
      <c r="AW747">
        <v>72</v>
      </c>
      <c r="AX747">
        <v>72</v>
      </c>
      <c r="AY747">
        <v>74</v>
      </c>
      <c r="AZ747">
        <v>97</v>
      </c>
      <c r="BA747">
        <v>69</v>
      </c>
      <c r="BB747">
        <v>41</v>
      </c>
      <c r="BC747">
        <v>76</v>
      </c>
      <c r="BD747">
        <v>55</v>
      </c>
      <c r="BE747">
        <v>73</v>
      </c>
      <c r="BF747">
        <v>78</v>
      </c>
      <c r="BG747">
        <v>82</v>
      </c>
      <c r="BH747">
        <v>77</v>
      </c>
      <c r="BI747">
        <v>53</v>
      </c>
      <c r="BJ747">
        <v>16</v>
      </c>
      <c r="BK747">
        <v>18</v>
      </c>
      <c r="BL747">
        <v>51</v>
      </c>
      <c r="BM747">
        <v>24</v>
      </c>
      <c r="BN747">
        <v>53</v>
      </c>
      <c r="BO747">
        <v>69</v>
      </c>
      <c r="BP747">
        <v>93</v>
      </c>
      <c r="BQ747">
        <v>60</v>
      </c>
      <c r="BR747">
        <v>25</v>
      </c>
      <c r="BS747">
        <v>13</v>
      </c>
      <c r="BT747">
        <v>21</v>
      </c>
      <c r="BU747">
        <v>66</v>
      </c>
      <c r="BV747">
        <v>55</v>
      </c>
      <c r="BW747">
        <v>60</v>
      </c>
      <c r="BX747">
        <v>88</v>
      </c>
      <c r="BY747">
        <v>81</v>
      </c>
      <c r="BZ747">
        <v>17</v>
      </c>
      <c r="CA747">
        <v>52</v>
      </c>
      <c r="CB747">
        <v>55</v>
      </c>
      <c r="CC747">
        <v>78</v>
      </c>
      <c r="CD747">
        <v>36</v>
      </c>
      <c r="CE747">
        <v>28</v>
      </c>
      <c r="CF747">
        <v>76</v>
      </c>
      <c r="CG747">
        <v>32</v>
      </c>
      <c r="CH747">
        <v>67</v>
      </c>
      <c r="CI747">
        <v>53</v>
      </c>
      <c r="CJ747">
        <v>63</v>
      </c>
      <c r="CK747">
        <v>59</v>
      </c>
      <c r="CL747">
        <v>34</v>
      </c>
      <c r="CM747">
        <v>37</v>
      </c>
      <c r="CN747">
        <v>26</v>
      </c>
      <c r="CO747">
        <v>89</v>
      </c>
      <c r="CP747">
        <v>24</v>
      </c>
      <c r="CQ747">
        <v>66</v>
      </c>
      <c r="CR747">
        <v>87</v>
      </c>
      <c r="CS747">
        <v>68</v>
      </c>
      <c r="CT747">
        <v>63</v>
      </c>
      <c r="CU747">
        <v>86</v>
      </c>
      <c r="CV747">
        <v>36</v>
      </c>
      <c r="CW747">
        <v>49</v>
      </c>
      <c r="CX747">
        <v>36</v>
      </c>
      <c r="CY747">
        <v>36</v>
      </c>
      <c r="CZ747">
        <v>21</v>
      </c>
      <c r="DA747">
        <v>23</v>
      </c>
      <c r="DB747">
        <v>75</v>
      </c>
      <c r="DC747">
        <v>89</v>
      </c>
      <c r="DD747">
        <v>96</v>
      </c>
      <c r="DE747">
        <v>74</v>
      </c>
      <c r="DF747">
        <v>14</v>
      </c>
      <c r="DG747">
        <v>78</v>
      </c>
      <c r="DH747">
        <v>60</v>
      </c>
      <c r="DI747">
        <v>43</v>
      </c>
      <c r="DJ747">
        <v>27</v>
      </c>
      <c r="DK747">
        <v>74</v>
      </c>
    </row>
    <row r="748" spans="1:115">
      <c r="A748" s="173">
        <f>Calculations[[#This Row],[Sum t eCO2]]*IF(Calculations[[#This Row],[GHG Scope]]="BIOGENIC",0,1)</f>
        <v>0.20407193505252003</v>
      </c>
      <c r="O748">
        <f t="shared" si="12"/>
        <v>91</v>
      </c>
      <c r="P748">
        <v>24</v>
      </c>
      <c r="Q748">
        <v>73</v>
      </c>
      <c r="R748">
        <v>17</v>
      </c>
      <c r="S748">
        <v>71</v>
      </c>
      <c r="T748">
        <v>44</v>
      </c>
      <c r="U748">
        <v>15</v>
      </c>
      <c r="V748">
        <v>87</v>
      </c>
      <c r="W748">
        <v>67</v>
      </c>
      <c r="X748">
        <v>90</v>
      </c>
      <c r="Y748">
        <v>20</v>
      </c>
      <c r="Z748">
        <v>69</v>
      </c>
      <c r="AA748">
        <v>20</v>
      </c>
      <c r="AB748">
        <v>42</v>
      </c>
      <c r="AC748">
        <v>91</v>
      </c>
      <c r="AD748">
        <v>61</v>
      </c>
      <c r="AE748">
        <v>31</v>
      </c>
      <c r="AF748">
        <v>96</v>
      </c>
      <c r="AG748">
        <v>37</v>
      </c>
      <c r="AH748">
        <v>35</v>
      </c>
      <c r="AI748">
        <v>77</v>
      </c>
      <c r="AJ748">
        <v>73</v>
      </c>
      <c r="AK748">
        <v>90</v>
      </c>
      <c r="AL748">
        <v>86</v>
      </c>
      <c r="AM748">
        <v>77</v>
      </c>
      <c r="AN748">
        <v>24</v>
      </c>
      <c r="AO748">
        <v>56</v>
      </c>
      <c r="AP748">
        <v>34</v>
      </c>
      <c r="AQ748">
        <v>83</v>
      </c>
      <c r="AR748">
        <v>38</v>
      </c>
      <c r="AS748">
        <v>48</v>
      </c>
      <c r="AT748">
        <v>20</v>
      </c>
      <c r="AU748">
        <v>45</v>
      </c>
      <c r="AV748">
        <v>37</v>
      </c>
      <c r="AW748">
        <v>89</v>
      </c>
      <c r="AX748">
        <v>95</v>
      </c>
      <c r="AY748">
        <v>98</v>
      </c>
      <c r="AZ748">
        <v>16</v>
      </c>
      <c r="BA748">
        <v>72</v>
      </c>
      <c r="BB748">
        <v>50</v>
      </c>
      <c r="BC748">
        <v>57</v>
      </c>
      <c r="BD748">
        <v>40</v>
      </c>
      <c r="BE748">
        <v>39</v>
      </c>
      <c r="BF748">
        <v>28</v>
      </c>
      <c r="BG748">
        <v>80</v>
      </c>
      <c r="BH748">
        <v>66</v>
      </c>
      <c r="BI748">
        <v>94</v>
      </c>
      <c r="BJ748">
        <v>38</v>
      </c>
      <c r="BK748">
        <v>49</v>
      </c>
      <c r="BL748">
        <v>79</v>
      </c>
      <c r="BM748">
        <v>30</v>
      </c>
      <c r="BN748">
        <v>10</v>
      </c>
      <c r="BO748">
        <v>73</v>
      </c>
      <c r="BP748">
        <v>89</v>
      </c>
      <c r="BQ748">
        <v>55</v>
      </c>
      <c r="BR748">
        <v>12</v>
      </c>
      <c r="BS748">
        <v>96</v>
      </c>
      <c r="BT748">
        <v>83</v>
      </c>
      <c r="BU748">
        <v>35</v>
      </c>
      <c r="BV748">
        <v>86</v>
      </c>
      <c r="BW748">
        <v>78</v>
      </c>
      <c r="BX748">
        <v>30</v>
      </c>
      <c r="BY748">
        <v>91</v>
      </c>
      <c r="BZ748">
        <v>90</v>
      </c>
      <c r="CA748">
        <v>85</v>
      </c>
      <c r="CB748">
        <v>100</v>
      </c>
      <c r="CC748">
        <v>69</v>
      </c>
      <c r="CD748">
        <v>78</v>
      </c>
      <c r="CE748">
        <v>33</v>
      </c>
      <c r="CF748">
        <v>85</v>
      </c>
      <c r="CG748">
        <v>21</v>
      </c>
      <c r="CH748">
        <v>45</v>
      </c>
      <c r="CI748">
        <v>96</v>
      </c>
      <c r="CJ748">
        <v>71</v>
      </c>
      <c r="CK748">
        <v>67</v>
      </c>
      <c r="CL748">
        <v>79</v>
      </c>
      <c r="CM748">
        <v>71</v>
      </c>
      <c r="CN748">
        <v>48</v>
      </c>
      <c r="CO748">
        <v>49</v>
      </c>
      <c r="CP748">
        <v>71</v>
      </c>
      <c r="CQ748">
        <v>81</v>
      </c>
      <c r="CR748">
        <v>28</v>
      </c>
      <c r="CS748">
        <v>86</v>
      </c>
      <c r="CT748">
        <v>49</v>
      </c>
      <c r="CU748">
        <v>13</v>
      </c>
      <c r="CV748">
        <v>66</v>
      </c>
      <c r="CW748">
        <v>81</v>
      </c>
      <c r="CX748">
        <v>27</v>
      </c>
      <c r="CY748">
        <v>36</v>
      </c>
      <c r="CZ748">
        <v>69</v>
      </c>
      <c r="DA748">
        <v>50</v>
      </c>
      <c r="DB748">
        <v>89</v>
      </c>
      <c r="DC748">
        <v>12</v>
      </c>
      <c r="DD748">
        <v>37</v>
      </c>
      <c r="DE748">
        <v>60</v>
      </c>
      <c r="DF748">
        <v>61</v>
      </c>
      <c r="DG748">
        <v>45</v>
      </c>
      <c r="DH748">
        <v>49</v>
      </c>
      <c r="DI748">
        <v>79</v>
      </c>
      <c r="DJ748">
        <v>41</v>
      </c>
      <c r="DK748">
        <v>61</v>
      </c>
    </row>
    <row r="749" spans="1:115">
      <c r="A749" s="173">
        <f>Calculations[[#This Row],[Sum t eCO2]]*IF(Calculations[[#This Row],[GHG Scope]]="BIOGENIC",0,1)</f>
        <v>0.54194907138372006</v>
      </c>
      <c r="O749">
        <f t="shared" si="12"/>
        <v>92</v>
      </c>
      <c r="P749">
        <v>34</v>
      </c>
      <c r="Q749">
        <v>15</v>
      </c>
      <c r="R749">
        <v>85</v>
      </c>
      <c r="S749">
        <v>33</v>
      </c>
      <c r="T749">
        <v>60</v>
      </c>
      <c r="U749">
        <v>97</v>
      </c>
      <c r="V749">
        <v>41</v>
      </c>
      <c r="W749">
        <v>44</v>
      </c>
      <c r="X749">
        <v>33</v>
      </c>
      <c r="Y749">
        <v>100</v>
      </c>
      <c r="Z749">
        <v>76</v>
      </c>
      <c r="AA749">
        <v>14</v>
      </c>
      <c r="AB749">
        <v>66</v>
      </c>
      <c r="AC749">
        <v>14</v>
      </c>
      <c r="AD749">
        <v>38</v>
      </c>
      <c r="AE749">
        <v>79</v>
      </c>
      <c r="AF749">
        <v>15</v>
      </c>
      <c r="AG749">
        <v>28</v>
      </c>
      <c r="AH749">
        <v>19</v>
      </c>
      <c r="AI749">
        <v>70</v>
      </c>
      <c r="AJ749">
        <v>50</v>
      </c>
      <c r="AK749">
        <v>97</v>
      </c>
      <c r="AL749">
        <v>28</v>
      </c>
      <c r="AM749">
        <v>20</v>
      </c>
      <c r="AN749">
        <v>60</v>
      </c>
      <c r="AO749">
        <v>46</v>
      </c>
      <c r="AP749">
        <v>78</v>
      </c>
      <c r="AQ749">
        <v>24</v>
      </c>
      <c r="AR749">
        <v>53</v>
      </c>
      <c r="AS749">
        <v>92</v>
      </c>
      <c r="AT749">
        <v>84</v>
      </c>
      <c r="AU749">
        <v>27</v>
      </c>
      <c r="AV749">
        <v>91</v>
      </c>
      <c r="AW749">
        <v>34</v>
      </c>
      <c r="AX749">
        <v>71</v>
      </c>
      <c r="AY749">
        <v>58</v>
      </c>
      <c r="AZ749">
        <v>50</v>
      </c>
      <c r="BA749">
        <v>33</v>
      </c>
      <c r="BB749">
        <v>74</v>
      </c>
      <c r="BC749">
        <v>88</v>
      </c>
      <c r="BD749">
        <v>10</v>
      </c>
      <c r="BE749">
        <v>57</v>
      </c>
      <c r="BF749">
        <v>96</v>
      </c>
      <c r="BG749">
        <v>25</v>
      </c>
      <c r="BH749">
        <v>47</v>
      </c>
      <c r="BI749">
        <v>73</v>
      </c>
      <c r="BJ749">
        <v>36</v>
      </c>
      <c r="BK749">
        <v>18</v>
      </c>
      <c r="BL749">
        <v>78</v>
      </c>
      <c r="BM749">
        <v>80</v>
      </c>
      <c r="BN749">
        <v>28</v>
      </c>
      <c r="BO749">
        <v>42</v>
      </c>
      <c r="BP749">
        <v>17</v>
      </c>
      <c r="BQ749">
        <v>82</v>
      </c>
      <c r="BR749">
        <v>25</v>
      </c>
      <c r="BS749">
        <v>57</v>
      </c>
      <c r="BT749">
        <v>35</v>
      </c>
      <c r="BU749">
        <v>46</v>
      </c>
      <c r="BV749">
        <v>79</v>
      </c>
      <c r="BW749">
        <v>76</v>
      </c>
      <c r="BX749">
        <v>47</v>
      </c>
      <c r="BY749">
        <v>52</v>
      </c>
      <c r="BZ749">
        <v>41</v>
      </c>
      <c r="CA749">
        <v>21</v>
      </c>
      <c r="CB749">
        <v>93</v>
      </c>
      <c r="CC749">
        <v>36</v>
      </c>
      <c r="CD749">
        <v>21</v>
      </c>
      <c r="CE749">
        <v>42</v>
      </c>
      <c r="CF749">
        <v>19</v>
      </c>
      <c r="CG749">
        <v>42</v>
      </c>
      <c r="CH749">
        <v>72</v>
      </c>
      <c r="CI749">
        <v>49</v>
      </c>
      <c r="CJ749">
        <v>86</v>
      </c>
      <c r="CK749">
        <v>55</v>
      </c>
      <c r="CL749">
        <v>94</v>
      </c>
      <c r="CM749">
        <v>73</v>
      </c>
      <c r="CN749">
        <v>54</v>
      </c>
      <c r="CO749">
        <v>52</v>
      </c>
      <c r="CP749">
        <v>99</v>
      </c>
      <c r="CQ749">
        <v>43</v>
      </c>
      <c r="CR749">
        <v>39</v>
      </c>
      <c r="CS749">
        <v>93</v>
      </c>
      <c r="CT749">
        <v>81</v>
      </c>
      <c r="CU749">
        <v>74</v>
      </c>
      <c r="CV749">
        <v>13</v>
      </c>
      <c r="CW749">
        <v>11</v>
      </c>
      <c r="CX749">
        <v>30</v>
      </c>
      <c r="CY749">
        <v>62</v>
      </c>
      <c r="CZ749">
        <v>68</v>
      </c>
      <c r="DA749">
        <v>51</v>
      </c>
      <c r="DB749">
        <v>77</v>
      </c>
      <c r="DC749">
        <v>90</v>
      </c>
      <c r="DD749">
        <v>91</v>
      </c>
      <c r="DE749">
        <v>38</v>
      </c>
      <c r="DF749">
        <v>83</v>
      </c>
      <c r="DG749">
        <v>56</v>
      </c>
      <c r="DH749">
        <v>63</v>
      </c>
      <c r="DI749">
        <v>27</v>
      </c>
      <c r="DJ749">
        <v>57</v>
      </c>
      <c r="DK749">
        <v>74</v>
      </c>
    </row>
    <row r="750" spans="1:115">
      <c r="A750" s="173">
        <f>Calculations[[#This Row],[Sum t eCO2]]*IF(Calculations[[#This Row],[GHG Scope]]="BIOGENIC",0,1)</f>
        <v>1.9338549089815697E-3</v>
      </c>
      <c r="O750">
        <f t="shared" si="12"/>
        <v>93</v>
      </c>
      <c r="P750">
        <v>76</v>
      </c>
      <c r="Q750">
        <v>27</v>
      </c>
      <c r="R750">
        <v>91</v>
      </c>
      <c r="S750">
        <v>49</v>
      </c>
      <c r="T750">
        <v>47</v>
      </c>
      <c r="U750">
        <v>50</v>
      </c>
      <c r="V750">
        <v>31</v>
      </c>
      <c r="W750">
        <v>68</v>
      </c>
      <c r="X750">
        <v>74</v>
      </c>
      <c r="Y750">
        <v>12</v>
      </c>
      <c r="Z750">
        <v>22</v>
      </c>
      <c r="AA750">
        <v>11</v>
      </c>
      <c r="AB750">
        <v>14</v>
      </c>
      <c r="AC750">
        <v>19</v>
      </c>
      <c r="AD750">
        <v>57</v>
      </c>
      <c r="AE750">
        <v>82</v>
      </c>
      <c r="AF750">
        <v>36</v>
      </c>
      <c r="AG750">
        <v>15</v>
      </c>
      <c r="AH750">
        <v>76</v>
      </c>
      <c r="AI750">
        <v>30</v>
      </c>
      <c r="AJ750">
        <v>37</v>
      </c>
      <c r="AK750">
        <v>54</v>
      </c>
      <c r="AL750">
        <v>86</v>
      </c>
      <c r="AM750">
        <v>80</v>
      </c>
      <c r="AN750">
        <v>31</v>
      </c>
      <c r="AO750">
        <v>70</v>
      </c>
      <c r="AP750">
        <v>69</v>
      </c>
      <c r="AQ750">
        <v>66</v>
      </c>
      <c r="AR750">
        <v>25</v>
      </c>
      <c r="AS750">
        <v>78</v>
      </c>
      <c r="AT750">
        <v>65</v>
      </c>
      <c r="AU750">
        <v>21</v>
      </c>
      <c r="AV750">
        <v>33</v>
      </c>
      <c r="AW750">
        <v>71</v>
      </c>
      <c r="AX750">
        <v>75</v>
      </c>
      <c r="AY750">
        <v>49</v>
      </c>
      <c r="AZ750">
        <v>98</v>
      </c>
      <c r="BA750">
        <v>73</v>
      </c>
      <c r="BB750">
        <v>81</v>
      </c>
      <c r="BC750">
        <v>92</v>
      </c>
      <c r="BD750">
        <v>60</v>
      </c>
      <c r="BE750">
        <v>42</v>
      </c>
      <c r="BF750">
        <v>100</v>
      </c>
      <c r="BG750">
        <v>73</v>
      </c>
      <c r="BH750">
        <v>47</v>
      </c>
      <c r="BI750">
        <v>77</v>
      </c>
      <c r="BJ750">
        <v>50</v>
      </c>
      <c r="BK750">
        <v>11</v>
      </c>
      <c r="BL750">
        <v>94</v>
      </c>
      <c r="BM750">
        <v>67</v>
      </c>
      <c r="BN750">
        <v>45</v>
      </c>
      <c r="BO750">
        <v>66</v>
      </c>
      <c r="BP750">
        <v>10</v>
      </c>
      <c r="BQ750">
        <v>99</v>
      </c>
      <c r="BR750">
        <v>10</v>
      </c>
      <c r="BS750">
        <v>75</v>
      </c>
      <c r="BT750">
        <v>69</v>
      </c>
      <c r="BU750">
        <v>53</v>
      </c>
      <c r="BV750">
        <v>89</v>
      </c>
      <c r="BW750">
        <v>56</v>
      </c>
      <c r="BX750">
        <v>70</v>
      </c>
      <c r="BY750">
        <v>98</v>
      </c>
      <c r="BZ750">
        <v>16</v>
      </c>
      <c r="CA750">
        <v>65</v>
      </c>
      <c r="CB750">
        <v>50</v>
      </c>
      <c r="CC750">
        <v>59</v>
      </c>
      <c r="CD750">
        <v>22</v>
      </c>
      <c r="CE750">
        <v>32</v>
      </c>
      <c r="CF750">
        <v>58</v>
      </c>
      <c r="CG750">
        <v>18</v>
      </c>
      <c r="CH750">
        <v>21</v>
      </c>
      <c r="CI750">
        <v>75</v>
      </c>
      <c r="CJ750">
        <v>90</v>
      </c>
      <c r="CK750">
        <v>45</v>
      </c>
      <c r="CL750">
        <v>40</v>
      </c>
      <c r="CM750">
        <v>82</v>
      </c>
      <c r="CN750">
        <v>13</v>
      </c>
      <c r="CO750">
        <v>69</v>
      </c>
      <c r="CP750">
        <v>55</v>
      </c>
      <c r="CQ750">
        <v>59</v>
      </c>
      <c r="CR750">
        <v>23</v>
      </c>
      <c r="CS750">
        <v>85</v>
      </c>
      <c r="CT750">
        <v>66</v>
      </c>
      <c r="CU750">
        <v>35</v>
      </c>
      <c r="CV750">
        <v>24</v>
      </c>
      <c r="CW750">
        <v>88</v>
      </c>
      <c r="CX750">
        <v>98</v>
      </c>
      <c r="CY750">
        <v>20</v>
      </c>
      <c r="CZ750">
        <v>11</v>
      </c>
      <c r="DA750">
        <v>82</v>
      </c>
      <c r="DB750">
        <v>15</v>
      </c>
      <c r="DC750">
        <v>67</v>
      </c>
      <c r="DD750">
        <v>80</v>
      </c>
      <c r="DE750">
        <v>15</v>
      </c>
      <c r="DF750">
        <v>91</v>
      </c>
      <c r="DG750">
        <v>28</v>
      </c>
      <c r="DH750">
        <v>64</v>
      </c>
      <c r="DI750">
        <v>41</v>
      </c>
      <c r="DJ750">
        <v>54</v>
      </c>
      <c r="DK750">
        <v>44</v>
      </c>
    </row>
    <row r="751" spans="1:115">
      <c r="A751" s="173">
        <f>Calculations[[#This Row],[Sum t eCO2]]*IF(Calculations[[#This Row],[GHG Scope]]="BIOGENIC",0,1)</f>
        <v>2.6569314664282914E-3</v>
      </c>
      <c r="O751">
        <f t="shared" si="12"/>
        <v>94</v>
      </c>
      <c r="P751">
        <v>37</v>
      </c>
      <c r="Q751">
        <v>77</v>
      </c>
      <c r="R751">
        <v>79</v>
      </c>
      <c r="S751">
        <v>59</v>
      </c>
      <c r="T751">
        <v>76</v>
      </c>
      <c r="U751">
        <v>23</v>
      </c>
      <c r="V751">
        <v>58</v>
      </c>
      <c r="W751">
        <v>60</v>
      </c>
      <c r="X751">
        <v>97</v>
      </c>
      <c r="Y751">
        <v>37</v>
      </c>
      <c r="Z751">
        <v>40</v>
      </c>
      <c r="AA751">
        <v>12</v>
      </c>
      <c r="AB751">
        <v>84</v>
      </c>
      <c r="AC751">
        <v>90</v>
      </c>
      <c r="AD751">
        <v>24</v>
      </c>
      <c r="AE751">
        <v>31</v>
      </c>
      <c r="AF751">
        <v>66</v>
      </c>
      <c r="AG751">
        <v>23</v>
      </c>
      <c r="AH751">
        <v>98</v>
      </c>
      <c r="AI751">
        <v>97</v>
      </c>
      <c r="AJ751">
        <v>17</v>
      </c>
      <c r="AK751">
        <v>62</v>
      </c>
      <c r="AL751">
        <v>69</v>
      </c>
      <c r="AM751">
        <v>100</v>
      </c>
      <c r="AN751">
        <v>55</v>
      </c>
      <c r="AO751">
        <v>84</v>
      </c>
      <c r="AP751">
        <v>27</v>
      </c>
      <c r="AQ751">
        <v>87</v>
      </c>
      <c r="AR751">
        <v>64</v>
      </c>
      <c r="AS751">
        <v>15</v>
      </c>
      <c r="AT751">
        <v>42</v>
      </c>
      <c r="AU751">
        <v>75</v>
      </c>
      <c r="AV751">
        <v>22</v>
      </c>
      <c r="AW751">
        <v>93</v>
      </c>
      <c r="AX751">
        <v>94</v>
      </c>
      <c r="AY751">
        <v>11</v>
      </c>
      <c r="AZ751">
        <v>41</v>
      </c>
      <c r="BA751">
        <v>44</v>
      </c>
      <c r="BB751">
        <v>31</v>
      </c>
      <c r="BC751">
        <v>15</v>
      </c>
      <c r="BD751">
        <v>62</v>
      </c>
      <c r="BE751">
        <v>60</v>
      </c>
      <c r="BF751">
        <v>56</v>
      </c>
      <c r="BG751">
        <v>52</v>
      </c>
      <c r="BH751">
        <v>33</v>
      </c>
      <c r="BI751">
        <v>63</v>
      </c>
      <c r="BJ751">
        <v>39</v>
      </c>
      <c r="BK751">
        <v>90</v>
      </c>
      <c r="BL751">
        <v>12</v>
      </c>
      <c r="BM751">
        <v>33</v>
      </c>
      <c r="BN751">
        <v>67</v>
      </c>
      <c r="BO751">
        <v>37</v>
      </c>
      <c r="BP751">
        <v>81</v>
      </c>
      <c r="BQ751">
        <v>68</v>
      </c>
      <c r="BR751">
        <v>69</v>
      </c>
      <c r="BS751">
        <v>93</v>
      </c>
      <c r="BT751">
        <v>45</v>
      </c>
      <c r="BU751">
        <v>66</v>
      </c>
      <c r="BV751">
        <v>78</v>
      </c>
      <c r="BW751">
        <v>54</v>
      </c>
      <c r="BX751">
        <v>40</v>
      </c>
      <c r="BY751">
        <v>23</v>
      </c>
      <c r="BZ751">
        <v>17</v>
      </c>
      <c r="CA751">
        <v>98</v>
      </c>
      <c r="CB751">
        <v>81</v>
      </c>
      <c r="CC751">
        <v>24</v>
      </c>
      <c r="CD751">
        <v>52</v>
      </c>
      <c r="CE751">
        <v>28</v>
      </c>
      <c r="CF751">
        <v>83</v>
      </c>
      <c r="CG751">
        <v>53</v>
      </c>
      <c r="CH751">
        <v>88</v>
      </c>
      <c r="CI751">
        <v>75</v>
      </c>
      <c r="CJ751">
        <v>70</v>
      </c>
      <c r="CK751">
        <v>14</v>
      </c>
      <c r="CL751">
        <v>82</v>
      </c>
      <c r="CM751">
        <v>15</v>
      </c>
      <c r="CN751">
        <v>83</v>
      </c>
      <c r="CO751">
        <v>53</v>
      </c>
      <c r="CP751">
        <v>67</v>
      </c>
      <c r="CQ751">
        <v>63</v>
      </c>
      <c r="CR751">
        <v>40</v>
      </c>
      <c r="CS751">
        <v>55</v>
      </c>
      <c r="CT751">
        <v>61</v>
      </c>
      <c r="CU751">
        <v>44</v>
      </c>
      <c r="CV751">
        <v>15</v>
      </c>
      <c r="CW751">
        <v>83</v>
      </c>
      <c r="CX751">
        <v>27</v>
      </c>
      <c r="CY751">
        <v>15</v>
      </c>
      <c r="CZ751">
        <v>88</v>
      </c>
      <c r="DA751">
        <v>31</v>
      </c>
      <c r="DB751">
        <v>34</v>
      </c>
      <c r="DC751">
        <v>70</v>
      </c>
      <c r="DD751">
        <v>77</v>
      </c>
      <c r="DE751">
        <v>47</v>
      </c>
      <c r="DF751">
        <v>50</v>
      </c>
      <c r="DG751">
        <v>91</v>
      </c>
      <c r="DH751">
        <v>21</v>
      </c>
      <c r="DI751">
        <v>43</v>
      </c>
      <c r="DJ751">
        <v>60</v>
      </c>
      <c r="DK751">
        <v>49</v>
      </c>
    </row>
    <row r="752" spans="1:115">
      <c r="A752" s="173">
        <f>Calculations[[#This Row],[Sum t eCO2]]*IF(Calculations[[#This Row],[GHG Scope]]="BIOGENIC",0,1)</f>
        <v>0.35148893422499999</v>
      </c>
      <c r="O752">
        <f t="shared" si="12"/>
        <v>95</v>
      </c>
      <c r="P752">
        <v>93</v>
      </c>
      <c r="Q752">
        <v>80</v>
      </c>
      <c r="R752">
        <v>56</v>
      </c>
      <c r="S752">
        <v>30</v>
      </c>
      <c r="T752">
        <v>78</v>
      </c>
      <c r="U752">
        <v>27</v>
      </c>
      <c r="V752">
        <v>33</v>
      </c>
      <c r="W752">
        <v>34</v>
      </c>
      <c r="X752">
        <v>25</v>
      </c>
      <c r="Y752">
        <v>50</v>
      </c>
      <c r="Z752">
        <v>45</v>
      </c>
      <c r="AA752">
        <v>88</v>
      </c>
      <c r="AB752">
        <v>88</v>
      </c>
      <c r="AC752">
        <v>45</v>
      </c>
      <c r="AD752">
        <v>83</v>
      </c>
      <c r="AE752">
        <v>58</v>
      </c>
      <c r="AF752">
        <v>51</v>
      </c>
      <c r="AG752">
        <v>28</v>
      </c>
      <c r="AH752">
        <v>92</v>
      </c>
      <c r="AI752">
        <v>77</v>
      </c>
      <c r="AJ752">
        <v>39</v>
      </c>
      <c r="AK752">
        <v>27</v>
      </c>
      <c r="AL752">
        <v>79</v>
      </c>
      <c r="AM752">
        <v>91</v>
      </c>
      <c r="AN752">
        <v>75</v>
      </c>
      <c r="AO752">
        <v>84</v>
      </c>
      <c r="AP752">
        <v>74</v>
      </c>
      <c r="AQ752">
        <v>93</v>
      </c>
      <c r="AR752">
        <v>98</v>
      </c>
      <c r="AS752">
        <v>24</v>
      </c>
      <c r="AT752">
        <v>45</v>
      </c>
      <c r="AU752">
        <v>52</v>
      </c>
      <c r="AV752">
        <v>73</v>
      </c>
      <c r="AW752">
        <v>46</v>
      </c>
      <c r="AX752">
        <v>52</v>
      </c>
      <c r="AY752">
        <v>56</v>
      </c>
      <c r="AZ752">
        <v>75</v>
      </c>
      <c r="BA752">
        <v>47</v>
      </c>
      <c r="BB752">
        <v>50</v>
      </c>
      <c r="BC752">
        <v>96</v>
      </c>
      <c r="BD752">
        <v>41</v>
      </c>
      <c r="BE752">
        <v>61</v>
      </c>
      <c r="BF752">
        <v>11</v>
      </c>
      <c r="BG752">
        <v>63</v>
      </c>
      <c r="BH752">
        <v>35</v>
      </c>
      <c r="BI752">
        <v>24</v>
      </c>
      <c r="BJ752">
        <v>31</v>
      </c>
      <c r="BK752">
        <v>10</v>
      </c>
      <c r="BL752">
        <v>49</v>
      </c>
      <c r="BM752">
        <v>97</v>
      </c>
      <c r="BN752">
        <v>31</v>
      </c>
      <c r="BO752">
        <v>15</v>
      </c>
      <c r="BP752">
        <v>75</v>
      </c>
      <c r="BQ752">
        <v>72</v>
      </c>
      <c r="BR752">
        <v>39</v>
      </c>
      <c r="BS752">
        <v>22</v>
      </c>
      <c r="BT752">
        <v>72</v>
      </c>
      <c r="BU752">
        <v>65</v>
      </c>
      <c r="BV752">
        <v>42</v>
      </c>
      <c r="BW752">
        <v>67</v>
      </c>
      <c r="BX752">
        <v>71</v>
      </c>
      <c r="BY752">
        <v>80</v>
      </c>
      <c r="BZ752">
        <v>68</v>
      </c>
      <c r="CA752">
        <v>84</v>
      </c>
      <c r="CB752">
        <v>13</v>
      </c>
      <c r="CC752">
        <v>27</v>
      </c>
      <c r="CD752">
        <v>69</v>
      </c>
      <c r="CE752">
        <v>89</v>
      </c>
      <c r="CF752">
        <v>32</v>
      </c>
      <c r="CG752">
        <v>58</v>
      </c>
      <c r="CH752">
        <v>65</v>
      </c>
      <c r="CI752">
        <v>86</v>
      </c>
      <c r="CJ752">
        <v>62</v>
      </c>
      <c r="CK752">
        <v>67</v>
      </c>
      <c r="CL752">
        <v>72</v>
      </c>
      <c r="CM752">
        <v>52</v>
      </c>
      <c r="CN752">
        <v>77</v>
      </c>
      <c r="CO752">
        <v>15</v>
      </c>
      <c r="CP752">
        <v>12</v>
      </c>
      <c r="CQ752">
        <v>74</v>
      </c>
      <c r="CR752">
        <v>41</v>
      </c>
      <c r="CS752">
        <v>71</v>
      </c>
      <c r="CT752">
        <v>96</v>
      </c>
      <c r="CU752">
        <v>14</v>
      </c>
      <c r="CV752">
        <v>75</v>
      </c>
      <c r="CW752">
        <v>17</v>
      </c>
      <c r="CX752">
        <v>51</v>
      </c>
      <c r="CY752">
        <v>72</v>
      </c>
      <c r="CZ752">
        <v>77</v>
      </c>
      <c r="DA752">
        <v>69</v>
      </c>
      <c r="DB752">
        <v>48</v>
      </c>
      <c r="DC752">
        <v>91</v>
      </c>
      <c r="DD752">
        <v>54</v>
      </c>
      <c r="DE752">
        <v>19</v>
      </c>
      <c r="DF752">
        <v>70</v>
      </c>
      <c r="DG752">
        <v>23</v>
      </c>
      <c r="DH752">
        <v>95</v>
      </c>
      <c r="DI752">
        <v>52</v>
      </c>
      <c r="DJ752">
        <v>77</v>
      </c>
      <c r="DK752">
        <v>66</v>
      </c>
    </row>
    <row r="753" spans="1:115">
      <c r="A753" s="173">
        <f>Calculations[[#This Row],[Sum t eCO2]]*IF(Calculations[[#This Row],[GHG Scope]]="BIOGENIC",0,1)</f>
        <v>1.2542296625183131E-3</v>
      </c>
      <c r="O753">
        <f t="shared" si="12"/>
        <v>96</v>
      </c>
      <c r="P753">
        <v>58</v>
      </c>
      <c r="Q753">
        <v>81</v>
      </c>
      <c r="R753">
        <v>92</v>
      </c>
      <c r="S753">
        <v>14</v>
      </c>
      <c r="T753">
        <v>15</v>
      </c>
      <c r="U753">
        <v>67</v>
      </c>
      <c r="V753">
        <v>26</v>
      </c>
      <c r="W753">
        <v>72</v>
      </c>
      <c r="X753">
        <v>19</v>
      </c>
      <c r="Y753">
        <v>57</v>
      </c>
      <c r="Z753">
        <v>48</v>
      </c>
      <c r="AA753">
        <v>31</v>
      </c>
      <c r="AB753">
        <v>26</v>
      </c>
      <c r="AC753">
        <v>83</v>
      </c>
      <c r="AD753">
        <v>13</v>
      </c>
      <c r="AE753">
        <v>56</v>
      </c>
      <c r="AF753">
        <v>40</v>
      </c>
      <c r="AG753">
        <v>98</v>
      </c>
      <c r="AH753">
        <v>67</v>
      </c>
      <c r="AI753">
        <v>75</v>
      </c>
      <c r="AJ753">
        <v>57</v>
      </c>
      <c r="AK753">
        <v>80</v>
      </c>
      <c r="AL753">
        <v>86</v>
      </c>
      <c r="AM753">
        <v>72</v>
      </c>
      <c r="AN753">
        <v>57</v>
      </c>
      <c r="AO753">
        <v>53</v>
      </c>
      <c r="AP753">
        <v>84</v>
      </c>
      <c r="AQ753">
        <v>12</v>
      </c>
      <c r="AR753">
        <v>14</v>
      </c>
      <c r="AS753">
        <v>17</v>
      </c>
      <c r="AT753">
        <v>47</v>
      </c>
      <c r="AU753">
        <v>39</v>
      </c>
      <c r="AV753">
        <v>96</v>
      </c>
      <c r="AW753">
        <v>67</v>
      </c>
      <c r="AX753">
        <v>94</v>
      </c>
      <c r="AY753">
        <v>30</v>
      </c>
      <c r="AZ753">
        <v>39</v>
      </c>
      <c r="BA753">
        <v>11</v>
      </c>
      <c r="BB753">
        <v>85</v>
      </c>
      <c r="BC753">
        <v>57</v>
      </c>
      <c r="BD753">
        <v>20</v>
      </c>
      <c r="BE753">
        <v>92</v>
      </c>
      <c r="BF753">
        <v>67</v>
      </c>
      <c r="BG753">
        <v>31</v>
      </c>
      <c r="BH753">
        <v>68</v>
      </c>
      <c r="BI753">
        <v>100</v>
      </c>
      <c r="BJ753">
        <v>21</v>
      </c>
      <c r="BK753">
        <v>33</v>
      </c>
      <c r="BL753">
        <v>41</v>
      </c>
      <c r="BM753">
        <v>24</v>
      </c>
      <c r="BN753">
        <v>82</v>
      </c>
      <c r="BO753">
        <v>27</v>
      </c>
      <c r="BP753">
        <v>87</v>
      </c>
      <c r="BQ753">
        <v>70</v>
      </c>
      <c r="BR753">
        <v>27</v>
      </c>
      <c r="BS753">
        <v>24</v>
      </c>
      <c r="BT753">
        <v>60</v>
      </c>
      <c r="BU753">
        <v>39</v>
      </c>
      <c r="BV753">
        <v>39</v>
      </c>
      <c r="BW753">
        <v>15</v>
      </c>
      <c r="BX753">
        <v>10</v>
      </c>
      <c r="BY753">
        <v>15</v>
      </c>
      <c r="BZ753">
        <v>15</v>
      </c>
      <c r="CA753">
        <v>16</v>
      </c>
      <c r="CB753">
        <v>96</v>
      </c>
      <c r="CC753">
        <v>22</v>
      </c>
      <c r="CD753">
        <v>18</v>
      </c>
      <c r="CE753">
        <v>48</v>
      </c>
      <c r="CF753">
        <v>31</v>
      </c>
      <c r="CG753">
        <v>62</v>
      </c>
      <c r="CH753">
        <v>41</v>
      </c>
      <c r="CI753">
        <v>18</v>
      </c>
      <c r="CJ753">
        <v>56</v>
      </c>
      <c r="CK753">
        <v>73</v>
      </c>
      <c r="CL753">
        <v>75</v>
      </c>
      <c r="CM753">
        <v>29</v>
      </c>
      <c r="CN753">
        <v>95</v>
      </c>
      <c r="CO753">
        <v>21</v>
      </c>
      <c r="CP753">
        <v>20</v>
      </c>
      <c r="CQ753">
        <v>56</v>
      </c>
      <c r="CR753">
        <v>66</v>
      </c>
      <c r="CS753">
        <v>75</v>
      </c>
      <c r="CT753">
        <v>39</v>
      </c>
      <c r="CU753">
        <v>30</v>
      </c>
      <c r="CV753">
        <v>38</v>
      </c>
      <c r="CW753">
        <v>61</v>
      </c>
      <c r="CX753">
        <v>14</v>
      </c>
      <c r="CY753">
        <v>49</v>
      </c>
      <c r="CZ753">
        <v>52</v>
      </c>
      <c r="DA753">
        <v>34</v>
      </c>
      <c r="DB753">
        <v>77</v>
      </c>
      <c r="DC753">
        <v>57</v>
      </c>
      <c r="DD753">
        <v>27</v>
      </c>
      <c r="DE753">
        <v>30</v>
      </c>
      <c r="DF753">
        <v>85</v>
      </c>
      <c r="DG753">
        <v>64</v>
      </c>
      <c r="DH753">
        <v>31</v>
      </c>
      <c r="DI753">
        <v>57</v>
      </c>
      <c r="DJ753">
        <v>97</v>
      </c>
      <c r="DK753">
        <v>83</v>
      </c>
    </row>
    <row r="754" spans="1:115">
      <c r="A754" s="173">
        <f>Calculations[[#This Row],[Sum t eCO2]]*IF(Calculations[[#This Row],[GHG Scope]]="BIOGENIC",0,1)</f>
        <v>1.7231914560889125E-3</v>
      </c>
      <c r="O754">
        <f t="shared" si="12"/>
        <v>97</v>
      </c>
      <c r="P754">
        <v>90</v>
      </c>
      <c r="Q754">
        <v>61</v>
      </c>
      <c r="R754">
        <v>42</v>
      </c>
      <c r="S754">
        <v>78</v>
      </c>
      <c r="T754">
        <v>17</v>
      </c>
      <c r="U754">
        <v>91</v>
      </c>
      <c r="V754">
        <v>28</v>
      </c>
      <c r="W754">
        <v>54</v>
      </c>
      <c r="X754">
        <v>61</v>
      </c>
      <c r="Y754">
        <v>41</v>
      </c>
      <c r="Z754">
        <v>41</v>
      </c>
      <c r="AA754">
        <v>80</v>
      </c>
      <c r="AB754">
        <v>98</v>
      </c>
      <c r="AC754">
        <v>96</v>
      </c>
      <c r="AD754">
        <v>60</v>
      </c>
      <c r="AE754">
        <v>26</v>
      </c>
      <c r="AF754">
        <v>83</v>
      </c>
      <c r="AG754">
        <v>39</v>
      </c>
      <c r="AH754">
        <v>31</v>
      </c>
      <c r="AI754">
        <v>91</v>
      </c>
      <c r="AJ754">
        <v>63</v>
      </c>
      <c r="AK754">
        <v>23</v>
      </c>
      <c r="AL754">
        <v>67</v>
      </c>
      <c r="AM754">
        <v>73</v>
      </c>
      <c r="AN754">
        <v>87</v>
      </c>
      <c r="AO754">
        <v>28</v>
      </c>
      <c r="AP754">
        <v>70</v>
      </c>
      <c r="AQ754">
        <v>12</v>
      </c>
      <c r="AR754">
        <v>64</v>
      </c>
      <c r="AS754">
        <v>98</v>
      </c>
      <c r="AT754">
        <v>87</v>
      </c>
      <c r="AU754">
        <v>14</v>
      </c>
      <c r="AV754">
        <v>80</v>
      </c>
      <c r="AW754">
        <v>42</v>
      </c>
      <c r="AX754">
        <v>11</v>
      </c>
      <c r="AY754">
        <v>64</v>
      </c>
      <c r="AZ754">
        <v>65</v>
      </c>
      <c r="BA754">
        <v>64</v>
      </c>
      <c r="BB754">
        <v>27</v>
      </c>
      <c r="BC754">
        <v>31</v>
      </c>
      <c r="BD754">
        <v>73</v>
      </c>
      <c r="BE754">
        <v>37</v>
      </c>
      <c r="BF754">
        <v>24</v>
      </c>
      <c r="BG754">
        <v>61</v>
      </c>
      <c r="BH754">
        <v>76</v>
      </c>
      <c r="BI754">
        <v>33</v>
      </c>
      <c r="BJ754">
        <v>59</v>
      </c>
      <c r="BK754">
        <v>72</v>
      </c>
      <c r="BL754">
        <v>10</v>
      </c>
      <c r="BM754">
        <v>64</v>
      </c>
      <c r="BN754">
        <v>52</v>
      </c>
      <c r="BO754">
        <v>41</v>
      </c>
      <c r="BP754">
        <v>58</v>
      </c>
      <c r="BQ754">
        <v>96</v>
      </c>
      <c r="BR754">
        <v>18</v>
      </c>
      <c r="BS754">
        <v>79</v>
      </c>
      <c r="BT754">
        <v>94</v>
      </c>
      <c r="BU754">
        <v>89</v>
      </c>
      <c r="BV754">
        <v>48</v>
      </c>
      <c r="BW754">
        <v>46</v>
      </c>
      <c r="BX754">
        <v>98</v>
      </c>
      <c r="BY754">
        <v>68</v>
      </c>
      <c r="BZ754">
        <v>77</v>
      </c>
      <c r="CA754">
        <v>96</v>
      </c>
      <c r="CB754">
        <v>22</v>
      </c>
      <c r="CC754">
        <v>35</v>
      </c>
      <c r="CD754">
        <v>23</v>
      </c>
      <c r="CE754">
        <v>13</v>
      </c>
      <c r="CF754">
        <v>65</v>
      </c>
      <c r="CG754">
        <v>21</v>
      </c>
      <c r="CH754">
        <v>80</v>
      </c>
      <c r="CI754">
        <v>79</v>
      </c>
      <c r="CJ754">
        <v>15</v>
      </c>
      <c r="CK754">
        <v>83</v>
      </c>
      <c r="CL754">
        <v>19</v>
      </c>
      <c r="CM754">
        <v>12</v>
      </c>
      <c r="CN754">
        <v>57</v>
      </c>
      <c r="CO754">
        <v>99</v>
      </c>
      <c r="CP754">
        <v>12</v>
      </c>
      <c r="CQ754">
        <v>52</v>
      </c>
      <c r="CR754">
        <v>31</v>
      </c>
      <c r="CS754">
        <v>22</v>
      </c>
      <c r="CT754">
        <v>45</v>
      </c>
      <c r="CU754">
        <v>27</v>
      </c>
      <c r="CV754">
        <v>83</v>
      </c>
      <c r="CW754">
        <v>92</v>
      </c>
      <c r="CX754">
        <v>35</v>
      </c>
      <c r="CY754">
        <v>65</v>
      </c>
      <c r="CZ754">
        <v>59</v>
      </c>
      <c r="DA754">
        <v>60</v>
      </c>
      <c r="DB754">
        <v>20</v>
      </c>
      <c r="DC754">
        <v>39</v>
      </c>
      <c r="DD754">
        <v>58</v>
      </c>
      <c r="DE754">
        <v>86</v>
      </c>
      <c r="DF754">
        <v>32</v>
      </c>
      <c r="DG754">
        <v>44</v>
      </c>
      <c r="DH754">
        <v>44</v>
      </c>
      <c r="DI754">
        <v>64</v>
      </c>
      <c r="DJ754">
        <v>41</v>
      </c>
      <c r="DK754">
        <v>37</v>
      </c>
    </row>
    <row r="755" spans="1:115">
      <c r="A755" s="173">
        <f>Calculations[[#This Row],[Sum t eCO2]]*IF(Calculations[[#This Row],[GHG Scope]]="BIOGENIC",0,1)</f>
        <v>1.0948196467571758</v>
      </c>
      <c r="O755">
        <f t="shared" si="12"/>
        <v>98</v>
      </c>
      <c r="P755">
        <v>22</v>
      </c>
      <c r="Q755">
        <v>17</v>
      </c>
      <c r="R755">
        <v>74</v>
      </c>
      <c r="S755">
        <v>44</v>
      </c>
      <c r="T755">
        <v>69</v>
      </c>
      <c r="U755">
        <v>69</v>
      </c>
      <c r="V755">
        <v>76</v>
      </c>
      <c r="W755">
        <v>14</v>
      </c>
      <c r="X755">
        <v>52</v>
      </c>
      <c r="Y755">
        <v>96</v>
      </c>
      <c r="Z755">
        <v>19</v>
      </c>
      <c r="AA755">
        <v>61</v>
      </c>
      <c r="AB755">
        <v>88</v>
      </c>
      <c r="AC755">
        <v>44</v>
      </c>
      <c r="AD755">
        <v>46</v>
      </c>
      <c r="AE755">
        <v>60</v>
      </c>
      <c r="AF755">
        <v>15</v>
      </c>
      <c r="AG755">
        <v>44</v>
      </c>
      <c r="AH755">
        <v>37</v>
      </c>
      <c r="AI755">
        <v>29</v>
      </c>
      <c r="AJ755">
        <v>68</v>
      </c>
      <c r="AK755">
        <v>40</v>
      </c>
      <c r="AL755">
        <v>37</v>
      </c>
      <c r="AM755">
        <v>97</v>
      </c>
      <c r="AN755">
        <v>39</v>
      </c>
      <c r="AO755">
        <v>90</v>
      </c>
      <c r="AP755">
        <v>81</v>
      </c>
      <c r="AQ755">
        <v>89</v>
      </c>
      <c r="AR755">
        <v>100</v>
      </c>
      <c r="AS755">
        <v>22</v>
      </c>
      <c r="AT755">
        <v>15</v>
      </c>
      <c r="AU755">
        <v>78</v>
      </c>
      <c r="AV755">
        <v>52</v>
      </c>
      <c r="AW755">
        <v>86</v>
      </c>
      <c r="AX755">
        <v>18</v>
      </c>
      <c r="AY755">
        <v>95</v>
      </c>
      <c r="AZ755">
        <v>80</v>
      </c>
      <c r="BA755">
        <v>20</v>
      </c>
      <c r="BB755">
        <v>38</v>
      </c>
      <c r="BC755">
        <v>58</v>
      </c>
      <c r="BD755">
        <v>77</v>
      </c>
      <c r="BE755">
        <v>32</v>
      </c>
      <c r="BF755">
        <v>94</v>
      </c>
      <c r="BG755">
        <v>93</v>
      </c>
      <c r="BH755">
        <v>98</v>
      </c>
      <c r="BI755">
        <v>55</v>
      </c>
      <c r="BJ755">
        <v>53</v>
      </c>
      <c r="BK755">
        <v>63</v>
      </c>
      <c r="BL755">
        <v>66</v>
      </c>
      <c r="BM755">
        <v>41</v>
      </c>
      <c r="BN755">
        <v>27</v>
      </c>
      <c r="BO755">
        <v>35</v>
      </c>
      <c r="BP755">
        <v>63</v>
      </c>
      <c r="BQ755">
        <v>94</v>
      </c>
      <c r="BR755">
        <v>83</v>
      </c>
      <c r="BS755">
        <v>24</v>
      </c>
      <c r="BT755">
        <v>100</v>
      </c>
      <c r="BU755">
        <v>79</v>
      </c>
      <c r="BV755">
        <v>57</v>
      </c>
      <c r="BW755">
        <v>64</v>
      </c>
      <c r="BX755">
        <v>27</v>
      </c>
      <c r="BY755">
        <v>55</v>
      </c>
      <c r="BZ755">
        <v>93</v>
      </c>
      <c r="CA755">
        <v>75</v>
      </c>
      <c r="CB755">
        <v>47</v>
      </c>
      <c r="CC755">
        <v>88</v>
      </c>
      <c r="CD755">
        <v>29</v>
      </c>
      <c r="CE755">
        <v>13</v>
      </c>
      <c r="CF755">
        <v>98</v>
      </c>
      <c r="CG755">
        <v>23</v>
      </c>
      <c r="CH755">
        <v>87</v>
      </c>
      <c r="CI755">
        <v>46</v>
      </c>
      <c r="CJ755">
        <v>31</v>
      </c>
      <c r="CK755">
        <v>69</v>
      </c>
      <c r="CL755">
        <v>78</v>
      </c>
      <c r="CM755">
        <v>100</v>
      </c>
      <c r="CN755">
        <v>15</v>
      </c>
      <c r="CO755">
        <v>88</v>
      </c>
      <c r="CP755">
        <v>45</v>
      </c>
      <c r="CQ755">
        <v>95</v>
      </c>
      <c r="CR755">
        <v>12</v>
      </c>
      <c r="CS755">
        <v>43</v>
      </c>
      <c r="CT755">
        <v>51</v>
      </c>
      <c r="CU755">
        <v>58</v>
      </c>
      <c r="CV755">
        <v>21</v>
      </c>
      <c r="CW755">
        <v>29</v>
      </c>
      <c r="CX755">
        <v>83</v>
      </c>
      <c r="CY755">
        <v>12</v>
      </c>
      <c r="CZ755">
        <v>91</v>
      </c>
      <c r="DA755">
        <v>36</v>
      </c>
      <c r="DB755">
        <v>56</v>
      </c>
      <c r="DC755">
        <v>25</v>
      </c>
      <c r="DD755">
        <v>72</v>
      </c>
      <c r="DE755">
        <v>73</v>
      </c>
      <c r="DF755">
        <v>88</v>
      </c>
      <c r="DG755">
        <v>62</v>
      </c>
      <c r="DH755">
        <v>56</v>
      </c>
      <c r="DI755">
        <v>50</v>
      </c>
      <c r="DJ755">
        <v>58</v>
      </c>
      <c r="DK755">
        <v>29</v>
      </c>
    </row>
    <row r="756" spans="1:115">
      <c r="A756" s="173">
        <f>Calculations[[#This Row],[Sum t eCO2]]*IF(Calculations[[#This Row],[GHG Scope]]="BIOGENIC",0,1)</f>
        <v>1.1972016000000002E-3</v>
      </c>
      <c r="O756">
        <f t="shared" si="12"/>
        <v>99</v>
      </c>
      <c r="P756">
        <v>90</v>
      </c>
      <c r="Q756">
        <v>62</v>
      </c>
      <c r="R756">
        <v>47</v>
      </c>
      <c r="S756">
        <v>89</v>
      </c>
      <c r="T756">
        <v>18</v>
      </c>
      <c r="U756">
        <v>94</v>
      </c>
      <c r="V756">
        <v>56</v>
      </c>
      <c r="W756">
        <v>79</v>
      </c>
      <c r="X756">
        <v>92</v>
      </c>
      <c r="Y756">
        <v>10</v>
      </c>
      <c r="Z756">
        <v>29</v>
      </c>
      <c r="AA756">
        <v>91</v>
      </c>
      <c r="AB756">
        <v>76</v>
      </c>
      <c r="AC756">
        <v>87</v>
      </c>
      <c r="AD756">
        <v>60</v>
      </c>
      <c r="AE756">
        <v>86</v>
      </c>
      <c r="AF756">
        <v>19</v>
      </c>
      <c r="AG756">
        <v>24</v>
      </c>
      <c r="AH756">
        <v>43</v>
      </c>
      <c r="AI756">
        <v>72</v>
      </c>
      <c r="AJ756">
        <v>64</v>
      </c>
      <c r="AK756">
        <v>72</v>
      </c>
      <c r="AL756">
        <v>45</v>
      </c>
      <c r="AM756">
        <v>97</v>
      </c>
      <c r="AN756">
        <v>15</v>
      </c>
      <c r="AO756">
        <v>32</v>
      </c>
      <c r="AP756">
        <v>17</v>
      </c>
      <c r="AQ756">
        <v>88</v>
      </c>
      <c r="AR756">
        <v>20</v>
      </c>
      <c r="AS756">
        <v>17</v>
      </c>
      <c r="AT756">
        <v>71</v>
      </c>
      <c r="AU756">
        <v>24</v>
      </c>
      <c r="AV756">
        <v>17</v>
      </c>
      <c r="AW756">
        <v>13</v>
      </c>
      <c r="AX756">
        <v>68</v>
      </c>
      <c r="AY756">
        <v>25</v>
      </c>
      <c r="AZ756">
        <v>68</v>
      </c>
      <c r="BA756">
        <v>11</v>
      </c>
      <c r="BB756">
        <v>91</v>
      </c>
      <c r="BC756">
        <v>85</v>
      </c>
      <c r="BD756">
        <v>96</v>
      </c>
      <c r="BE756">
        <v>100</v>
      </c>
      <c r="BF756">
        <v>95</v>
      </c>
      <c r="BG756">
        <v>29</v>
      </c>
      <c r="BH756">
        <v>69</v>
      </c>
      <c r="BI756">
        <v>56</v>
      </c>
      <c r="BJ756">
        <v>60</v>
      </c>
      <c r="BK756">
        <v>61</v>
      </c>
      <c r="BL756">
        <v>81</v>
      </c>
      <c r="BM756">
        <v>74</v>
      </c>
      <c r="BN756">
        <v>81</v>
      </c>
      <c r="BO756">
        <v>86</v>
      </c>
      <c r="BP756">
        <v>57</v>
      </c>
      <c r="BQ756">
        <v>84</v>
      </c>
      <c r="BR756">
        <v>13</v>
      </c>
      <c r="BS756">
        <v>21</v>
      </c>
      <c r="BT756">
        <v>10</v>
      </c>
      <c r="BU756">
        <v>11</v>
      </c>
      <c r="BV756">
        <v>51</v>
      </c>
      <c r="BW756">
        <v>100</v>
      </c>
      <c r="BX756">
        <v>88</v>
      </c>
      <c r="BY756">
        <v>94</v>
      </c>
      <c r="BZ756">
        <v>33</v>
      </c>
      <c r="CA756">
        <v>81</v>
      </c>
      <c r="CB756">
        <v>81</v>
      </c>
      <c r="CC756">
        <v>97</v>
      </c>
      <c r="CD756">
        <v>17</v>
      </c>
      <c r="CE756">
        <v>13</v>
      </c>
      <c r="CF756">
        <v>82</v>
      </c>
      <c r="CG756">
        <v>97</v>
      </c>
      <c r="CH756">
        <v>57</v>
      </c>
      <c r="CI756">
        <v>66</v>
      </c>
      <c r="CJ756">
        <v>23</v>
      </c>
      <c r="CK756">
        <v>16</v>
      </c>
      <c r="CL756">
        <v>60</v>
      </c>
      <c r="CM756">
        <v>10</v>
      </c>
      <c r="CN756">
        <v>56</v>
      </c>
      <c r="CO756">
        <v>47</v>
      </c>
      <c r="CP756">
        <v>48</v>
      </c>
      <c r="CQ756">
        <v>96</v>
      </c>
      <c r="CR756">
        <v>18</v>
      </c>
      <c r="CS756">
        <v>60</v>
      </c>
      <c r="CT756">
        <v>83</v>
      </c>
      <c r="CU756">
        <v>56</v>
      </c>
      <c r="CV756">
        <v>12</v>
      </c>
      <c r="CW756">
        <v>33</v>
      </c>
      <c r="CX756">
        <v>40</v>
      </c>
      <c r="CY756">
        <v>12</v>
      </c>
      <c r="CZ756">
        <v>78</v>
      </c>
      <c r="DA756">
        <v>19</v>
      </c>
      <c r="DB756">
        <v>16</v>
      </c>
      <c r="DC756">
        <v>20</v>
      </c>
      <c r="DD756">
        <v>74</v>
      </c>
      <c r="DE756">
        <v>81</v>
      </c>
      <c r="DF756">
        <v>18</v>
      </c>
      <c r="DG756">
        <v>80</v>
      </c>
      <c r="DH756">
        <v>68</v>
      </c>
      <c r="DI756">
        <v>76</v>
      </c>
      <c r="DJ756">
        <v>88</v>
      </c>
      <c r="DK756">
        <v>64</v>
      </c>
    </row>
    <row r="757" spans="1:115">
      <c r="A757" s="173">
        <f>Calculations[[#This Row],[Sum t eCO2]]*IF(Calculations[[#This Row],[GHG Scope]]="BIOGENIC",0,1)</f>
        <v>2.2661316E-3</v>
      </c>
      <c r="O757">
        <f t="shared" si="12"/>
        <v>100</v>
      </c>
      <c r="P757">
        <v>69</v>
      </c>
      <c r="Q757">
        <v>80</v>
      </c>
      <c r="R757">
        <v>49</v>
      </c>
      <c r="S757">
        <v>15</v>
      </c>
      <c r="T757">
        <v>22</v>
      </c>
      <c r="U757">
        <v>90</v>
      </c>
      <c r="V757">
        <v>21</v>
      </c>
      <c r="W757">
        <v>10</v>
      </c>
      <c r="X757">
        <v>64</v>
      </c>
      <c r="Y757">
        <v>62</v>
      </c>
      <c r="Z757">
        <v>43</v>
      </c>
      <c r="AA757">
        <v>77</v>
      </c>
      <c r="AB757">
        <v>65</v>
      </c>
      <c r="AC757">
        <v>13</v>
      </c>
      <c r="AD757">
        <v>44</v>
      </c>
      <c r="AE757">
        <v>35</v>
      </c>
      <c r="AF757">
        <v>33</v>
      </c>
      <c r="AG757">
        <v>72</v>
      </c>
      <c r="AH757">
        <v>38</v>
      </c>
      <c r="AI757">
        <v>56</v>
      </c>
      <c r="AJ757">
        <v>96</v>
      </c>
      <c r="AK757">
        <v>26</v>
      </c>
      <c r="AL757">
        <v>48</v>
      </c>
      <c r="AM757">
        <v>44</v>
      </c>
      <c r="AN757">
        <v>62</v>
      </c>
      <c r="AO757">
        <v>21</v>
      </c>
      <c r="AP757">
        <v>11</v>
      </c>
      <c r="AQ757">
        <v>30</v>
      </c>
      <c r="AR757">
        <v>93</v>
      </c>
      <c r="AS757">
        <v>44</v>
      </c>
      <c r="AT757">
        <v>92</v>
      </c>
      <c r="AU757">
        <v>60</v>
      </c>
      <c r="AV757">
        <v>87</v>
      </c>
      <c r="AW757">
        <v>44</v>
      </c>
      <c r="AX757">
        <v>41</v>
      </c>
      <c r="AY757">
        <v>17</v>
      </c>
      <c r="AZ757">
        <v>15</v>
      </c>
      <c r="BA757">
        <v>57</v>
      </c>
      <c r="BB757">
        <v>16</v>
      </c>
      <c r="BC757">
        <v>54</v>
      </c>
      <c r="BD757">
        <v>35</v>
      </c>
      <c r="BE757">
        <v>53</v>
      </c>
      <c r="BF757">
        <v>15</v>
      </c>
      <c r="BG757">
        <v>25</v>
      </c>
      <c r="BH757">
        <v>36</v>
      </c>
      <c r="BI757">
        <v>68</v>
      </c>
      <c r="BJ757">
        <v>41</v>
      </c>
      <c r="BK757">
        <v>89</v>
      </c>
      <c r="BL757">
        <v>48</v>
      </c>
      <c r="BM757">
        <v>99</v>
      </c>
      <c r="BN757">
        <v>60</v>
      </c>
      <c r="BO757">
        <v>44</v>
      </c>
      <c r="BP757">
        <v>20</v>
      </c>
      <c r="BQ757">
        <v>79</v>
      </c>
      <c r="BR757">
        <v>62</v>
      </c>
      <c r="BS757">
        <v>74</v>
      </c>
      <c r="BT757">
        <v>43</v>
      </c>
      <c r="BU757">
        <v>58</v>
      </c>
      <c r="BV757">
        <v>23</v>
      </c>
      <c r="BW757">
        <v>80</v>
      </c>
      <c r="BX757">
        <v>89</v>
      </c>
      <c r="BY757">
        <v>91</v>
      </c>
      <c r="BZ757">
        <v>68</v>
      </c>
      <c r="CA757">
        <v>44</v>
      </c>
      <c r="CB757">
        <v>75</v>
      </c>
      <c r="CC757">
        <v>84</v>
      </c>
      <c r="CD757">
        <v>65</v>
      </c>
      <c r="CE757">
        <v>45</v>
      </c>
      <c r="CF757">
        <v>18</v>
      </c>
      <c r="CG757">
        <v>74</v>
      </c>
      <c r="CH757">
        <v>100</v>
      </c>
      <c r="CI757">
        <v>87</v>
      </c>
      <c r="CJ757">
        <v>17</v>
      </c>
      <c r="CK757">
        <v>12</v>
      </c>
      <c r="CL757">
        <v>28</v>
      </c>
      <c r="CM757">
        <v>28</v>
      </c>
      <c r="CN757">
        <v>68</v>
      </c>
      <c r="CO757">
        <v>91</v>
      </c>
      <c r="CP757">
        <v>90</v>
      </c>
      <c r="CQ757">
        <v>38</v>
      </c>
      <c r="CR757">
        <v>82</v>
      </c>
      <c r="CS757">
        <v>85</v>
      </c>
      <c r="CT757">
        <v>61</v>
      </c>
      <c r="CU757">
        <v>90</v>
      </c>
      <c r="CV757">
        <v>14</v>
      </c>
      <c r="CW757">
        <v>11</v>
      </c>
      <c r="CX757">
        <v>50</v>
      </c>
      <c r="CY757">
        <v>81</v>
      </c>
      <c r="CZ757">
        <v>87</v>
      </c>
      <c r="DA757">
        <v>24</v>
      </c>
      <c r="DB757">
        <v>37</v>
      </c>
      <c r="DC757">
        <v>51</v>
      </c>
      <c r="DD757">
        <v>60</v>
      </c>
      <c r="DE757">
        <v>41</v>
      </c>
      <c r="DF757">
        <v>56</v>
      </c>
      <c r="DG757">
        <v>100</v>
      </c>
      <c r="DH757">
        <v>83</v>
      </c>
      <c r="DI757">
        <v>87</v>
      </c>
      <c r="DJ757">
        <v>89</v>
      </c>
      <c r="DK757">
        <v>53</v>
      </c>
    </row>
    <row r="758" spans="1:115">
      <c r="A758" s="173">
        <f>Calculations[[#This Row],[Sum t eCO2]]*IF(Calculations[[#This Row],[GHG Scope]]="BIOGENIC",0,1)</f>
        <v>0.10948196467571758</v>
      </c>
      <c r="O758">
        <f t="shared" si="12"/>
        <v>101</v>
      </c>
      <c r="P758">
        <v>80</v>
      </c>
      <c r="Q758">
        <v>86</v>
      </c>
      <c r="R758">
        <v>69</v>
      </c>
      <c r="S758">
        <v>49</v>
      </c>
      <c r="T758">
        <v>100</v>
      </c>
      <c r="U758">
        <v>51</v>
      </c>
      <c r="V758">
        <v>31</v>
      </c>
      <c r="W758">
        <v>95</v>
      </c>
      <c r="X758">
        <v>62</v>
      </c>
      <c r="Y758">
        <v>50</v>
      </c>
      <c r="Z758">
        <v>53</v>
      </c>
      <c r="AA758">
        <v>46</v>
      </c>
      <c r="AB758">
        <v>53</v>
      </c>
      <c r="AC758">
        <v>19</v>
      </c>
      <c r="AD758">
        <v>63</v>
      </c>
      <c r="AE758">
        <v>36</v>
      </c>
      <c r="AF758">
        <v>74</v>
      </c>
      <c r="AG758">
        <v>26</v>
      </c>
      <c r="AH758">
        <v>60</v>
      </c>
      <c r="AI758">
        <v>32</v>
      </c>
      <c r="AJ758">
        <v>85</v>
      </c>
      <c r="AK758">
        <v>14</v>
      </c>
      <c r="AL758">
        <v>11</v>
      </c>
      <c r="AM758">
        <v>81</v>
      </c>
      <c r="AN758">
        <v>10</v>
      </c>
      <c r="AO758">
        <v>77</v>
      </c>
      <c r="AP758">
        <v>18</v>
      </c>
      <c r="AQ758">
        <v>66</v>
      </c>
      <c r="AR758">
        <v>41</v>
      </c>
      <c r="AS758">
        <v>50</v>
      </c>
      <c r="AT758">
        <v>49</v>
      </c>
      <c r="AU758">
        <v>65</v>
      </c>
      <c r="AV758">
        <v>80</v>
      </c>
      <c r="AW758">
        <v>68</v>
      </c>
      <c r="AX758">
        <v>56</v>
      </c>
      <c r="AY758">
        <v>42</v>
      </c>
      <c r="AZ758">
        <v>96</v>
      </c>
      <c r="BA758">
        <v>71</v>
      </c>
      <c r="BB758">
        <v>76</v>
      </c>
      <c r="BC758">
        <v>82</v>
      </c>
      <c r="BD758">
        <v>29</v>
      </c>
      <c r="BE758">
        <v>30</v>
      </c>
      <c r="BF758">
        <v>12</v>
      </c>
      <c r="BG758">
        <v>30</v>
      </c>
      <c r="BH758">
        <v>93</v>
      </c>
      <c r="BI758">
        <v>34</v>
      </c>
      <c r="BJ758">
        <v>94</v>
      </c>
      <c r="BK758">
        <v>41</v>
      </c>
      <c r="BL758">
        <v>19</v>
      </c>
      <c r="BM758">
        <v>59</v>
      </c>
      <c r="BN758">
        <v>64</v>
      </c>
      <c r="BO758">
        <v>10</v>
      </c>
      <c r="BP758">
        <v>27</v>
      </c>
      <c r="BQ758">
        <v>55</v>
      </c>
      <c r="BR758">
        <v>27</v>
      </c>
      <c r="BS758">
        <v>86</v>
      </c>
      <c r="BT758">
        <v>73</v>
      </c>
      <c r="BU758">
        <v>48</v>
      </c>
      <c r="BV758">
        <v>56</v>
      </c>
      <c r="BW758">
        <v>59</v>
      </c>
      <c r="BX758">
        <v>24</v>
      </c>
      <c r="BY758">
        <v>15</v>
      </c>
      <c r="BZ758">
        <v>68</v>
      </c>
      <c r="CA758">
        <v>88</v>
      </c>
      <c r="CB758">
        <v>24</v>
      </c>
      <c r="CC758">
        <v>65</v>
      </c>
      <c r="CD758">
        <v>85</v>
      </c>
      <c r="CE758">
        <v>50</v>
      </c>
      <c r="CF758">
        <v>52</v>
      </c>
      <c r="CG758">
        <v>91</v>
      </c>
      <c r="CH758">
        <v>16</v>
      </c>
      <c r="CI758">
        <v>43</v>
      </c>
      <c r="CJ758">
        <v>71</v>
      </c>
      <c r="CK758">
        <v>50</v>
      </c>
      <c r="CL758">
        <v>55</v>
      </c>
      <c r="CM758">
        <v>34</v>
      </c>
      <c r="CN758">
        <v>14</v>
      </c>
      <c r="CO758">
        <v>44</v>
      </c>
      <c r="CP758">
        <v>86</v>
      </c>
      <c r="CQ758">
        <v>61</v>
      </c>
      <c r="CR758">
        <v>95</v>
      </c>
      <c r="CS758">
        <v>62</v>
      </c>
      <c r="CT758">
        <v>77</v>
      </c>
      <c r="CU758">
        <v>20</v>
      </c>
      <c r="CV758">
        <v>73</v>
      </c>
      <c r="CW758">
        <v>55</v>
      </c>
      <c r="CX758">
        <v>41</v>
      </c>
      <c r="CY758">
        <v>53</v>
      </c>
      <c r="CZ758">
        <v>82</v>
      </c>
      <c r="DA758">
        <v>66</v>
      </c>
      <c r="DB758">
        <v>76</v>
      </c>
      <c r="DC758">
        <v>45</v>
      </c>
      <c r="DD758">
        <v>76</v>
      </c>
      <c r="DE758">
        <v>41</v>
      </c>
      <c r="DF758">
        <v>47</v>
      </c>
      <c r="DG758">
        <v>99</v>
      </c>
      <c r="DH758">
        <v>80</v>
      </c>
      <c r="DI758">
        <v>71</v>
      </c>
      <c r="DJ758">
        <v>58</v>
      </c>
      <c r="DK758">
        <v>87</v>
      </c>
    </row>
    <row r="759" spans="1:115">
      <c r="A759" s="173">
        <f>Calculations[[#This Row],[Sum t eCO2]]*IF(Calculations[[#This Row],[GHG Scope]]="BIOGENIC",0,1)</f>
        <v>1.1972016000000002E-4</v>
      </c>
      <c r="O759">
        <f t="shared" si="12"/>
        <v>102</v>
      </c>
      <c r="P759">
        <v>11</v>
      </c>
      <c r="Q759">
        <v>47</v>
      </c>
      <c r="R759">
        <v>49</v>
      </c>
      <c r="S759">
        <v>40</v>
      </c>
      <c r="T759">
        <v>84</v>
      </c>
      <c r="U759">
        <v>74</v>
      </c>
      <c r="V759">
        <v>74</v>
      </c>
      <c r="W759">
        <v>13</v>
      </c>
      <c r="X759">
        <v>63</v>
      </c>
      <c r="Y759">
        <v>76</v>
      </c>
      <c r="Z759">
        <v>71</v>
      </c>
      <c r="AA759">
        <v>100</v>
      </c>
      <c r="AB759">
        <v>14</v>
      </c>
      <c r="AC759">
        <v>20</v>
      </c>
      <c r="AD759">
        <v>59</v>
      </c>
      <c r="AE759">
        <v>70</v>
      </c>
      <c r="AF759">
        <v>20</v>
      </c>
      <c r="AG759">
        <v>84</v>
      </c>
      <c r="AH759">
        <v>26</v>
      </c>
      <c r="AI759">
        <v>53</v>
      </c>
      <c r="AJ759">
        <v>24</v>
      </c>
      <c r="AK759">
        <v>27</v>
      </c>
      <c r="AL759">
        <v>81</v>
      </c>
      <c r="AM759">
        <v>93</v>
      </c>
      <c r="AN759">
        <v>82</v>
      </c>
      <c r="AO759">
        <v>98</v>
      </c>
      <c r="AP759">
        <v>94</v>
      </c>
      <c r="AQ759">
        <v>72</v>
      </c>
      <c r="AR759">
        <v>94</v>
      </c>
      <c r="AS759">
        <v>29</v>
      </c>
      <c r="AT759">
        <v>87</v>
      </c>
      <c r="AU759">
        <v>84</v>
      </c>
      <c r="AV759">
        <v>34</v>
      </c>
      <c r="AW759">
        <v>56</v>
      </c>
      <c r="AX759">
        <v>87</v>
      </c>
      <c r="AY759">
        <v>94</v>
      </c>
      <c r="AZ759">
        <v>69</v>
      </c>
      <c r="BA759">
        <v>80</v>
      </c>
      <c r="BB759">
        <v>70</v>
      </c>
      <c r="BC759">
        <v>36</v>
      </c>
      <c r="BD759">
        <v>50</v>
      </c>
      <c r="BE759">
        <v>80</v>
      </c>
      <c r="BF759">
        <v>72</v>
      </c>
      <c r="BG759">
        <v>88</v>
      </c>
      <c r="BH759">
        <v>21</v>
      </c>
      <c r="BI759">
        <v>23</v>
      </c>
      <c r="BJ759">
        <v>36</v>
      </c>
      <c r="BK759">
        <v>53</v>
      </c>
      <c r="BL759">
        <v>68</v>
      </c>
      <c r="BM759">
        <v>96</v>
      </c>
      <c r="BN759">
        <v>67</v>
      </c>
      <c r="BO759">
        <v>39</v>
      </c>
      <c r="BP759">
        <v>41</v>
      </c>
      <c r="BQ759">
        <v>54</v>
      </c>
      <c r="BR759">
        <v>50</v>
      </c>
      <c r="BS759">
        <v>85</v>
      </c>
      <c r="BT759">
        <v>89</v>
      </c>
      <c r="BU759">
        <v>79</v>
      </c>
      <c r="BV759">
        <v>35</v>
      </c>
      <c r="BW759">
        <v>27</v>
      </c>
      <c r="BX759">
        <v>81</v>
      </c>
      <c r="BY759">
        <v>60</v>
      </c>
      <c r="BZ759">
        <v>28</v>
      </c>
      <c r="CA759">
        <v>18</v>
      </c>
      <c r="CB759">
        <v>97</v>
      </c>
      <c r="CC759">
        <v>79</v>
      </c>
      <c r="CD759">
        <v>48</v>
      </c>
      <c r="CE759">
        <v>89</v>
      </c>
      <c r="CF759">
        <v>26</v>
      </c>
      <c r="CG759">
        <v>91</v>
      </c>
      <c r="CH759">
        <v>63</v>
      </c>
      <c r="CI759">
        <v>11</v>
      </c>
      <c r="CJ759">
        <v>88</v>
      </c>
      <c r="CK759">
        <v>74</v>
      </c>
      <c r="CL759">
        <v>67</v>
      </c>
      <c r="CM759">
        <v>45</v>
      </c>
      <c r="CN759">
        <v>81</v>
      </c>
      <c r="CO759">
        <v>81</v>
      </c>
      <c r="CP759">
        <v>71</v>
      </c>
      <c r="CQ759">
        <v>63</v>
      </c>
      <c r="CR759">
        <v>71</v>
      </c>
      <c r="CS759">
        <v>57</v>
      </c>
      <c r="CT759">
        <v>87</v>
      </c>
      <c r="CU759">
        <v>86</v>
      </c>
      <c r="CV759">
        <v>73</v>
      </c>
      <c r="CW759">
        <v>87</v>
      </c>
      <c r="CX759">
        <v>43</v>
      </c>
      <c r="CY759">
        <v>50</v>
      </c>
      <c r="CZ759">
        <v>47</v>
      </c>
      <c r="DA759">
        <v>26</v>
      </c>
      <c r="DB759">
        <v>51</v>
      </c>
      <c r="DC759">
        <v>82</v>
      </c>
      <c r="DD759">
        <v>25</v>
      </c>
      <c r="DE759">
        <v>98</v>
      </c>
      <c r="DF759">
        <v>45</v>
      </c>
      <c r="DG759">
        <v>84</v>
      </c>
      <c r="DH759">
        <v>94</v>
      </c>
      <c r="DI759">
        <v>49</v>
      </c>
      <c r="DJ759">
        <v>43</v>
      </c>
      <c r="DK759">
        <v>31</v>
      </c>
    </row>
    <row r="760" spans="1:115">
      <c r="A760" s="173">
        <f>Calculations[[#This Row],[Sum t eCO2]]*IF(Calculations[[#This Row],[GHG Scope]]="BIOGENIC",0,1)</f>
        <v>2.2661316E-4</v>
      </c>
      <c r="O760">
        <f t="shared" si="12"/>
        <v>103</v>
      </c>
      <c r="P760">
        <v>97</v>
      </c>
      <c r="Q760">
        <v>99</v>
      </c>
      <c r="R760">
        <v>74</v>
      </c>
      <c r="S760">
        <v>12</v>
      </c>
      <c r="T760">
        <v>57</v>
      </c>
      <c r="U760">
        <v>40</v>
      </c>
      <c r="V760">
        <v>74</v>
      </c>
      <c r="W760">
        <v>45</v>
      </c>
      <c r="X760">
        <v>18</v>
      </c>
      <c r="Y760">
        <v>18</v>
      </c>
      <c r="Z760">
        <v>62</v>
      </c>
      <c r="AA760">
        <v>71</v>
      </c>
      <c r="AB760">
        <v>92</v>
      </c>
      <c r="AC760">
        <v>27</v>
      </c>
      <c r="AD760">
        <v>81</v>
      </c>
      <c r="AE760">
        <v>29</v>
      </c>
      <c r="AF760">
        <v>98</v>
      </c>
      <c r="AG760">
        <v>94</v>
      </c>
      <c r="AH760">
        <v>64</v>
      </c>
      <c r="AI760">
        <v>65</v>
      </c>
      <c r="AJ760">
        <v>50</v>
      </c>
      <c r="AK760">
        <v>52</v>
      </c>
      <c r="AL760">
        <v>48</v>
      </c>
      <c r="AM760">
        <v>18</v>
      </c>
      <c r="AN760">
        <v>58</v>
      </c>
      <c r="AO760">
        <v>64</v>
      </c>
      <c r="AP760">
        <v>17</v>
      </c>
      <c r="AQ760">
        <v>24</v>
      </c>
      <c r="AR760">
        <v>77</v>
      </c>
      <c r="AS760">
        <v>69</v>
      </c>
      <c r="AT760">
        <v>14</v>
      </c>
      <c r="AU760">
        <v>86</v>
      </c>
      <c r="AV760">
        <v>32</v>
      </c>
      <c r="AW760">
        <v>81</v>
      </c>
      <c r="AX760">
        <v>76</v>
      </c>
      <c r="AY760">
        <v>70</v>
      </c>
      <c r="AZ760">
        <v>88</v>
      </c>
      <c r="BA760">
        <v>15</v>
      </c>
      <c r="BB760">
        <v>62</v>
      </c>
      <c r="BC760">
        <v>50</v>
      </c>
      <c r="BD760">
        <v>82</v>
      </c>
      <c r="BE760">
        <v>12</v>
      </c>
      <c r="BF760">
        <v>23</v>
      </c>
      <c r="BG760">
        <v>85</v>
      </c>
      <c r="BH760">
        <v>12</v>
      </c>
      <c r="BI760">
        <v>22</v>
      </c>
      <c r="BJ760">
        <v>36</v>
      </c>
      <c r="BK760">
        <v>68</v>
      </c>
      <c r="BL760">
        <v>64</v>
      </c>
      <c r="BM760">
        <v>23</v>
      </c>
      <c r="BN760">
        <v>29</v>
      </c>
      <c r="BO760">
        <v>99</v>
      </c>
      <c r="BP760">
        <v>77</v>
      </c>
      <c r="BQ760">
        <v>33</v>
      </c>
      <c r="BR760">
        <v>32</v>
      </c>
      <c r="BS760">
        <v>40</v>
      </c>
      <c r="BT760">
        <v>79</v>
      </c>
      <c r="BU760">
        <v>44</v>
      </c>
      <c r="BV760">
        <v>85</v>
      </c>
      <c r="BW760">
        <v>95</v>
      </c>
      <c r="BX760">
        <v>96</v>
      </c>
      <c r="BY760">
        <v>33</v>
      </c>
      <c r="BZ760">
        <v>71</v>
      </c>
      <c r="CA760">
        <v>41</v>
      </c>
      <c r="CB760">
        <v>44</v>
      </c>
      <c r="CC760">
        <v>95</v>
      </c>
      <c r="CD760">
        <v>34</v>
      </c>
      <c r="CE760">
        <v>18</v>
      </c>
      <c r="CF760">
        <v>70</v>
      </c>
      <c r="CG760">
        <v>23</v>
      </c>
      <c r="CH760">
        <v>31</v>
      </c>
      <c r="CI760">
        <v>51</v>
      </c>
      <c r="CJ760">
        <v>32</v>
      </c>
      <c r="CK760">
        <v>64</v>
      </c>
      <c r="CL760">
        <v>20</v>
      </c>
      <c r="CM760">
        <v>96</v>
      </c>
      <c r="CN760">
        <v>64</v>
      </c>
      <c r="CO760">
        <v>71</v>
      </c>
      <c r="CP760">
        <v>52</v>
      </c>
      <c r="CQ760">
        <v>14</v>
      </c>
      <c r="CR760">
        <v>41</v>
      </c>
      <c r="CS760">
        <v>65</v>
      </c>
      <c r="CT760">
        <v>97</v>
      </c>
      <c r="CU760">
        <v>50</v>
      </c>
      <c r="CV760">
        <v>31</v>
      </c>
      <c r="CW760">
        <v>28</v>
      </c>
      <c r="CX760">
        <v>32</v>
      </c>
      <c r="CY760">
        <v>69</v>
      </c>
      <c r="CZ760">
        <v>61</v>
      </c>
      <c r="DA760">
        <v>24</v>
      </c>
      <c r="DB760">
        <v>43</v>
      </c>
      <c r="DC760">
        <v>87</v>
      </c>
      <c r="DD760">
        <v>89</v>
      </c>
      <c r="DE760">
        <v>83</v>
      </c>
      <c r="DF760">
        <v>86</v>
      </c>
      <c r="DG760">
        <v>65</v>
      </c>
      <c r="DH760">
        <v>75</v>
      </c>
      <c r="DI760">
        <v>45</v>
      </c>
      <c r="DJ760">
        <v>24</v>
      </c>
      <c r="DK760">
        <v>86</v>
      </c>
    </row>
    <row r="761" spans="1:115">
      <c r="A761" s="173">
        <f>Calculations[[#This Row],[Sum t eCO2]]*IF(Calculations[[#This Row],[GHG Scope]]="BIOGENIC",0,1)</f>
        <v>1.7790819259804107</v>
      </c>
      <c r="O761">
        <f t="shared" si="12"/>
        <v>104</v>
      </c>
      <c r="P761">
        <v>29</v>
      </c>
      <c r="Q761">
        <v>16</v>
      </c>
      <c r="R761">
        <v>12</v>
      </c>
      <c r="S761">
        <v>99</v>
      </c>
      <c r="T761">
        <v>27</v>
      </c>
      <c r="U761">
        <v>83</v>
      </c>
      <c r="V761">
        <v>59</v>
      </c>
      <c r="W761">
        <v>28</v>
      </c>
      <c r="X761">
        <v>61</v>
      </c>
      <c r="Y761">
        <v>31</v>
      </c>
      <c r="Z761">
        <v>64</v>
      </c>
      <c r="AA761">
        <v>76</v>
      </c>
      <c r="AB761">
        <v>85</v>
      </c>
      <c r="AC761">
        <v>97</v>
      </c>
      <c r="AD761">
        <v>83</v>
      </c>
      <c r="AE761">
        <v>59</v>
      </c>
      <c r="AF761">
        <v>42</v>
      </c>
      <c r="AG761">
        <v>38</v>
      </c>
      <c r="AH761">
        <v>67</v>
      </c>
      <c r="AI761">
        <v>41</v>
      </c>
      <c r="AJ761">
        <v>72</v>
      </c>
      <c r="AK761">
        <v>70</v>
      </c>
      <c r="AL761">
        <v>70</v>
      </c>
      <c r="AM761">
        <v>69</v>
      </c>
      <c r="AN761">
        <v>35</v>
      </c>
      <c r="AO761">
        <v>48</v>
      </c>
      <c r="AP761">
        <v>89</v>
      </c>
      <c r="AQ761">
        <v>22</v>
      </c>
      <c r="AR761">
        <v>67</v>
      </c>
      <c r="AS761">
        <v>32</v>
      </c>
      <c r="AT761">
        <v>56</v>
      </c>
      <c r="AU761">
        <v>22</v>
      </c>
      <c r="AV761">
        <v>11</v>
      </c>
      <c r="AW761">
        <v>37</v>
      </c>
      <c r="AX761">
        <v>42</v>
      </c>
      <c r="AY761">
        <v>81</v>
      </c>
      <c r="AZ761">
        <v>61</v>
      </c>
      <c r="BA761">
        <v>73</v>
      </c>
      <c r="BB761">
        <v>97</v>
      </c>
      <c r="BC761">
        <v>84</v>
      </c>
      <c r="BD761">
        <v>60</v>
      </c>
      <c r="BE761">
        <v>84</v>
      </c>
      <c r="BF761">
        <v>19</v>
      </c>
      <c r="BG761">
        <v>67</v>
      </c>
      <c r="BH761">
        <v>48</v>
      </c>
      <c r="BI761">
        <v>86</v>
      </c>
      <c r="BJ761">
        <v>66</v>
      </c>
      <c r="BK761">
        <v>38</v>
      </c>
      <c r="BL761">
        <v>64</v>
      </c>
      <c r="BM761">
        <v>37</v>
      </c>
      <c r="BN761">
        <v>76</v>
      </c>
      <c r="BO761">
        <v>90</v>
      </c>
      <c r="BP761">
        <v>96</v>
      </c>
      <c r="BQ761">
        <v>79</v>
      </c>
      <c r="BR761">
        <v>25</v>
      </c>
      <c r="BS761">
        <v>69</v>
      </c>
      <c r="BT761">
        <v>64</v>
      </c>
      <c r="BU761">
        <v>58</v>
      </c>
      <c r="BV761">
        <v>63</v>
      </c>
      <c r="BW761">
        <v>56</v>
      </c>
      <c r="BX761">
        <v>17</v>
      </c>
      <c r="BY761">
        <v>93</v>
      </c>
      <c r="BZ761">
        <v>52</v>
      </c>
      <c r="CA761">
        <v>34</v>
      </c>
      <c r="CB761">
        <v>12</v>
      </c>
      <c r="CC761">
        <v>53</v>
      </c>
      <c r="CD761">
        <v>25</v>
      </c>
      <c r="CE761">
        <v>10</v>
      </c>
      <c r="CF761">
        <v>55</v>
      </c>
      <c r="CG761">
        <v>66</v>
      </c>
      <c r="CH761">
        <v>90</v>
      </c>
      <c r="CI761">
        <v>34</v>
      </c>
      <c r="CJ761">
        <v>16</v>
      </c>
      <c r="CK761">
        <v>75</v>
      </c>
      <c r="CL761">
        <v>32</v>
      </c>
      <c r="CM761">
        <v>81</v>
      </c>
      <c r="CN761">
        <v>52</v>
      </c>
      <c r="CO761">
        <v>86</v>
      </c>
      <c r="CP761">
        <v>36</v>
      </c>
      <c r="CQ761">
        <v>12</v>
      </c>
      <c r="CR761">
        <v>43</v>
      </c>
      <c r="CS761">
        <v>54</v>
      </c>
      <c r="CT761">
        <v>53</v>
      </c>
      <c r="CU761">
        <v>11</v>
      </c>
      <c r="CV761">
        <v>40</v>
      </c>
      <c r="CW761">
        <v>38</v>
      </c>
      <c r="CX761">
        <v>54</v>
      </c>
      <c r="CY761">
        <v>93</v>
      </c>
      <c r="CZ761">
        <v>98</v>
      </c>
      <c r="DA761">
        <v>72</v>
      </c>
      <c r="DB761">
        <v>73</v>
      </c>
      <c r="DC761">
        <v>45</v>
      </c>
      <c r="DD761">
        <v>64</v>
      </c>
      <c r="DE761">
        <v>81</v>
      </c>
      <c r="DF761">
        <v>97</v>
      </c>
      <c r="DG761">
        <v>91</v>
      </c>
      <c r="DH761">
        <v>16</v>
      </c>
      <c r="DI761">
        <v>37</v>
      </c>
      <c r="DJ761">
        <v>31</v>
      </c>
      <c r="DK761">
        <v>100</v>
      </c>
    </row>
    <row r="762" spans="1:115">
      <c r="A762" s="173">
        <f>Calculations[[#This Row],[Sum t eCO2]]*IF(Calculations[[#This Row],[GHG Scope]]="BIOGENIC",0,1)</f>
        <v>1.9454526000000003E-3</v>
      </c>
      <c r="O762">
        <f t="shared" si="12"/>
        <v>105</v>
      </c>
      <c r="P762">
        <v>14</v>
      </c>
      <c r="Q762">
        <v>18</v>
      </c>
      <c r="R762">
        <v>56</v>
      </c>
      <c r="S762">
        <v>58</v>
      </c>
      <c r="T762">
        <v>68</v>
      </c>
      <c r="U762">
        <v>88</v>
      </c>
      <c r="V762">
        <v>57</v>
      </c>
      <c r="W762">
        <v>82</v>
      </c>
      <c r="X762">
        <v>94</v>
      </c>
      <c r="Y762">
        <v>15</v>
      </c>
      <c r="Z762">
        <v>38</v>
      </c>
      <c r="AA762">
        <v>58</v>
      </c>
      <c r="AB762">
        <v>39</v>
      </c>
      <c r="AC762">
        <v>81</v>
      </c>
      <c r="AD762">
        <v>38</v>
      </c>
      <c r="AE762">
        <v>82</v>
      </c>
      <c r="AF762">
        <v>56</v>
      </c>
      <c r="AG762">
        <v>73</v>
      </c>
      <c r="AH762">
        <v>20</v>
      </c>
      <c r="AI762">
        <v>67</v>
      </c>
      <c r="AJ762">
        <v>15</v>
      </c>
      <c r="AK762">
        <v>86</v>
      </c>
      <c r="AL762">
        <v>66</v>
      </c>
      <c r="AM762">
        <v>67</v>
      </c>
      <c r="AN762">
        <v>26</v>
      </c>
      <c r="AO762">
        <v>50</v>
      </c>
      <c r="AP762">
        <v>64</v>
      </c>
      <c r="AQ762">
        <v>41</v>
      </c>
      <c r="AR762">
        <v>78</v>
      </c>
      <c r="AS762">
        <v>26</v>
      </c>
      <c r="AT762">
        <v>20</v>
      </c>
      <c r="AU762">
        <v>53</v>
      </c>
      <c r="AV762">
        <v>14</v>
      </c>
      <c r="AW762">
        <v>41</v>
      </c>
      <c r="AX762">
        <v>51</v>
      </c>
      <c r="AY762">
        <v>100</v>
      </c>
      <c r="AZ762">
        <v>94</v>
      </c>
      <c r="BA762">
        <v>85</v>
      </c>
      <c r="BB762">
        <v>34</v>
      </c>
      <c r="BC762">
        <v>30</v>
      </c>
      <c r="BD762">
        <v>97</v>
      </c>
      <c r="BE762">
        <v>98</v>
      </c>
      <c r="BF762">
        <v>45</v>
      </c>
      <c r="BG762">
        <v>11</v>
      </c>
      <c r="BH762">
        <v>26</v>
      </c>
      <c r="BI762">
        <v>30</v>
      </c>
      <c r="BJ762">
        <v>20</v>
      </c>
      <c r="BK762">
        <v>76</v>
      </c>
      <c r="BL762">
        <v>21</v>
      </c>
      <c r="BM762">
        <v>75</v>
      </c>
      <c r="BN762">
        <v>75</v>
      </c>
      <c r="BO762">
        <v>27</v>
      </c>
      <c r="BP762">
        <v>73</v>
      </c>
      <c r="BQ762">
        <v>69</v>
      </c>
      <c r="BR762">
        <v>25</v>
      </c>
      <c r="BS762">
        <v>39</v>
      </c>
      <c r="BT762">
        <v>97</v>
      </c>
      <c r="BU762">
        <v>91</v>
      </c>
      <c r="BV762">
        <v>53</v>
      </c>
      <c r="BW762">
        <v>44</v>
      </c>
      <c r="BX762">
        <v>75</v>
      </c>
      <c r="BY762">
        <v>43</v>
      </c>
      <c r="BZ762">
        <v>82</v>
      </c>
      <c r="CA762">
        <v>85</v>
      </c>
      <c r="CB762">
        <v>33</v>
      </c>
      <c r="CC762">
        <v>58</v>
      </c>
      <c r="CD762">
        <v>75</v>
      </c>
      <c r="CE762">
        <v>89</v>
      </c>
      <c r="CF762">
        <v>57</v>
      </c>
      <c r="CG762">
        <v>68</v>
      </c>
      <c r="CH762">
        <v>76</v>
      </c>
      <c r="CI762">
        <v>73</v>
      </c>
      <c r="CJ762">
        <v>63</v>
      </c>
      <c r="CK762">
        <v>32</v>
      </c>
      <c r="CL762">
        <v>89</v>
      </c>
      <c r="CM762">
        <v>11</v>
      </c>
      <c r="CN762">
        <v>39</v>
      </c>
      <c r="CO762">
        <v>90</v>
      </c>
      <c r="CP762">
        <v>23</v>
      </c>
      <c r="CQ762">
        <v>48</v>
      </c>
      <c r="CR762">
        <v>86</v>
      </c>
      <c r="CS762">
        <v>69</v>
      </c>
      <c r="CT762">
        <v>63</v>
      </c>
      <c r="CU762">
        <v>61</v>
      </c>
      <c r="CV762">
        <v>42</v>
      </c>
      <c r="CW762">
        <v>57</v>
      </c>
      <c r="CX762">
        <v>90</v>
      </c>
      <c r="CY762">
        <v>39</v>
      </c>
      <c r="CZ762">
        <v>65</v>
      </c>
      <c r="DA762">
        <v>70</v>
      </c>
      <c r="DB762">
        <v>34</v>
      </c>
      <c r="DC762">
        <v>78</v>
      </c>
      <c r="DD762">
        <v>82</v>
      </c>
      <c r="DE762">
        <v>59</v>
      </c>
      <c r="DF762">
        <v>22</v>
      </c>
      <c r="DG762">
        <v>31</v>
      </c>
      <c r="DH762">
        <v>19</v>
      </c>
      <c r="DI762">
        <v>49</v>
      </c>
      <c r="DJ762">
        <v>89</v>
      </c>
      <c r="DK762">
        <v>56</v>
      </c>
    </row>
    <row r="763" spans="1:115">
      <c r="A763" s="173">
        <f>Calculations[[#This Row],[Sum t eCO2]]*IF(Calculations[[#This Row],[GHG Scope]]="BIOGENIC",0,1)</f>
        <v>3.68246385E-3</v>
      </c>
      <c r="O763">
        <f t="shared" si="12"/>
        <v>106</v>
      </c>
      <c r="P763">
        <v>57</v>
      </c>
      <c r="Q763">
        <v>99</v>
      </c>
      <c r="R763">
        <v>77</v>
      </c>
      <c r="S763">
        <v>17</v>
      </c>
      <c r="T763">
        <v>76</v>
      </c>
      <c r="U763">
        <v>15</v>
      </c>
      <c r="V763">
        <v>34</v>
      </c>
      <c r="W763">
        <v>50</v>
      </c>
      <c r="X763">
        <v>86</v>
      </c>
      <c r="Y763">
        <v>76</v>
      </c>
      <c r="Z763">
        <v>57</v>
      </c>
      <c r="AA763">
        <v>97</v>
      </c>
      <c r="AB763">
        <v>29</v>
      </c>
      <c r="AC763">
        <v>71</v>
      </c>
      <c r="AD763">
        <v>62</v>
      </c>
      <c r="AE763">
        <v>95</v>
      </c>
      <c r="AF763">
        <v>89</v>
      </c>
      <c r="AG763">
        <v>62</v>
      </c>
      <c r="AH763">
        <v>81</v>
      </c>
      <c r="AI763">
        <v>37</v>
      </c>
      <c r="AJ763">
        <v>10</v>
      </c>
      <c r="AK763">
        <v>19</v>
      </c>
      <c r="AL763">
        <v>92</v>
      </c>
      <c r="AM763">
        <v>54</v>
      </c>
      <c r="AN763">
        <v>80</v>
      </c>
      <c r="AO763">
        <v>98</v>
      </c>
      <c r="AP763">
        <v>41</v>
      </c>
      <c r="AQ763">
        <v>100</v>
      </c>
      <c r="AR763">
        <v>52</v>
      </c>
      <c r="AS763">
        <v>12</v>
      </c>
      <c r="AT763">
        <v>82</v>
      </c>
      <c r="AU763">
        <v>78</v>
      </c>
      <c r="AV763">
        <v>84</v>
      </c>
      <c r="AW763">
        <v>27</v>
      </c>
      <c r="AX763">
        <v>86</v>
      </c>
      <c r="AY763">
        <v>39</v>
      </c>
      <c r="AZ763">
        <v>10</v>
      </c>
      <c r="BA763">
        <v>57</v>
      </c>
      <c r="BB763">
        <v>75</v>
      </c>
      <c r="BC763">
        <v>47</v>
      </c>
      <c r="BD763">
        <v>19</v>
      </c>
      <c r="BE763">
        <v>86</v>
      </c>
      <c r="BF763">
        <v>31</v>
      </c>
      <c r="BG763">
        <v>53</v>
      </c>
      <c r="BH763">
        <v>39</v>
      </c>
      <c r="BI763">
        <v>44</v>
      </c>
      <c r="BJ763">
        <v>71</v>
      </c>
      <c r="BK763">
        <v>57</v>
      </c>
      <c r="BL763">
        <v>91</v>
      </c>
      <c r="BM763">
        <v>58</v>
      </c>
      <c r="BN763">
        <v>40</v>
      </c>
      <c r="BO763">
        <v>84</v>
      </c>
      <c r="BP763">
        <v>35</v>
      </c>
      <c r="BQ763">
        <v>69</v>
      </c>
      <c r="BR763">
        <v>40</v>
      </c>
      <c r="BS763">
        <v>94</v>
      </c>
      <c r="BT763">
        <v>57</v>
      </c>
      <c r="BU763">
        <v>47</v>
      </c>
      <c r="BV763">
        <v>45</v>
      </c>
      <c r="BW763">
        <v>38</v>
      </c>
      <c r="BX763">
        <v>17</v>
      </c>
      <c r="BY763">
        <v>26</v>
      </c>
      <c r="BZ763">
        <v>86</v>
      </c>
      <c r="CA763">
        <v>73</v>
      </c>
      <c r="CB763">
        <v>93</v>
      </c>
      <c r="CC763">
        <v>65</v>
      </c>
      <c r="CD763">
        <v>52</v>
      </c>
      <c r="CE763">
        <v>63</v>
      </c>
      <c r="CF763">
        <v>23</v>
      </c>
      <c r="CG763">
        <v>57</v>
      </c>
      <c r="CH763">
        <v>39</v>
      </c>
      <c r="CI763">
        <v>84</v>
      </c>
      <c r="CJ763">
        <v>43</v>
      </c>
      <c r="CK763">
        <v>63</v>
      </c>
      <c r="CL763">
        <v>74</v>
      </c>
      <c r="CM763">
        <v>63</v>
      </c>
      <c r="CN763">
        <v>16</v>
      </c>
      <c r="CO763">
        <v>96</v>
      </c>
      <c r="CP763">
        <v>78</v>
      </c>
      <c r="CQ763">
        <v>38</v>
      </c>
      <c r="CR763">
        <v>23</v>
      </c>
      <c r="CS763">
        <v>49</v>
      </c>
      <c r="CT763">
        <v>33</v>
      </c>
      <c r="CU763">
        <v>38</v>
      </c>
      <c r="CV763">
        <v>95</v>
      </c>
      <c r="CW763">
        <v>14</v>
      </c>
      <c r="CX763">
        <v>67</v>
      </c>
      <c r="CY763">
        <v>35</v>
      </c>
      <c r="CZ763">
        <v>77</v>
      </c>
      <c r="DA763">
        <v>43</v>
      </c>
      <c r="DB763">
        <v>36</v>
      </c>
      <c r="DC763">
        <v>87</v>
      </c>
      <c r="DD763">
        <v>91</v>
      </c>
      <c r="DE763">
        <v>98</v>
      </c>
      <c r="DF763">
        <v>81</v>
      </c>
      <c r="DG763">
        <v>55</v>
      </c>
      <c r="DH763">
        <v>48</v>
      </c>
      <c r="DI763">
        <v>86</v>
      </c>
      <c r="DJ763">
        <v>65</v>
      </c>
      <c r="DK763">
        <v>87</v>
      </c>
    </row>
    <row r="764" spans="1:115">
      <c r="A764" s="173">
        <f>Calculations[[#This Row],[Sum t eCO2]]*IF(Calculations[[#This Row],[GHG Scope]]="BIOGENIC",0,1)</f>
        <v>3.6751395416400006</v>
      </c>
      <c r="O764">
        <f t="shared" si="12"/>
        <v>107</v>
      </c>
      <c r="P764">
        <v>55</v>
      </c>
      <c r="Q764">
        <v>75</v>
      </c>
      <c r="R764">
        <v>47</v>
      </c>
      <c r="S764">
        <v>75</v>
      </c>
      <c r="T764">
        <v>35</v>
      </c>
      <c r="U764">
        <v>29</v>
      </c>
      <c r="V764">
        <v>44</v>
      </c>
      <c r="W764">
        <v>90</v>
      </c>
      <c r="X764">
        <v>75</v>
      </c>
      <c r="Y764">
        <v>47</v>
      </c>
      <c r="Z764">
        <v>86</v>
      </c>
      <c r="AA764">
        <v>34</v>
      </c>
      <c r="AB764">
        <v>53</v>
      </c>
      <c r="AC764">
        <v>59</v>
      </c>
      <c r="AD764">
        <v>90</v>
      </c>
      <c r="AE764">
        <v>95</v>
      </c>
      <c r="AF764">
        <v>90</v>
      </c>
      <c r="AG764">
        <v>86</v>
      </c>
      <c r="AH764">
        <v>65</v>
      </c>
      <c r="AI764">
        <v>96</v>
      </c>
      <c r="AJ764">
        <v>36</v>
      </c>
      <c r="AK764">
        <v>86</v>
      </c>
      <c r="AL764">
        <v>42</v>
      </c>
      <c r="AM764">
        <v>98</v>
      </c>
      <c r="AN764">
        <v>18</v>
      </c>
      <c r="AO764">
        <v>58</v>
      </c>
      <c r="AP764">
        <v>43</v>
      </c>
      <c r="AQ764">
        <v>48</v>
      </c>
      <c r="AR764">
        <v>78</v>
      </c>
      <c r="AS764">
        <v>70</v>
      </c>
      <c r="AT764">
        <v>98</v>
      </c>
      <c r="AU764">
        <v>86</v>
      </c>
      <c r="AV764">
        <v>78</v>
      </c>
      <c r="AW764">
        <v>76</v>
      </c>
      <c r="AX764">
        <v>61</v>
      </c>
      <c r="AY764">
        <v>42</v>
      </c>
      <c r="AZ764">
        <v>29</v>
      </c>
      <c r="BA764">
        <v>58</v>
      </c>
      <c r="BB764">
        <v>20</v>
      </c>
      <c r="BC764">
        <v>82</v>
      </c>
      <c r="BD764">
        <v>51</v>
      </c>
      <c r="BE764">
        <v>77</v>
      </c>
      <c r="BF764">
        <v>54</v>
      </c>
      <c r="BG764">
        <v>76</v>
      </c>
      <c r="BH764">
        <v>53</v>
      </c>
      <c r="BI764">
        <v>59</v>
      </c>
      <c r="BJ764">
        <v>32</v>
      </c>
      <c r="BK764">
        <v>96</v>
      </c>
      <c r="BL764">
        <v>74</v>
      </c>
      <c r="BM764">
        <v>96</v>
      </c>
      <c r="BN764">
        <v>58</v>
      </c>
      <c r="BO764">
        <v>36</v>
      </c>
      <c r="BP764">
        <v>92</v>
      </c>
      <c r="BQ764">
        <v>88</v>
      </c>
      <c r="BR764">
        <v>95</v>
      </c>
      <c r="BS764">
        <v>60</v>
      </c>
      <c r="BT764">
        <v>32</v>
      </c>
      <c r="BU764">
        <v>88</v>
      </c>
      <c r="BV764">
        <v>77</v>
      </c>
      <c r="BW764">
        <v>92</v>
      </c>
      <c r="BX764">
        <v>40</v>
      </c>
      <c r="BY764">
        <v>70</v>
      </c>
      <c r="BZ764">
        <v>53</v>
      </c>
      <c r="CA764">
        <v>13</v>
      </c>
      <c r="CB764">
        <v>15</v>
      </c>
      <c r="CC764">
        <v>65</v>
      </c>
      <c r="CD764">
        <v>84</v>
      </c>
      <c r="CE764">
        <v>75</v>
      </c>
      <c r="CF764">
        <v>71</v>
      </c>
      <c r="CG764">
        <v>22</v>
      </c>
      <c r="CH764">
        <v>65</v>
      </c>
      <c r="CI764">
        <v>91</v>
      </c>
      <c r="CJ764">
        <v>63</v>
      </c>
      <c r="CK764">
        <v>46</v>
      </c>
      <c r="CL764">
        <v>18</v>
      </c>
      <c r="CM764">
        <v>48</v>
      </c>
      <c r="CN764">
        <v>74</v>
      </c>
      <c r="CO764">
        <v>38</v>
      </c>
      <c r="CP764">
        <v>37</v>
      </c>
      <c r="CQ764">
        <v>58</v>
      </c>
      <c r="CR764">
        <v>11</v>
      </c>
      <c r="CS764">
        <v>10</v>
      </c>
      <c r="CT764">
        <v>83</v>
      </c>
      <c r="CU764">
        <v>72</v>
      </c>
      <c r="CV764">
        <v>98</v>
      </c>
      <c r="CW764">
        <v>38</v>
      </c>
      <c r="CX764">
        <v>85</v>
      </c>
      <c r="CY764">
        <v>31</v>
      </c>
      <c r="CZ764">
        <v>51</v>
      </c>
      <c r="DA764">
        <v>87</v>
      </c>
      <c r="DB764">
        <v>48</v>
      </c>
      <c r="DC764">
        <v>54</v>
      </c>
      <c r="DD764">
        <v>93</v>
      </c>
      <c r="DE764">
        <v>65</v>
      </c>
      <c r="DF764">
        <v>40</v>
      </c>
      <c r="DG764">
        <v>32</v>
      </c>
      <c r="DH764">
        <v>29</v>
      </c>
      <c r="DI764">
        <v>88</v>
      </c>
      <c r="DJ764">
        <v>84</v>
      </c>
      <c r="DK764">
        <v>77</v>
      </c>
    </row>
    <row r="765" spans="1:115">
      <c r="A765" s="173">
        <f>Calculations[[#This Row],[Sum t eCO2]]*IF(Calculations[[#This Row],[GHG Scope]]="BIOGENIC",0,1)</f>
        <v>1.0204712968582337E-3</v>
      </c>
      <c r="O765">
        <f t="shared" si="12"/>
        <v>108</v>
      </c>
      <c r="P765">
        <v>15</v>
      </c>
      <c r="Q765">
        <v>59</v>
      </c>
      <c r="R765">
        <v>29</v>
      </c>
      <c r="S765">
        <v>84</v>
      </c>
      <c r="T765">
        <v>23</v>
      </c>
      <c r="U765">
        <v>43</v>
      </c>
      <c r="V765">
        <v>79</v>
      </c>
      <c r="W765">
        <v>46</v>
      </c>
      <c r="X765">
        <v>17</v>
      </c>
      <c r="Y765">
        <v>13</v>
      </c>
      <c r="Z765">
        <v>13</v>
      </c>
      <c r="AA765">
        <v>77</v>
      </c>
      <c r="AB765">
        <v>83</v>
      </c>
      <c r="AC765">
        <v>59</v>
      </c>
      <c r="AD765">
        <v>78</v>
      </c>
      <c r="AE765">
        <v>84</v>
      </c>
      <c r="AF765">
        <v>31</v>
      </c>
      <c r="AG765">
        <v>78</v>
      </c>
      <c r="AH765">
        <v>95</v>
      </c>
      <c r="AI765">
        <v>93</v>
      </c>
      <c r="AJ765">
        <v>73</v>
      </c>
      <c r="AK765">
        <v>96</v>
      </c>
      <c r="AL765">
        <v>36</v>
      </c>
      <c r="AM765">
        <v>73</v>
      </c>
      <c r="AN765">
        <v>75</v>
      </c>
      <c r="AO765">
        <v>97</v>
      </c>
      <c r="AP765">
        <v>72</v>
      </c>
      <c r="AQ765">
        <v>57</v>
      </c>
      <c r="AR765">
        <v>31</v>
      </c>
      <c r="AS765">
        <v>83</v>
      </c>
      <c r="AT765">
        <v>89</v>
      </c>
      <c r="AU765">
        <v>70</v>
      </c>
      <c r="AV765">
        <v>66</v>
      </c>
      <c r="AW765">
        <v>76</v>
      </c>
      <c r="AX765">
        <v>30</v>
      </c>
      <c r="AY765">
        <v>10</v>
      </c>
      <c r="AZ765">
        <v>35</v>
      </c>
      <c r="BA765">
        <v>86</v>
      </c>
      <c r="BB765">
        <v>52</v>
      </c>
      <c r="BC765">
        <v>96</v>
      </c>
      <c r="BD765">
        <v>39</v>
      </c>
      <c r="BE765">
        <v>92</v>
      </c>
      <c r="BF765">
        <v>70</v>
      </c>
      <c r="BG765">
        <v>29</v>
      </c>
      <c r="BH765">
        <v>71</v>
      </c>
      <c r="BI765">
        <v>82</v>
      </c>
      <c r="BJ765">
        <v>86</v>
      </c>
      <c r="BK765">
        <v>35</v>
      </c>
      <c r="BL765">
        <v>52</v>
      </c>
      <c r="BM765">
        <v>91</v>
      </c>
      <c r="BN765">
        <v>22</v>
      </c>
      <c r="BO765">
        <v>16</v>
      </c>
      <c r="BP765">
        <v>74</v>
      </c>
      <c r="BQ765">
        <v>49</v>
      </c>
      <c r="BR765">
        <v>48</v>
      </c>
      <c r="BS765">
        <v>18</v>
      </c>
      <c r="BT765">
        <v>91</v>
      </c>
      <c r="BU765">
        <v>94</v>
      </c>
      <c r="BV765">
        <v>61</v>
      </c>
      <c r="BW765">
        <v>100</v>
      </c>
      <c r="BX765">
        <v>100</v>
      </c>
      <c r="BY765">
        <v>75</v>
      </c>
      <c r="BZ765">
        <v>28</v>
      </c>
      <c r="CA765">
        <v>26</v>
      </c>
      <c r="CB765">
        <v>40</v>
      </c>
      <c r="CC765">
        <v>33</v>
      </c>
      <c r="CD765">
        <v>40</v>
      </c>
      <c r="CE765">
        <v>43</v>
      </c>
      <c r="CF765">
        <v>83</v>
      </c>
      <c r="CG765">
        <v>50</v>
      </c>
      <c r="CH765">
        <v>88</v>
      </c>
      <c r="CI765">
        <v>76</v>
      </c>
      <c r="CJ765">
        <v>49</v>
      </c>
      <c r="CK765">
        <v>67</v>
      </c>
      <c r="CL765">
        <v>30</v>
      </c>
      <c r="CM765">
        <v>47</v>
      </c>
      <c r="CN765">
        <v>36</v>
      </c>
      <c r="CO765">
        <v>77</v>
      </c>
      <c r="CP765">
        <v>95</v>
      </c>
      <c r="CQ765">
        <v>99</v>
      </c>
      <c r="CR765">
        <v>77</v>
      </c>
      <c r="CS765">
        <v>93</v>
      </c>
      <c r="CT765">
        <v>59</v>
      </c>
      <c r="CU765">
        <v>70</v>
      </c>
      <c r="CV765">
        <v>39</v>
      </c>
      <c r="CW765">
        <v>22</v>
      </c>
      <c r="CX765">
        <v>77</v>
      </c>
      <c r="CY765">
        <v>34</v>
      </c>
      <c r="CZ765">
        <v>52</v>
      </c>
      <c r="DA765">
        <v>84</v>
      </c>
      <c r="DB765">
        <v>73</v>
      </c>
      <c r="DC765">
        <v>74</v>
      </c>
      <c r="DD765">
        <v>90</v>
      </c>
      <c r="DE765">
        <v>98</v>
      </c>
      <c r="DF765">
        <v>16</v>
      </c>
      <c r="DG765">
        <v>99</v>
      </c>
      <c r="DH765">
        <v>88</v>
      </c>
      <c r="DI765">
        <v>54</v>
      </c>
      <c r="DJ765">
        <v>38</v>
      </c>
      <c r="DK765">
        <v>43</v>
      </c>
    </row>
    <row r="766" spans="1:115">
      <c r="A766" s="173">
        <f>Calculations[[#This Row],[Sum t eCO2]]*IF(Calculations[[#This Row],[GHG Scope]]="BIOGENIC",0,1)</f>
        <v>2.5080411483000002E-3</v>
      </c>
      <c r="O766">
        <f t="shared" si="12"/>
        <v>109</v>
      </c>
      <c r="P766">
        <v>100</v>
      </c>
      <c r="Q766">
        <v>34</v>
      </c>
      <c r="R766">
        <v>76</v>
      </c>
      <c r="S766">
        <v>93</v>
      </c>
      <c r="T766">
        <v>40</v>
      </c>
      <c r="U766">
        <v>69</v>
      </c>
      <c r="V766">
        <v>29</v>
      </c>
      <c r="W766">
        <v>58</v>
      </c>
      <c r="X766">
        <v>49</v>
      </c>
      <c r="Y766">
        <v>98</v>
      </c>
      <c r="Z766">
        <v>28</v>
      </c>
      <c r="AA766">
        <v>70</v>
      </c>
      <c r="AB766">
        <v>29</v>
      </c>
      <c r="AC766">
        <v>55</v>
      </c>
      <c r="AD766">
        <v>15</v>
      </c>
      <c r="AE766">
        <v>51</v>
      </c>
      <c r="AF766">
        <v>17</v>
      </c>
      <c r="AG766">
        <v>53</v>
      </c>
      <c r="AH766">
        <v>53</v>
      </c>
      <c r="AI766">
        <v>24</v>
      </c>
      <c r="AJ766">
        <v>67</v>
      </c>
      <c r="AK766">
        <v>14</v>
      </c>
      <c r="AL766">
        <v>65</v>
      </c>
      <c r="AM766">
        <v>81</v>
      </c>
      <c r="AN766">
        <v>18</v>
      </c>
      <c r="AO766">
        <v>50</v>
      </c>
      <c r="AP766">
        <v>12</v>
      </c>
      <c r="AQ766">
        <v>11</v>
      </c>
      <c r="AR766">
        <v>33</v>
      </c>
      <c r="AS766">
        <v>31</v>
      </c>
      <c r="AT766">
        <v>42</v>
      </c>
      <c r="AU766">
        <v>11</v>
      </c>
      <c r="AV766">
        <v>88</v>
      </c>
      <c r="AW766">
        <v>99</v>
      </c>
      <c r="AX766">
        <v>66</v>
      </c>
      <c r="AY766">
        <v>87</v>
      </c>
      <c r="AZ766">
        <v>99</v>
      </c>
      <c r="BA766">
        <v>31</v>
      </c>
      <c r="BB766">
        <v>21</v>
      </c>
      <c r="BC766">
        <v>26</v>
      </c>
      <c r="BD766">
        <v>23</v>
      </c>
      <c r="BE766">
        <v>19</v>
      </c>
      <c r="BF766">
        <v>25</v>
      </c>
      <c r="BG766">
        <v>66</v>
      </c>
      <c r="BH766">
        <v>11</v>
      </c>
      <c r="BI766">
        <v>85</v>
      </c>
      <c r="BJ766">
        <v>38</v>
      </c>
      <c r="BK766">
        <v>30</v>
      </c>
      <c r="BL766">
        <v>84</v>
      </c>
      <c r="BM766">
        <v>51</v>
      </c>
      <c r="BN766">
        <v>54</v>
      </c>
      <c r="BO766">
        <v>32</v>
      </c>
      <c r="BP766">
        <v>95</v>
      </c>
      <c r="BQ766">
        <v>48</v>
      </c>
      <c r="BR766">
        <v>44</v>
      </c>
      <c r="BS766">
        <v>77</v>
      </c>
      <c r="BT766">
        <v>41</v>
      </c>
      <c r="BU766">
        <v>22</v>
      </c>
      <c r="BV766">
        <v>25</v>
      </c>
      <c r="BW766">
        <v>57</v>
      </c>
      <c r="BX766">
        <v>60</v>
      </c>
      <c r="BY766">
        <v>13</v>
      </c>
      <c r="BZ766">
        <v>81</v>
      </c>
      <c r="CA766">
        <v>70</v>
      </c>
      <c r="CB766">
        <v>56</v>
      </c>
      <c r="CC766">
        <v>73</v>
      </c>
      <c r="CD766">
        <v>83</v>
      </c>
      <c r="CE766">
        <v>59</v>
      </c>
      <c r="CF766">
        <v>26</v>
      </c>
      <c r="CG766">
        <v>88</v>
      </c>
      <c r="CH766">
        <v>17</v>
      </c>
      <c r="CI766">
        <v>10</v>
      </c>
      <c r="CJ766">
        <v>45</v>
      </c>
      <c r="CK766">
        <v>87</v>
      </c>
      <c r="CL766">
        <v>72</v>
      </c>
      <c r="CM766">
        <v>15</v>
      </c>
      <c r="CN766">
        <v>58</v>
      </c>
      <c r="CO766">
        <v>45</v>
      </c>
      <c r="CP766">
        <v>18</v>
      </c>
      <c r="CQ766">
        <v>80</v>
      </c>
      <c r="CR766">
        <v>82</v>
      </c>
      <c r="CS766">
        <v>91</v>
      </c>
      <c r="CT766">
        <v>86</v>
      </c>
      <c r="CU766">
        <v>80</v>
      </c>
      <c r="CV766">
        <v>93</v>
      </c>
      <c r="CW766">
        <v>47</v>
      </c>
      <c r="CX766">
        <v>46</v>
      </c>
      <c r="CY766">
        <v>40</v>
      </c>
      <c r="CZ766">
        <v>68</v>
      </c>
      <c r="DA766">
        <v>24</v>
      </c>
      <c r="DB766">
        <v>50</v>
      </c>
      <c r="DC766">
        <v>38</v>
      </c>
      <c r="DD766">
        <v>23</v>
      </c>
      <c r="DE766">
        <v>20</v>
      </c>
      <c r="DF766">
        <v>25</v>
      </c>
      <c r="DG766">
        <v>43</v>
      </c>
      <c r="DH766">
        <v>41</v>
      </c>
      <c r="DI766">
        <v>55</v>
      </c>
      <c r="DJ766">
        <v>90</v>
      </c>
      <c r="DK766">
        <v>42</v>
      </c>
    </row>
    <row r="767" spans="1:115">
      <c r="A767" s="173">
        <f>Calculations[[#This Row],[Sum t eCO2]]*IF(Calculations[[#This Row],[GHG Scope]]="BIOGENIC",0,1)</f>
        <v>4.2687463006800002</v>
      </c>
      <c r="O767">
        <f t="shared" si="12"/>
        <v>110</v>
      </c>
      <c r="P767">
        <v>74</v>
      </c>
      <c r="Q767">
        <v>86</v>
      </c>
      <c r="R767">
        <v>93</v>
      </c>
      <c r="S767">
        <v>47</v>
      </c>
      <c r="T767">
        <v>40</v>
      </c>
      <c r="U767">
        <v>62</v>
      </c>
      <c r="V767">
        <v>68</v>
      </c>
      <c r="W767">
        <v>88</v>
      </c>
      <c r="X767">
        <v>93</v>
      </c>
      <c r="Y767">
        <v>32</v>
      </c>
      <c r="Z767">
        <v>62</v>
      </c>
      <c r="AA767">
        <v>32</v>
      </c>
      <c r="AB767">
        <v>93</v>
      </c>
      <c r="AC767">
        <v>28</v>
      </c>
      <c r="AD767">
        <v>28</v>
      </c>
      <c r="AE767">
        <v>18</v>
      </c>
      <c r="AF767">
        <v>89</v>
      </c>
      <c r="AG767">
        <v>55</v>
      </c>
      <c r="AH767">
        <v>15</v>
      </c>
      <c r="AI767">
        <v>56</v>
      </c>
      <c r="AJ767">
        <v>66</v>
      </c>
      <c r="AK767">
        <v>68</v>
      </c>
      <c r="AL767">
        <v>25</v>
      </c>
      <c r="AM767">
        <v>86</v>
      </c>
      <c r="AN767">
        <v>71</v>
      </c>
      <c r="AO767">
        <v>69</v>
      </c>
      <c r="AP767">
        <v>30</v>
      </c>
      <c r="AQ767">
        <v>24</v>
      </c>
      <c r="AR767">
        <v>14</v>
      </c>
      <c r="AS767">
        <v>46</v>
      </c>
      <c r="AT767">
        <v>38</v>
      </c>
      <c r="AU767">
        <v>64</v>
      </c>
      <c r="AV767">
        <v>53</v>
      </c>
      <c r="AW767">
        <v>28</v>
      </c>
      <c r="AX767">
        <v>43</v>
      </c>
      <c r="AY767">
        <v>86</v>
      </c>
      <c r="AZ767">
        <v>12</v>
      </c>
      <c r="BA767">
        <v>38</v>
      </c>
      <c r="BB767">
        <v>15</v>
      </c>
      <c r="BC767">
        <v>18</v>
      </c>
      <c r="BD767">
        <v>20</v>
      </c>
      <c r="BE767">
        <v>75</v>
      </c>
      <c r="BF767">
        <v>91</v>
      </c>
      <c r="BG767">
        <v>15</v>
      </c>
      <c r="BH767">
        <v>56</v>
      </c>
      <c r="BI767">
        <v>33</v>
      </c>
      <c r="BJ767">
        <v>82</v>
      </c>
      <c r="BK767">
        <v>35</v>
      </c>
      <c r="BL767">
        <v>91</v>
      </c>
      <c r="BM767">
        <v>12</v>
      </c>
      <c r="BN767">
        <v>68</v>
      </c>
      <c r="BO767">
        <v>94</v>
      </c>
      <c r="BP767">
        <v>73</v>
      </c>
      <c r="BQ767">
        <v>27</v>
      </c>
      <c r="BR767">
        <v>76</v>
      </c>
      <c r="BS767">
        <v>75</v>
      </c>
      <c r="BT767">
        <v>41</v>
      </c>
      <c r="BU767">
        <v>67</v>
      </c>
      <c r="BV767">
        <v>70</v>
      </c>
      <c r="BW767">
        <v>57</v>
      </c>
      <c r="BX767">
        <v>67</v>
      </c>
      <c r="BY767">
        <v>80</v>
      </c>
      <c r="BZ767">
        <v>60</v>
      </c>
      <c r="CA767">
        <v>50</v>
      </c>
      <c r="CB767">
        <v>69</v>
      </c>
      <c r="CC767">
        <v>98</v>
      </c>
      <c r="CD767">
        <v>66</v>
      </c>
      <c r="CE767">
        <v>66</v>
      </c>
      <c r="CF767">
        <v>62</v>
      </c>
      <c r="CG767">
        <v>56</v>
      </c>
      <c r="CH767">
        <v>45</v>
      </c>
      <c r="CI767">
        <v>45</v>
      </c>
      <c r="CJ767">
        <v>74</v>
      </c>
      <c r="CK767">
        <v>48</v>
      </c>
      <c r="CL767">
        <v>82</v>
      </c>
      <c r="CM767">
        <v>69</v>
      </c>
      <c r="CN767">
        <v>19</v>
      </c>
      <c r="CO767">
        <v>52</v>
      </c>
      <c r="CP767">
        <v>45</v>
      </c>
      <c r="CQ767">
        <v>77</v>
      </c>
      <c r="CR767">
        <v>96</v>
      </c>
      <c r="CS767">
        <v>79</v>
      </c>
      <c r="CT767">
        <v>69</v>
      </c>
      <c r="CU767">
        <v>35</v>
      </c>
      <c r="CV767">
        <v>37</v>
      </c>
      <c r="CW767">
        <v>76</v>
      </c>
      <c r="CX767">
        <v>15</v>
      </c>
      <c r="CY767">
        <v>53</v>
      </c>
      <c r="CZ767">
        <v>42</v>
      </c>
      <c r="DA767">
        <v>28</v>
      </c>
      <c r="DB767">
        <v>96</v>
      </c>
      <c r="DC767">
        <v>55</v>
      </c>
      <c r="DD767">
        <v>70</v>
      </c>
      <c r="DE767">
        <v>19</v>
      </c>
      <c r="DF767">
        <v>26</v>
      </c>
      <c r="DG767">
        <v>36</v>
      </c>
      <c r="DH767">
        <v>81</v>
      </c>
      <c r="DI767">
        <v>56</v>
      </c>
      <c r="DJ767">
        <v>54</v>
      </c>
      <c r="DK767">
        <v>74</v>
      </c>
    </row>
    <row r="768" spans="1:115">
      <c r="A768" s="173">
        <f>Calculations[[#This Row],[Sum t eCO2]]*IF(Calculations[[#This Row],[GHG Scope]]="BIOGENIC",0,1)</f>
        <v>7.958215755939455E-4</v>
      </c>
      <c r="O768">
        <f t="shared" si="12"/>
        <v>111</v>
      </c>
      <c r="P768">
        <v>47</v>
      </c>
      <c r="Q768">
        <v>69</v>
      </c>
      <c r="R768">
        <v>51</v>
      </c>
      <c r="S768">
        <v>33</v>
      </c>
      <c r="T768">
        <v>74</v>
      </c>
      <c r="U768">
        <v>80</v>
      </c>
      <c r="V768">
        <v>69</v>
      </c>
      <c r="W768">
        <v>35</v>
      </c>
      <c r="X768">
        <v>14</v>
      </c>
      <c r="Y768">
        <v>42</v>
      </c>
      <c r="Z768">
        <v>36</v>
      </c>
      <c r="AA768">
        <v>98</v>
      </c>
      <c r="AB768">
        <v>78</v>
      </c>
      <c r="AC768">
        <v>56</v>
      </c>
      <c r="AD768">
        <v>77</v>
      </c>
      <c r="AE768">
        <v>21</v>
      </c>
      <c r="AF768">
        <v>100</v>
      </c>
      <c r="AG768">
        <v>43</v>
      </c>
      <c r="AH768">
        <v>45</v>
      </c>
      <c r="AI768">
        <v>77</v>
      </c>
      <c r="AJ768">
        <v>81</v>
      </c>
      <c r="AK768">
        <v>69</v>
      </c>
      <c r="AL768">
        <v>55</v>
      </c>
      <c r="AM768">
        <v>79</v>
      </c>
      <c r="AN768">
        <v>31</v>
      </c>
      <c r="AO768">
        <v>25</v>
      </c>
      <c r="AP768">
        <v>38</v>
      </c>
      <c r="AQ768">
        <v>87</v>
      </c>
      <c r="AR768">
        <v>100</v>
      </c>
      <c r="AS768">
        <v>64</v>
      </c>
      <c r="AT768">
        <v>99</v>
      </c>
      <c r="AU768">
        <v>81</v>
      </c>
      <c r="AV768">
        <v>20</v>
      </c>
      <c r="AW768">
        <v>53</v>
      </c>
      <c r="AX768">
        <v>83</v>
      </c>
      <c r="AY768">
        <v>92</v>
      </c>
      <c r="AZ768">
        <v>46</v>
      </c>
      <c r="BA768">
        <v>26</v>
      </c>
      <c r="BB768">
        <v>86</v>
      </c>
      <c r="BC768">
        <v>27</v>
      </c>
      <c r="BD768">
        <v>65</v>
      </c>
      <c r="BE768">
        <v>67</v>
      </c>
      <c r="BF768">
        <v>54</v>
      </c>
      <c r="BG768">
        <v>74</v>
      </c>
      <c r="BH768">
        <v>70</v>
      </c>
      <c r="BI768">
        <v>77</v>
      </c>
      <c r="BJ768">
        <v>48</v>
      </c>
      <c r="BK768">
        <v>88</v>
      </c>
      <c r="BL768">
        <v>45</v>
      </c>
      <c r="BM768">
        <v>43</v>
      </c>
      <c r="BN768">
        <v>38</v>
      </c>
      <c r="BO768">
        <v>71</v>
      </c>
      <c r="BP768">
        <v>57</v>
      </c>
      <c r="BQ768">
        <v>74</v>
      </c>
      <c r="BR768">
        <v>79</v>
      </c>
      <c r="BS768">
        <v>93</v>
      </c>
      <c r="BT768">
        <v>33</v>
      </c>
      <c r="BU768">
        <v>34</v>
      </c>
      <c r="BV768">
        <v>79</v>
      </c>
      <c r="BW768">
        <v>42</v>
      </c>
      <c r="BX768">
        <v>92</v>
      </c>
      <c r="BY768">
        <v>11</v>
      </c>
      <c r="BZ768">
        <v>73</v>
      </c>
      <c r="CA768">
        <v>58</v>
      </c>
      <c r="CB768">
        <v>43</v>
      </c>
      <c r="CC768">
        <v>98</v>
      </c>
      <c r="CD768">
        <v>94</v>
      </c>
      <c r="CE768">
        <v>57</v>
      </c>
      <c r="CF768">
        <v>30</v>
      </c>
      <c r="CG768">
        <v>98</v>
      </c>
      <c r="CH768">
        <v>23</v>
      </c>
      <c r="CI768">
        <v>95</v>
      </c>
      <c r="CJ768">
        <v>64</v>
      </c>
      <c r="CK768">
        <v>64</v>
      </c>
      <c r="CL768">
        <v>18</v>
      </c>
      <c r="CM768">
        <v>64</v>
      </c>
      <c r="CN768">
        <v>24</v>
      </c>
      <c r="CO768">
        <v>72</v>
      </c>
      <c r="CP768">
        <v>15</v>
      </c>
      <c r="CQ768">
        <v>34</v>
      </c>
      <c r="CR768">
        <v>82</v>
      </c>
      <c r="CS768">
        <v>67</v>
      </c>
      <c r="CT768">
        <v>24</v>
      </c>
      <c r="CU768">
        <v>60</v>
      </c>
      <c r="CV768">
        <v>78</v>
      </c>
      <c r="CW768">
        <v>83</v>
      </c>
      <c r="CX768">
        <v>10</v>
      </c>
      <c r="CY768">
        <v>11</v>
      </c>
      <c r="CZ768">
        <v>52</v>
      </c>
      <c r="DA768">
        <v>13</v>
      </c>
      <c r="DB768">
        <v>45</v>
      </c>
      <c r="DC768">
        <v>90</v>
      </c>
      <c r="DD768">
        <v>47</v>
      </c>
      <c r="DE768">
        <v>68</v>
      </c>
      <c r="DF768">
        <v>16</v>
      </c>
      <c r="DG768">
        <v>14</v>
      </c>
      <c r="DH768">
        <v>86</v>
      </c>
      <c r="DI768">
        <v>58</v>
      </c>
      <c r="DJ768">
        <v>72</v>
      </c>
      <c r="DK768">
        <v>28</v>
      </c>
    </row>
    <row r="769" spans="1:115">
      <c r="A769" s="173">
        <f>Calculations[[#This Row],[Sum t eCO2]]*IF(Calculations[[#This Row],[GHG Scope]]="BIOGENIC",0,1)</f>
        <v>3.238210153063447E-2</v>
      </c>
      <c r="O769">
        <f t="shared" si="12"/>
        <v>112</v>
      </c>
      <c r="P769">
        <v>90</v>
      </c>
      <c r="Q769">
        <v>95</v>
      </c>
      <c r="R769">
        <v>18</v>
      </c>
      <c r="S769">
        <v>47</v>
      </c>
      <c r="T769">
        <v>53</v>
      </c>
      <c r="U769">
        <v>38</v>
      </c>
      <c r="V769">
        <v>76</v>
      </c>
      <c r="W769">
        <v>44</v>
      </c>
      <c r="X769">
        <v>67</v>
      </c>
      <c r="Y769">
        <v>62</v>
      </c>
      <c r="Z769">
        <v>23</v>
      </c>
      <c r="AA769">
        <v>33</v>
      </c>
      <c r="AB769">
        <v>88</v>
      </c>
      <c r="AC769">
        <v>89</v>
      </c>
      <c r="AD769">
        <v>21</v>
      </c>
      <c r="AE769">
        <v>24</v>
      </c>
      <c r="AF769">
        <v>64</v>
      </c>
      <c r="AG769">
        <v>92</v>
      </c>
      <c r="AH769">
        <v>33</v>
      </c>
      <c r="AI769">
        <v>13</v>
      </c>
      <c r="AJ769">
        <v>52</v>
      </c>
      <c r="AK769">
        <v>22</v>
      </c>
      <c r="AL769">
        <v>10</v>
      </c>
      <c r="AM769">
        <v>47</v>
      </c>
      <c r="AN769">
        <v>33</v>
      </c>
      <c r="AO769">
        <v>36</v>
      </c>
      <c r="AP769">
        <v>73</v>
      </c>
      <c r="AQ769">
        <v>32</v>
      </c>
      <c r="AR769">
        <v>39</v>
      </c>
      <c r="AS769">
        <v>82</v>
      </c>
      <c r="AT769">
        <v>56</v>
      </c>
      <c r="AU769">
        <v>48</v>
      </c>
      <c r="AV769">
        <v>95</v>
      </c>
      <c r="AW769">
        <v>100</v>
      </c>
      <c r="AX769">
        <v>30</v>
      </c>
      <c r="AY769">
        <v>34</v>
      </c>
      <c r="AZ769">
        <v>96</v>
      </c>
      <c r="BA769">
        <v>50</v>
      </c>
      <c r="BB769">
        <v>10</v>
      </c>
      <c r="BC769">
        <v>67</v>
      </c>
      <c r="BD769">
        <v>77</v>
      </c>
      <c r="BE769">
        <v>93</v>
      </c>
      <c r="BF769">
        <v>91</v>
      </c>
      <c r="BG769">
        <v>17</v>
      </c>
      <c r="BH769">
        <v>98</v>
      </c>
      <c r="BI769">
        <v>86</v>
      </c>
      <c r="BJ769">
        <v>91</v>
      </c>
      <c r="BK769">
        <v>75</v>
      </c>
      <c r="BL769">
        <v>10</v>
      </c>
      <c r="BM769">
        <v>78</v>
      </c>
      <c r="BN769">
        <v>86</v>
      </c>
      <c r="BO769">
        <v>20</v>
      </c>
      <c r="BP769">
        <v>60</v>
      </c>
      <c r="BQ769">
        <v>34</v>
      </c>
      <c r="BR769">
        <v>51</v>
      </c>
      <c r="BS769">
        <v>35</v>
      </c>
      <c r="BT769">
        <v>44</v>
      </c>
      <c r="BU769">
        <v>34</v>
      </c>
      <c r="BV769">
        <v>35</v>
      </c>
      <c r="BW769">
        <v>80</v>
      </c>
      <c r="BX769">
        <v>60</v>
      </c>
      <c r="BY769">
        <v>95</v>
      </c>
      <c r="BZ769">
        <v>99</v>
      </c>
      <c r="CA769">
        <v>29</v>
      </c>
      <c r="CB769">
        <v>65</v>
      </c>
      <c r="CC769">
        <v>15</v>
      </c>
      <c r="CD769">
        <v>24</v>
      </c>
      <c r="CE769">
        <v>37</v>
      </c>
      <c r="CF769">
        <v>70</v>
      </c>
      <c r="CG769">
        <v>70</v>
      </c>
      <c r="CH769">
        <v>65</v>
      </c>
      <c r="CI769">
        <v>99</v>
      </c>
      <c r="CJ769">
        <v>50</v>
      </c>
      <c r="CK769">
        <v>51</v>
      </c>
      <c r="CL769">
        <v>22</v>
      </c>
      <c r="CM769">
        <v>81</v>
      </c>
      <c r="CN769">
        <v>43</v>
      </c>
      <c r="CO769">
        <v>53</v>
      </c>
      <c r="CP769">
        <v>97</v>
      </c>
      <c r="CQ769">
        <v>99</v>
      </c>
      <c r="CR769">
        <v>50</v>
      </c>
      <c r="CS769">
        <v>15</v>
      </c>
      <c r="CT769">
        <v>98</v>
      </c>
      <c r="CU769">
        <v>11</v>
      </c>
      <c r="CV769">
        <v>58</v>
      </c>
      <c r="CW769">
        <v>70</v>
      </c>
      <c r="CX769">
        <v>70</v>
      </c>
      <c r="CY769">
        <v>83</v>
      </c>
      <c r="CZ769">
        <v>31</v>
      </c>
      <c r="DA769">
        <v>59</v>
      </c>
      <c r="DB769">
        <v>22</v>
      </c>
      <c r="DC769">
        <v>76</v>
      </c>
      <c r="DD769">
        <v>77</v>
      </c>
      <c r="DE769">
        <v>80</v>
      </c>
      <c r="DF769">
        <v>38</v>
      </c>
      <c r="DG769">
        <v>15</v>
      </c>
      <c r="DH769">
        <v>47</v>
      </c>
      <c r="DI769">
        <v>28</v>
      </c>
      <c r="DJ769">
        <v>97</v>
      </c>
      <c r="DK769">
        <v>18</v>
      </c>
    </row>
    <row r="770" spans="1:115">
      <c r="A770" s="173">
        <f>Calculations[[#This Row],[Sum t eCO2]]*IF(Calculations[[#This Row],[GHG Scope]]="BIOGENIC",0,1)</f>
        <v>7.2286263986888963</v>
      </c>
      <c r="O770">
        <f t="shared" si="12"/>
        <v>113</v>
      </c>
      <c r="P770">
        <v>86</v>
      </c>
      <c r="Q770">
        <v>52</v>
      </c>
      <c r="R770">
        <v>86</v>
      </c>
      <c r="S770">
        <v>71</v>
      </c>
      <c r="T770">
        <v>92</v>
      </c>
      <c r="U770">
        <v>26</v>
      </c>
      <c r="V770">
        <v>18</v>
      </c>
      <c r="W770">
        <v>23</v>
      </c>
      <c r="X770">
        <v>54</v>
      </c>
      <c r="Y770">
        <v>14</v>
      </c>
      <c r="Z770">
        <v>20</v>
      </c>
      <c r="AA770">
        <v>41</v>
      </c>
      <c r="AB770">
        <v>27</v>
      </c>
      <c r="AC770">
        <v>26</v>
      </c>
      <c r="AD770">
        <v>87</v>
      </c>
      <c r="AE770">
        <v>30</v>
      </c>
      <c r="AF770">
        <v>33</v>
      </c>
      <c r="AG770">
        <v>36</v>
      </c>
      <c r="AH770">
        <v>88</v>
      </c>
      <c r="AI770">
        <v>34</v>
      </c>
      <c r="AJ770">
        <v>45</v>
      </c>
      <c r="AK770">
        <v>85</v>
      </c>
      <c r="AL770">
        <v>44</v>
      </c>
      <c r="AM770">
        <v>54</v>
      </c>
      <c r="AN770">
        <v>18</v>
      </c>
      <c r="AO770">
        <v>48</v>
      </c>
      <c r="AP770">
        <v>65</v>
      </c>
      <c r="AQ770">
        <v>80</v>
      </c>
      <c r="AR770">
        <v>99</v>
      </c>
      <c r="AS770">
        <v>90</v>
      </c>
      <c r="AT770">
        <v>75</v>
      </c>
      <c r="AU770">
        <v>19</v>
      </c>
      <c r="AV770">
        <v>81</v>
      </c>
      <c r="AW770">
        <v>88</v>
      </c>
      <c r="AX770">
        <v>76</v>
      </c>
      <c r="AY770">
        <v>39</v>
      </c>
      <c r="AZ770">
        <v>99</v>
      </c>
      <c r="BA770">
        <v>31</v>
      </c>
      <c r="BB770">
        <v>18</v>
      </c>
      <c r="BC770">
        <v>72</v>
      </c>
      <c r="BD770">
        <v>50</v>
      </c>
      <c r="BE770">
        <v>15</v>
      </c>
      <c r="BF770">
        <v>42</v>
      </c>
      <c r="BG770">
        <v>54</v>
      </c>
      <c r="BH770">
        <v>99</v>
      </c>
      <c r="BI770">
        <v>33</v>
      </c>
      <c r="BJ770">
        <v>91</v>
      </c>
      <c r="BK770">
        <v>92</v>
      </c>
      <c r="BL770">
        <v>33</v>
      </c>
      <c r="BM770">
        <v>23</v>
      </c>
      <c r="BN770">
        <v>100</v>
      </c>
      <c r="BO770">
        <v>78</v>
      </c>
      <c r="BP770">
        <v>65</v>
      </c>
      <c r="BQ770">
        <v>62</v>
      </c>
      <c r="BR770">
        <v>35</v>
      </c>
      <c r="BS770">
        <v>21</v>
      </c>
      <c r="BT770">
        <v>23</v>
      </c>
      <c r="BU770">
        <v>84</v>
      </c>
      <c r="BV770">
        <v>93</v>
      </c>
      <c r="BW770">
        <v>42</v>
      </c>
      <c r="BX770">
        <v>76</v>
      </c>
      <c r="BY770">
        <v>31</v>
      </c>
      <c r="BZ770">
        <v>43</v>
      </c>
      <c r="CA770">
        <v>83</v>
      </c>
      <c r="CB770">
        <v>21</v>
      </c>
      <c r="CC770">
        <v>45</v>
      </c>
      <c r="CD770">
        <v>82</v>
      </c>
      <c r="CE770">
        <v>26</v>
      </c>
      <c r="CF770">
        <v>69</v>
      </c>
      <c r="CG770">
        <v>20</v>
      </c>
      <c r="CH770">
        <v>14</v>
      </c>
      <c r="CI770">
        <v>73</v>
      </c>
      <c r="CJ770">
        <v>36</v>
      </c>
      <c r="CK770">
        <v>52</v>
      </c>
      <c r="CL770">
        <v>75</v>
      </c>
      <c r="CM770">
        <v>49</v>
      </c>
      <c r="CN770">
        <v>29</v>
      </c>
      <c r="CO770">
        <v>75</v>
      </c>
      <c r="CP770">
        <v>13</v>
      </c>
      <c r="CQ770">
        <v>53</v>
      </c>
      <c r="CR770">
        <v>99</v>
      </c>
      <c r="CS770">
        <v>82</v>
      </c>
      <c r="CT770">
        <v>51</v>
      </c>
      <c r="CU770">
        <v>28</v>
      </c>
      <c r="CV770">
        <v>98</v>
      </c>
      <c r="CW770">
        <v>94</v>
      </c>
      <c r="CX770">
        <v>81</v>
      </c>
      <c r="CY770">
        <v>30</v>
      </c>
      <c r="CZ770">
        <v>63</v>
      </c>
      <c r="DA770">
        <v>67</v>
      </c>
      <c r="DB770">
        <v>100</v>
      </c>
      <c r="DC770">
        <v>41</v>
      </c>
      <c r="DD770">
        <v>100</v>
      </c>
      <c r="DE770">
        <v>41</v>
      </c>
      <c r="DF770">
        <v>69</v>
      </c>
      <c r="DG770">
        <v>40</v>
      </c>
      <c r="DH770">
        <v>52</v>
      </c>
      <c r="DI770">
        <v>35</v>
      </c>
      <c r="DJ770">
        <v>29</v>
      </c>
      <c r="DK770">
        <v>77</v>
      </c>
    </row>
    <row r="771" spans="1:115">
      <c r="A771" s="173">
        <f>Calculations[[#This Row],[Sum t eCO2]]*IF(Calculations[[#This Row],[GHG Scope]]="BIOGENIC",0,1)</f>
        <v>1.0431095589699419E-2</v>
      </c>
      <c r="O771">
        <f t="shared" si="12"/>
        <v>114</v>
      </c>
      <c r="P771">
        <v>13</v>
      </c>
      <c r="Q771">
        <v>43</v>
      </c>
      <c r="R771">
        <v>18</v>
      </c>
      <c r="S771">
        <v>27</v>
      </c>
      <c r="T771">
        <v>26</v>
      </c>
      <c r="U771">
        <v>44</v>
      </c>
      <c r="V771">
        <v>70</v>
      </c>
      <c r="W771">
        <v>80</v>
      </c>
      <c r="X771">
        <v>12</v>
      </c>
      <c r="Y771">
        <v>72</v>
      </c>
      <c r="Z771">
        <v>40</v>
      </c>
      <c r="AA771">
        <v>12</v>
      </c>
      <c r="AB771">
        <v>12</v>
      </c>
      <c r="AC771">
        <v>93</v>
      </c>
      <c r="AD771">
        <v>29</v>
      </c>
      <c r="AE771">
        <v>64</v>
      </c>
      <c r="AF771">
        <v>12</v>
      </c>
      <c r="AG771">
        <v>82</v>
      </c>
      <c r="AH771">
        <v>100</v>
      </c>
      <c r="AI771">
        <v>47</v>
      </c>
      <c r="AJ771">
        <v>74</v>
      </c>
      <c r="AK771">
        <v>58</v>
      </c>
      <c r="AL771">
        <v>34</v>
      </c>
      <c r="AM771">
        <v>80</v>
      </c>
      <c r="AN771">
        <v>97</v>
      </c>
      <c r="AO771">
        <v>35</v>
      </c>
      <c r="AP771">
        <v>75</v>
      </c>
      <c r="AQ771">
        <v>54</v>
      </c>
      <c r="AR771">
        <v>30</v>
      </c>
      <c r="AS771">
        <v>94</v>
      </c>
      <c r="AT771">
        <v>70</v>
      </c>
      <c r="AU771">
        <v>60</v>
      </c>
      <c r="AV771">
        <v>81</v>
      </c>
      <c r="AW771">
        <v>66</v>
      </c>
      <c r="AX771">
        <v>11</v>
      </c>
      <c r="AY771">
        <v>69</v>
      </c>
      <c r="AZ771">
        <v>51</v>
      </c>
      <c r="BA771">
        <v>27</v>
      </c>
      <c r="BB771">
        <v>57</v>
      </c>
      <c r="BC771">
        <v>69</v>
      </c>
      <c r="BD771">
        <v>10</v>
      </c>
      <c r="BE771">
        <v>55</v>
      </c>
      <c r="BF771">
        <v>62</v>
      </c>
      <c r="BG771">
        <v>57</v>
      </c>
      <c r="BH771">
        <v>71</v>
      </c>
      <c r="BI771">
        <v>49</v>
      </c>
      <c r="BJ771">
        <v>29</v>
      </c>
      <c r="BK771">
        <v>51</v>
      </c>
      <c r="BL771">
        <v>54</v>
      </c>
      <c r="BM771">
        <v>98</v>
      </c>
      <c r="BN771">
        <v>23</v>
      </c>
      <c r="BO771">
        <v>100</v>
      </c>
      <c r="BP771">
        <v>80</v>
      </c>
      <c r="BQ771">
        <v>77</v>
      </c>
      <c r="BR771">
        <v>13</v>
      </c>
      <c r="BS771">
        <v>64</v>
      </c>
      <c r="BT771">
        <v>42</v>
      </c>
      <c r="BU771">
        <v>36</v>
      </c>
      <c r="BV771">
        <v>46</v>
      </c>
      <c r="BW771">
        <v>99</v>
      </c>
      <c r="BX771">
        <v>62</v>
      </c>
      <c r="BY771">
        <v>60</v>
      </c>
      <c r="BZ771">
        <v>77</v>
      </c>
      <c r="CA771">
        <v>88</v>
      </c>
      <c r="CB771">
        <v>47</v>
      </c>
      <c r="CC771">
        <v>32</v>
      </c>
      <c r="CD771">
        <v>57</v>
      </c>
      <c r="CE771">
        <v>88</v>
      </c>
      <c r="CF771">
        <v>38</v>
      </c>
      <c r="CG771">
        <v>100</v>
      </c>
      <c r="CH771">
        <v>31</v>
      </c>
      <c r="CI771">
        <v>23</v>
      </c>
      <c r="CJ771">
        <v>83</v>
      </c>
      <c r="CK771">
        <v>43</v>
      </c>
      <c r="CL771">
        <v>22</v>
      </c>
      <c r="CM771">
        <v>41</v>
      </c>
      <c r="CN771">
        <v>90</v>
      </c>
      <c r="CO771">
        <v>96</v>
      </c>
      <c r="CP771">
        <v>59</v>
      </c>
      <c r="CQ771">
        <v>52</v>
      </c>
      <c r="CR771">
        <v>34</v>
      </c>
      <c r="CS771">
        <v>89</v>
      </c>
      <c r="CT771">
        <v>21</v>
      </c>
      <c r="CU771">
        <v>33</v>
      </c>
      <c r="CV771">
        <v>46</v>
      </c>
      <c r="CW771">
        <v>67</v>
      </c>
      <c r="CX771">
        <v>23</v>
      </c>
      <c r="CY771">
        <v>14</v>
      </c>
      <c r="CZ771">
        <v>45</v>
      </c>
      <c r="DA771">
        <v>39</v>
      </c>
      <c r="DB771">
        <v>63</v>
      </c>
      <c r="DC771">
        <v>79</v>
      </c>
      <c r="DD771">
        <v>55</v>
      </c>
      <c r="DE771">
        <v>93</v>
      </c>
      <c r="DF771">
        <v>25</v>
      </c>
      <c r="DG771">
        <v>84</v>
      </c>
      <c r="DH771">
        <v>85</v>
      </c>
      <c r="DI771">
        <v>34</v>
      </c>
      <c r="DJ771">
        <v>46</v>
      </c>
      <c r="DK771">
        <v>11</v>
      </c>
    </row>
    <row r="772" spans="1:115">
      <c r="A772" s="173">
        <f>Calculations[[#This Row],[Sum t eCO2]]*IF(Calculations[[#This Row],[GHG Scope]]="BIOGENIC",0,1)</f>
        <v>0.12127567786823817</v>
      </c>
      <c r="O772">
        <f t="shared" si="12"/>
        <v>115</v>
      </c>
      <c r="P772">
        <v>30</v>
      </c>
      <c r="Q772">
        <v>40</v>
      </c>
      <c r="R772">
        <v>69</v>
      </c>
      <c r="S772">
        <v>74</v>
      </c>
      <c r="T772">
        <v>85</v>
      </c>
      <c r="U772">
        <v>31</v>
      </c>
      <c r="V772">
        <v>84</v>
      </c>
      <c r="W772">
        <v>58</v>
      </c>
      <c r="X772">
        <v>83</v>
      </c>
      <c r="Y772">
        <v>95</v>
      </c>
      <c r="Z772">
        <v>87</v>
      </c>
      <c r="AA772">
        <v>100</v>
      </c>
      <c r="AB772">
        <v>30</v>
      </c>
      <c r="AC772">
        <v>75</v>
      </c>
      <c r="AD772">
        <v>22</v>
      </c>
      <c r="AE772">
        <v>32</v>
      </c>
      <c r="AF772">
        <v>87</v>
      </c>
      <c r="AG772">
        <v>91</v>
      </c>
      <c r="AH772">
        <v>59</v>
      </c>
      <c r="AI772">
        <v>20</v>
      </c>
      <c r="AJ772">
        <v>51</v>
      </c>
      <c r="AK772">
        <v>50</v>
      </c>
      <c r="AL772">
        <v>20</v>
      </c>
      <c r="AM772">
        <v>53</v>
      </c>
      <c r="AN772">
        <v>25</v>
      </c>
      <c r="AO772">
        <v>42</v>
      </c>
      <c r="AP772">
        <v>39</v>
      </c>
      <c r="AQ772">
        <v>94</v>
      </c>
      <c r="AR772">
        <v>95</v>
      </c>
      <c r="AS772">
        <v>91</v>
      </c>
      <c r="AT772">
        <v>45</v>
      </c>
      <c r="AU772">
        <v>16</v>
      </c>
      <c r="AV772">
        <v>10</v>
      </c>
      <c r="AW772">
        <v>46</v>
      </c>
      <c r="AX772">
        <v>32</v>
      </c>
      <c r="AY772">
        <v>21</v>
      </c>
      <c r="AZ772">
        <v>60</v>
      </c>
      <c r="BA772">
        <v>73</v>
      </c>
      <c r="BB772">
        <v>80</v>
      </c>
      <c r="BC772">
        <v>19</v>
      </c>
      <c r="BD772">
        <v>15</v>
      </c>
      <c r="BE772">
        <v>90</v>
      </c>
      <c r="BF772">
        <v>32</v>
      </c>
      <c r="BG772">
        <v>62</v>
      </c>
      <c r="BH772">
        <v>33</v>
      </c>
      <c r="BI772">
        <v>77</v>
      </c>
      <c r="BJ772">
        <v>41</v>
      </c>
      <c r="BK772">
        <v>30</v>
      </c>
      <c r="BL772">
        <v>70</v>
      </c>
      <c r="BM772">
        <v>49</v>
      </c>
      <c r="BN772">
        <v>18</v>
      </c>
      <c r="BO772">
        <v>65</v>
      </c>
      <c r="BP772">
        <v>61</v>
      </c>
      <c r="BQ772">
        <v>96</v>
      </c>
      <c r="BR772">
        <v>17</v>
      </c>
      <c r="BS772">
        <v>83</v>
      </c>
      <c r="BT772">
        <v>72</v>
      </c>
      <c r="BU772">
        <v>20</v>
      </c>
      <c r="BV772">
        <v>26</v>
      </c>
      <c r="BW772">
        <v>77</v>
      </c>
      <c r="BX772">
        <v>17</v>
      </c>
      <c r="BY772">
        <v>65</v>
      </c>
      <c r="BZ772">
        <v>70</v>
      </c>
      <c r="CA772">
        <v>10</v>
      </c>
      <c r="CB772">
        <v>99</v>
      </c>
      <c r="CC772">
        <v>51</v>
      </c>
      <c r="CD772">
        <v>44</v>
      </c>
      <c r="CE772">
        <v>20</v>
      </c>
      <c r="CF772">
        <v>55</v>
      </c>
      <c r="CG772">
        <v>12</v>
      </c>
      <c r="CH772">
        <v>58</v>
      </c>
      <c r="CI772">
        <v>57</v>
      </c>
      <c r="CJ772">
        <v>47</v>
      </c>
      <c r="CK772">
        <v>45</v>
      </c>
      <c r="CL772">
        <v>41</v>
      </c>
      <c r="CM772">
        <v>12</v>
      </c>
      <c r="CN772">
        <v>40</v>
      </c>
      <c r="CO772">
        <v>69</v>
      </c>
      <c r="CP772">
        <v>20</v>
      </c>
      <c r="CQ772">
        <v>63</v>
      </c>
      <c r="CR772">
        <v>80</v>
      </c>
      <c r="CS772">
        <v>98</v>
      </c>
      <c r="CT772">
        <v>98</v>
      </c>
      <c r="CU772">
        <v>35</v>
      </c>
      <c r="CV772">
        <v>60</v>
      </c>
      <c r="CW772">
        <v>98</v>
      </c>
      <c r="CX772">
        <v>35</v>
      </c>
      <c r="CY772">
        <v>17</v>
      </c>
      <c r="CZ772">
        <v>20</v>
      </c>
      <c r="DA772">
        <v>43</v>
      </c>
      <c r="DB772">
        <v>81</v>
      </c>
      <c r="DC772">
        <v>55</v>
      </c>
      <c r="DD772">
        <v>44</v>
      </c>
      <c r="DE772">
        <v>91</v>
      </c>
      <c r="DF772">
        <v>85</v>
      </c>
      <c r="DG772">
        <v>88</v>
      </c>
      <c r="DH772">
        <v>57</v>
      </c>
      <c r="DI772">
        <v>48</v>
      </c>
      <c r="DJ772">
        <v>79</v>
      </c>
      <c r="DK772">
        <v>25</v>
      </c>
    </row>
    <row r="773" spans="1:115">
      <c r="A773" s="173">
        <f>Calculations[[#This Row],[Sum t eCO2]]*IF(Calculations[[#This Row],[GHG Scope]]="BIOGENIC",0,1)</f>
        <v>2266.1589507119102</v>
      </c>
      <c r="O773">
        <f t="shared" si="12"/>
        <v>116</v>
      </c>
      <c r="P773">
        <v>70</v>
      </c>
      <c r="Q773">
        <v>72</v>
      </c>
      <c r="R773">
        <v>62</v>
      </c>
      <c r="S773">
        <v>70</v>
      </c>
      <c r="T773">
        <v>18</v>
      </c>
      <c r="U773">
        <v>83</v>
      </c>
      <c r="V773">
        <v>54</v>
      </c>
      <c r="W773">
        <v>82</v>
      </c>
      <c r="X773">
        <v>83</v>
      </c>
      <c r="Y773">
        <v>90</v>
      </c>
      <c r="Z773">
        <v>67</v>
      </c>
      <c r="AA773">
        <v>32</v>
      </c>
      <c r="AB773">
        <v>16</v>
      </c>
      <c r="AC773">
        <v>89</v>
      </c>
      <c r="AD773">
        <v>93</v>
      </c>
      <c r="AE773">
        <v>85</v>
      </c>
      <c r="AF773">
        <v>67</v>
      </c>
      <c r="AG773">
        <v>37</v>
      </c>
      <c r="AH773">
        <v>40</v>
      </c>
      <c r="AI773">
        <v>59</v>
      </c>
      <c r="AJ773">
        <v>80</v>
      </c>
      <c r="AK773">
        <v>25</v>
      </c>
      <c r="AL773">
        <v>20</v>
      </c>
      <c r="AM773">
        <v>58</v>
      </c>
      <c r="AN773">
        <v>91</v>
      </c>
      <c r="AO773">
        <v>43</v>
      </c>
      <c r="AP773">
        <v>53</v>
      </c>
      <c r="AQ773">
        <v>97</v>
      </c>
      <c r="AR773">
        <v>80</v>
      </c>
      <c r="AS773">
        <v>14</v>
      </c>
      <c r="AT773">
        <v>11</v>
      </c>
      <c r="AU773">
        <v>46</v>
      </c>
      <c r="AV773">
        <v>83</v>
      </c>
      <c r="AW773">
        <v>94</v>
      </c>
      <c r="AX773">
        <v>95</v>
      </c>
      <c r="AY773">
        <v>12</v>
      </c>
      <c r="AZ773">
        <v>51</v>
      </c>
      <c r="BA773">
        <v>75</v>
      </c>
      <c r="BB773">
        <v>79</v>
      </c>
      <c r="BC773">
        <v>72</v>
      </c>
      <c r="BD773">
        <v>23</v>
      </c>
      <c r="BE773">
        <v>40</v>
      </c>
      <c r="BF773">
        <v>91</v>
      </c>
      <c r="BG773">
        <v>25</v>
      </c>
      <c r="BH773">
        <v>57</v>
      </c>
      <c r="BI773">
        <v>94</v>
      </c>
      <c r="BJ773">
        <v>44</v>
      </c>
      <c r="BK773">
        <v>69</v>
      </c>
      <c r="BL773">
        <v>32</v>
      </c>
      <c r="BM773">
        <v>77</v>
      </c>
      <c r="BN773">
        <v>50</v>
      </c>
      <c r="BO773">
        <v>68</v>
      </c>
      <c r="BP773">
        <v>33</v>
      </c>
      <c r="BQ773">
        <v>72</v>
      </c>
      <c r="BR773">
        <v>65</v>
      </c>
      <c r="BS773">
        <v>22</v>
      </c>
      <c r="BT773">
        <v>28</v>
      </c>
      <c r="BU773">
        <v>93</v>
      </c>
      <c r="BV773">
        <v>93</v>
      </c>
      <c r="BW773">
        <v>13</v>
      </c>
      <c r="BX773">
        <v>94</v>
      </c>
      <c r="BY773">
        <v>66</v>
      </c>
      <c r="BZ773">
        <v>96</v>
      </c>
      <c r="CA773">
        <v>56</v>
      </c>
      <c r="CB773">
        <v>91</v>
      </c>
      <c r="CC773">
        <v>61</v>
      </c>
      <c r="CD773">
        <v>78</v>
      </c>
      <c r="CE773">
        <v>12</v>
      </c>
      <c r="CF773">
        <v>11</v>
      </c>
      <c r="CG773">
        <v>10</v>
      </c>
      <c r="CH773">
        <v>75</v>
      </c>
      <c r="CI773">
        <v>30</v>
      </c>
      <c r="CJ773">
        <v>40</v>
      </c>
      <c r="CK773">
        <v>57</v>
      </c>
      <c r="CL773">
        <v>82</v>
      </c>
      <c r="CM773">
        <v>12</v>
      </c>
      <c r="CN773">
        <v>67</v>
      </c>
      <c r="CO773">
        <v>50</v>
      </c>
      <c r="CP773">
        <v>63</v>
      </c>
      <c r="CQ773">
        <v>53</v>
      </c>
      <c r="CR773">
        <v>53</v>
      </c>
      <c r="CS773">
        <v>53</v>
      </c>
      <c r="CT773">
        <v>97</v>
      </c>
      <c r="CU773">
        <v>27</v>
      </c>
      <c r="CV773">
        <v>73</v>
      </c>
      <c r="CW773">
        <v>58</v>
      </c>
      <c r="CX773">
        <v>36</v>
      </c>
      <c r="CY773">
        <v>62</v>
      </c>
      <c r="CZ773">
        <v>93</v>
      </c>
      <c r="DA773">
        <v>31</v>
      </c>
      <c r="DB773">
        <v>24</v>
      </c>
      <c r="DC773">
        <v>46</v>
      </c>
      <c r="DD773">
        <v>89</v>
      </c>
      <c r="DE773">
        <v>40</v>
      </c>
      <c r="DF773">
        <v>26</v>
      </c>
      <c r="DG773">
        <v>13</v>
      </c>
      <c r="DH773">
        <v>34</v>
      </c>
      <c r="DI773">
        <v>79</v>
      </c>
      <c r="DJ773">
        <v>93</v>
      </c>
      <c r="DK773">
        <v>91</v>
      </c>
    </row>
    <row r="774" spans="1:115">
      <c r="A774" s="173">
        <f>Calculations[[#This Row],[Sum t eCO2]]*IF(Calculations[[#This Row],[GHG Scope]]="BIOGENIC",0,1)</f>
        <v>4.9521701609732602</v>
      </c>
      <c r="O774">
        <f t="shared" si="12"/>
        <v>117</v>
      </c>
      <c r="P774">
        <v>31</v>
      </c>
      <c r="Q774">
        <v>42</v>
      </c>
      <c r="R774">
        <v>84</v>
      </c>
      <c r="S774">
        <v>14</v>
      </c>
      <c r="T774">
        <v>91</v>
      </c>
      <c r="U774">
        <v>56</v>
      </c>
      <c r="V774">
        <v>38</v>
      </c>
      <c r="W774">
        <v>53</v>
      </c>
      <c r="X774">
        <v>94</v>
      </c>
      <c r="Y774">
        <v>83</v>
      </c>
      <c r="Z774">
        <v>70</v>
      </c>
      <c r="AA774">
        <v>90</v>
      </c>
      <c r="AB774">
        <v>86</v>
      </c>
      <c r="AC774">
        <v>26</v>
      </c>
      <c r="AD774">
        <v>70</v>
      </c>
      <c r="AE774">
        <v>85</v>
      </c>
      <c r="AF774">
        <v>39</v>
      </c>
      <c r="AG774">
        <v>30</v>
      </c>
      <c r="AH774">
        <v>17</v>
      </c>
      <c r="AI774">
        <v>13</v>
      </c>
      <c r="AJ774">
        <v>94</v>
      </c>
      <c r="AK774">
        <v>28</v>
      </c>
      <c r="AL774">
        <v>67</v>
      </c>
      <c r="AM774">
        <v>68</v>
      </c>
      <c r="AN774">
        <v>85</v>
      </c>
      <c r="AO774">
        <v>43</v>
      </c>
      <c r="AP774">
        <v>74</v>
      </c>
      <c r="AQ774">
        <v>72</v>
      </c>
      <c r="AR774">
        <v>25</v>
      </c>
      <c r="AS774">
        <v>72</v>
      </c>
      <c r="AT774">
        <v>95</v>
      </c>
      <c r="AU774">
        <v>78</v>
      </c>
      <c r="AV774">
        <v>44</v>
      </c>
      <c r="AW774">
        <v>69</v>
      </c>
      <c r="AX774">
        <v>62</v>
      </c>
      <c r="AY774">
        <v>98</v>
      </c>
      <c r="AZ774">
        <v>31</v>
      </c>
      <c r="BA774">
        <v>40</v>
      </c>
      <c r="BB774">
        <v>18</v>
      </c>
      <c r="BC774">
        <v>18</v>
      </c>
      <c r="BD774">
        <v>62</v>
      </c>
      <c r="BE774">
        <v>35</v>
      </c>
      <c r="BF774">
        <v>17</v>
      </c>
      <c r="BG774">
        <v>46</v>
      </c>
      <c r="BH774">
        <v>47</v>
      </c>
      <c r="BI774">
        <v>58</v>
      </c>
      <c r="BJ774">
        <v>57</v>
      </c>
      <c r="BK774">
        <v>77</v>
      </c>
      <c r="BL774">
        <v>64</v>
      </c>
      <c r="BM774">
        <v>72</v>
      </c>
      <c r="BN774">
        <v>55</v>
      </c>
      <c r="BO774">
        <v>81</v>
      </c>
      <c r="BP774">
        <v>62</v>
      </c>
      <c r="BQ774">
        <v>81</v>
      </c>
      <c r="BR774">
        <v>69</v>
      </c>
      <c r="BS774">
        <v>88</v>
      </c>
      <c r="BT774">
        <v>36</v>
      </c>
      <c r="BU774">
        <v>25</v>
      </c>
      <c r="BV774">
        <v>43</v>
      </c>
      <c r="BW774">
        <v>81</v>
      </c>
      <c r="BX774">
        <v>61</v>
      </c>
      <c r="BY774">
        <v>16</v>
      </c>
      <c r="BZ774">
        <v>49</v>
      </c>
      <c r="CA774">
        <v>77</v>
      </c>
      <c r="CB774">
        <v>61</v>
      </c>
      <c r="CC774">
        <v>64</v>
      </c>
      <c r="CD774">
        <v>76</v>
      </c>
      <c r="CE774">
        <v>15</v>
      </c>
      <c r="CF774">
        <v>25</v>
      </c>
      <c r="CG774">
        <v>97</v>
      </c>
      <c r="CH774">
        <v>40</v>
      </c>
      <c r="CI774">
        <v>95</v>
      </c>
      <c r="CJ774">
        <v>43</v>
      </c>
      <c r="CK774">
        <v>18</v>
      </c>
      <c r="CL774">
        <v>30</v>
      </c>
      <c r="CM774">
        <v>52</v>
      </c>
      <c r="CN774">
        <v>65</v>
      </c>
      <c r="CO774">
        <v>24</v>
      </c>
      <c r="CP774">
        <v>86</v>
      </c>
      <c r="CQ774">
        <v>82</v>
      </c>
      <c r="CR774">
        <v>46</v>
      </c>
      <c r="CS774">
        <v>95</v>
      </c>
      <c r="CT774">
        <v>10</v>
      </c>
      <c r="CU774">
        <v>39</v>
      </c>
      <c r="CV774">
        <v>82</v>
      </c>
      <c r="CW774">
        <v>75</v>
      </c>
      <c r="CX774">
        <v>71</v>
      </c>
      <c r="CY774">
        <v>71</v>
      </c>
      <c r="CZ774">
        <v>41</v>
      </c>
      <c r="DA774">
        <v>50</v>
      </c>
      <c r="DB774">
        <v>61</v>
      </c>
      <c r="DC774">
        <v>73</v>
      </c>
      <c r="DD774">
        <v>45</v>
      </c>
      <c r="DE774">
        <v>49</v>
      </c>
      <c r="DF774">
        <v>31</v>
      </c>
      <c r="DG774">
        <v>93</v>
      </c>
      <c r="DH774">
        <v>38</v>
      </c>
      <c r="DI774">
        <v>27</v>
      </c>
      <c r="DJ774">
        <v>44</v>
      </c>
      <c r="DK774">
        <v>67</v>
      </c>
    </row>
    <row r="775" spans="1:115">
      <c r="A775" s="173">
        <f>Calculations[[#This Row],[Sum t eCO2]]*IF(Calculations[[#This Row],[GHG Scope]]="BIOGENIC",0,1)</f>
        <v>13.625634605847051</v>
      </c>
      <c r="O775">
        <f t="shared" si="12"/>
        <v>118</v>
      </c>
      <c r="P775">
        <v>38</v>
      </c>
      <c r="Q775">
        <v>35</v>
      </c>
      <c r="R775">
        <v>57</v>
      </c>
      <c r="S775">
        <v>43</v>
      </c>
      <c r="T775">
        <v>63</v>
      </c>
      <c r="U775">
        <v>78</v>
      </c>
      <c r="V775">
        <v>74</v>
      </c>
      <c r="W775">
        <v>31</v>
      </c>
      <c r="X775">
        <v>64</v>
      </c>
      <c r="Y775">
        <v>99</v>
      </c>
      <c r="Z775">
        <v>49</v>
      </c>
      <c r="AA775">
        <v>77</v>
      </c>
      <c r="AB775">
        <v>64</v>
      </c>
      <c r="AC775">
        <v>89</v>
      </c>
      <c r="AD775">
        <v>31</v>
      </c>
      <c r="AE775">
        <v>42</v>
      </c>
      <c r="AF775">
        <v>54</v>
      </c>
      <c r="AG775">
        <v>93</v>
      </c>
      <c r="AH775">
        <v>36</v>
      </c>
      <c r="AI775">
        <v>53</v>
      </c>
      <c r="AJ775">
        <v>20</v>
      </c>
      <c r="AK775">
        <v>39</v>
      </c>
      <c r="AL775">
        <v>55</v>
      </c>
      <c r="AM775">
        <v>81</v>
      </c>
      <c r="AN775">
        <v>45</v>
      </c>
      <c r="AO775">
        <v>91</v>
      </c>
      <c r="AP775">
        <v>44</v>
      </c>
      <c r="AQ775">
        <v>21</v>
      </c>
      <c r="AR775">
        <v>25</v>
      </c>
      <c r="AS775">
        <v>21</v>
      </c>
      <c r="AT775">
        <v>51</v>
      </c>
      <c r="AU775">
        <v>80</v>
      </c>
      <c r="AV775">
        <v>53</v>
      </c>
      <c r="AW775">
        <v>28</v>
      </c>
      <c r="AX775">
        <v>29</v>
      </c>
      <c r="AY775">
        <v>57</v>
      </c>
      <c r="AZ775">
        <v>68</v>
      </c>
      <c r="BA775">
        <v>55</v>
      </c>
      <c r="BB775">
        <v>97</v>
      </c>
      <c r="BC775">
        <v>10</v>
      </c>
      <c r="BD775">
        <v>91</v>
      </c>
      <c r="BE775">
        <v>76</v>
      </c>
      <c r="BF775">
        <v>33</v>
      </c>
      <c r="BG775">
        <v>66</v>
      </c>
      <c r="BH775">
        <v>82</v>
      </c>
      <c r="BI775">
        <v>63</v>
      </c>
      <c r="BJ775">
        <v>75</v>
      </c>
      <c r="BK775">
        <v>88</v>
      </c>
      <c r="BL775">
        <v>26</v>
      </c>
      <c r="BM775">
        <v>67</v>
      </c>
      <c r="BN775">
        <v>59</v>
      </c>
      <c r="BO775">
        <v>74</v>
      </c>
      <c r="BP775">
        <v>82</v>
      </c>
      <c r="BQ775">
        <v>93</v>
      </c>
      <c r="BR775">
        <v>57</v>
      </c>
      <c r="BS775">
        <v>80</v>
      </c>
      <c r="BT775">
        <v>34</v>
      </c>
      <c r="BU775">
        <v>24</v>
      </c>
      <c r="BV775">
        <v>43</v>
      </c>
      <c r="BW775">
        <v>56</v>
      </c>
      <c r="BX775">
        <v>28</v>
      </c>
      <c r="BY775">
        <v>61</v>
      </c>
      <c r="BZ775">
        <v>73</v>
      </c>
      <c r="CA775">
        <v>54</v>
      </c>
      <c r="CB775">
        <v>75</v>
      </c>
      <c r="CC775">
        <v>73</v>
      </c>
      <c r="CD775">
        <v>89</v>
      </c>
      <c r="CE775">
        <v>34</v>
      </c>
      <c r="CF775">
        <v>81</v>
      </c>
      <c r="CG775">
        <v>54</v>
      </c>
      <c r="CH775">
        <v>40</v>
      </c>
      <c r="CI775">
        <v>85</v>
      </c>
      <c r="CJ775">
        <v>69</v>
      </c>
      <c r="CK775">
        <v>31</v>
      </c>
      <c r="CL775">
        <v>20</v>
      </c>
      <c r="CM775">
        <v>29</v>
      </c>
      <c r="CN775">
        <v>34</v>
      </c>
      <c r="CO775">
        <v>76</v>
      </c>
      <c r="CP775">
        <v>49</v>
      </c>
      <c r="CQ775">
        <v>99</v>
      </c>
      <c r="CR775">
        <v>36</v>
      </c>
      <c r="CS775">
        <v>27</v>
      </c>
      <c r="CT775">
        <v>28</v>
      </c>
      <c r="CU775">
        <v>85</v>
      </c>
      <c r="CV775">
        <v>58</v>
      </c>
      <c r="CW775">
        <v>77</v>
      </c>
      <c r="CX775">
        <v>100</v>
      </c>
      <c r="CY775">
        <v>37</v>
      </c>
      <c r="CZ775">
        <v>74</v>
      </c>
      <c r="DA775">
        <v>66</v>
      </c>
      <c r="DB775">
        <v>30</v>
      </c>
      <c r="DC775">
        <v>94</v>
      </c>
      <c r="DD775">
        <v>81</v>
      </c>
      <c r="DE775">
        <v>70</v>
      </c>
      <c r="DF775">
        <v>66</v>
      </c>
      <c r="DG775">
        <v>99</v>
      </c>
      <c r="DH775">
        <v>64</v>
      </c>
      <c r="DI775">
        <v>97</v>
      </c>
      <c r="DJ775">
        <v>92</v>
      </c>
      <c r="DK775">
        <v>51</v>
      </c>
    </row>
    <row r="776" spans="1:115">
      <c r="A776" s="173">
        <f>Calculations[[#This Row],[Sum t eCO2]]*IF(Calculations[[#This Row],[GHG Scope]]="BIOGENIC",0,1)</f>
        <v>145.72865820795931</v>
      </c>
      <c r="O776">
        <f t="shared" si="12"/>
        <v>119</v>
      </c>
      <c r="P776">
        <v>39</v>
      </c>
      <c r="Q776">
        <v>18</v>
      </c>
      <c r="R776">
        <v>100</v>
      </c>
      <c r="S776">
        <v>99</v>
      </c>
      <c r="T776">
        <v>24</v>
      </c>
      <c r="U776">
        <v>92</v>
      </c>
      <c r="V776">
        <v>65</v>
      </c>
      <c r="W776">
        <v>80</v>
      </c>
      <c r="X776">
        <v>91</v>
      </c>
      <c r="Y776">
        <v>66</v>
      </c>
      <c r="Z776">
        <v>93</v>
      </c>
      <c r="AA776">
        <v>80</v>
      </c>
      <c r="AB776">
        <v>100</v>
      </c>
      <c r="AC776">
        <v>17</v>
      </c>
      <c r="AD776">
        <v>12</v>
      </c>
      <c r="AE776">
        <v>19</v>
      </c>
      <c r="AF776">
        <v>99</v>
      </c>
      <c r="AG776">
        <v>10</v>
      </c>
      <c r="AH776">
        <v>30</v>
      </c>
      <c r="AI776">
        <v>63</v>
      </c>
      <c r="AJ776">
        <v>83</v>
      </c>
      <c r="AK776">
        <v>18</v>
      </c>
      <c r="AL776">
        <v>47</v>
      </c>
      <c r="AM776">
        <v>11</v>
      </c>
      <c r="AN776">
        <v>88</v>
      </c>
      <c r="AO776">
        <v>24</v>
      </c>
      <c r="AP776">
        <v>80</v>
      </c>
      <c r="AQ776">
        <v>28</v>
      </c>
      <c r="AR776">
        <v>93</v>
      </c>
      <c r="AS776">
        <v>48</v>
      </c>
      <c r="AT776">
        <v>100</v>
      </c>
      <c r="AU776">
        <v>49</v>
      </c>
      <c r="AV776">
        <v>40</v>
      </c>
      <c r="AW776">
        <v>18</v>
      </c>
      <c r="AX776">
        <v>67</v>
      </c>
      <c r="AY776">
        <v>45</v>
      </c>
      <c r="AZ776">
        <v>37</v>
      </c>
      <c r="BA776">
        <v>82</v>
      </c>
      <c r="BB776">
        <v>22</v>
      </c>
      <c r="BC776">
        <v>12</v>
      </c>
      <c r="BD776">
        <v>97</v>
      </c>
      <c r="BE776">
        <v>34</v>
      </c>
      <c r="BF776">
        <v>93</v>
      </c>
      <c r="BG776">
        <v>15</v>
      </c>
      <c r="BH776">
        <v>11</v>
      </c>
      <c r="BI776">
        <v>43</v>
      </c>
      <c r="BJ776">
        <v>82</v>
      </c>
      <c r="BK776">
        <v>16</v>
      </c>
      <c r="BL776">
        <v>48</v>
      </c>
      <c r="BM776">
        <v>23</v>
      </c>
      <c r="BN776">
        <v>24</v>
      </c>
      <c r="BO776">
        <v>72</v>
      </c>
      <c r="BP776">
        <v>78</v>
      </c>
      <c r="BQ776">
        <v>36</v>
      </c>
      <c r="BR776">
        <v>94</v>
      </c>
      <c r="BS776">
        <v>62</v>
      </c>
      <c r="BT776">
        <v>67</v>
      </c>
      <c r="BU776">
        <v>29</v>
      </c>
      <c r="BV776">
        <v>52</v>
      </c>
      <c r="BW776">
        <v>48</v>
      </c>
      <c r="BX776">
        <v>24</v>
      </c>
      <c r="BY776">
        <v>81</v>
      </c>
      <c r="BZ776">
        <v>73</v>
      </c>
      <c r="CA776">
        <v>68</v>
      </c>
      <c r="CB776">
        <v>65</v>
      </c>
      <c r="CC776">
        <v>78</v>
      </c>
      <c r="CD776">
        <v>28</v>
      </c>
      <c r="CE776">
        <v>62</v>
      </c>
      <c r="CF776">
        <v>29</v>
      </c>
      <c r="CG776">
        <v>84</v>
      </c>
      <c r="CH776">
        <v>43</v>
      </c>
      <c r="CI776">
        <v>30</v>
      </c>
      <c r="CJ776">
        <v>40</v>
      </c>
      <c r="CK776">
        <v>55</v>
      </c>
      <c r="CL776">
        <v>14</v>
      </c>
      <c r="CM776">
        <v>16</v>
      </c>
      <c r="CN776">
        <v>65</v>
      </c>
      <c r="CO776">
        <v>43</v>
      </c>
      <c r="CP776">
        <v>84</v>
      </c>
      <c r="CQ776">
        <v>12</v>
      </c>
      <c r="CR776">
        <v>13</v>
      </c>
      <c r="CS776">
        <v>44</v>
      </c>
      <c r="CT776">
        <v>11</v>
      </c>
      <c r="CU776">
        <v>40</v>
      </c>
      <c r="CV776">
        <v>11</v>
      </c>
      <c r="CW776">
        <v>89</v>
      </c>
      <c r="CX776">
        <v>70</v>
      </c>
      <c r="CY776">
        <v>68</v>
      </c>
      <c r="CZ776">
        <v>27</v>
      </c>
      <c r="DA776">
        <v>14</v>
      </c>
      <c r="DB776">
        <v>30</v>
      </c>
      <c r="DC776">
        <v>22</v>
      </c>
      <c r="DD776">
        <v>23</v>
      </c>
      <c r="DE776">
        <v>15</v>
      </c>
      <c r="DF776">
        <v>65</v>
      </c>
      <c r="DG776">
        <v>37</v>
      </c>
      <c r="DH776">
        <v>85</v>
      </c>
      <c r="DI776">
        <v>57</v>
      </c>
      <c r="DJ776">
        <v>97</v>
      </c>
      <c r="DK776">
        <v>15</v>
      </c>
    </row>
    <row r="777" spans="1:115">
      <c r="A777" s="173">
        <f>Calculations[[#This Row],[Sum t eCO2]]*IF(Calculations[[#This Row],[GHG Scope]]="BIOGENIC",0,1)</f>
        <v>0.31845652863379892</v>
      </c>
      <c r="O777">
        <f t="shared" si="12"/>
        <v>120</v>
      </c>
      <c r="P777">
        <v>22</v>
      </c>
      <c r="Q777">
        <v>14</v>
      </c>
      <c r="R777">
        <v>62</v>
      </c>
      <c r="S777">
        <v>51</v>
      </c>
      <c r="T777">
        <v>25</v>
      </c>
      <c r="U777">
        <v>73</v>
      </c>
      <c r="V777">
        <v>84</v>
      </c>
      <c r="W777">
        <v>41</v>
      </c>
      <c r="X777">
        <v>75</v>
      </c>
      <c r="Y777">
        <v>22</v>
      </c>
      <c r="Z777">
        <v>66</v>
      </c>
      <c r="AA777">
        <v>45</v>
      </c>
      <c r="AB777">
        <v>82</v>
      </c>
      <c r="AC777">
        <v>91</v>
      </c>
      <c r="AD777">
        <v>17</v>
      </c>
      <c r="AE777">
        <v>74</v>
      </c>
      <c r="AF777">
        <v>31</v>
      </c>
      <c r="AG777">
        <v>23</v>
      </c>
      <c r="AH777">
        <v>81</v>
      </c>
      <c r="AI777">
        <v>10</v>
      </c>
      <c r="AJ777">
        <v>29</v>
      </c>
      <c r="AK777">
        <v>98</v>
      </c>
      <c r="AL777">
        <v>18</v>
      </c>
      <c r="AM777">
        <v>50</v>
      </c>
      <c r="AN777">
        <v>81</v>
      </c>
      <c r="AO777">
        <v>74</v>
      </c>
      <c r="AP777">
        <v>18</v>
      </c>
      <c r="AQ777">
        <v>57</v>
      </c>
      <c r="AR777">
        <v>79</v>
      </c>
      <c r="AS777">
        <v>11</v>
      </c>
      <c r="AT777">
        <v>30</v>
      </c>
      <c r="AU777">
        <v>20</v>
      </c>
      <c r="AV777">
        <v>62</v>
      </c>
      <c r="AW777">
        <v>77</v>
      </c>
      <c r="AX777">
        <v>13</v>
      </c>
      <c r="AY777">
        <v>73</v>
      </c>
      <c r="AZ777">
        <v>61</v>
      </c>
      <c r="BA777">
        <v>81</v>
      </c>
      <c r="BB777">
        <v>32</v>
      </c>
      <c r="BC777">
        <v>94</v>
      </c>
      <c r="BD777">
        <v>77</v>
      </c>
      <c r="BE777">
        <v>26</v>
      </c>
      <c r="BF777">
        <v>73</v>
      </c>
      <c r="BG777">
        <v>92</v>
      </c>
      <c r="BH777">
        <v>29</v>
      </c>
      <c r="BI777">
        <v>18</v>
      </c>
      <c r="BJ777">
        <v>90</v>
      </c>
      <c r="BK777">
        <v>97</v>
      </c>
      <c r="BL777">
        <v>10</v>
      </c>
      <c r="BM777">
        <v>25</v>
      </c>
      <c r="BN777">
        <v>22</v>
      </c>
      <c r="BO777">
        <v>87</v>
      </c>
      <c r="BP777">
        <v>46</v>
      </c>
      <c r="BQ777">
        <v>39</v>
      </c>
      <c r="BR777">
        <v>11</v>
      </c>
      <c r="BS777">
        <v>19</v>
      </c>
      <c r="BT777">
        <v>34</v>
      </c>
      <c r="BU777">
        <v>100</v>
      </c>
      <c r="BV777">
        <v>75</v>
      </c>
      <c r="BW777">
        <v>75</v>
      </c>
      <c r="BX777">
        <v>52</v>
      </c>
      <c r="BY777">
        <v>93</v>
      </c>
      <c r="BZ777">
        <v>100</v>
      </c>
      <c r="CA777">
        <v>84</v>
      </c>
      <c r="CB777">
        <v>14</v>
      </c>
      <c r="CC777">
        <v>73</v>
      </c>
      <c r="CD777">
        <v>14</v>
      </c>
      <c r="CE777">
        <v>87</v>
      </c>
      <c r="CF777">
        <v>17</v>
      </c>
      <c r="CG777">
        <v>31</v>
      </c>
      <c r="CH777">
        <v>76</v>
      </c>
      <c r="CI777">
        <v>45</v>
      </c>
      <c r="CJ777">
        <v>78</v>
      </c>
      <c r="CK777">
        <v>84</v>
      </c>
      <c r="CL777">
        <v>36</v>
      </c>
      <c r="CM777">
        <v>74</v>
      </c>
      <c r="CN777">
        <v>23</v>
      </c>
      <c r="CO777">
        <v>34</v>
      </c>
      <c r="CP777">
        <v>22</v>
      </c>
      <c r="CQ777">
        <v>70</v>
      </c>
      <c r="CR777">
        <v>25</v>
      </c>
      <c r="CS777">
        <v>63</v>
      </c>
      <c r="CT777">
        <v>96</v>
      </c>
      <c r="CU777">
        <v>69</v>
      </c>
      <c r="CV777">
        <v>45</v>
      </c>
      <c r="CW777">
        <v>78</v>
      </c>
      <c r="CX777">
        <v>64</v>
      </c>
      <c r="CY777">
        <v>51</v>
      </c>
      <c r="CZ777">
        <v>29</v>
      </c>
      <c r="DA777">
        <v>40</v>
      </c>
      <c r="DB777">
        <v>50</v>
      </c>
      <c r="DC777">
        <v>76</v>
      </c>
      <c r="DD777">
        <v>75</v>
      </c>
      <c r="DE777">
        <v>24</v>
      </c>
      <c r="DF777">
        <v>86</v>
      </c>
      <c r="DG777">
        <v>39</v>
      </c>
      <c r="DH777">
        <v>53</v>
      </c>
      <c r="DI777">
        <v>96</v>
      </c>
      <c r="DJ777">
        <v>15</v>
      </c>
      <c r="DK777">
        <v>62</v>
      </c>
    </row>
    <row r="778" spans="1:115">
      <c r="A778" s="173">
        <f>Calculations[[#This Row],[Sum t eCO2]]*IF(Calculations[[#This Row],[GHG Scope]]="BIOGENIC",0,1)</f>
        <v>0.87621631647605303</v>
      </c>
      <c r="O778">
        <f t="shared" si="12"/>
        <v>121</v>
      </c>
      <c r="P778">
        <v>56</v>
      </c>
      <c r="Q778">
        <v>100</v>
      </c>
      <c r="R778">
        <v>71</v>
      </c>
      <c r="S778">
        <v>11</v>
      </c>
      <c r="T778">
        <v>79</v>
      </c>
      <c r="U778">
        <v>96</v>
      </c>
      <c r="V778">
        <v>12</v>
      </c>
      <c r="W778">
        <v>77</v>
      </c>
      <c r="X778">
        <v>63</v>
      </c>
      <c r="Y778">
        <v>86</v>
      </c>
      <c r="Z778">
        <v>67</v>
      </c>
      <c r="AA778">
        <v>37</v>
      </c>
      <c r="AB778">
        <v>67</v>
      </c>
      <c r="AC778">
        <v>55</v>
      </c>
      <c r="AD778">
        <v>40</v>
      </c>
      <c r="AE778">
        <v>47</v>
      </c>
      <c r="AF778">
        <v>98</v>
      </c>
      <c r="AG778">
        <v>92</v>
      </c>
      <c r="AH778">
        <v>36</v>
      </c>
      <c r="AI778">
        <v>35</v>
      </c>
      <c r="AJ778">
        <v>62</v>
      </c>
      <c r="AK778">
        <v>22</v>
      </c>
      <c r="AL778">
        <v>28</v>
      </c>
      <c r="AM778">
        <v>92</v>
      </c>
      <c r="AN778">
        <v>49</v>
      </c>
      <c r="AO778">
        <v>13</v>
      </c>
      <c r="AP778">
        <v>84</v>
      </c>
      <c r="AQ778">
        <v>11</v>
      </c>
      <c r="AR778">
        <v>24</v>
      </c>
      <c r="AS778">
        <v>33</v>
      </c>
      <c r="AT778">
        <v>22</v>
      </c>
      <c r="AU778">
        <v>70</v>
      </c>
      <c r="AV778">
        <v>39</v>
      </c>
      <c r="AW778">
        <v>20</v>
      </c>
      <c r="AX778">
        <v>56</v>
      </c>
      <c r="AY778">
        <v>63</v>
      </c>
      <c r="AZ778">
        <v>33</v>
      </c>
      <c r="BA778">
        <v>50</v>
      </c>
      <c r="BB778">
        <v>36</v>
      </c>
      <c r="BC778">
        <v>44</v>
      </c>
      <c r="BD778">
        <v>54</v>
      </c>
      <c r="BE778">
        <v>40</v>
      </c>
      <c r="BF778">
        <v>96</v>
      </c>
      <c r="BG778">
        <v>45</v>
      </c>
      <c r="BH778">
        <v>33</v>
      </c>
      <c r="BI778">
        <v>15</v>
      </c>
      <c r="BJ778">
        <v>94</v>
      </c>
      <c r="BK778">
        <v>71</v>
      </c>
      <c r="BL778">
        <v>41</v>
      </c>
      <c r="BM778">
        <v>55</v>
      </c>
      <c r="BN778">
        <v>83</v>
      </c>
      <c r="BO778">
        <v>42</v>
      </c>
      <c r="BP778">
        <v>55</v>
      </c>
      <c r="BQ778">
        <v>38</v>
      </c>
      <c r="BR778">
        <v>97</v>
      </c>
      <c r="BS778">
        <v>68</v>
      </c>
      <c r="BT778">
        <v>88</v>
      </c>
      <c r="BU778">
        <v>81</v>
      </c>
      <c r="BV778">
        <v>72</v>
      </c>
      <c r="BW778">
        <v>23</v>
      </c>
      <c r="BX778">
        <v>78</v>
      </c>
      <c r="BY778">
        <v>70</v>
      </c>
      <c r="BZ778">
        <v>73</v>
      </c>
      <c r="CA778">
        <v>51</v>
      </c>
      <c r="CB778">
        <v>20</v>
      </c>
      <c r="CC778">
        <v>23</v>
      </c>
      <c r="CD778">
        <v>89</v>
      </c>
      <c r="CE778">
        <v>74</v>
      </c>
      <c r="CF778">
        <v>39</v>
      </c>
      <c r="CG778">
        <v>83</v>
      </c>
      <c r="CH778">
        <v>85</v>
      </c>
      <c r="CI778">
        <v>14</v>
      </c>
      <c r="CJ778">
        <v>36</v>
      </c>
      <c r="CK778">
        <v>39</v>
      </c>
      <c r="CL778">
        <v>92</v>
      </c>
      <c r="CM778">
        <v>47</v>
      </c>
      <c r="CN778">
        <v>73</v>
      </c>
      <c r="CO778">
        <v>96</v>
      </c>
      <c r="CP778">
        <v>61</v>
      </c>
      <c r="CQ778">
        <v>72</v>
      </c>
      <c r="CR778">
        <v>53</v>
      </c>
      <c r="CS778">
        <v>50</v>
      </c>
      <c r="CT778">
        <v>90</v>
      </c>
      <c r="CU778">
        <v>97</v>
      </c>
      <c r="CV778">
        <v>19</v>
      </c>
      <c r="CW778">
        <v>19</v>
      </c>
      <c r="CX778">
        <v>85</v>
      </c>
      <c r="CY778">
        <v>68</v>
      </c>
      <c r="CZ778">
        <v>14</v>
      </c>
      <c r="DA778">
        <v>51</v>
      </c>
      <c r="DB778">
        <v>81</v>
      </c>
      <c r="DC778">
        <v>13</v>
      </c>
      <c r="DD778">
        <v>41</v>
      </c>
      <c r="DE778">
        <v>54</v>
      </c>
      <c r="DF778">
        <v>76</v>
      </c>
      <c r="DG778">
        <v>90</v>
      </c>
      <c r="DH778">
        <v>100</v>
      </c>
      <c r="DI778">
        <v>26</v>
      </c>
      <c r="DJ778">
        <v>48</v>
      </c>
      <c r="DK778">
        <v>98</v>
      </c>
    </row>
    <row r="779" spans="1:115">
      <c r="A779" s="173">
        <f>Calculations[[#This Row],[Sum t eCO2]]*IF(Calculations[[#This Row],[GHG Scope]]="BIOGENIC",0,1)</f>
        <v>777.18196321795904</v>
      </c>
      <c r="O779">
        <f t="shared" si="12"/>
        <v>122</v>
      </c>
      <c r="P779">
        <v>32</v>
      </c>
      <c r="Q779">
        <v>29</v>
      </c>
      <c r="R779">
        <v>85</v>
      </c>
      <c r="S779">
        <v>17</v>
      </c>
      <c r="T779">
        <v>92</v>
      </c>
      <c r="U779">
        <v>71</v>
      </c>
      <c r="V779">
        <v>63</v>
      </c>
      <c r="W779">
        <v>28</v>
      </c>
      <c r="X779">
        <v>78</v>
      </c>
      <c r="Y779">
        <v>47</v>
      </c>
      <c r="Z779">
        <v>44</v>
      </c>
      <c r="AA779">
        <v>61</v>
      </c>
      <c r="AB779">
        <v>88</v>
      </c>
      <c r="AC779">
        <v>14</v>
      </c>
      <c r="AD779">
        <v>89</v>
      </c>
      <c r="AE779">
        <v>12</v>
      </c>
      <c r="AF779">
        <v>55</v>
      </c>
      <c r="AG779">
        <v>20</v>
      </c>
      <c r="AH779">
        <v>68</v>
      </c>
      <c r="AI779">
        <v>13</v>
      </c>
      <c r="AJ779">
        <v>89</v>
      </c>
      <c r="AK779">
        <v>27</v>
      </c>
      <c r="AL779">
        <v>13</v>
      </c>
      <c r="AM779">
        <v>86</v>
      </c>
      <c r="AN779">
        <v>97</v>
      </c>
      <c r="AO779">
        <v>54</v>
      </c>
      <c r="AP779">
        <v>18</v>
      </c>
      <c r="AQ779">
        <v>16</v>
      </c>
      <c r="AR779">
        <v>98</v>
      </c>
      <c r="AS779">
        <v>95</v>
      </c>
      <c r="AT779">
        <v>91</v>
      </c>
      <c r="AU779">
        <v>84</v>
      </c>
      <c r="AV779">
        <v>60</v>
      </c>
      <c r="AW779">
        <v>35</v>
      </c>
      <c r="AX779">
        <v>56</v>
      </c>
      <c r="AY779">
        <v>15</v>
      </c>
      <c r="AZ779">
        <v>64</v>
      </c>
      <c r="BA779">
        <v>66</v>
      </c>
      <c r="BB779">
        <v>85</v>
      </c>
      <c r="BC779">
        <v>82</v>
      </c>
      <c r="BD779">
        <v>75</v>
      </c>
      <c r="BE779">
        <v>19</v>
      </c>
      <c r="BF779">
        <v>46</v>
      </c>
      <c r="BG779">
        <v>12</v>
      </c>
      <c r="BH779">
        <v>69</v>
      </c>
      <c r="BI779">
        <v>54</v>
      </c>
      <c r="BJ779">
        <v>36</v>
      </c>
      <c r="BK779">
        <v>71</v>
      </c>
      <c r="BL779">
        <v>23</v>
      </c>
      <c r="BM779">
        <v>100</v>
      </c>
      <c r="BN779">
        <v>45</v>
      </c>
      <c r="BO779">
        <v>66</v>
      </c>
      <c r="BP779">
        <v>69</v>
      </c>
      <c r="BQ779">
        <v>70</v>
      </c>
      <c r="BR779">
        <v>34</v>
      </c>
      <c r="BS779">
        <v>48</v>
      </c>
      <c r="BT779">
        <v>97</v>
      </c>
      <c r="BU779">
        <v>97</v>
      </c>
      <c r="BV779">
        <v>77</v>
      </c>
      <c r="BW779">
        <v>32</v>
      </c>
      <c r="BX779">
        <v>44</v>
      </c>
      <c r="BY779">
        <v>13</v>
      </c>
      <c r="BZ779">
        <v>60</v>
      </c>
      <c r="CA779">
        <v>55</v>
      </c>
      <c r="CB779">
        <v>98</v>
      </c>
      <c r="CC779">
        <v>58</v>
      </c>
      <c r="CD779">
        <v>53</v>
      </c>
      <c r="CE779">
        <v>77</v>
      </c>
      <c r="CF779">
        <v>52</v>
      </c>
      <c r="CG779">
        <v>17</v>
      </c>
      <c r="CH779">
        <v>95</v>
      </c>
      <c r="CI779">
        <v>55</v>
      </c>
      <c r="CJ779">
        <v>32</v>
      </c>
      <c r="CK779">
        <v>33</v>
      </c>
      <c r="CL779">
        <v>34</v>
      </c>
      <c r="CM779">
        <v>22</v>
      </c>
      <c r="CN779">
        <v>67</v>
      </c>
      <c r="CO779">
        <v>62</v>
      </c>
      <c r="CP779">
        <v>40</v>
      </c>
      <c r="CQ779">
        <v>25</v>
      </c>
      <c r="CR779">
        <v>99</v>
      </c>
      <c r="CS779">
        <v>75</v>
      </c>
      <c r="CT779">
        <v>55</v>
      </c>
      <c r="CU779">
        <v>74</v>
      </c>
      <c r="CV779">
        <v>69</v>
      </c>
      <c r="CW779">
        <v>58</v>
      </c>
      <c r="CX779">
        <v>86</v>
      </c>
      <c r="CY779">
        <v>68</v>
      </c>
      <c r="CZ779">
        <v>17</v>
      </c>
      <c r="DA779">
        <v>21</v>
      </c>
      <c r="DB779">
        <v>26</v>
      </c>
      <c r="DC779">
        <v>96</v>
      </c>
      <c r="DD779">
        <v>11</v>
      </c>
      <c r="DE779">
        <v>19</v>
      </c>
      <c r="DF779">
        <v>40</v>
      </c>
      <c r="DG779">
        <v>61</v>
      </c>
      <c r="DH779">
        <v>40</v>
      </c>
      <c r="DI779">
        <v>13</v>
      </c>
      <c r="DJ779">
        <v>63</v>
      </c>
      <c r="DK779">
        <v>91</v>
      </c>
    </row>
    <row r="780" spans="1:115">
      <c r="A780" s="173">
        <f>Calculations[[#This Row],[Sum t eCO2]]*IF(Calculations[[#This Row],[GHG Scope]]="BIOGENIC",0,1)</f>
        <v>1.6983527685405828</v>
      </c>
      <c r="O780">
        <f t="shared" si="12"/>
        <v>123</v>
      </c>
      <c r="P780">
        <v>45</v>
      </c>
      <c r="Q780">
        <v>13</v>
      </c>
      <c r="R780">
        <v>38</v>
      </c>
      <c r="S780">
        <v>41</v>
      </c>
      <c r="T780">
        <v>94</v>
      </c>
      <c r="U780">
        <v>28</v>
      </c>
      <c r="V780">
        <v>38</v>
      </c>
      <c r="W780">
        <v>93</v>
      </c>
      <c r="X780">
        <v>86</v>
      </c>
      <c r="Y780">
        <v>39</v>
      </c>
      <c r="Z780">
        <v>21</v>
      </c>
      <c r="AA780">
        <v>89</v>
      </c>
      <c r="AB780">
        <v>95</v>
      </c>
      <c r="AC780">
        <v>88</v>
      </c>
      <c r="AD780">
        <v>81</v>
      </c>
      <c r="AE780">
        <v>61</v>
      </c>
      <c r="AF780">
        <v>64</v>
      </c>
      <c r="AG780">
        <v>86</v>
      </c>
      <c r="AH780">
        <v>36</v>
      </c>
      <c r="AI780">
        <v>35</v>
      </c>
      <c r="AJ780">
        <v>95</v>
      </c>
      <c r="AK780">
        <v>39</v>
      </c>
      <c r="AL780">
        <v>27</v>
      </c>
      <c r="AM780">
        <v>14</v>
      </c>
      <c r="AN780">
        <v>53</v>
      </c>
      <c r="AO780">
        <v>42</v>
      </c>
      <c r="AP780">
        <v>87</v>
      </c>
      <c r="AQ780">
        <v>21</v>
      </c>
      <c r="AR780">
        <v>24</v>
      </c>
      <c r="AS780">
        <v>66</v>
      </c>
      <c r="AT780">
        <v>71</v>
      </c>
      <c r="AU780">
        <v>32</v>
      </c>
      <c r="AV780">
        <v>63</v>
      </c>
      <c r="AW780">
        <v>53</v>
      </c>
      <c r="AX780">
        <v>60</v>
      </c>
      <c r="AY780">
        <v>47</v>
      </c>
      <c r="AZ780">
        <v>45</v>
      </c>
      <c r="BA780">
        <v>87</v>
      </c>
      <c r="BB780">
        <v>92</v>
      </c>
      <c r="BC780">
        <v>74</v>
      </c>
      <c r="BD780">
        <v>22</v>
      </c>
      <c r="BE780">
        <v>70</v>
      </c>
      <c r="BF780">
        <v>22</v>
      </c>
      <c r="BG780">
        <v>63</v>
      </c>
      <c r="BH780">
        <v>91</v>
      </c>
      <c r="BI780">
        <v>16</v>
      </c>
      <c r="BJ780">
        <v>88</v>
      </c>
      <c r="BK780">
        <v>33</v>
      </c>
      <c r="BL780">
        <v>54</v>
      </c>
      <c r="BM780">
        <v>96</v>
      </c>
      <c r="BN780">
        <v>19</v>
      </c>
      <c r="BO780">
        <v>28</v>
      </c>
      <c r="BP780">
        <v>56</v>
      </c>
      <c r="BQ780">
        <v>69</v>
      </c>
      <c r="BR780">
        <v>66</v>
      </c>
      <c r="BS780">
        <v>61</v>
      </c>
      <c r="BT780">
        <v>17</v>
      </c>
      <c r="BU780">
        <v>83</v>
      </c>
      <c r="BV780">
        <v>32</v>
      </c>
      <c r="BW780">
        <v>98</v>
      </c>
      <c r="BX780">
        <v>49</v>
      </c>
      <c r="BY780">
        <v>57</v>
      </c>
      <c r="BZ780">
        <v>50</v>
      </c>
      <c r="CA780">
        <v>34</v>
      </c>
      <c r="CB780">
        <v>99</v>
      </c>
      <c r="CC780">
        <v>80</v>
      </c>
      <c r="CD780">
        <v>12</v>
      </c>
      <c r="CE780">
        <v>88</v>
      </c>
      <c r="CF780">
        <v>63</v>
      </c>
      <c r="CG780">
        <v>28</v>
      </c>
      <c r="CH780">
        <v>73</v>
      </c>
      <c r="CI780">
        <v>45</v>
      </c>
      <c r="CJ780">
        <v>73</v>
      </c>
      <c r="CK780">
        <v>64</v>
      </c>
      <c r="CL780">
        <v>49</v>
      </c>
      <c r="CM780">
        <v>84</v>
      </c>
      <c r="CN780">
        <v>66</v>
      </c>
      <c r="CO780">
        <v>40</v>
      </c>
      <c r="CP780">
        <v>63</v>
      </c>
      <c r="CQ780">
        <v>37</v>
      </c>
      <c r="CR780">
        <v>10</v>
      </c>
      <c r="CS780">
        <v>42</v>
      </c>
      <c r="CT780">
        <v>38</v>
      </c>
      <c r="CU780">
        <v>25</v>
      </c>
      <c r="CV780">
        <v>93</v>
      </c>
      <c r="CW780">
        <v>98</v>
      </c>
      <c r="CX780">
        <v>87</v>
      </c>
      <c r="CY780">
        <v>73</v>
      </c>
      <c r="CZ780">
        <v>69</v>
      </c>
      <c r="DA780">
        <v>37</v>
      </c>
      <c r="DB780">
        <v>70</v>
      </c>
      <c r="DC780">
        <v>91</v>
      </c>
      <c r="DD780">
        <v>81</v>
      </c>
      <c r="DE780">
        <v>89</v>
      </c>
      <c r="DF780">
        <v>40</v>
      </c>
      <c r="DG780">
        <v>24</v>
      </c>
      <c r="DH780">
        <v>82</v>
      </c>
      <c r="DI780">
        <v>46</v>
      </c>
      <c r="DJ780">
        <v>50</v>
      </c>
      <c r="DK780">
        <v>90</v>
      </c>
    </row>
    <row r="781" spans="1:115">
      <c r="A781" s="173">
        <f>Calculations[[#This Row],[Sum t eCO2]]*IF(Calculations[[#This Row],[GHG Scope]]="BIOGENIC",0,1)</f>
        <v>4.6729279293211397</v>
      </c>
      <c r="O781">
        <f t="shared" si="12"/>
        <v>124</v>
      </c>
      <c r="P781">
        <v>74</v>
      </c>
      <c r="Q781">
        <v>90</v>
      </c>
      <c r="R781">
        <v>16</v>
      </c>
      <c r="S781">
        <v>71</v>
      </c>
      <c r="T781">
        <v>47</v>
      </c>
      <c r="U781">
        <v>74</v>
      </c>
      <c r="V781">
        <v>68</v>
      </c>
      <c r="W781">
        <v>91</v>
      </c>
      <c r="X781">
        <v>46</v>
      </c>
      <c r="Y781">
        <v>78</v>
      </c>
      <c r="Z781">
        <v>47</v>
      </c>
      <c r="AA781">
        <v>88</v>
      </c>
      <c r="AB781">
        <v>99</v>
      </c>
      <c r="AC781">
        <v>88</v>
      </c>
      <c r="AD781">
        <v>90</v>
      </c>
      <c r="AE781">
        <v>61</v>
      </c>
      <c r="AF781">
        <v>35</v>
      </c>
      <c r="AG781">
        <v>36</v>
      </c>
      <c r="AH781">
        <v>35</v>
      </c>
      <c r="AI781">
        <v>36</v>
      </c>
      <c r="AJ781">
        <v>78</v>
      </c>
      <c r="AK781">
        <v>27</v>
      </c>
      <c r="AL781">
        <v>17</v>
      </c>
      <c r="AM781">
        <v>66</v>
      </c>
      <c r="AN781">
        <v>84</v>
      </c>
      <c r="AO781">
        <v>15</v>
      </c>
      <c r="AP781">
        <v>49</v>
      </c>
      <c r="AQ781">
        <v>63</v>
      </c>
      <c r="AR781">
        <v>77</v>
      </c>
      <c r="AS781">
        <v>49</v>
      </c>
      <c r="AT781">
        <v>76</v>
      </c>
      <c r="AU781">
        <v>45</v>
      </c>
      <c r="AV781">
        <v>64</v>
      </c>
      <c r="AW781">
        <v>76</v>
      </c>
      <c r="AX781">
        <v>97</v>
      </c>
      <c r="AY781">
        <v>20</v>
      </c>
      <c r="AZ781">
        <v>99</v>
      </c>
      <c r="BA781">
        <v>34</v>
      </c>
      <c r="BB781">
        <v>32</v>
      </c>
      <c r="BC781">
        <v>78</v>
      </c>
      <c r="BD781">
        <v>90</v>
      </c>
      <c r="BE781">
        <v>86</v>
      </c>
      <c r="BF781">
        <v>38</v>
      </c>
      <c r="BG781">
        <v>86</v>
      </c>
      <c r="BH781">
        <v>35</v>
      </c>
      <c r="BI781">
        <v>46</v>
      </c>
      <c r="BJ781">
        <v>12</v>
      </c>
      <c r="BK781">
        <v>67</v>
      </c>
      <c r="BL781">
        <v>76</v>
      </c>
      <c r="BM781">
        <v>76</v>
      </c>
      <c r="BN781">
        <v>46</v>
      </c>
      <c r="BO781">
        <v>72</v>
      </c>
      <c r="BP781">
        <v>46</v>
      </c>
      <c r="BQ781">
        <v>21</v>
      </c>
      <c r="BR781">
        <v>82</v>
      </c>
      <c r="BS781">
        <v>29</v>
      </c>
      <c r="BT781">
        <v>23</v>
      </c>
      <c r="BU781">
        <v>95</v>
      </c>
      <c r="BV781">
        <v>82</v>
      </c>
      <c r="BW781">
        <v>48</v>
      </c>
      <c r="BX781">
        <v>74</v>
      </c>
      <c r="BY781">
        <v>64</v>
      </c>
      <c r="BZ781">
        <v>51</v>
      </c>
      <c r="CA781">
        <v>57</v>
      </c>
      <c r="CB781">
        <v>51</v>
      </c>
      <c r="CC781">
        <v>90</v>
      </c>
      <c r="CD781">
        <v>81</v>
      </c>
      <c r="CE781">
        <v>50</v>
      </c>
      <c r="CF781">
        <v>100</v>
      </c>
      <c r="CG781">
        <v>32</v>
      </c>
      <c r="CH781">
        <v>26</v>
      </c>
      <c r="CI781">
        <v>52</v>
      </c>
      <c r="CJ781">
        <v>22</v>
      </c>
      <c r="CK781">
        <v>39</v>
      </c>
      <c r="CL781">
        <v>81</v>
      </c>
      <c r="CM781">
        <v>80</v>
      </c>
      <c r="CN781">
        <v>62</v>
      </c>
      <c r="CO781">
        <v>65</v>
      </c>
      <c r="CP781">
        <v>52</v>
      </c>
      <c r="CQ781">
        <v>59</v>
      </c>
      <c r="CR781">
        <v>78</v>
      </c>
      <c r="CS781">
        <v>17</v>
      </c>
      <c r="CT781">
        <v>96</v>
      </c>
      <c r="CU781">
        <v>87</v>
      </c>
      <c r="CV781">
        <v>87</v>
      </c>
      <c r="CW781">
        <v>39</v>
      </c>
      <c r="CX781">
        <v>18</v>
      </c>
      <c r="CY781">
        <v>28</v>
      </c>
      <c r="CZ781">
        <v>33</v>
      </c>
      <c r="DA781">
        <v>59</v>
      </c>
      <c r="DB781">
        <v>95</v>
      </c>
      <c r="DC781">
        <v>72</v>
      </c>
      <c r="DD781">
        <v>66</v>
      </c>
      <c r="DE781">
        <v>88</v>
      </c>
      <c r="DF781">
        <v>78</v>
      </c>
      <c r="DG781">
        <v>35</v>
      </c>
      <c r="DH781">
        <v>14</v>
      </c>
      <c r="DI781">
        <v>78</v>
      </c>
      <c r="DJ781">
        <v>80</v>
      </c>
      <c r="DK781">
        <v>18</v>
      </c>
    </row>
    <row r="782" spans="1:115">
      <c r="A782" s="173">
        <f>Calculations[[#This Row],[Sum t eCO2]]*IF(Calculations[[#This Row],[GHG Scope]]="BIOGENIC",0,1)</f>
        <v>40.678334246700004</v>
      </c>
      <c r="O782">
        <f t="shared" si="12"/>
        <v>125</v>
      </c>
      <c r="P782">
        <v>36</v>
      </c>
      <c r="Q782">
        <v>26</v>
      </c>
      <c r="R782">
        <v>28</v>
      </c>
      <c r="S782">
        <v>42</v>
      </c>
      <c r="T782">
        <v>86</v>
      </c>
      <c r="U782">
        <v>78</v>
      </c>
      <c r="V782">
        <v>80</v>
      </c>
      <c r="W782">
        <v>61</v>
      </c>
      <c r="X782">
        <v>57</v>
      </c>
      <c r="Y782">
        <v>92</v>
      </c>
      <c r="Z782">
        <v>23</v>
      </c>
      <c r="AA782">
        <v>55</v>
      </c>
      <c r="AB782">
        <v>99</v>
      </c>
      <c r="AC782">
        <v>71</v>
      </c>
      <c r="AD782">
        <v>75</v>
      </c>
      <c r="AE782">
        <v>17</v>
      </c>
      <c r="AF782">
        <v>71</v>
      </c>
      <c r="AG782">
        <v>68</v>
      </c>
      <c r="AH782">
        <v>10</v>
      </c>
      <c r="AI782">
        <v>57</v>
      </c>
      <c r="AJ782">
        <v>56</v>
      </c>
      <c r="AK782">
        <v>68</v>
      </c>
      <c r="AL782">
        <v>75</v>
      </c>
      <c r="AM782">
        <v>70</v>
      </c>
      <c r="AN782">
        <v>89</v>
      </c>
      <c r="AO782">
        <v>17</v>
      </c>
      <c r="AP782">
        <v>84</v>
      </c>
      <c r="AQ782">
        <v>48</v>
      </c>
      <c r="AR782">
        <v>45</v>
      </c>
      <c r="AS782">
        <v>70</v>
      </c>
      <c r="AT782">
        <v>59</v>
      </c>
      <c r="AU782">
        <v>93</v>
      </c>
      <c r="AV782">
        <v>95</v>
      </c>
      <c r="AW782">
        <v>51</v>
      </c>
      <c r="AX782">
        <v>51</v>
      </c>
      <c r="AY782">
        <v>97</v>
      </c>
      <c r="AZ782">
        <v>60</v>
      </c>
      <c r="BA782">
        <v>98</v>
      </c>
      <c r="BB782">
        <v>49</v>
      </c>
      <c r="BC782">
        <v>80</v>
      </c>
      <c r="BD782">
        <v>20</v>
      </c>
      <c r="BE782">
        <v>50</v>
      </c>
      <c r="BF782">
        <v>59</v>
      </c>
      <c r="BG782">
        <v>30</v>
      </c>
      <c r="BH782">
        <v>46</v>
      </c>
      <c r="BI782">
        <v>81</v>
      </c>
      <c r="BJ782">
        <v>73</v>
      </c>
      <c r="BK782">
        <v>47</v>
      </c>
      <c r="BL782">
        <v>61</v>
      </c>
      <c r="BM782">
        <v>88</v>
      </c>
      <c r="BN782">
        <v>85</v>
      </c>
      <c r="BO782">
        <v>38</v>
      </c>
      <c r="BP782">
        <v>36</v>
      </c>
      <c r="BQ782">
        <v>97</v>
      </c>
      <c r="BR782">
        <v>91</v>
      </c>
      <c r="BS782">
        <v>65</v>
      </c>
      <c r="BT782">
        <v>45</v>
      </c>
      <c r="BU782">
        <v>39</v>
      </c>
      <c r="BV782">
        <v>47</v>
      </c>
      <c r="BW782">
        <v>44</v>
      </c>
      <c r="BX782">
        <v>50</v>
      </c>
      <c r="BY782">
        <v>88</v>
      </c>
      <c r="BZ782">
        <v>90</v>
      </c>
      <c r="CA782">
        <v>96</v>
      </c>
      <c r="CB782">
        <v>85</v>
      </c>
      <c r="CC782">
        <v>99</v>
      </c>
      <c r="CD782">
        <v>83</v>
      </c>
      <c r="CE782">
        <v>63</v>
      </c>
      <c r="CF782">
        <v>13</v>
      </c>
      <c r="CG782">
        <v>55</v>
      </c>
      <c r="CH782">
        <v>91</v>
      </c>
      <c r="CI782">
        <v>68</v>
      </c>
      <c r="CJ782">
        <v>26</v>
      </c>
      <c r="CK782">
        <v>37</v>
      </c>
      <c r="CL782">
        <v>29</v>
      </c>
      <c r="CM782">
        <v>20</v>
      </c>
      <c r="CN782">
        <v>54</v>
      </c>
      <c r="CO782">
        <v>98</v>
      </c>
      <c r="CP782">
        <v>78</v>
      </c>
      <c r="CQ782">
        <v>69</v>
      </c>
      <c r="CR782">
        <v>41</v>
      </c>
      <c r="CS782">
        <v>47</v>
      </c>
      <c r="CT782">
        <v>23</v>
      </c>
      <c r="CU782">
        <v>14</v>
      </c>
      <c r="CV782">
        <v>81</v>
      </c>
      <c r="CW782">
        <v>19</v>
      </c>
      <c r="CX782">
        <v>76</v>
      </c>
      <c r="CY782">
        <v>17</v>
      </c>
      <c r="CZ782">
        <v>51</v>
      </c>
      <c r="DA782">
        <v>45</v>
      </c>
      <c r="DB782">
        <v>16</v>
      </c>
      <c r="DC782">
        <v>64</v>
      </c>
      <c r="DD782">
        <v>45</v>
      </c>
      <c r="DE782">
        <v>32</v>
      </c>
      <c r="DF782">
        <v>45</v>
      </c>
      <c r="DG782">
        <v>18</v>
      </c>
      <c r="DH782">
        <v>38</v>
      </c>
      <c r="DI782">
        <v>76</v>
      </c>
      <c r="DJ782">
        <v>17</v>
      </c>
      <c r="DK782">
        <v>48</v>
      </c>
    </row>
    <row r="783" spans="1:115">
      <c r="A783" s="173">
        <f>Calculations[[#This Row],[Sum t eCO2]]*IF(Calculations[[#This Row],[GHG Scope]]="BIOGENIC",0,1)</f>
        <v>7.5836542564239676E-3</v>
      </c>
      <c r="O783">
        <f t="shared" si="12"/>
        <v>126</v>
      </c>
      <c r="P783">
        <v>85</v>
      </c>
      <c r="Q783">
        <v>72</v>
      </c>
      <c r="R783">
        <v>64</v>
      </c>
      <c r="S783">
        <v>46</v>
      </c>
      <c r="T783">
        <v>74</v>
      </c>
      <c r="U783">
        <v>92</v>
      </c>
      <c r="V783">
        <v>26</v>
      </c>
      <c r="W783">
        <v>12</v>
      </c>
      <c r="X783">
        <v>38</v>
      </c>
      <c r="Y783">
        <v>90</v>
      </c>
      <c r="Z783">
        <v>35</v>
      </c>
      <c r="AA783">
        <v>70</v>
      </c>
      <c r="AB783">
        <v>100</v>
      </c>
      <c r="AC783">
        <v>77</v>
      </c>
      <c r="AD783">
        <v>32</v>
      </c>
      <c r="AE783">
        <v>81</v>
      </c>
      <c r="AF783">
        <v>53</v>
      </c>
      <c r="AG783">
        <v>96</v>
      </c>
      <c r="AH783">
        <v>84</v>
      </c>
      <c r="AI783">
        <v>43</v>
      </c>
      <c r="AJ783">
        <v>49</v>
      </c>
      <c r="AK783">
        <v>96</v>
      </c>
      <c r="AL783">
        <v>23</v>
      </c>
      <c r="AM783">
        <v>62</v>
      </c>
      <c r="AN783">
        <v>72</v>
      </c>
      <c r="AO783">
        <v>56</v>
      </c>
      <c r="AP783">
        <v>60</v>
      </c>
      <c r="AQ783">
        <v>43</v>
      </c>
      <c r="AR783">
        <v>66</v>
      </c>
      <c r="AS783">
        <v>35</v>
      </c>
      <c r="AT783">
        <v>90</v>
      </c>
      <c r="AU783">
        <v>75</v>
      </c>
      <c r="AV783">
        <v>43</v>
      </c>
      <c r="AW783">
        <v>23</v>
      </c>
      <c r="AX783">
        <v>46</v>
      </c>
      <c r="AY783">
        <v>51</v>
      </c>
      <c r="AZ783">
        <v>98</v>
      </c>
      <c r="BA783">
        <v>86</v>
      </c>
      <c r="BB783">
        <v>76</v>
      </c>
      <c r="BC783">
        <v>17</v>
      </c>
      <c r="BD783">
        <v>31</v>
      </c>
      <c r="BE783">
        <v>83</v>
      </c>
      <c r="BF783">
        <v>60</v>
      </c>
      <c r="BG783">
        <v>68</v>
      </c>
      <c r="BH783">
        <v>31</v>
      </c>
      <c r="BI783">
        <v>50</v>
      </c>
      <c r="BJ783">
        <v>21</v>
      </c>
      <c r="BK783">
        <v>36</v>
      </c>
      <c r="BL783">
        <v>100</v>
      </c>
      <c r="BM783">
        <v>63</v>
      </c>
      <c r="BN783">
        <v>28</v>
      </c>
      <c r="BO783">
        <v>54</v>
      </c>
      <c r="BP783">
        <v>70</v>
      </c>
      <c r="BQ783">
        <v>98</v>
      </c>
      <c r="BR783">
        <v>13</v>
      </c>
      <c r="BS783">
        <v>11</v>
      </c>
      <c r="BT783">
        <v>59</v>
      </c>
      <c r="BU783">
        <v>58</v>
      </c>
      <c r="BV783">
        <v>49</v>
      </c>
      <c r="BW783">
        <v>11</v>
      </c>
      <c r="BX783">
        <v>54</v>
      </c>
      <c r="BY783">
        <v>85</v>
      </c>
      <c r="BZ783">
        <v>48</v>
      </c>
      <c r="CA783">
        <v>10</v>
      </c>
      <c r="CB783">
        <v>93</v>
      </c>
      <c r="CC783">
        <v>34</v>
      </c>
      <c r="CD783">
        <v>98</v>
      </c>
      <c r="CE783">
        <v>56</v>
      </c>
      <c r="CF783">
        <v>40</v>
      </c>
      <c r="CG783">
        <v>16</v>
      </c>
      <c r="CH783">
        <v>52</v>
      </c>
      <c r="CI783">
        <v>17</v>
      </c>
      <c r="CJ783">
        <v>56</v>
      </c>
      <c r="CK783">
        <v>27</v>
      </c>
      <c r="CL783">
        <v>59</v>
      </c>
      <c r="CM783">
        <v>73</v>
      </c>
      <c r="CN783">
        <v>96</v>
      </c>
      <c r="CO783">
        <v>12</v>
      </c>
      <c r="CP783">
        <v>71</v>
      </c>
      <c r="CQ783">
        <v>70</v>
      </c>
      <c r="CR783">
        <v>25</v>
      </c>
      <c r="CS783">
        <v>42</v>
      </c>
      <c r="CT783">
        <v>60</v>
      </c>
      <c r="CU783">
        <v>32</v>
      </c>
      <c r="CV783">
        <v>71</v>
      </c>
      <c r="CW783">
        <v>75</v>
      </c>
      <c r="CX783">
        <v>71</v>
      </c>
      <c r="CY783">
        <v>24</v>
      </c>
      <c r="CZ783">
        <v>40</v>
      </c>
      <c r="DA783">
        <v>62</v>
      </c>
      <c r="DB783">
        <v>90</v>
      </c>
      <c r="DC783">
        <v>69</v>
      </c>
      <c r="DD783">
        <v>86</v>
      </c>
      <c r="DE783">
        <v>100</v>
      </c>
      <c r="DF783">
        <v>31</v>
      </c>
      <c r="DG783">
        <v>63</v>
      </c>
      <c r="DH783">
        <v>64</v>
      </c>
      <c r="DI783">
        <v>78</v>
      </c>
      <c r="DJ783">
        <v>59</v>
      </c>
      <c r="DK783">
        <v>24</v>
      </c>
    </row>
    <row r="784" spans="1:115">
      <c r="A784" s="173">
        <f>Calculations[[#This Row],[Sum t eCO2]]*IF(Calculations[[#This Row],[GHG Scope]]="BIOGENIC",0,1)</f>
        <v>0.30858005064950572</v>
      </c>
      <c r="O784">
        <f t="shared" si="12"/>
        <v>127</v>
      </c>
      <c r="P784">
        <v>57</v>
      </c>
      <c r="Q784">
        <v>74</v>
      </c>
      <c r="R784">
        <v>13</v>
      </c>
      <c r="S784">
        <v>48</v>
      </c>
      <c r="T784">
        <v>15</v>
      </c>
      <c r="U784">
        <v>72</v>
      </c>
      <c r="V784">
        <v>28</v>
      </c>
      <c r="W784">
        <v>75</v>
      </c>
      <c r="X784">
        <v>84</v>
      </c>
      <c r="Y784">
        <v>54</v>
      </c>
      <c r="Z784">
        <v>45</v>
      </c>
      <c r="AA784">
        <v>74</v>
      </c>
      <c r="AB784">
        <v>81</v>
      </c>
      <c r="AC784">
        <v>89</v>
      </c>
      <c r="AD784">
        <v>84</v>
      </c>
      <c r="AE784">
        <v>58</v>
      </c>
      <c r="AF784">
        <v>87</v>
      </c>
      <c r="AG784">
        <v>20</v>
      </c>
      <c r="AH784">
        <v>44</v>
      </c>
      <c r="AI784">
        <v>87</v>
      </c>
      <c r="AJ784">
        <v>70</v>
      </c>
      <c r="AK784">
        <v>46</v>
      </c>
      <c r="AL784">
        <v>70</v>
      </c>
      <c r="AM784">
        <v>40</v>
      </c>
      <c r="AN784">
        <v>10</v>
      </c>
      <c r="AO784">
        <v>42</v>
      </c>
      <c r="AP784">
        <v>28</v>
      </c>
      <c r="AQ784">
        <v>49</v>
      </c>
      <c r="AR784">
        <v>57</v>
      </c>
      <c r="AS784">
        <v>35</v>
      </c>
      <c r="AT784">
        <v>26</v>
      </c>
      <c r="AU784">
        <v>97</v>
      </c>
      <c r="AV784">
        <v>93</v>
      </c>
      <c r="AW784">
        <v>75</v>
      </c>
      <c r="AX784">
        <v>70</v>
      </c>
      <c r="AY784">
        <v>87</v>
      </c>
      <c r="AZ784">
        <v>23</v>
      </c>
      <c r="BA784">
        <v>91</v>
      </c>
      <c r="BB784">
        <v>50</v>
      </c>
      <c r="BC784">
        <v>16</v>
      </c>
      <c r="BD784">
        <v>51</v>
      </c>
      <c r="BE784">
        <v>78</v>
      </c>
      <c r="BF784">
        <v>16</v>
      </c>
      <c r="BG784">
        <v>78</v>
      </c>
      <c r="BH784">
        <v>74</v>
      </c>
      <c r="BI784">
        <v>33</v>
      </c>
      <c r="BJ784">
        <v>39</v>
      </c>
      <c r="BK784">
        <v>10</v>
      </c>
      <c r="BL784">
        <v>62</v>
      </c>
      <c r="BM784">
        <v>29</v>
      </c>
      <c r="BN784">
        <v>69</v>
      </c>
      <c r="BO784">
        <v>34</v>
      </c>
      <c r="BP784">
        <v>74</v>
      </c>
      <c r="BQ784">
        <v>99</v>
      </c>
      <c r="BR784">
        <v>26</v>
      </c>
      <c r="BS784">
        <v>72</v>
      </c>
      <c r="BT784">
        <v>96</v>
      </c>
      <c r="BU784">
        <v>30</v>
      </c>
      <c r="BV784">
        <v>88</v>
      </c>
      <c r="BW784">
        <v>40</v>
      </c>
      <c r="BX784">
        <v>73</v>
      </c>
      <c r="BY784">
        <v>68</v>
      </c>
      <c r="BZ784">
        <v>82</v>
      </c>
      <c r="CA784">
        <v>49</v>
      </c>
      <c r="CB784">
        <v>11</v>
      </c>
      <c r="CC784">
        <v>41</v>
      </c>
      <c r="CD784">
        <v>74</v>
      </c>
      <c r="CE784">
        <v>41</v>
      </c>
      <c r="CF784">
        <v>45</v>
      </c>
      <c r="CG784">
        <v>65</v>
      </c>
      <c r="CH784">
        <v>22</v>
      </c>
      <c r="CI784">
        <v>89</v>
      </c>
      <c r="CJ784">
        <v>79</v>
      </c>
      <c r="CK784">
        <v>40</v>
      </c>
      <c r="CL784">
        <v>64</v>
      </c>
      <c r="CM784">
        <v>12</v>
      </c>
      <c r="CN784">
        <v>82</v>
      </c>
      <c r="CO784">
        <v>11</v>
      </c>
      <c r="CP784">
        <v>59</v>
      </c>
      <c r="CQ784">
        <v>16</v>
      </c>
      <c r="CR784">
        <v>92</v>
      </c>
      <c r="CS784">
        <v>54</v>
      </c>
      <c r="CT784">
        <v>55</v>
      </c>
      <c r="CU784">
        <v>31</v>
      </c>
      <c r="CV784">
        <v>68</v>
      </c>
      <c r="CW784">
        <v>34</v>
      </c>
      <c r="CX784">
        <v>41</v>
      </c>
      <c r="CY784">
        <v>62</v>
      </c>
      <c r="CZ784">
        <v>95</v>
      </c>
      <c r="DA784">
        <v>41</v>
      </c>
      <c r="DB784">
        <v>60</v>
      </c>
      <c r="DC784">
        <v>52</v>
      </c>
      <c r="DD784">
        <v>84</v>
      </c>
      <c r="DE784">
        <v>38</v>
      </c>
      <c r="DF784">
        <v>32</v>
      </c>
      <c r="DG784">
        <v>54</v>
      </c>
      <c r="DH784">
        <v>64</v>
      </c>
      <c r="DI784">
        <v>86</v>
      </c>
      <c r="DJ784">
        <v>31</v>
      </c>
      <c r="DK784">
        <v>25</v>
      </c>
    </row>
    <row r="785" spans="1:115">
      <c r="A785" s="173">
        <f>Calculations[[#This Row],[Sum t eCO2]]*IF(Calculations[[#This Row],[GHG Scope]]="BIOGENIC",0,1)</f>
        <v>11.040788758700701</v>
      </c>
      <c r="O785">
        <f t="shared" si="12"/>
        <v>128</v>
      </c>
      <c r="P785">
        <v>93</v>
      </c>
      <c r="Q785">
        <v>50</v>
      </c>
      <c r="R785">
        <v>75</v>
      </c>
      <c r="S785">
        <v>79</v>
      </c>
      <c r="T785">
        <v>96</v>
      </c>
      <c r="U785">
        <v>94</v>
      </c>
      <c r="V785">
        <v>85</v>
      </c>
      <c r="W785">
        <v>21</v>
      </c>
      <c r="X785">
        <v>80</v>
      </c>
      <c r="Y785">
        <v>25</v>
      </c>
      <c r="Z785">
        <v>49</v>
      </c>
      <c r="AA785">
        <v>17</v>
      </c>
      <c r="AB785">
        <v>86</v>
      </c>
      <c r="AC785">
        <v>68</v>
      </c>
      <c r="AD785">
        <v>39</v>
      </c>
      <c r="AE785">
        <v>59</v>
      </c>
      <c r="AF785">
        <v>18</v>
      </c>
      <c r="AG785">
        <v>86</v>
      </c>
      <c r="AH785">
        <v>54</v>
      </c>
      <c r="AI785">
        <v>16</v>
      </c>
      <c r="AJ785">
        <v>60</v>
      </c>
      <c r="AK785">
        <v>55</v>
      </c>
      <c r="AL785">
        <v>31</v>
      </c>
      <c r="AM785">
        <v>77</v>
      </c>
      <c r="AN785">
        <v>31</v>
      </c>
      <c r="AO785">
        <v>30</v>
      </c>
      <c r="AP785">
        <v>11</v>
      </c>
      <c r="AQ785">
        <v>11</v>
      </c>
      <c r="AR785">
        <v>14</v>
      </c>
      <c r="AS785">
        <v>12</v>
      </c>
      <c r="AT785">
        <v>13</v>
      </c>
      <c r="AU785">
        <v>33</v>
      </c>
      <c r="AV785">
        <v>88</v>
      </c>
      <c r="AW785">
        <v>85</v>
      </c>
      <c r="AX785">
        <v>68</v>
      </c>
      <c r="AY785">
        <v>13</v>
      </c>
      <c r="AZ785">
        <v>12</v>
      </c>
      <c r="BA785">
        <v>89</v>
      </c>
      <c r="BB785">
        <v>81</v>
      </c>
      <c r="BC785">
        <v>88</v>
      </c>
      <c r="BD785">
        <v>39</v>
      </c>
      <c r="BE785">
        <v>37</v>
      </c>
      <c r="BF785">
        <v>56</v>
      </c>
      <c r="BG785">
        <v>100</v>
      </c>
      <c r="BH785">
        <v>75</v>
      </c>
      <c r="BI785">
        <v>86</v>
      </c>
      <c r="BJ785">
        <v>35</v>
      </c>
      <c r="BK785">
        <v>72</v>
      </c>
      <c r="BL785">
        <v>59</v>
      </c>
      <c r="BM785">
        <v>83</v>
      </c>
      <c r="BN785">
        <v>96</v>
      </c>
      <c r="BO785">
        <v>52</v>
      </c>
      <c r="BP785">
        <v>48</v>
      </c>
      <c r="BQ785">
        <v>46</v>
      </c>
      <c r="BR785">
        <v>89</v>
      </c>
      <c r="BS785">
        <v>53</v>
      </c>
      <c r="BT785">
        <v>13</v>
      </c>
      <c r="BU785">
        <v>37</v>
      </c>
      <c r="BV785">
        <v>75</v>
      </c>
      <c r="BW785">
        <v>68</v>
      </c>
      <c r="BX785">
        <v>39</v>
      </c>
      <c r="BY785">
        <v>10</v>
      </c>
      <c r="BZ785">
        <v>20</v>
      </c>
      <c r="CA785">
        <v>28</v>
      </c>
      <c r="CB785">
        <v>74</v>
      </c>
      <c r="CC785">
        <v>35</v>
      </c>
      <c r="CD785">
        <v>90</v>
      </c>
      <c r="CE785">
        <v>17</v>
      </c>
      <c r="CF785">
        <v>17</v>
      </c>
      <c r="CG785">
        <v>84</v>
      </c>
      <c r="CH785">
        <v>26</v>
      </c>
      <c r="CI785">
        <v>24</v>
      </c>
      <c r="CJ785">
        <v>74</v>
      </c>
      <c r="CK785">
        <v>62</v>
      </c>
      <c r="CL785">
        <v>85</v>
      </c>
      <c r="CM785">
        <v>22</v>
      </c>
      <c r="CN785">
        <v>95</v>
      </c>
      <c r="CO785">
        <v>92</v>
      </c>
      <c r="CP785">
        <v>91</v>
      </c>
      <c r="CQ785">
        <v>60</v>
      </c>
      <c r="CR785">
        <v>72</v>
      </c>
      <c r="CS785">
        <v>35</v>
      </c>
      <c r="CT785">
        <v>79</v>
      </c>
      <c r="CU785">
        <v>54</v>
      </c>
      <c r="CV785">
        <v>14</v>
      </c>
      <c r="CW785">
        <v>76</v>
      </c>
      <c r="CX785">
        <v>99</v>
      </c>
      <c r="CY785">
        <v>14</v>
      </c>
      <c r="CZ785">
        <v>85</v>
      </c>
      <c r="DA785">
        <v>30</v>
      </c>
      <c r="DB785">
        <v>57</v>
      </c>
      <c r="DC785">
        <v>29</v>
      </c>
      <c r="DD785">
        <v>56</v>
      </c>
      <c r="DE785">
        <v>69</v>
      </c>
      <c r="DF785">
        <v>70</v>
      </c>
      <c r="DG785">
        <v>72</v>
      </c>
      <c r="DH785">
        <v>55</v>
      </c>
      <c r="DI785">
        <v>72</v>
      </c>
      <c r="DJ785">
        <v>92</v>
      </c>
      <c r="DK785">
        <v>60</v>
      </c>
    </row>
    <row r="786" spans="1:115">
      <c r="A786" s="173">
        <f>Calculations[[#This Row],[Sum t eCO2]]*IF(Calculations[[#This Row],[GHG Scope]]="BIOGENIC",0,1)</f>
        <v>2.058332186279013E-3</v>
      </c>
      <c r="O786">
        <f t="shared" si="12"/>
        <v>129</v>
      </c>
      <c r="P786">
        <v>96</v>
      </c>
      <c r="Q786">
        <v>53</v>
      </c>
      <c r="R786">
        <v>50</v>
      </c>
      <c r="S786">
        <v>68</v>
      </c>
      <c r="T786">
        <v>54</v>
      </c>
      <c r="U786">
        <v>75</v>
      </c>
      <c r="V786">
        <v>96</v>
      </c>
      <c r="W786">
        <v>26</v>
      </c>
      <c r="X786">
        <v>59</v>
      </c>
      <c r="Y786">
        <v>72</v>
      </c>
      <c r="Z786">
        <v>42</v>
      </c>
      <c r="AA786">
        <v>57</v>
      </c>
      <c r="AB786">
        <v>53</v>
      </c>
      <c r="AC786">
        <v>98</v>
      </c>
      <c r="AD786">
        <v>91</v>
      </c>
      <c r="AE786">
        <v>52</v>
      </c>
      <c r="AF786">
        <v>97</v>
      </c>
      <c r="AG786">
        <v>40</v>
      </c>
      <c r="AH786">
        <v>16</v>
      </c>
      <c r="AI786">
        <v>20</v>
      </c>
      <c r="AJ786">
        <v>85</v>
      </c>
      <c r="AK786">
        <v>40</v>
      </c>
      <c r="AL786">
        <v>86</v>
      </c>
      <c r="AM786">
        <v>32</v>
      </c>
      <c r="AN786">
        <v>80</v>
      </c>
      <c r="AO786">
        <v>24</v>
      </c>
      <c r="AP786">
        <v>64</v>
      </c>
      <c r="AQ786">
        <v>33</v>
      </c>
      <c r="AR786">
        <v>54</v>
      </c>
      <c r="AS786">
        <v>14</v>
      </c>
      <c r="AT786">
        <v>76</v>
      </c>
      <c r="AU786">
        <v>72</v>
      </c>
      <c r="AV786">
        <v>72</v>
      </c>
      <c r="AW786">
        <v>100</v>
      </c>
      <c r="AX786">
        <v>88</v>
      </c>
      <c r="AY786">
        <v>26</v>
      </c>
      <c r="AZ786">
        <v>34</v>
      </c>
      <c r="BA786">
        <v>25</v>
      </c>
      <c r="BB786">
        <v>90</v>
      </c>
      <c r="BC786">
        <v>28</v>
      </c>
      <c r="BD786">
        <v>100</v>
      </c>
      <c r="BE786">
        <v>79</v>
      </c>
      <c r="BF786">
        <v>58</v>
      </c>
      <c r="BG786">
        <v>85</v>
      </c>
      <c r="BH786">
        <v>67</v>
      </c>
      <c r="BI786">
        <v>74</v>
      </c>
      <c r="BJ786">
        <v>94</v>
      </c>
      <c r="BK786">
        <v>38</v>
      </c>
      <c r="BL786">
        <v>55</v>
      </c>
      <c r="BM786">
        <v>64</v>
      </c>
      <c r="BN786">
        <v>56</v>
      </c>
      <c r="BO786">
        <v>64</v>
      </c>
      <c r="BP786">
        <v>40</v>
      </c>
      <c r="BQ786">
        <v>94</v>
      </c>
      <c r="BR786">
        <v>96</v>
      </c>
      <c r="BS786">
        <v>26</v>
      </c>
      <c r="BT786">
        <v>35</v>
      </c>
      <c r="BU786">
        <v>68</v>
      </c>
      <c r="BV786">
        <v>12</v>
      </c>
      <c r="BW786">
        <v>84</v>
      </c>
      <c r="BX786">
        <v>97</v>
      </c>
      <c r="BY786">
        <v>63</v>
      </c>
      <c r="BZ786">
        <v>45</v>
      </c>
      <c r="CA786">
        <v>45</v>
      </c>
      <c r="CB786">
        <v>30</v>
      </c>
      <c r="CC786">
        <v>50</v>
      </c>
      <c r="CD786">
        <v>88</v>
      </c>
      <c r="CE786">
        <v>84</v>
      </c>
      <c r="CF786">
        <v>61</v>
      </c>
      <c r="CG786">
        <v>48</v>
      </c>
      <c r="CH786">
        <v>78</v>
      </c>
      <c r="CI786">
        <v>58</v>
      </c>
      <c r="CJ786">
        <v>38</v>
      </c>
      <c r="CK786">
        <v>21</v>
      </c>
      <c r="CL786">
        <v>17</v>
      </c>
      <c r="CM786">
        <v>89</v>
      </c>
      <c r="CN786">
        <v>99</v>
      </c>
      <c r="CO786">
        <v>83</v>
      </c>
      <c r="CP786">
        <v>42</v>
      </c>
      <c r="CQ786">
        <v>45</v>
      </c>
      <c r="CR786">
        <v>90</v>
      </c>
      <c r="CS786">
        <v>78</v>
      </c>
      <c r="CT786">
        <v>24</v>
      </c>
      <c r="CU786">
        <v>60</v>
      </c>
      <c r="CV786">
        <v>10</v>
      </c>
      <c r="CW786">
        <v>38</v>
      </c>
      <c r="CX786">
        <v>54</v>
      </c>
      <c r="CY786">
        <v>27</v>
      </c>
      <c r="CZ786">
        <v>78</v>
      </c>
      <c r="DA786">
        <v>29</v>
      </c>
      <c r="DB786">
        <v>40</v>
      </c>
      <c r="DC786">
        <v>84</v>
      </c>
      <c r="DD786">
        <v>36</v>
      </c>
      <c r="DE786">
        <v>55</v>
      </c>
      <c r="DF786">
        <v>36</v>
      </c>
      <c r="DG786">
        <v>98</v>
      </c>
      <c r="DH786">
        <v>72</v>
      </c>
      <c r="DI786">
        <v>15</v>
      </c>
      <c r="DJ786">
        <v>10</v>
      </c>
      <c r="DK786">
        <v>99</v>
      </c>
    </row>
    <row r="787" spans="1:115">
      <c r="A787" s="173">
        <f>Calculations[[#This Row],[Sum t eCO2]]*IF(Calculations[[#This Row],[GHG Scope]]="BIOGENIC",0,1)</f>
        <v>8.3753851219872485E-2</v>
      </c>
      <c r="O787">
        <f t="shared" si="12"/>
        <v>130</v>
      </c>
      <c r="P787">
        <v>74</v>
      </c>
      <c r="Q787">
        <v>24</v>
      </c>
      <c r="R787">
        <v>89</v>
      </c>
      <c r="S787">
        <v>10</v>
      </c>
      <c r="T787">
        <v>39</v>
      </c>
      <c r="U787">
        <v>41</v>
      </c>
      <c r="V787">
        <v>79</v>
      </c>
      <c r="W787">
        <v>53</v>
      </c>
      <c r="X787">
        <v>16</v>
      </c>
      <c r="Y787">
        <v>33</v>
      </c>
      <c r="Z787">
        <v>94</v>
      </c>
      <c r="AA787">
        <v>31</v>
      </c>
      <c r="AB787">
        <v>41</v>
      </c>
      <c r="AC787">
        <v>65</v>
      </c>
      <c r="AD787">
        <v>10</v>
      </c>
      <c r="AE787">
        <v>90</v>
      </c>
      <c r="AF787">
        <v>91</v>
      </c>
      <c r="AG787">
        <v>68</v>
      </c>
      <c r="AH787">
        <v>19</v>
      </c>
      <c r="AI787">
        <v>83</v>
      </c>
      <c r="AJ787">
        <v>29</v>
      </c>
      <c r="AK787">
        <v>23</v>
      </c>
      <c r="AL787">
        <v>88</v>
      </c>
      <c r="AM787">
        <v>84</v>
      </c>
      <c r="AN787">
        <v>24</v>
      </c>
      <c r="AO787">
        <v>11</v>
      </c>
      <c r="AP787">
        <v>16</v>
      </c>
      <c r="AQ787">
        <v>12</v>
      </c>
      <c r="AR787">
        <v>53</v>
      </c>
      <c r="AS787">
        <v>27</v>
      </c>
      <c r="AT787">
        <v>24</v>
      </c>
      <c r="AU787">
        <v>57</v>
      </c>
      <c r="AV787">
        <v>94</v>
      </c>
      <c r="AW787">
        <v>72</v>
      </c>
      <c r="AX787">
        <v>25</v>
      </c>
      <c r="AY787">
        <v>60</v>
      </c>
      <c r="AZ787">
        <v>78</v>
      </c>
      <c r="BA787">
        <v>51</v>
      </c>
      <c r="BB787">
        <v>70</v>
      </c>
      <c r="BC787">
        <v>90</v>
      </c>
      <c r="BD787">
        <v>95</v>
      </c>
      <c r="BE787">
        <v>82</v>
      </c>
      <c r="BF787">
        <v>86</v>
      </c>
      <c r="BG787">
        <v>56</v>
      </c>
      <c r="BH787">
        <v>45</v>
      </c>
      <c r="BI787">
        <v>23</v>
      </c>
      <c r="BJ787">
        <v>35</v>
      </c>
      <c r="BK787">
        <v>16</v>
      </c>
      <c r="BL787">
        <v>12</v>
      </c>
      <c r="BM787">
        <v>51</v>
      </c>
      <c r="BN787">
        <v>74</v>
      </c>
      <c r="BO787">
        <v>15</v>
      </c>
      <c r="BP787">
        <v>33</v>
      </c>
      <c r="BQ787">
        <v>38</v>
      </c>
      <c r="BR787">
        <v>49</v>
      </c>
      <c r="BS787">
        <v>54</v>
      </c>
      <c r="BT787">
        <v>78</v>
      </c>
      <c r="BU787">
        <v>54</v>
      </c>
      <c r="BV787">
        <v>58</v>
      </c>
      <c r="BW787">
        <v>88</v>
      </c>
      <c r="BX787">
        <v>32</v>
      </c>
      <c r="BY787">
        <v>86</v>
      </c>
      <c r="BZ787">
        <v>31</v>
      </c>
      <c r="CA787">
        <v>80</v>
      </c>
      <c r="CB787">
        <v>63</v>
      </c>
      <c r="CC787">
        <v>77</v>
      </c>
      <c r="CD787">
        <v>81</v>
      </c>
      <c r="CE787">
        <v>99</v>
      </c>
      <c r="CF787">
        <v>36</v>
      </c>
      <c r="CG787">
        <v>13</v>
      </c>
      <c r="CH787">
        <v>19</v>
      </c>
      <c r="CI787">
        <v>50</v>
      </c>
      <c r="CJ787">
        <v>44</v>
      </c>
      <c r="CK787">
        <v>72</v>
      </c>
      <c r="CL787">
        <v>21</v>
      </c>
      <c r="CM787">
        <v>99</v>
      </c>
      <c r="CN787">
        <v>58</v>
      </c>
      <c r="CO787">
        <v>57</v>
      </c>
      <c r="CP787">
        <v>25</v>
      </c>
      <c r="CQ787">
        <v>52</v>
      </c>
      <c r="CR787">
        <v>79</v>
      </c>
      <c r="CS787">
        <v>31</v>
      </c>
      <c r="CT787">
        <v>57</v>
      </c>
      <c r="CU787">
        <v>77</v>
      </c>
      <c r="CV787">
        <v>76</v>
      </c>
      <c r="CW787">
        <v>48</v>
      </c>
      <c r="CX787">
        <v>16</v>
      </c>
      <c r="CY787">
        <v>67</v>
      </c>
      <c r="CZ787">
        <v>44</v>
      </c>
      <c r="DA787">
        <v>74</v>
      </c>
      <c r="DB787">
        <v>42</v>
      </c>
      <c r="DC787">
        <v>76</v>
      </c>
      <c r="DD787">
        <v>67</v>
      </c>
      <c r="DE787">
        <v>73</v>
      </c>
      <c r="DF787">
        <v>27</v>
      </c>
      <c r="DG787">
        <v>18</v>
      </c>
      <c r="DH787">
        <v>100</v>
      </c>
      <c r="DI787">
        <v>75</v>
      </c>
      <c r="DJ787">
        <v>92</v>
      </c>
      <c r="DK787">
        <v>97</v>
      </c>
    </row>
    <row r="788" spans="1:115">
      <c r="A788" s="173">
        <f>Calculations[[#This Row],[Sum t eCO2]]*IF(Calculations[[#This Row],[GHG Scope]]="BIOGENIC",0,1)</f>
        <v>18.855998798029965</v>
      </c>
      <c r="O788">
        <f t="shared" ref="O788:O816" si="13">O787+1</f>
        <v>131</v>
      </c>
      <c r="P788">
        <v>86</v>
      </c>
      <c r="Q788">
        <v>30</v>
      </c>
      <c r="R788">
        <v>86</v>
      </c>
      <c r="S788">
        <v>80</v>
      </c>
      <c r="T788">
        <v>43</v>
      </c>
      <c r="U788">
        <v>12</v>
      </c>
      <c r="V788">
        <v>75</v>
      </c>
      <c r="W788">
        <v>49</v>
      </c>
      <c r="X788">
        <v>99</v>
      </c>
      <c r="Y788">
        <v>13</v>
      </c>
      <c r="Z788">
        <v>38</v>
      </c>
      <c r="AA788">
        <v>68</v>
      </c>
      <c r="AB788">
        <v>74</v>
      </c>
      <c r="AC788">
        <v>55</v>
      </c>
      <c r="AD788">
        <v>70</v>
      </c>
      <c r="AE788">
        <v>41</v>
      </c>
      <c r="AF788">
        <v>96</v>
      </c>
      <c r="AG788">
        <v>95</v>
      </c>
      <c r="AH788">
        <v>72</v>
      </c>
      <c r="AI788">
        <v>47</v>
      </c>
      <c r="AJ788">
        <v>99</v>
      </c>
      <c r="AK788">
        <v>93</v>
      </c>
      <c r="AL788">
        <v>50</v>
      </c>
      <c r="AM788">
        <v>93</v>
      </c>
      <c r="AN788">
        <v>93</v>
      </c>
      <c r="AO788">
        <v>17</v>
      </c>
      <c r="AP788">
        <v>50</v>
      </c>
      <c r="AQ788">
        <v>57</v>
      </c>
      <c r="AR788">
        <v>17</v>
      </c>
      <c r="AS788">
        <v>45</v>
      </c>
      <c r="AT788">
        <v>26</v>
      </c>
      <c r="AU788">
        <v>28</v>
      </c>
      <c r="AV788">
        <v>95</v>
      </c>
      <c r="AW788">
        <v>31</v>
      </c>
      <c r="AX788">
        <v>57</v>
      </c>
      <c r="AY788">
        <v>56</v>
      </c>
      <c r="AZ788">
        <v>68</v>
      </c>
      <c r="BA788">
        <v>16</v>
      </c>
      <c r="BB788">
        <v>77</v>
      </c>
      <c r="BC788">
        <v>32</v>
      </c>
      <c r="BD788">
        <v>94</v>
      </c>
      <c r="BE788">
        <v>69</v>
      </c>
      <c r="BF788">
        <v>27</v>
      </c>
      <c r="BG788">
        <v>68</v>
      </c>
      <c r="BH788">
        <v>89</v>
      </c>
      <c r="BI788">
        <v>23</v>
      </c>
      <c r="BJ788">
        <v>39</v>
      </c>
      <c r="BK788">
        <v>21</v>
      </c>
      <c r="BL788">
        <v>30</v>
      </c>
      <c r="BM788">
        <v>91</v>
      </c>
      <c r="BN788">
        <v>14</v>
      </c>
      <c r="BO788">
        <v>62</v>
      </c>
      <c r="BP788">
        <v>70</v>
      </c>
      <c r="BQ788">
        <v>92</v>
      </c>
      <c r="BR788">
        <v>10</v>
      </c>
      <c r="BS788">
        <v>35</v>
      </c>
      <c r="BT788">
        <v>23</v>
      </c>
      <c r="BU788">
        <v>71</v>
      </c>
      <c r="BV788">
        <v>94</v>
      </c>
      <c r="BW788">
        <v>37</v>
      </c>
      <c r="BX788">
        <v>35</v>
      </c>
      <c r="BY788">
        <v>79</v>
      </c>
      <c r="BZ788">
        <v>40</v>
      </c>
      <c r="CA788">
        <v>58</v>
      </c>
      <c r="CB788">
        <v>14</v>
      </c>
      <c r="CC788">
        <v>24</v>
      </c>
      <c r="CD788">
        <v>35</v>
      </c>
      <c r="CE788">
        <v>19</v>
      </c>
      <c r="CF788">
        <v>73</v>
      </c>
      <c r="CG788">
        <v>87</v>
      </c>
      <c r="CH788">
        <v>65</v>
      </c>
      <c r="CI788">
        <v>66</v>
      </c>
      <c r="CJ788">
        <v>86</v>
      </c>
      <c r="CK788">
        <v>84</v>
      </c>
      <c r="CL788">
        <v>58</v>
      </c>
      <c r="CM788">
        <v>71</v>
      </c>
      <c r="CN788">
        <v>66</v>
      </c>
      <c r="CO788">
        <v>29</v>
      </c>
      <c r="CP788">
        <v>39</v>
      </c>
      <c r="CQ788">
        <v>18</v>
      </c>
      <c r="CR788">
        <v>26</v>
      </c>
      <c r="CS788">
        <v>50</v>
      </c>
      <c r="CT788">
        <v>45</v>
      </c>
      <c r="CU788">
        <v>31</v>
      </c>
      <c r="CV788">
        <v>37</v>
      </c>
      <c r="CW788">
        <v>23</v>
      </c>
      <c r="CX788">
        <v>86</v>
      </c>
      <c r="CY788">
        <v>72</v>
      </c>
      <c r="CZ788">
        <v>69</v>
      </c>
      <c r="DA788">
        <v>30</v>
      </c>
      <c r="DB788">
        <v>39</v>
      </c>
      <c r="DC788">
        <v>51</v>
      </c>
      <c r="DD788">
        <v>94</v>
      </c>
      <c r="DE788">
        <v>71</v>
      </c>
      <c r="DF788">
        <v>72</v>
      </c>
      <c r="DG788">
        <v>85</v>
      </c>
      <c r="DH788">
        <v>71</v>
      </c>
      <c r="DI788">
        <v>56</v>
      </c>
      <c r="DJ788">
        <v>12</v>
      </c>
      <c r="DK788">
        <v>51</v>
      </c>
    </row>
    <row r="789" spans="1:115">
      <c r="A789" s="173">
        <f>Calculations[[#This Row],[Sum t eCO2]]*IF(Calculations[[#This Row],[GHG Scope]]="BIOGENIC",0,1)</f>
        <v>0.12080349536357309</v>
      </c>
      <c r="O789">
        <f t="shared" si="13"/>
        <v>132</v>
      </c>
      <c r="P789">
        <v>99</v>
      </c>
      <c r="Q789">
        <v>40</v>
      </c>
      <c r="R789">
        <v>40</v>
      </c>
      <c r="S789">
        <v>62</v>
      </c>
      <c r="T789">
        <v>100</v>
      </c>
      <c r="U789">
        <v>41</v>
      </c>
      <c r="V789">
        <v>69</v>
      </c>
      <c r="W789">
        <v>38</v>
      </c>
      <c r="X789">
        <v>66</v>
      </c>
      <c r="Y789">
        <v>89</v>
      </c>
      <c r="Z789">
        <v>39</v>
      </c>
      <c r="AA789">
        <v>21</v>
      </c>
      <c r="AB789">
        <v>34</v>
      </c>
      <c r="AC789">
        <v>27</v>
      </c>
      <c r="AD789">
        <v>78</v>
      </c>
      <c r="AE789">
        <v>85</v>
      </c>
      <c r="AF789">
        <v>19</v>
      </c>
      <c r="AG789">
        <v>81</v>
      </c>
      <c r="AH789">
        <v>49</v>
      </c>
      <c r="AI789">
        <v>17</v>
      </c>
      <c r="AJ789">
        <v>92</v>
      </c>
      <c r="AK789">
        <v>64</v>
      </c>
      <c r="AL789">
        <v>22</v>
      </c>
      <c r="AM789">
        <v>66</v>
      </c>
      <c r="AN789">
        <v>53</v>
      </c>
      <c r="AO789">
        <v>64</v>
      </c>
      <c r="AP789">
        <v>18</v>
      </c>
      <c r="AQ789">
        <v>51</v>
      </c>
      <c r="AR789">
        <v>63</v>
      </c>
      <c r="AS789">
        <v>51</v>
      </c>
      <c r="AT789">
        <v>18</v>
      </c>
      <c r="AU789">
        <v>30</v>
      </c>
      <c r="AV789">
        <v>74</v>
      </c>
      <c r="AW789">
        <v>11</v>
      </c>
      <c r="AX789">
        <v>12</v>
      </c>
      <c r="AY789">
        <v>89</v>
      </c>
      <c r="AZ789">
        <v>53</v>
      </c>
      <c r="BA789">
        <v>61</v>
      </c>
      <c r="BB789">
        <v>73</v>
      </c>
      <c r="BC789">
        <v>28</v>
      </c>
      <c r="BD789">
        <v>95</v>
      </c>
      <c r="BE789">
        <v>80</v>
      </c>
      <c r="BF789">
        <v>65</v>
      </c>
      <c r="BG789">
        <v>24</v>
      </c>
      <c r="BH789">
        <v>94</v>
      </c>
      <c r="BI789">
        <v>48</v>
      </c>
      <c r="BJ789">
        <v>48</v>
      </c>
      <c r="BK789">
        <v>32</v>
      </c>
      <c r="BL789">
        <v>53</v>
      </c>
      <c r="BM789">
        <v>30</v>
      </c>
      <c r="BN789">
        <v>71</v>
      </c>
      <c r="BO789">
        <v>41</v>
      </c>
      <c r="BP789">
        <v>63</v>
      </c>
      <c r="BQ789">
        <v>37</v>
      </c>
      <c r="BR789">
        <v>70</v>
      </c>
      <c r="BS789">
        <v>85</v>
      </c>
      <c r="BT789">
        <v>22</v>
      </c>
      <c r="BU789">
        <v>54</v>
      </c>
      <c r="BV789">
        <v>97</v>
      </c>
      <c r="BW789">
        <v>71</v>
      </c>
      <c r="BX789">
        <v>73</v>
      </c>
      <c r="BY789">
        <v>67</v>
      </c>
      <c r="BZ789">
        <v>59</v>
      </c>
      <c r="CA789">
        <v>37</v>
      </c>
      <c r="CB789">
        <v>58</v>
      </c>
      <c r="CC789">
        <v>100</v>
      </c>
      <c r="CD789">
        <v>55</v>
      </c>
      <c r="CE789">
        <v>64</v>
      </c>
      <c r="CF789">
        <v>79</v>
      </c>
      <c r="CG789">
        <v>75</v>
      </c>
      <c r="CH789">
        <v>74</v>
      </c>
      <c r="CI789">
        <v>34</v>
      </c>
      <c r="CJ789">
        <v>82</v>
      </c>
      <c r="CK789">
        <v>70</v>
      </c>
      <c r="CL789">
        <v>31</v>
      </c>
      <c r="CM789">
        <v>49</v>
      </c>
      <c r="CN789">
        <v>88</v>
      </c>
      <c r="CO789">
        <v>50</v>
      </c>
      <c r="CP789">
        <v>97</v>
      </c>
      <c r="CQ789">
        <v>24</v>
      </c>
      <c r="CR789">
        <v>75</v>
      </c>
      <c r="CS789">
        <v>37</v>
      </c>
      <c r="CT789">
        <v>35</v>
      </c>
      <c r="CU789">
        <v>74</v>
      </c>
      <c r="CV789">
        <v>68</v>
      </c>
      <c r="CW789">
        <v>85</v>
      </c>
      <c r="CX789">
        <v>68</v>
      </c>
      <c r="CY789">
        <v>89</v>
      </c>
      <c r="CZ789">
        <v>40</v>
      </c>
      <c r="DA789">
        <v>41</v>
      </c>
      <c r="DB789">
        <v>71</v>
      </c>
      <c r="DC789">
        <v>58</v>
      </c>
      <c r="DD789">
        <v>10</v>
      </c>
      <c r="DE789">
        <v>82</v>
      </c>
      <c r="DF789">
        <v>49</v>
      </c>
      <c r="DG789">
        <v>12</v>
      </c>
      <c r="DH789">
        <v>41</v>
      </c>
      <c r="DI789">
        <v>47</v>
      </c>
      <c r="DJ789">
        <v>61</v>
      </c>
      <c r="DK789">
        <v>79</v>
      </c>
    </row>
    <row r="790" spans="1:115">
      <c r="A790" s="173">
        <f>Calculations[[#This Row],[Sum t eCO2]]*IF(Calculations[[#This Row],[GHG Scope]]="BIOGENIC",0,1)</f>
        <v>0.18771586211018798</v>
      </c>
      <c r="O790">
        <f t="shared" si="13"/>
        <v>133</v>
      </c>
      <c r="P790">
        <v>77</v>
      </c>
      <c r="Q790">
        <v>50</v>
      </c>
      <c r="R790">
        <v>41</v>
      </c>
      <c r="S790">
        <v>100</v>
      </c>
      <c r="T790">
        <v>68</v>
      </c>
      <c r="U790">
        <v>47</v>
      </c>
      <c r="V790">
        <v>35</v>
      </c>
      <c r="W790">
        <v>19</v>
      </c>
      <c r="X790">
        <v>51</v>
      </c>
      <c r="Y790">
        <v>41</v>
      </c>
      <c r="Z790">
        <v>54</v>
      </c>
      <c r="AA790">
        <v>44</v>
      </c>
      <c r="AB790">
        <v>31</v>
      </c>
      <c r="AC790">
        <v>46</v>
      </c>
      <c r="AD790">
        <v>17</v>
      </c>
      <c r="AE790">
        <v>34</v>
      </c>
      <c r="AF790">
        <v>11</v>
      </c>
      <c r="AG790">
        <v>72</v>
      </c>
      <c r="AH790">
        <v>23</v>
      </c>
      <c r="AI790">
        <v>32</v>
      </c>
      <c r="AJ790">
        <v>48</v>
      </c>
      <c r="AK790">
        <v>85</v>
      </c>
      <c r="AL790">
        <v>71</v>
      </c>
      <c r="AM790">
        <v>57</v>
      </c>
      <c r="AN790">
        <v>88</v>
      </c>
      <c r="AO790">
        <v>88</v>
      </c>
      <c r="AP790">
        <v>53</v>
      </c>
      <c r="AQ790">
        <v>91</v>
      </c>
      <c r="AR790">
        <v>31</v>
      </c>
      <c r="AS790">
        <v>58</v>
      </c>
      <c r="AT790">
        <v>13</v>
      </c>
      <c r="AU790">
        <v>97</v>
      </c>
      <c r="AV790">
        <v>30</v>
      </c>
      <c r="AW790">
        <v>92</v>
      </c>
      <c r="AX790">
        <v>65</v>
      </c>
      <c r="AY790">
        <v>86</v>
      </c>
      <c r="AZ790">
        <v>24</v>
      </c>
      <c r="BA790">
        <v>89</v>
      </c>
      <c r="BB790">
        <v>10</v>
      </c>
      <c r="BC790">
        <v>24</v>
      </c>
      <c r="BD790">
        <v>79</v>
      </c>
      <c r="BE790">
        <v>42</v>
      </c>
      <c r="BF790">
        <v>95</v>
      </c>
      <c r="BG790">
        <v>90</v>
      </c>
      <c r="BH790">
        <v>81</v>
      </c>
      <c r="BI790">
        <v>61</v>
      </c>
      <c r="BJ790">
        <v>90</v>
      </c>
      <c r="BK790">
        <v>46</v>
      </c>
      <c r="BL790">
        <v>52</v>
      </c>
      <c r="BM790">
        <v>29</v>
      </c>
      <c r="BN790">
        <v>42</v>
      </c>
      <c r="BO790">
        <v>68</v>
      </c>
      <c r="BP790">
        <v>84</v>
      </c>
      <c r="BQ790">
        <v>87</v>
      </c>
      <c r="BR790">
        <v>84</v>
      </c>
      <c r="BS790">
        <v>17</v>
      </c>
      <c r="BT790">
        <v>69</v>
      </c>
      <c r="BU790">
        <v>43</v>
      </c>
      <c r="BV790">
        <v>12</v>
      </c>
      <c r="BW790">
        <v>64</v>
      </c>
      <c r="BX790">
        <v>89</v>
      </c>
      <c r="BY790">
        <v>26</v>
      </c>
      <c r="BZ790">
        <v>96</v>
      </c>
      <c r="CA790">
        <v>99</v>
      </c>
      <c r="CB790">
        <v>33</v>
      </c>
      <c r="CC790">
        <v>29</v>
      </c>
      <c r="CD790">
        <v>64</v>
      </c>
      <c r="CE790">
        <v>94</v>
      </c>
      <c r="CF790">
        <v>37</v>
      </c>
      <c r="CG790">
        <v>25</v>
      </c>
      <c r="CH790">
        <v>13</v>
      </c>
      <c r="CI790">
        <v>73</v>
      </c>
      <c r="CJ790">
        <v>29</v>
      </c>
      <c r="CK790">
        <v>73</v>
      </c>
      <c r="CL790">
        <v>61</v>
      </c>
      <c r="CM790">
        <v>27</v>
      </c>
      <c r="CN790">
        <v>38</v>
      </c>
      <c r="CO790">
        <v>67</v>
      </c>
      <c r="CP790">
        <v>64</v>
      </c>
      <c r="CQ790">
        <v>35</v>
      </c>
      <c r="CR790">
        <v>86</v>
      </c>
      <c r="CS790">
        <v>27</v>
      </c>
      <c r="CT790">
        <v>32</v>
      </c>
      <c r="CU790">
        <v>49</v>
      </c>
      <c r="CV790">
        <v>79</v>
      </c>
      <c r="CW790">
        <v>19</v>
      </c>
      <c r="CX790">
        <v>89</v>
      </c>
      <c r="CY790">
        <v>61</v>
      </c>
      <c r="CZ790">
        <v>80</v>
      </c>
      <c r="DA790">
        <v>10</v>
      </c>
      <c r="DB790">
        <v>24</v>
      </c>
      <c r="DC790">
        <v>41</v>
      </c>
      <c r="DD790">
        <v>82</v>
      </c>
      <c r="DE790">
        <v>24</v>
      </c>
      <c r="DF790">
        <v>64</v>
      </c>
      <c r="DG790">
        <v>65</v>
      </c>
      <c r="DH790">
        <v>55</v>
      </c>
      <c r="DI790">
        <v>32</v>
      </c>
      <c r="DJ790">
        <v>48</v>
      </c>
      <c r="DK790">
        <v>58</v>
      </c>
    </row>
    <row r="791" spans="1:115">
      <c r="A791" s="173">
        <f>Calculations[[#This Row],[Sum t eCO2]]*IF(Calculations[[#This Row],[GHG Scope]]="BIOGENIC",0,1)</f>
        <v>5.2577103600000008E-2</v>
      </c>
      <c r="O791">
        <f t="shared" si="13"/>
        <v>134</v>
      </c>
      <c r="P791">
        <v>16</v>
      </c>
      <c r="Q791">
        <v>94</v>
      </c>
      <c r="R791">
        <v>93</v>
      </c>
      <c r="S791">
        <v>40</v>
      </c>
      <c r="T791">
        <v>10</v>
      </c>
      <c r="U791">
        <v>27</v>
      </c>
      <c r="V791">
        <v>73</v>
      </c>
      <c r="W791">
        <v>75</v>
      </c>
      <c r="X791">
        <v>91</v>
      </c>
      <c r="Y791">
        <v>100</v>
      </c>
      <c r="Z791">
        <v>93</v>
      </c>
      <c r="AA791">
        <v>25</v>
      </c>
      <c r="AB791">
        <v>86</v>
      </c>
      <c r="AC791">
        <v>54</v>
      </c>
      <c r="AD791">
        <v>16</v>
      </c>
      <c r="AE791">
        <v>25</v>
      </c>
      <c r="AF791">
        <v>68</v>
      </c>
      <c r="AG791">
        <v>29</v>
      </c>
      <c r="AH791">
        <v>37</v>
      </c>
      <c r="AI791">
        <v>12</v>
      </c>
      <c r="AJ791">
        <v>38</v>
      </c>
      <c r="AK791">
        <v>25</v>
      </c>
      <c r="AL791">
        <v>85</v>
      </c>
      <c r="AM791">
        <v>92</v>
      </c>
      <c r="AN791">
        <v>100</v>
      </c>
      <c r="AO791">
        <v>59</v>
      </c>
      <c r="AP791">
        <v>24</v>
      </c>
      <c r="AQ791">
        <v>79</v>
      </c>
      <c r="AR791">
        <v>97</v>
      </c>
      <c r="AS791">
        <v>42</v>
      </c>
      <c r="AT791">
        <v>12</v>
      </c>
      <c r="AU791">
        <v>59</v>
      </c>
      <c r="AV791">
        <v>59</v>
      </c>
      <c r="AW791">
        <v>28</v>
      </c>
      <c r="AX791">
        <v>89</v>
      </c>
      <c r="AY791">
        <v>33</v>
      </c>
      <c r="AZ791">
        <v>67</v>
      </c>
      <c r="BA791">
        <v>38</v>
      </c>
      <c r="BB791">
        <v>100</v>
      </c>
      <c r="BC791">
        <v>92</v>
      </c>
      <c r="BD791">
        <v>93</v>
      </c>
      <c r="BE791">
        <v>84</v>
      </c>
      <c r="BF791">
        <v>48</v>
      </c>
      <c r="BG791">
        <v>76</v>
      </c>
      <c r="BH791">
        <v>93</v>
      </c>
      <c r="BI791">
        <v>67</v>
      </c>
      <c r="BJ791">
        <v>17</v>
      </c>
      <c r="BK791">
        <v>54</v>
      </c>
      <c r="BL791">
        <v>94</v>
      </c>
      <c r="BM791">
        <v>85</v>
      </c>
      <c r="BN791">
        <v>34</v>
      </c>
      <c r="BO791">
        <v>44</v>
      </c>
      <c r="BP791">
        <v>87</v>
      </c>
      <c r="BQ791">
        <v>32</v>
      </c>
      <c r="BR791">
        <v>67</v>
      </c>
      <c r="BS791">
        <v>55</v>
      </c>
      <c r="BT791">
        <v>55</v>
      </c>
      <c r="BU791">
        <v>59</v>
      </c>
      <c r="BV791">
        <v>81</v>
      </c>
      <c r="BW791">
        <v>34</v>
      </c>
      <c r="BX791">
        <v>70</v>
      </c>
      <c r="BY791">
        <v>29</v>
      </c>
      <c r="BZ791">
        <v>70</v>
      </c>
      <c r="CA791">
        <v>55</v>
      </c>
      <c r="CB791">
        <v>71</v>
      </c>
      <c r="CC791">
        <v>97</v>
      </c>
      <c r="CD791">
        <v>94</v>
      </c>
      <c r="CE791">
        <v>13</v>
      </c>
      <c r="CF791">
        <v>72</v>
      </c>
      <c r="CG791">
        <v>71</v>
      </c>
      <c r="CH791">
        <v>98</v>
      </c>
      <c r="CI791">
        <v>17</v>
      </c>
      <c r="CJ791">
        <v>27</v>
      </c>
      <c r="CK791">
        <v>21</v>
      </c>
      <c r="CL791">
        <v>89</v>
      </c>
      <c r="CM791">
        <v>20</v>
      </c>
      <c r="CN791">
        <v>16</v>
      </c>
      <c r="CO791">
        <v>93</v>
      </c>
      <c r="CP791">
        <v>96</v>
      </c>
      <c r="CQ791">
        <v>91</v>
      </c>
      <c r="CR791">
        <v>90</v>
      </c>
      <c r="CS791">
        <v>59</v>
      </c>
      <c r="CT791">
        <v>41</v>
      </c>
      <c r="CU791">
        <v>40</v>
      </c>
      <c r="CV791">
        <v>78</v>
      </c>
      <c r="CW791">
        <v>17</v>
      </c>
      <c r="CX791">
        <v>12</v>
      </c>
      <c r="CY791">
        <v>14</v>
      </c>
      <c r="CZ791">
        <v>57</v>
      </c>
      <c r="DA791">
        <v>12</v>
      </c>
      <c r="DB791">
        <v>46</v>
      </c>
      <c r="DC791">
        <v>47</v>
      </c>
      <c r="DD791">
        <v>23</v>
      </c>
      <c r="DE791">
        <v>64</v>
      </c>
      <c r="DF791">
        <v>44</v>
      </c>
      <c r="DG791">
        <v>17</v>
      </c>
      <c r="DH791">
        <v>40</v>
      </c>
      <c r="DI791">
        <v>15</v>
      </c>
      <c r="DJ791">
        <v>44</v>
      </c>
      <c r="DK791">
        <v>68</v>
      </c>
    </row>
    <row r="792" spans="1:115">
      <c r="A792" s="173">
        <f>Calculations[[#This Row],[Sum t eCO2]]*IF(Calculations[[#This Row],[GHG Scope]]="BIOGENIC",0,1)</f>
        <v>4.1373761830611703E-5</v>
      </c>
      <c r="O792">
        <f t="shared" si="13"/>
        <v>135</v>
      </c>
      <c r="P792">
        <v>12</v>
      </c>
      <c r="Q792">
        <v>64</v>
      </c>
      <c r="R792">
        <v>68</v>
      </c>
      <c r="S792">
        <v>71</v>
      </c>
      <c r="T792">
        <v>43</v>
      </c>
      <c r="U792">
        <v>32</v>
      </c>
      <c r="V792">
        <v>87</v>
      </c>
      <c r="W792">
        <v>18</v>
      </c>
      <c r="X792">
        <v>46</v>
      </c>
      <c r="Y792">
        <v>57</v>
      </c>
      <c r="Z792">
        <v>19</v>
      </c>
      <c r="AA792">
        <v>49</v>
      </c>
      <c r="AB792">
        <v>82</v>
      </c>
      <c r="AC792">
        <v>35</v>
      </c>
      <c r="AD792">
        <v>45</v>
      </c>
      <c r="AE792">
        <v>47</v>
      </c>
      <c r="AF792">
        <v>59</v>
      </c>
      <c r="AG792">
        <v>87</v>
      </c>
      <c r="AH792">
        <v>89</v>
      </c>
      <c r="AI792">
        <v>14</v>
      </c>
      <c r="AJ792">
        <v>30</v>
      </c>
      <c r="AK792">
        <v>12</v>
      </c>
      <c r="AL792">
        <v>98</v>
      </c>
      <c r="AM792">
        <v>20</v>
      </c>
      <c r="AN792">
        <v>36</v>
      </c>
      <c r="AO792">
        <v>49</v>
      </c>
      <c r="AP792">
        <v>74</v>
      </c>
      <c r="AQ792">
        <v>11</v>
      </c>
      <c r="AR792">
        <v>28</v>
      </c>
      <c r="AS792">
        <v>98</v>
      </c>
      <c r="AT792">
        <v>51</v>
      </c>
      <c r="AU792">
        <v>75</v>
      </c>
      <c r="AV792">
        <v>34</v>
      </c>
      <c r="AW792">
        <v>79</v>
      </c>
      <c r="AX792">
        <v>98</v>
      </c>
      <c r="AY792">
        <v>37</v>
      </c>
      <c r="AZ792">
        <v>57</v>
      </c>
      <c r="BA792">
        <v>94</v>
      </c>
      <c r="BB792">
        <v>25</v>
      </c>
      <c r="BC792">
        <v>62</v>
      </c>
      <c r="BD792">
        <v>52</v>
      </c>
      <c r="BE792">
        <v>17</v>
      </c>
      <c r="BF792">
        <v>70</v>
      </c>
      <c r="BG792">
        <v>44</v>
      </c>
      <c r="BH792">
        <v>61</v>
      </c>
      <c r="BI792">
        <v>79</v>
      </c>
      <c r="BJ792">
        <v>54</v>
      </c>
      <c r="BK792">
        <v>68</v>
      </c>
      <c r="BL792">
        <v>58</v>
      </c>
      <c r="BM792">
        <v>27</v>
      </c>
      <c r="BN792">
        <v>93</v>
      </c>
      <c r="BO792">
        <v>56</v>
      </c>
      <c r="BP792">
        <v>74</v>
      </c>
      <c r="BQ792">
        <v>24</v>
      </c>
      <c r="BR792">
        <v>50</v>
      </c>
      <c r="BS792">
        <v>61</v>
      </c>
      <c r="BT792">
        <v>64</v>
      </c>
      <c r="BU792">
        <v>55</v>
      </c>
      <c r="BV792">
        <v>19</v>
      </c>
      <c r="BW792">
        <v>20</v>
      </c>
      <c r="BX792">
        <v>35</v>
      </c>
      <c r="BY792">
        <v>18</v>
      </c>
      <c r="BZ792">
        <v>55</v>
      </c>
      <c r="CA792">
        <v>63</v>
      </c>
      <c r="CB792">
        <v>39</v>
      </c>
      <c r="CC792">
        <v>16</v>
      </c>
      <c r="CD792">
        <v>89</v>
      </c>
      <c r="CE792">
        <v>30</v>
      </c>
      <c r="CF792">
        <v>34</v>
      </c>
      <c r="CG792">
        <v>91</v>
      </c>
      <c r="CH792">
        <v>80</v>
      </c>
      <c r="CI792">
        <v>93</v>
      </c>
      <c r="CJ792">
        <v>57</v>
      </c>
      <c r="CK792">
        <v>64</v>
      </c>
      <c r="CL792">
        <v>75</v>
      </c>
      <c r="CM792">
        <v>19</v>
      </c>
      <c r="CN792">
        <v>32</v>
      </c>
      <c r="CO792">
        <v>88</v>
      </c>
      <c r="CP792">
        <v>48</v>
      </c>
      <c r="CQ792">
        <v>28</v>
      </c>
      <c r="CR792">
        <v>23</v>
      </c>
      <c r="CS792">
        <v>17</v>
      </c>
      <c r="CT792">
        <v>32</v>
      </c>
      <c r="CU792">
        <v>16</v>
      </c>
      <c r="CV792">
        <v>28</v>
      </c>
      <c r="CW792">
        <v>57</v>
      </c>
      <c r="CX792">
        <v>33</v>
      </c>
      <c r="CY792">
        <v>65</v>
      </c>
      <c r="CZ792">
        <v>95</v>
      </c>
      <c r="DA792">
        <v>33</v>
      </c>
      <c r="DB792">
        <v>89</v>
      </c>
      <c r="DC792">
        <v>27</v>
      </c>
      <c r="DD792">
        <v>19</v>
      </c>
      <c r="DE792">
        <v>53</v>
      </c>
      <c r="DF792">
        <v>72</v>
      </c>
      <c r="DG792">
        <v>30</v>
      </c>
      <c r="DH792">
        <v>85</v>
      </c>
      <c r="DI792">
        <v>37</v>
      </c>
      <c r="DJ792">
        <v>94</v>
      </c>
      <c r="DK792">
        <v>51</v>
      </c>
    </row>
    <row r="793" spans="1:115">
      <c r="A793" s="173">
        <f>Calculations[[#This Row],[Sum t eCO2]]*IF(Calculations[[#This Row],[GHG Scope]]="BIOGENIC",0,1)</f>
        <v>4.9236047112524305E-4</v>
      </c>
      <c r="O793">
        <f t="shared" si="13"/>
        <v>136</v>
      </c>
      <c r="P793">
        <v>29</v>
      </c>
      <c r="Q793">
        <v>93</v>
      </c>
      <c r="R793">
        <v>72</v>
      </c>
      <c r="S793">
        <v>31</v>
      </c>
      <c r="T793">
        <v>15</v>
      </c>
      <c r="U793">
        <v>78</v>
      </c>
      <c r="V793">
        <v>56</v>
      </c>
      <c r="W793">
        <v>81</v>
      </c>
      <c r="X793">
        <v>24</v>
      </c>
      <c r="Y793">
        <v>44</v>
      </c>
      <c r="Z793">
        <v>72</v>
      </c>
      <c r="AA793">
        <v>32</v>
      </c>
      <c r="AB793">
        <v>74</v>
      </c>
      <c r="AC793">
        <v>26</v>
      </c>
      <c r="AD793">
        <v>32</v>
      </c>
      <c r="AE793">
        <v>56</v>
      </c>
      <c r="AF793">
        <v>81</v>
      </c>
      <c r="AG793">
        <v>56</v>
      </c>
      <c r="AH793">
        <v>24</v>
      </c>
      <c r="AI793">
        <v>67</v>
      </c>
      <c r="AJ793">
        <v>93</v>
      </c>
      <c r="AK793">
        <v>30</v>
      </c>
      <c r="AL793">
        <v>19</v>
      </c>
      <c r="AM793">
        <v>62</v>
      </c>
      <c r="AN793">
        <v>33</v>
      </c>
      <c r="AO793">
        <v>95</v>
      </c>
      <c r="AP793">
        <v>42</v>
      </c>
      <c r="AQ793">
        <v>75</v>
      </c>
      <c r="AR793">
        <v>12</v>
      </c>
      <c r="AS793">
        <v>25</v>
      </c>
      <c r="AT793">
        <v>16</v>
      </c>
      <c r="AU793">
        <v>91</v>
      </c>
      <c r="AV793">
        <v>54</v>
      </c>
      <c r="AW793">
        <v>95</v>
      </c>
      <c r="AX793">
        <v>95</v>
      </c>
      <c r="AY793">
        <v>81</v>
      </c>
      <c r="AZ793">
        <v>99</v>
      </c>
      <c r="BA793">
        <v>99</v>
      </c>
      <c r="BB793">
        <v>21</v>
      </c>
      <c r="BC793">
        <v>69</v>
      </c>
      <c r="BD793">
        <v>11</v>
      </c>
      <c r="BE793">
        <v>56</v>
      </c>
      <c r="BF793">
        <v>17</v>
      </c>
      <c r="BG793">
        <v>81</v>
      </c>
      <c r="BH793">
        <v>18</v>
      </c>
      <c r="BI793">
        <v>35</v>
      </c>
      <c r="BJ793">
        <v>85</v>
      </c>
      <c r="BK793">
        <v>91</v>
      </c>
      <c r="BL793">
        <v>65</v>
      </c>
      <c r="BM793">
        <v>20</v>
      </c>
      <c r="BN793">
        <v>43</v>
      </c>
      <c r="BO793">
        <v>84</v>
      </c>
      <c r="BP793">
        <v>19</v>
      </c>
      <c r="BQ793">
        <v>37</v>
      </c>
      <c r="BR793">
        <v>50</v>
      </c>
      <c r="BS793">
        <v>22</v>
      </c>
      <c r="BT793">
        <v>78</v>
      </c>
      <c r="BU793">
        <v>58</v>
      </c>
      <c r="BV793">
        <v>60</v>
      </c>
      <c r="BW793">
        <v>75</v>
      </c>
      <c r="BX793">
        <v>29</v>
      </c>
      <c r="BY793">
        <v>42</v>
      </c>
      <c r="BZ793">
        <v>99</v>
      </c>
      <c r="CA793">
        <v>48</v>
      </c>
      <c r="CB793">
        <v>32</v>
      </c>
      <c r="CC793">
        <v>18</v>
      </c>
      <c r="CD793">
        <v>81</v>
      </c>
      <c r="CE793">
        <v>100</v>
      </c>
      <c r="CF793">
        <v>25</v>
      </c>
      <c r="CG793">
        <v>68</v>
      </c>
      <c r="CH793">
        <v>91</v>
      </c>
      <c r="CI793">
        <v>23</v>
      </c>
      <c r="CJ793">
        <v>63</v>
      </c>
      <c r="CK793">
        <v>41</v>
      </c>
      <c r="CL793">
        <v>84</v>
      </c>
      <c r="CM793">
        <v>76</v>
      </c>
      <c r="CN793">
        <v>16</v>
      </c>
      <c r="CO793">
        <v>90</v>
      </c>
      <c r="CP793">
        <v>66</v>
      </c>
      <c r="CQ793">
        <v>18</v>
      </c>
      <c r="CR793">
        <v>94</v>
      </c>
      <c r="CS793">
        <v>30</v>
      </c>
      <c r="CT793">
        <v>60</v>
      </c>
      <c r="CU793">
        <v>75</v>
      </c>
      <c r="CV793">
        <v>10</v>
      </c>
      <c r="CW793">
        <v>59</v>
      </c>
      <c r="CX793">
        <v>96</v>
      </c>
      <c r="CY793">
        <v>99</v>
      </c>
      <c r="CZ793">
        <v>83</v>
      </c>
      <c r="DA793">
        <v>89</v>
      </c>
      <c r="DB793">
        <v>32</v>
      </c>
      <c r="DC793">
        <v>44</v>
      </c>
      <c r="DD793">
        <v>79</v>
      </c>
      <c r="DE793">
        <v>91</v>
      </c>
      <c r="DF793">
        <v>58</v>
      </c>
      <c r="DG793">
        <v>66</v>
      </c>
      <c r="DH793">
        <v>39</v>
      </c>
      <c r="DI793">
        <v>57</v>
      </c>
      <c r="DJ793">
        <v>37</v>
      </c>
      <c r="DK793">
        <v>88</v>
      </c>
    </row>
    <row r="794" spans="1:115">
      <c r="A794" s="173">
        <f>Calculations[[#This Row],[Sum t eCO2]]*IF(Calculations[[#This Row],[GHG Scope]]="BIOGENIC",0,1)</f>
        <v>19.683380316600001</v>
      </c>
      <c r="O794">
        <f t="shared" si="13"/>
        <v>137</v>
      </c>
      <c r="P794">
        <v>48</v>
      </c>
      <c r="Q794">
        <v>59</v>
      </c>
      <c r="R794">
        <v>37</v>
      </c>
      <c r="S794">
        <v>30</v>
      </c>
      <c r="T794">
        <v>85</v>
      </c>
      <c r="U794">
        <v>94</v>
      </c>
      <c r="V794">
        <v>71</v>
      </c>
      <c r="W794">
        <v>70</v>
      </c>
      <c r="X794">
        <v>29</v>
      </c>
      <c r="Y794">
        <v>21</v>
      </c>
      <c r="Z794">
        <v>30</v>
      </c>
      <c r="AA794">
        <v>97</v>
      </c>
      <c r="AB794">
        <v>50</v>
      </c>
      <c r="AC794">
        <v>41</v>
      </c>
      <c r="AD794">
        <v>41</v>
      </c>
      <c r="AE794">
        <v>39</v>
      </c>
      <c r="AF794">
        <v>86</v>
      </c>
      <c r="AG794">
        <v>83</v>
      </c>
      <c r="AH794">
        <v>51</v>
      </c>
      <c r="AI794">
        <v>38</v>
      </c>
      <c r="AJ794">
        <v>68</v>
      </c>
      <c r="AK794">
        <v>96</v>
      </c>
      <c r="AL794">
        <v>64</v>
      </c>
      <c r="AM794">
        <v>13</v>
      </c>
      <c r="AN794">
        <v>27</v>
      </c>
      <c r="AO794">
        <v>48</v>
      </c>
      <c r="AP794">
        <v>79</v>
      </c>
      <c r="AQ794">
        <v>59</v>
      </c>
      <c r="AR794">
        <v>46</v>
      </c>
      <c r="AS794">
        <v>78</v>
      </c>
      <c r="AT794">
        <v>86</v>
      </c>
      <c r="AU794">
        <v>50</v>
      </c>
      <c r="AV794">
        <v>52</v>
      </c>
      <c r="AW794">
        <v>99</v>
      </c>
      <c r="AX794">
        <v>18</v>
      </c>
      <c r="AY794">
        <v>94</v>
      </c>
      <c r="AZ794">
        <v>60</v>
      </c>
      <c r="BA794">
        <v>54</v>
      </c>
      <c r="BB794">
        <v>65</v>
      </c>
      <c r="BC794">
        <v>29</v>
      </c>
      <c r="BD794">
        <v>57</v>
      </c>
      <c r="BE794">
        <v>51</v>
      </c>
      <c r="BF794">
        <v>95</v>
      </c>
      <c r="BG794">
        <v>19</v>
      </c>
      <c r="BH794">
        <v>69</v>
      </c>
      <c r="BI794">
        <v>51</v>
      </c>
      <c r="BJ794">
        <v>31</v>
      </c>
      <c r="BK794">
        <v>64</v>
      </c>
      <c r="BL794">
        <v>38</v>
      </c>
      <c r="BM794">
        <v>43</v>
      </c>
      <c r="BN794">
        <v>100</v>
      </c>
      <c r="BO794">
        <v>65</v>
      </c>
      <c r="BP794">
        <v>78</v>
      </c>
      <c r="BQ794">
        <v>25</v>
      </c>
      <c r="BR794">
        <v>79</v>
      </c>
      <c r="BS794">
        <v>47</v>
      </c>
      <c r="BT794">
        <v>96</v>
      </c>
      <c r="BU794">
        <v>63</v>
      </c>
      <c r="BV794">
        <v>29</v>
      </c>
      <c r="BW794">
        <v>34</v>
      </c>
      <c r="BX794">
        <v>81</v>
      </c>
      <c r="BY794">
        <v>95</v>
      </c>
      <c r="BZ794">
        <v>32</v>
      </c>
      <c r="CA794">
        <v>61</v>
      </c>
      <c r="CB794">
        <v>68</v>
      </c>
      <c r="CC794">
        <v>89</v>
      </c>
      <c r="CD794">
        <v>56</v>
      </c>
      <c r="CE794">
        <v>76</v>
      </c>
      <c r="CF794">
        <v>62</v>
      </c>
      <c r="CG794">
        <v>19</v>
      </c>
      <c r="CH794">
        <v>26</v>
      </c>
      <c r="CI794">
        <v>87</v>
      </c>
      <c r="CJ794">
        <v>93</v>
      </c>
      <c r="CK794">
        <v>55</v>
      </c>
      <c r="CL794">
        <v>89</v>
      </c>
      <c r="CM794">
        <v>32</v>
      </c>
      <c r="CN794">
        <v>19</v>
      </c>
      <c r="CO794">
        <v>73</v>
      </c>
      <c r="CP794">
        <v>74</v>
      </c>
      <c r="CQ794">
        <v>48</v>
      </c>
      <c r="CR794">
        <v>95</v>
      </c>
      <c r="CS794">
        <v>63</v>
      </c>
      <c r="CT794">
        <v>97</v>
      </c>
      <c r="CU794">
        <v>50</v>
      </c>
      <c r="CV794">
        <v>69</v>
      </c>
      <c r="CW794">
        <v>63</v>
      </c>
      <c r="CX794">
        <v>31</v>
      </c>
      <c r="CY794">
        <v>89</v>
      </c>
      <c r="CZ794">
        <v>79</v>
      </c>
      <c r="DA794">
        <v>19</v>
      </c>
      <c r="DB794">
        <v>73</v>
      </c>
      <c r="DC794">
        <v>90</v>
      </c>
      <c r="DD794">
        <v>25</v>
      </c>
      <c r="DE794">
        <v>63</v>
      </c>
      <c r="DF794">
        <v>51</v>
      </c>
      <c r="DG794">
        <v>23</v>
      </c>
      <c r="DH794">
        <v>21</v>
      </c>
      <c r="DI794">
        <v>18</v>
      </c>
      <c r="DJ794">
        <v>31</v>
      </c>
      <c r="DK794">
        <v>64</v>
      </c>
    </row>
    <row r="795" spans="1:115">
      <c r="A795" s="173">
        <f>Calculations[[#This Row],[Sum t eCO2]]*IF(Calculations[[#This Row],[GHG Scope]]="BIOGENIC",0,1)</f>
        <v>1.559910828262951E-2</v>
      </c>
      <c r="O795">
        <f t="shared" si="13"/>
        <v>138</v>
      </c>
      <c r="P795">
        <v>53</v>
      </c>
      <c r="Q795">
        <v>77</v>
      </c>
      <c r="R795">
        <v>38</v>
      </c>
      <c r="S795">
        <v>59</v>
      </c>
      <c r="T795">
        <v>67</v>
      </c>
      <c r="U795">
        <v>38</v>
      </c>
      <c r="V795">
        <v>37</v>
      </c>
      <c r="W795">
        <v>72</v>
      </c>
      <c r="X795">
        <v>23</v>
      </c>
      <c r="Y795">
        <v>32</v>
      </c>
      <c r="Z795">
        <v>62</v>
      </c>
      <c r="AA795">
        <v>32</v>
      </c>
      <c r="AB795">
        <v>49</v>
      </c>
      <c r="AC795">
        <v>10</v>
      </c>
      <c r="AD795">
        <v>81</v>
      </c>
      <c r="AE795">
        <v>41</v>
      </c>
      <c r="AF795">
        <v>58</v>
      </c>
      <c r="AG795">
        <v>73</v>
      </c>
      <c r="AH795">
        <v>24</v>
      </c>
      <c r="AI795">
        <v>82</v>
      </c>
      <c r="AJ795">
        <v>81</v>
      </c>
      <c r="AK795">
        <v>73</v>
      </c>
      <c r="AL795">
        <v>52</v>
      </c>
      <c r="AM795">
        <v>85</v>
      </c>
      <c r="AN795">
        <v>66</v>
      </c>
      <c r="AO795">
        <v>82</v>
      </c>
      <c r="AP795">
        <v>68</v>
      </c>
      <c r="AQ795">
        <v>78</v>
      </c>
      <c r="AR795">
        <v>58</v>
      </c>
      <c r="AS795">
        <v>94</v>
      </c>
      <c r="AT795">
        <v>93</v>
      </c>
      <c r="AU795">
        <v>82</v>
      </c>
      <c r="AV795">
        <v>76</v>
      </c>
      <c r="AW795">
        <v>87</v>
      </c>
      <c r="AX795">
        <v>41</v>
      </c>
      <c r="AY795">
        <v>86</v>
      </c>
      <c r="AZ795">
        <v>16</v>
      </c>
      <c r="BA795">
        <v>54</v>
      </c>
      <c r="BB795">
        <v>11</v>
      </c>
      <c r="BC795">
        <v>82</v>
      </c>
      <c r="BD795">
        <v>94</v>
      </c>
      <c r="BE795">
        <v>18</v>
      </c>
      <c r="BF795">
        <v>45</v>
      </c>
      <c r="BG795">
        <v>68</v>
      </c>
      <c r="BH795">
        <v>94</v>
      </c>
      <c r="BI795">
        <v>45</v>
      </c>
      <c r="BJ795">
        <v>94</v>
      </c>
      <c r="BK795">
        <v>60</v>
      </c>
      <c r="BL795">
        <v>77</v>
      </c>
      <c r="BM795">
        <v>24</v>
      </c>
      <c r="BN795">
        <v>38</v>
      </c>
      <c r="BO795">
        <v>76</v>
      </c>
      <c r="BP795">
        <v>83</v>
      </c>
      <c r="BQ795">
        <v>87</v>
      </c>
      <c r="BR795">
        <v>77</v>
      </c>
      <c r="BS795">
        <v>82</v>
      </c>
      <c r="BT795">
        <v>27</v>
      </c>
      <c r="BU795">
        <v>42</v>
      </c>
      <c r="BV795">
        <v>92</v>
      </c>
      <c r="BW795">
        <v>76</v>
      </c>
      <c r="BX795">
        <v>60</v>
      </c>
      <c r="BY795">
        <v>20</v>
      </c>
      <c r="BZ795">
        <v>77</v>
      </c>
      <c r="CA795">
        <v>68</v>
      </c>
      <c r="CB795">
        <v>51</v>
      </c>
      <c r="CC795">
        <v>46</v>
      </c>
      <c r="CD795">
        <v>39</v>
      </c>
      <c r="CE795">
        <v>34</v>
      </c>
      <c r="CF795">
        <v>95</v>
      </c>
      <c r="CG795">
        <v>89</v>
      </c>
      <c r="CH795">
        <v>83</v>
      </c>
      <c r="CI795">
        <v>81</v>
      </c>
      <c r="CJ795">
        <v>14</v>
      </c>
      <c r="CK795">
        <v>63</v>
      </c>
      <c r="CL795">
        <v>31</v>
      </c>
      <c r="CM795">
        <v>41</v>
      </c>
      <c r="CN795">
        <v>80</v>
      </c>
      <c r="CO795">
        <v>61</v>
      </c>
      <c r="CP795">
        <v>11</v>
      </c>
      <c r="CQ795">
        <v>29</v>
      </c>
      <c r="CR795">
        <v>60</v>
      </c>
      <c r="CS795">
        <v>33</v>
      </c>
      <c r="CT795">
        <v>75</v>
      </c>
      <c r="CU795">
        <v>34</v>
      </c>
      <c r="CV795">
        <v>91</v>
      </c>
      <c r="CW795">
        <v>36</v>
      </c>
      <c r="CX795">
        <v>38</v>
      </c>
      <c r="CY795">
        <v>41</v>
      </c>
      <c r="CZ795">
        <v>79</v>
      </c>
      <c r="DA795">
        <v>56</v>
      </c>
      <c r="DB795">
        <v>37</v>
      </c>
      <c r="DC795">
        <v>59</v>
      </c>
      <c r="DD795">
        <v>46</v>
      </c>
      <c r="DE795">
        <v>31</v>
      </c>
      <c r="DF795">
        <v>19</v>
      </c>
      <c r="DG795">
        <v>59</v>
      </c>
      <c r="DH795">
        <v>42</v>
      </c>
      <c r="DI795">
        <v>92</v>
      </c>
      <c r="DJ795">
        <v>99</v>
      </c>
      <c r="DK795">
        <v>33</v>
      </c>
    </row>
    <row r="796" spans="1:115">
      <c r="A796" s="173">
        <f>Calculations[[#This Row],[Sum t eCO2]]*IF(Calculations[[#This Row],[GHG Scope]]="BIOGENIC",0,1)</f>
        <v>0.18563417884536107</v>
      </c>
      <c r="O796">
        <f t="shared" si="13"/>
        <v>139</v>
      </c>
      <c r="P796">
        <v>85</v>
      </c>
      <c r="Q796">
        <v>96</v>
      </c>
      <c r="R796">
        <v>62</v>
      </c>
      <c r="S796">
        <v>80</v>
      </c>
      <c r="T796">
        <v>76</v>
      </c>
      <c r="U796">
        <v>90</v>
      </c>
      <c r="V796">
        <v>74</v>
      </c>
      <c r="W796">
        <v>86</v>
      </c>
      <c r="X796">
        <v>58</v>
      </c>
      <c r="Y796">
        <v>70</v>
      </c>
      <c r="Z796">
        <v>25</v>
      </c>
      <c r="AA796">
        <v>47</v>
      </c>
      <c r="AB796">
        <v>57</v>
      </c>
      <c r="AC796">
        <v>42</v>
      </c>
      <c r="AD796">
        <v>31</v>
      </c>
      <c r="AE796">
        <v>93</v>
      </c>
      <c r="AF796">
        <v>44</v>
      </c>
      <c r="AG796">
        <v>87</v>
      </c>
      <c r="AH796">
        <v>16</v>
      </c>
      <c r="AI796">
        <v>54</v>
      </c>
      <c r="AJ796">
        <v>100</v>
      </c>
      <c r="AK796">
        <v>27</v>
      </c>
      <c r="AL796">
        <v>72</v>
      </c>
      <c r="AM796">
        <v>88</v>
      </c>
      <c r="AN796">
        <v>87</v>
      </c>
      <c r="AO796">
        <v>42</v>
      </c>
      <c r="AP796">
        <v>19</v>
      </c>
      <c r="AQ796">
        <v>20</v>
      </c>
      <c r="AR796">
        <v>60</v>
      </c>
      <c r="AS796">
        <v>31</v>
      </c>
      <c r="AT796">
        <v>21</v>
      </c>
      <c r="AU796">
        <v>51</v>
      </c>
      <c r="AV796">
        <v>91</v>
      </c>
      <c r="AW796">
        <v>21</v>
      </c>
      <c r="AX796">
        <v>10</v>
      </c>
      <c r="AY796">
        <v>62</v>
      </c>
      <c r="AZ796">
        <v>91</v>
      </c>
      <c r="BA796">
        <v>75</v>
      </c>
      <c r="BB796">
        <v>23</v>
      </c>
      <c r="BC796">
        <v>16</v>
      </c>
      <c r="BD796">
        <v>43</v>
      </c>
      <c r="BE796">
        <v>56</v>
      </c>
      <c r="BF796">
        <v>76</v>
      </c>
      <c r="BG796">
        <v>71</v>
      </c>
      <c r="BH796">
        <v>36</v>
      </c>
      <c r="BI796">
        <v>79</v>
      </c>
      <c r="BJ796">
        <v>34</v>
      </c>
      <c r="BK796">
        <v>70</v>
      </c>
      <c r="BL796">
        <v>42</v>
      </c>
      <c r="BM796">
        <v>77</v>
      </c>
      <c r="BN796">
        <v>50</v>
      </c>
      <c r="BO796">
        <v>42</v>
      </c>
      <c r="BP796">
        <v>73</v>
      </c>
      <c r="BQ796">
        <v>99</v>
      </c>
      <c r="BR796">
        <v>90</v>
      </c>
      <c r="BS796">
        <v>71</v>
      </c>
      <c r="BT796">
        <v>14</v>
      </c>
      <c r="BU796">
        <v>16</v>
      </c>
      <c r="BV796">
        <v>76</v>
      </c>
      <c r="BW796">
        <v>54</v>
      </c>
      <c r="BX796">
        <v>59</v>
      </c>
      <c r="BY796">
        <v>10</v>
      </c>
      <c r="BZ796">
        <v>84</v>
      </c>
      <c r="CA796">
        <v>53</v>
      </c>
      <c r="CB796">
        <v>71</v>
      </c>
      <c r="CC796">
        <v>64</v>
      </c>
      <c r="CD796">
        <v>28</v>
      </c>
      <c r="CE796">
        <v>82</v>
      </c>
      <c r="CF796">
        <v>56</v>
      </c>
      <c r="CG796">
        <v>97</v>
      </c>
      <c r="CH796">
        <v>35</v>
      </c>
      <c r="CI796">
        <v>40</v>
      </c>
      <c r="CJ796">
        <v>69</v>
      </c>
      <c r="CK796">
        <v>10</v>
      </c>
      <c r="CL796">
        <v>84</v>
      </c>
      <c r="CM796">
        <v>60</v>
      </c>
      <c r="CN796">
        <v>69</v>
      </c>
      <c r="CO796">
        <v>80</v>
      </c>
      <c r="CP796">
        <v>66</v>
      </c>
      <c r="CQ796">
        <v>92</v>
      </c>
      <c r="CR796">
        <v>35</v>
      </c>
      <c r="CS796">
        <v>16</v>
      </c>
      <c r="CT796">
        <v>23</v>
      </c>
      <c r="CU796">
        <v>70</v>
      </c>
      <c r="CV796">
        <v>68</v>
      </c>
      <c r="CW796">
        <v>72</v>
      </c>
      <c r="CX796">
        <v>30</v>
      </c>
      <c r="CY796">
        <v>10</v>
      </c>
      <c r="CZ796">
        <v>27</v>
      </c>
      <c r="DA796">
        <v>67</v>
      </c>
      <c r="DB796">
        <v>37</v>
      </c>
      <c r="DC796">
        <v>52</v>
      </c>
      <c r="DD796">
        <v>78</v>
      </c>
      <c r="DE796">
        <v>33</v>
      </c>
      <c r="DF796">
        <v>22</v>
      </c>
      <c r="DG796">
        <v>54</v>
      </c>
      <c r="DH796">
        <v>99</v>
      </c>
      <c r="DI796">
        <v>29</v>
      </c>
      <c r="DJ796">
        <v>65</v>
      </c>
      <c r="DK796">
        <v>52</v>
      </c>
    </row>
    <row r="797" spans="1:115">
      <c r="A797" s="173">
        <f>Calculations[[#This Row],[Sum t eCO2]]*IF(Calculations[[#This Row],[GHG Scope]]="BIOGENIC",0,1)</f>
        <v>26.986501727999993</v>
      </c>
      <c r="O797">
        <f t="shared" si="13"/>
        <v>140</v>
      </c>
      <c r="P797">
        <v>71</v>
      </c>
      <c r="Q797">
        <v>77</v>
      </c>
      <c r="R797">
        <v>76</v>
      </c>
      <c r="S797">
        <v>41</v>
      </c>
      <c r="T797">
        <v>86</v>
      </c>
      <c r="U797">
        <v>63</v>
      </c>
      <c r="V797">
        <v>61</v>
      </c>
      <c r="W797">
        <v>84</v>
      </c>
      <c r="X797">
        <v>50</v>
      </c>
      <c r="Y797">
        <v>66</v>
      </c>
      <c r="Z797">
        <v>68</v>
      </c>
      <c r="AA797">
        <v>20</v>
      </c>
      <c r="AB797">
        <v>93</v>
      </c>
      <c r="AC797">
        <v>51</v>
      </c>
      <c r="AD797">
        <v>44</v>
      </c>
      <c r="AE797">
        <v>14</v>
      </c>
      <c r="AF797">
        <v>73</v>
      </c>
      <c r="AG797">
        <v>44</v>
      </c>
      <c r="AH797">
        <v>21</v>
      </c>
      <c r="AI797">
        <v>13</v>
      </c>
      <c r="AJ797">
        <v>82</v>
      </c>
      <c r="AK797">
        <v>38</v>
      </c>
      <c r="AL797">
        <v>21</v>
      </c>
      <c r="AM797">
        <v>55</v>
      </c>
      <c r="AN797">
        <v>81</v>
      </c>
      <c r="AO797">
        <v>42</v>
      </c>
      <c r="AP797">
        <v>25</v>
      </c>
      <c r="AQ797">
        <v>40</v>
      </c>
      <c r="AR797">
        <v>77</v>
      </c>
      <c r="AS797">
        <v>48</v>
      </c>
      <c r="AT797">
        <v>83</v>
      </c>
      <c r="AU797">
        <v>57</v>
      </c>
      <c r="AV797">
        <v>93</v>
      </c>
      <c r="AW797">
        <v>56</v>
      </c>
      <c r="AX797">
        <v>44</v>
      </c>
      <c r="AY797">
        <v>100</v>
      </c>
      <c r="AZ797">
        <v>55</v>
      </c>
      <c r="BA797">
        <v>85</v>
      </c>
      <c r="BB797">
        <v>22</v>
      </c>
      <c r="BC797">
        <v>67</v>
      </c>
      <c r="BD797">
        <v>40</v>
      </c>
      <c r="BE797">
        <v>20</v>
      </c>
      <c r="BF797">
        <v>26</v>
      </c>
      <c r="BG797">
        <v>52</v>
      </c>
      <c r="BH797">
        <v>75</v>
      </c>
      <c r="BI797">
        <v>49</v>
      </c>
      <c r="BJ797">
        <v>44</v>
      </c>
      <c r="BK797">
        <v>40</v>
      </c>
      <c r="BL797">
        <v>28</v>
      </c>
      <c r="BM797">
        <v>33</v>
      </c>
      <c r="BN797">
        <v>87</v>
      </c>
      <c r="BO797">
        <v>46</v>
      </c>
      <c r="BP797">
        <v>81</v>
      </c>
      <c r="BQ797">
        <v>44</v>
      </c>
      <c r="BR797">
        <v>82</v>
      </c>
      <c r="BS797">
        <v>89</v>
      </c>
      <c r="BT797">
        <v>81</v>
      </c>
      <c r="BU797">
        <v>77</v>
      </c>
      <c r="BV797">
        <v>90</v>
      </c>
      <c r="BW797">
        <v>21</v>
      </c>
      <c r="BX797">
        <v>46</v>
      </c>
      <c r="BY797">
        <v>32</v>
      </c>
      <c r="BZ797">
        <v>14</v>
      </c>
      <c r="CA797">
        <v>68</v>
      </c>
      <c r="CB797">
        <v>42</v>
      </c>
      <c r="CC797">
        <v>86</v>
      </c>
      <c r="CD797">
        <v>87</v>
      </c>
      <c r="CE797">
        <v>80</v>
      </c>
      <c r="CF797">
        <v>58</v>
      </c>
      <c r="CG797">
        <v>91</v>
      </c>
      <c r="CH797">
        <v>59</v>
      </c>
      <c r="CI797">
        <v>63</v>
      </c>
      <c r="CJ797">
        <v>47</v>
      </c>
      <c r="CK797">
        <v>93</v>
      </c>
      <c r="CL797">
        <v>81</v>
      </c>
      <c r="CM797">
        <v>29</v>
      </c>
      <c r="CN797">
        <v>94</v>
      </c>
      <c r="CO797">
        <v>82</v>
      </c>
      <c r="CP797">
        <v>10</v>
      </c>
      <c r="CQ797">
        <v>96</v>
      </c>
      <c r="CR797">
        <v>86</v>
      </c>
      <c r="CS797">
        <v>21</v>
      </c>
      <c r="CT797">
        <v>40</v>
      </c>
      <c r="CU797">
        <v>94</v>
      </c>
      <c r="CV797">
        <v>18</v>
      </c>
      <c r="CW797">
        <v>76</v>
      </c>
      <c r="CX797">
        <v>29</v>
      </c>
      <c r="CY797">
        <v>52</v>
      </c>
      <c r="CZ797">
        <v>84</v>
      </c>
      <c r="DA797">
        <v>42</v>
      </c>
      <c r="DB797">
        <v>77</v>
      </c>
      <c r="DC797">
        <v>50</v>
      </c>
      <c r="DD797">
        <v>52</v>
      </c>
      <c r="DE797">
        <v>14</v>
      </c>
      <c r="DF797">
        <v>51</v>
      </c>
      <c r="DG797">
        <v>56</v>
      </c>
      <c r="DH797">
        <v>10</v>
      </c>
      <c r="DI797">
        <v>22</v>
      </c>
      <c r="DJ797">
        <v>71</v>
      </c>
      <c r="DK797">
        <v>66</v>
      </c>
    </row>
    <row r="798" spans="1:115">
      <c r="A798" s="173">
        <f>Calculations[[#This Row],[Sum t eCO2]]*IF(Calculations[[#This Row],[GHG Scope]]="BIOGENIC",0,1)</f>
        <v>9.0995999999999994E-2</v>
      </c>
      <c r="O798">
        <f t="shared" si="13"/>
        <v>141</v>
      </c>
      <c r="P798">
        <v>33</v>
      </c>
      <c r="Q798">
        <v>70</v>
      </c>
      <c r="R798">
        <v>49</v>
      </c>
      <c r="S798">
        <v>33</v>
      </c>
      <c r="T798">
        <v>21</v>
      </c>
      <c r="U798">
        <v>26</v>
      </c>
      <c r="V798">
        <v>35</v>
      </c>
      <c r="W798">
        <v>71</v>
      </c>
      <c r="X798">
        <v>44</v>
      </c>
      <c r="Y798">
        <v>83</v>
      </c>
      <c r="Z798">
        <v>72</v>
      </c>
      <c r="AA798">
        <v>72</v>
      </c>
      <c r="AB798">
        <v>22</v>
      </c>
      <c r="AC798">
        <v>15</v>
      </c>
      <c r="AD798">
        <v>30</v>
      </c>
      <c r="AE798">
        <v>100</v>
      </c>
      <c r="AF798">
        <v>63</v>
      </c>
      <c r="AG798">
        <v>20</v>
      </c>
      <c r="AH798">
        <v>47</v>
      </c>
      <c r="AI798">
        <v>73</v>
      </c>
      <c r="AJ798">
        <v>27</v>
      </c>
      <c r="AK798">
        <v>94</v>
      </c>
      <c r="AL798">
        <v>14</v>
      </c>
      <c r="AM798">
        <v>44</v>
      </c>
      <c r="AN798">
        <v>92</v>
      </c>
      <c r="AO798">
        <v>19</v>
      </c>
      <c r="AP798">
        <v>13</v>
      </c>
      <c r="AQ798">
        <v>80</v>
      </c>
      <c r="AR798">
        <v>45</v>
      </c>
      <c r="AS798">
        <v>53</v>
      </c>
      <c r="AT798">
        <v>28</v>
      </c>
      <c r="AU798">
        <v>44</v>
      </c>
      <c r="AV798">
        <v>35</v>
      </c>
      <c r="AW798">
        <v>13</v>
      </c>
      <c r="AX798">
        <v>52</v>
      </c>
      <c r="AY798">
        <v>87</v>
      </c>
      <c r="AZ798">
        <v>73</v>
      </c>
      <c r="BA798">
        <v>29</v>
      </c>
      <c r="BB798">
        <v>34</v>
      </c>
      <c r="BC798">
        <v>53</v>
      </c>
      <c r="BD798">
        <v>25</v>
      </c>
      <c r="BE798">
        <v>15</v>
      </c>
      <c r="BF798">
        <v>23</v>
      </c>
      <c r="BG798">
        <v>93</v>
      </c>
      <c r="BH798">
        <v>87</v>
      </c>
      <c r="BI798">
        <v>59</v>
      </c>
      <c r="BJ798">
        <v>94</v>
      </c>
      <c r="BK798">
        <v>16</v>
      </c>
      <c r="BL798">
        <v>50</v>
      </c>
      <c r="BM798">
        <v>25</v>
      </c>
      <c r="BN798">
        <v>26</v>
      </c>
      <c r="BO798">
        <v>12</v>
      </c>
      <c r="BP798">
        <v>59</v>
      </c>
      <c r="BQ798">
        <v>68</v>
      </c>
      <c r="BR798">
        <v>66</v>
      </c>
      <c r="BS798">
        <v>36</v>
      </c>
      <c r="BT798">
        <v>12</v>
      </c>
      <c r="BU798">
        <v>59</v>
      </c>
      <c r="BV798">
        <v>54</v>
      </c>
      <c r="BW798">
        <v>20</v>
      </c>
      <c r="BX798">
        <v>27</v>
      </c>
      <c r="BY798">
        <v>18</v>
      </c>
      <c r="BZ798">
        <v>31</v>
      </c>
      <c r="CA798">
        <v>87</v>
      </c>
      <c r="CB798">
        <v>89</v>
      </c>
      <c r="CC798">
        <v>23</v>
      </c>
      <c r="CD798">
        <v>25</v>
      </c>
      <c r="CE798">
        <v>97</v>
      </c>
      <c r="CF798">
        <v>17</v>
      </c>
      <c r="CG798">
        <v>72</v>
      </c>
      <c r="CH798">
        <v>10</v>
      </c>
      <c r="CI798">
        <v>80</v>
      </c>
      <c r="CJ798">
        <v>32</v>
      </c>
      <c r="CK798">
        <v>19</v>
      </c>
      <c r="CL798">
        <v>36</v>
      </c>
      <c r="CM798">
        <v>79</v>
      </c>
      <c r="CN798">
        <v>39</v>
      </c>
      <c r="CO798">
        <v>26</v>
      </c>
      <c r="CP798">
        <v>89</v>
      </c>
      <c r="CQ798">
        <v>38</v>
      </c>
      <c r="CR798">
        <v>52</v>
      </c>
      <c r="CS798">
        <v>95</v>
      </c>
      <c r="CT798">
        <v>25</v>
      </c>
      <c r="CU798">
        <v>72</v>
      </c>
      <c r="CV798">
        <v>66</v>
      </c>
      <c r="CW798">
        <v>88</v>
      </c>
      <c r="CX798">
        <v>18</v>
      </c>
      <c r="CY798">
        <v>55</v>
      </c>
      <c r="CZ798">
        <v>37</v>
      </c>
      <c r="DA798">
        <v>28</v>
      </c>
      <c r="DB798">
        <v>47</v>
      </c>
      <c r="DC798">
        <v>55</v>
      </c>
      <c r="DD798">
        <v>79</v>
      </c>
      <c r="DE798">
        <v>94</v>
      </c>
      <c r="DF798">
        <v>56</v>
      </c>
      <c r="DG798">
        <v>61</v>
      </c>
      <c r="DH798">
        <v>72</v>
      </c>
      <c r="DI798">
        <v>69</v>
      </c>
      <c r="DJ798">
        <v>50</v>
      </c>
      <c r="DK798">
        <v>19</v>
      </c>
    </row>
    <row r="799" spans="1:115">
      <c r="A799" s="173">
        <f>Calculations[[#This Row],[Sum t eCO2]]*IF(Calculations[[#This Row],[GHG Scope]]="BIOGENIC",0,1)</f>
        <v>287.92245761750002</v>
      </c>
      <c r="O799">
        <f t="shared" si="13"/>
        <v>142</v>
      </c>
      <c r="P799">
        <v>84</v>
      </c>
      <c r="Q799">
        <v>48</v>
      </c>
      <c r="R799">
        <v>47</v>
      </c>
      <c r="S799">
        <v>51</v>
      </c>
      <c r="T799">
        <v>30</v>
      </c>
      <c r="U799">
        <v>67</v>
      </c>
      <c r="V799">
        <v>17</v>
      </c>
      <c r="W799">
        <v>62</v>
      </c>
      <c r="X799">
        <v>96</v>
      </c>
      <c r="Y799">
        <v>89</v>
      </c>
      <c r="Z799">
        <v>47</v>
      </c>
      <c r="AA799">
        <v>57</v>
      </c>
      <c r="AB799">
        <v>27</v>
      </c>
      <c r="AC799">
        <v>71</v>
      </c>
      <c r="AD799">
        <v>33</v>
      </c>
      <c r="AE799">
        <v>82</v>
      </c>
      <c r="AF799">
        <v>50</v>
      </c>
      <c r="AG799">
        <v>56</v>
      </c>
      <c r="AH799">
        <v>36</v>
      </c>
      <c r="AI799">
        <v>91</v>
      </c>
      <c r="AJ799">
        <v>32</v>
      </c>
      <c r="AK799">
        <v>47</v>
      </c>
      <c r="AL799">
        <v>93</v>
      </c>
      <c r="AM799">
        <v>64</v>
      </c>
      <c r="AN799">
        <v>21</v>
      </c>
      <c r="AO799">
        <v>60</v>
      </c>
      <c r="AP799">
        <v>86</v>
      </c>
      <c r="AQ799">
        <v>68</v>
      </c>
      <c r="AR799">
        <v>23</v>
      </c>
      <c r="AS799">
        <v>20</v>
      </c>
      <c r="AT799">
        <v>19</v>
      </c>
      <c r="AU799">
        <v>58</v>
      </c>
      <c r="AV799">
        <v>22</v>
      </c>
      <c r="AW799">
        <v>17</v>
      </c>
      <c r="AX799">
        <v>32</v>
      </c>
      <c r="AY799">
        <v>45</v>
      </c>
      <c r="AZ799">
        <v>60</v>
      </c>
      <c r="BA799">
        <v>90</v>
      </c>
      <c r="BB799">
        <v>43</v>
      </c>
      <c r="BC799">
        <v>95</v>
      </c>
      <c r="BD799">
        <v>30</v>
      </c>
      <c r="BE799">
        <v>70</v>
      </c>
      <c r="BF799">
        <v>44</v>
      </c>
      <c r="BG799">
        <v>31</v>
      </c>
      <c r="BH799">
        <v>10</v>
      </c>
      <c r="BI799">
        <v>16</v>
      </c>
      <c r="BJ799">
        <v>56</v>
      </c>
      <c r="BK799">
        <v>79</v>
      </c>
      <c r="BL799">
        <v>26</v>
      </c>
      <c r="BM799">
        <v>91</v>
      </c>
      <c r="BN799">
        <v>12</v>
      </c>
      <c r="BO799">
        <v>88</v>
      </c>
      <c r="BP799">
        <v>57</v>
      </c>
      <c r="BQ799">
        <v>31</v>
      </c>
      <c r="BR799">
        <v>22</v>
      </c>
      <c r="BS799">
        <v>68</v>
      </c>
      <c r="BT799">
        <v>12</v>
      </c>
      <c r="BU799">
        <v>99</v>
      </c>
      <c r="BV799">
        <v>56</v>
      </c>
      <c r="BW799">
        <v>68</v>
      </c>
      <c r="BX799">
        <v>81</v>
      </c>
      <c r="BY799">
        <v>75</v>
      </c>
      <c r="BZ799">
        <v>44</v>
      </c>
      <c r="CA799">
        <v>19</v>
      </c>
      <c r="CB799">
        <v>84</v>
      </c>
      <c r="CC799">
        <v>90</v>
      </c>
      <c r="CD799">
        <v>82</v>
      </c>
      <c r="CE799">
        <v>44</v>
      </c>
      <c r="CF799">
        <v>79</v>
      </c>
      <c r="CG799">
        <v>61</v>
      </c>
      <c r="CH799">
        <v>15</v>
      </c>
      <c r="CI799">
        <v>45</v>
      </c>
      <c r="CJ799">
        <v>45</v>
      </c>
      <c r="CK799">
        <v>44</v>
      </c>
      <c r="CL799">
        <v>57</v>
      </c>
      <c r="CM799">
        <v>65</v>
      </c>
      <c r="CN799">
        <v>88</v>
      </c>
      <c r="CO799">
        <v>89</v>
      </c>
      <c r="CP799">
        <v>11</v>
      </c>
      <c r="CQ799">
        <v>93</v>
      </c>
      <c r="CR799">
        <v>43</v>
      </c>
      <c r="CS799">
        <v>54</v>
      </c>
      <c r="CT799">
        <v>72</v>
      </c>
      <c r="CU799">
        <v>67</v>
      </c>
      <c r="CV799">
        <v>29</v>
      </c>
      <c r="CW799">
        <v>34</v>
      </c>
      <c r="CX799">
        <v>85</v>
      </c>
      <c r="CY799">
        <v>17</v>
      </c>
      <c r="CZ799">
        <v>55</v>
      </c>
      <c r="DA799">
        <v>76</v>
      </c>
      <c r="DB799">
        <v>72</v>
      </c>
      <c r="DC799">
        <v>71</v>
      </c>
      <c r="DD799">
        <v>95</v>
      </c>
      <c r="DE799">
        <v>60</v>
      </c>
      <c r="DF799">
        <v>71</v>
      </c>
      <c r="DG799">
        <v>65</v>
      </c>
      <c r="DH799">
        <v>85</v>
      </c>
      <c r="DI799">
        <v>11</v>
      </c>
      <c r="DJ799">
        <v>81</v>
      </c>
      <c r="DK799">
        <v>19</v>
      </c>
    </row>
    <row r="800" spans="1:115">
      <c r="A800" s="173">
        <f>Calculations[[#This Row],[Sum t eCO2]]*IF(Calculations[[#This Row],[GHG Scope]]="BIOGENIC",0,1)</f>
        <v>554.03003810000007</v>
      </c>
      <c r="O800">
        <f t="shared" si="13"/>
        <v>143</v>
      </c>
      <c r="P800">
        <v>36</v>
      </c>
      <c r="Q800">
        <v>58</v>
      </c>
      <c r="R800">
        <v>89</v>
      </c>
      <c r="S800">
        <v>57</v>
      </c>
      <c r="T800">
        <v>49</v>
      </c>
      <c r="U800">
        <v>48</v>
      </c>
      <c r="V800">
        <v>27</v>
      </c>
      <c r="W800">
        <v>51</v>
      </c>
      <c r="X800">
        <v>50</v>
      </c>
      <c r="Y800">
        <v>20</v>
      </c>
      <c r="Z800">
        <v>10</v>
      </c>
      <c r="AA800">
        <v>94</v>
      </c>
      <c r="AB800">
        <v>51</v>
      </c>
      <c r="AC800">
        <v>32</v>
      </c>
      <c r="AD800">
        <v>61</v>
      </c>
      <c r="AE800">
        <v>63</v>
      </c>
      <c r="AF800">
        <v>94</v>
      </c>
      <c r="AG800">
        <v>36</v>
      </c>
      <c r="AH800">
        <v>39</v>
      </c>
      <c r="AI800">
        <v>78</v>
      </c>
      <c r="AJ800">
        <v>41</v>
      </c>
      <c r="AK800">
        <v>59</v>
      </c>
      <c r="AL800">
        <v>96</v>
      </c>
      <c r="AM800">
        <v>74</v>
      </c>
      <c r="AN800">
        <v>54</v>
      </c>
      <c r="AO800">
        <v>28</v>
      </c>
      <c r="AP800">
        <v>90</v>
      </c>
      <c r="AQ800">
        <v>82</v>
      </c>
      <c r="AR800">
        <v>65</v>
      </c>
      <c r="AS800">
        <v>53</v>
      </c>
      <c r="AT800">
        <v>100</v>
      </c>
      <c r="AU800">
        <v>78</v>
      </c>
      <c r="AV800">
        <v>57</v>
      </c>
      <c r="AW800">
        <v>85</v>
      </c>
      <c r="AX800">
        <v>60</v>
      </c>
      <c r="AY800">
        <v>52</v>
      </c>
      <c r="AZ800">
        <v>78</v>
      </c>
      <c r="BA800">
        <v>89</v>
      </c>
      <c r="BB800">
        <v>17</v>
      </c>
      <c r="BC800">
        <v>22</v>
      </c>
      <c r="BD800">
        <v>54</v>
      </c>
      <c r="BE800">
        <v>97</v>
      </c>
      <c r="BF800">
        <v>58</v>
      </c>
      <c r="BG800">
        <v>77</v>
      </c>
      <c r="BH800">
        <v>26</v>
      </c>
      <c r="BI800">
        <v>45</v>
      </c>
      <c r="BJ800">
        <v>28</v>
      </c>
      <c r="BK800">
        <v>87</v>
      </c>
      <c r="BL800">
        <v>57</v>
      </c>
      <c r="BM800">
        <v>71</v>
      </c>
      <c r="BN800">
        <v>90</v>
      </c>
      <c r="BO800">
        <v>54</v>
      </c>
      <c r="BP800">
        <v>86</v>
      </c>
      <c r="BQ800">
        <v>43</v>
      </c>
      <c r="BR800">
        <v>28</v>
      </c>
      <c r="BS800">
        <v>85</v>
      </c>
      <c r="BT800">
        <v>84</v>
      </c>
      <c r="BU800">
        <v>37</v>
      </c>
      <c r="BV800">
        <v>72</v>
      </c>
      <c r="BW800">
        <v>94</v>
      </c>
      <c r="BX800">
        <v>89</v>
      </c>
      <c r="BY800">
        <v>87</v>
      </c>
      <c r="BZ800">
        <v>40</v>
      </c>
      <c r="CA800">
        <v>26</v>
      </c>
      <c r="CB800">
        <v>13</v>
      </c>
      <c r="CC800">
        <v>80</v>
      </c>
      <c r="CD800">
        <v>49</v>
      </c>
      <c r="CE800">
        <v>74</v>
      </c>
      <c r="CF800">
        <v>73</v>
      </c>
      <c r="CG800">
        <v>67</v>
      </c>
      <c r="CH800">
        <v>22</v>
      </c>
      <c r="CI800">
        <v>17</v>
      </c>
      <c r="CJ800">
        <v>34</v>
      </c>
      <c r="CK800">
        <v>25</v>
      </c>
      <c r="CL800">
        <v>80</v>
      </c>
      <c r="CM800">
        <v>53</v>
      </c>
      <c r="CN800">
        <v>31</v>
      </c>
      <c r="CO800">
        <v>61</v>
      </c>
      <c r="CP800">
        <v>13</v>
      </c>
      <c r="CQ800">
        <v>18</v>
      </c>
      <c r="CR800">
        <v>24</v>
      </c>
      <c r="CS800">
        <v>33</v>
      </c>
      <c r="CT800">
        <v>44</v>
      </c>
      <c r="CU800">
        <v>33</v>
      </c>
      <c r="CV800">
        <v>29</v>
      </c>
      <c r="CW800">
        <v>74</v>
      </c>
      <c r="CX800">
        <v>76</v>
      </c>
      <c r="CY800">
        <v>37</v>
      </c>
      <c r="CZ800">
        <v>24</v>
      </c>
      <c r="DA800">
        <v>89</v>
      </c>
      <c r="DB800">
        <v>32</v>
      </c>
      <c r="DC800">
        <v>65</v>
      </c>
      <c r="DD800">
        <v>40</v>
      </c>
      <c r="DE800">
        <v>42</v>
      </c>
      <c r="DF800">
        <v>68</v>
      </c>
      <c r="DG800">
        <v>31</v>
      </c>
      <c r="DH800">
        <v>36</v>
      </c>
      <c r="DI800">
        <v>87</v>
      </c>
      <c r="DJ800">
        <v>24</v>
      </c>
      <c r="DK800">
        <v>40</v>
      </c>
    </row>
    <row r="801" spans="1:115">
      <c r="A801" s="173">
        <f>Calculations[[#This Row],[Sum t eCO2]]*IF(Calculations[[#This Row],[GHG Scope]]="BIOGENIC",0,1)</f>
        <v>67.724969025505516</v>
      </c>
      <c r="O801">
        <f t="shared" si="13"/>
        <v>144</v>
      </c>
      <c r="P801">
        <v>16</v>
      </c>
      <c r="Q801">
        <v>94</v>
      </c>
      <c r="R801">
        <v>10</v>
      </c>
      <c r="S801">
        <v>71</v>
      </c>
      <c r="T801">
        <v>53</v>
      </c>
      <c r="U801">
        <v>58</v>
      </c>
      <c r="V801">
        <v>47</v>
      </c>
      <c r="W801">
        <v>29</v>
      </c>
      <c r="X801">
        <v>39</v>
      </c>
      <c r="Y801">
        <v>89</v>
      </c>
      <c r="Z801">
        <v>51</v>
      </c>
      <c r="AA801">
        <v>61</v>
      </c>
      <c r="AB801">
        <v>12</v>
      </c>
      <c r="AC801">
        <v>87</v>
      </c>
      <c r="AD801">
        <v>19</v>
      </c>
      <c r="AE801">
        <v>81</v>
      </c>
      <c r="AF801">
        <v>87</v>
      </c>
      <c r="AG801">
        <v>89</v>
      </c>
      <c r="AH801">
        <v>99</v>
      </c>
      <c r="AI801">
        <v>68</v>
      </c>
      <c r="AJ801">
        <v>50</v>
      </c>
      <c r="AK801">
        <v>42</v>
      </c>
      <c r="AL801">
        <v>51</v>
      </c>
      <c r="AM801">
        <v>14</v>
      </c>
      <c r="AN801">
        <v>23</v>
      </c>
      <c r="AO801">
        <v>99</v>
      </c>
      <c r="AP801">
        <v>75</v>
      </c>
      <c r="AQ801">
        <v>70</v>
      </c>
      <c r="AR801">
        <v>76</v>
      </c>
      <c r="AS801">
        <v>57</v>
      </c>
      <c r="AT801">
        <v>25</v>
      </c>
      <c r="AU801">
        <v>96</v>
      </c>
      <c r="AV801">
        <v>79</v>
      </c>
      <c r="AW801">
        <v>90</v>
      </c>
      <c r="AX801">
        <v>18</v>
      </c>
      <c r="AY801">
        <v>99</v>
      </c>
      <c r="AZ801">
        <v>21</v>
      </c>
      <c r="BA801">
        <v>80</v>
      </c>
      <c r="BB801">
        <v>58</v>
      </c>
      <c r="BC801">
        <v>22</v>
      </c>
      <c r="BD801">
        <v>76</v>
      </c>
      <c r="BE801">
        <v>100</v>
      </c>
      <c r="BF801">
        <v>47</v>
      </c>
      <c r="BG801">
        <v>50</v>
      </c>
      <c r="BH801">
        <v>47</v>
      </c>
      <c r="BI801">
        <v>69</v>
      </c>
      <c r="BJ801">
        <v>11</v>
      </c>
      <c r="BK801">
        <v>58</v>
      </c>
      <c r="BL801">
        <v>78</v>
      </c>
      <c r="BM801">
        <v>97</v>
      </c>
      <c r="BN801">
        <v>37</v>
      </c>
      <c r="BO801">
        <v>72</v>
      </c>
      <c r="BP801">
        <v>64</v>
      </c>
      <c r="BQ801">
        <v>82</v>
      </c>
      <c r="BR801">
        <v>14</v>
      </c>
      <c r="BS801">
        <v>97</v>
      </c>
      <c r="BT801">
        <v>49</v>
      </c>
      <c r="BU801">
        <v>28</v>
      </c>
      <c r="BV801">
        <v>57</v>
      </c>
      <c r="BW801">
        <v>57</v>
      </c>
      <c r="BX801">
        <v>13</v>
      </c>
      <c r="BY801">
        <v>59</v>
      </c>
      <c r="BZ801">
        <v>94</v>
      </c>
      <c r="CA801">
        <v>84</v>
      </c>
      <c r="CB801">
        <v>48</v>
      </c>
      <c r="CC801">
        <v>90</v>
      </c>
      <c r="CD801">
        <v>14</v>
      </c>
      <c r="CE801">
        <v>89</v>
      </c>
      <c r="CF801">
        <v>97</v>
      </c>
      <c r="CG801">
        <v>74</v>
      </c>
      <c r="CH801">
        <v>71</v>
      </c>
      <c r="CI801">
        <v>95</v>
      </c>
      <c r="CJ801">
        <v>97</v>
      </c>
      <c r="CK801">
        <v>67</v>
      </c>
      <c r="CL801">
        <v>16</v>
      </c>
      <c r="CM801">
        <v>17</v>
      </c>
      <c r="CN801">
        <v>52</v>
      </c>
      <c r="CO801">
        <v>99</v>
      </c>
      <c r="CP801">
        <v>60</v>
      </c>
      <c r="CQ801">
        <v>28</v>
      </c>
      <c r="CR801">
        <v>30</v>
      </c>
      <c r="CS801">
        <v>36</v>
      </c>
      <c r="CT801">
        <v>68</v>
      </c>
      <c r="CU801">
        <v>18</v>
      </c>
      <c r="CV801">
        <v>90</v>
      </c>
      <c r="CW801">
        <v>17</v>
      </c>
      <c r="CX801">
        <v>87</v>
      </c>
      <c r="CY801">
        <v>69</v>
      </c>
      <c r="CZ801">
        <v>90</v>
      </c>
      <c r="DA801">
        <v>20</v>
      </c>
      <c r="DB801">
        <v>35</v>
      </c>
      <c r="DC801">
        <v>14</v>
      </c>
      <c r="DD801">
        <v>75</v>
      </c>
      <c r="DE801">
        <v>16</v>
      </c>
      <c r="DF801">
        <v>67</v>
      </c>
      <c r="DG801">
        <v>66</v>
      </c>
      <c r="DH801">
        <v>42</v>
      </c>
      <c r="DI801">
        <v>67</v>
      </c>
      <c r="DJ801">
        <v>82</v>
      </c>
      <c r="DK801">
        <v>48</v>
      </c>
    </row>
    <row r="802" spans="1:115">
      <c r="A802" s="173">
        <f>Calculations[[#This Row],[Sum t eCO2]]*IF(Calculations[[#This Row],[GHG Scope]]="BIOGENIC",0,1)</f>
        <v>86.142919499999991</v>
      </c>
      <c r="O802">
        <f t="shared" si="13"/>
        <v>145</v>
      </c>
      <c r="P802">
        <v>92</v>
      </c>
      <c r="Q802">
        <v>45</v>
      </c>
      <c r="R802">
        <v>64</v>
      </c>
      <c r="S802">
        <v>50</v>
      </c>
      <c r="T802">
        <v>56</v>
      </c>
      <c r="U802">
        <v>95</v>
      </c>
      <c r="V802">
        <v>27</v>
      </c>
      <c r="W802">
        <v>17</v>
      </c>
      <c r="X802">
        <v>49</v>
      </c>
      <c r="Y802">
        <v>17</v>
      </c>
      <c r="Z802">
        <v>31</v>
      </c>
      <c r="AA802">
        <v>63</v>
      </c>
      <c r="AB802">
        <v>67</v>
      </c>
      <c r="AC802">
        <v>32</v>
      </c>
      <c r="AD802">
        <v>70</v>
      </c>
      <c r="AE802">
        <v>96</v>
      </c>
      <c r="AF802">
        <v>63</v>
      </c>
      <c r="AG802">
        <v>88</v>
      </c>
      <c r="AH802">
        <v>40</v>
      </c>
      <c r="AI802">
        <v>48</v>
      </c>
      <c r="AJ802">
        <v>96</v>
      </c>
      <c r="AK802">
        <v>25</v>
      </c>
      <c r="AL802">
        <v>46</v>
      </c>
      <c r="AM802">
        <v>100</v>
      </c>
      <c r="AN802">
        <v>15</v>
      </c>
      <c r="AO802">
        <v>96</v>
      </c>
      <c r="AP802">
        <v>53</v>
      </c>
      <c r="AQ802">
        <v>34</v>
      </c>
      <c r="AR802">
        <v>84</v>
      </c>
      <c r="AS802">
        <v>46</v>
      </c>
      <c r="AT802">
        <v>63</v>
      </c>
      <c r="AU802">
        <v>29</v>
      </c>
      <c r="AV802">
        <v>65</v>
      </c>
      <c r="AW802">
        <v>92</v>
      </c>
      <c r="AX802">
        <v>63</v>
      </c>
      <c r="AY802">
        <v>41</v>
      </c>
      <c r="AZ802">
        <v>94</v>
      </c>
      <c r="BA802">
        <v>30</v>
      </c>
      <c r="BB802">
        <v>59</v>
      </c>
      <c r="BC802">
        <v>10</v>
      </c>
      <c r="BD802">
        <v>65</v>
      </c>
      <c r="BE802">
        <v>66</v>
      </c>
      <c r="BF802">
        <v>53</v>
      </c>
      <c r="BG802">
        <v>14</v>
      </c>
      <c r="BH802">
        <v>27</v>
      </c>
      <c r="BI802">
        <v>79</v>
      </c>
      <c r="BJ802">
        <v>79</v>
      </c>
      <c r="BK802">
        <v>67</v>
      </c>
      <c r="BL802">
        <v>49</v>
      </c>
      <c r="BM802">
        <v>70</v>
      </c>
      <c r="BN802">
        <v>21</v>
      </c>
      <c r="BO802">
        <v>73</v>
      </c>
      <c r="BP802">
        <v>20</v>
      </c>
      <c r="BQ802">
        <v>81</v>
      </c>
      <c r="BR802">
        <v>42</v>
      </c>
      <c r="BS802">
        <v>65</v>
      </c>
      <c r="BT802">
        <v>63</v>
      </c>
      <c r="BU802">
        <v>70</v>
      </c>
      <c r="BV802">
        <v>47</v>
      </c>
      <c r="BW802">
        <v>30</v>
      </c>
      <c r="BX802">
        <v>33</v>
      </c>
      <c r="BY802">
        <v>91</v>
      </c>
      <c r="BZ802">
        <v>80</v>
      </c>
      <c r="CA802">
        <v>12</v>
      </c>
      <c r="CB802">
        <v>42</v>
      </c>
      <c r="CC802">
        <v>85</v>
      </c>
      <c r="CD802">
        <v>27</v>
      </c>
      <c r="CE802">
        <v>27</v>
      </c>
      <c r="CF802">
        <v>57</v>
      </c>
      <c r="CG802">
        <v>19</v>
      </c>
      <c r="CH802">
        <v>18</v>
      </c>
      <c r="CI802">
        <v>55</v>
      </c>
      <c r="CJ802">
        <v>52</v>
      </c>
      <c r="CK802">
        <v>57</v>
      </c>
      <c r="CL802">
        <v>82</v>
      </c>
      <c r="CM802">
        <v>25</v>
      </c>
      <c r="CN802">
        <v>18</v>
      </c>
      <c r="CO802">
        <v>90</v>
      </c>
      <c r="CP802">
        <v>13</v>
      </c>
      <c r="CQ802">
        <v>12</v>
      </c>
      <c r="CR802">
        <v>81</v>
      </c>
      <c r="CS802">
        <v>84</v>
      </c>
      <c r="CT802">
        <v>66</v>
      </c>
      <c r="CU802">
        <v>83</v>
      </c>
      <c r="CV802">
        <v>27</v>
      </c>
      <c r="CW802">
        <v>32</v>
      </c>
      <c r="CX802">
        <v>36</v>
      </c>
      <c r="CY802">
        <v>47</v>
      </c>
      <c r="CZ802">
        <v>24</v>
      </c>
      <c r="DA802">
        <v>20</v>
      </c>
      <c r="DB802">
        <v>34</v>
      </c>
      <c r="DC802">
        <v>30</v>
      </c>
      <c r="DD802">
        <v>94</v>
      </c>
      <c r="DE802">
        <v>79</v>
      </c>
      <c r="DF802">
        <v>26</v>
      </c>
      <c r="DG802">
        <v>78</v>
      </c>
      <c r="DH802">
        <v>63</v>
      </c>
      <c r="DI802">
        <v>89</v>
      </c>
      <c r="DJ802">
        <v>23</v>
      </c>
      <c r="DK802">
        <v>14</v>
      </c>
    </row>
    <row r="803" spans="1:115">
      <c r="A803" s="173">
        <f>Calculations[[#This Row],[Sum t eCO2]]*IF(Calculations[[#This Row],[GHG Scope]]="BIOGENIC",0,1)</f>
        <v>5.2157292000000002</v>
      </c>
      <c r="O803">
        <f t="shared" si="13"/>
        <v>146</v>
      </c>
      <c r="P803">
        <v>32</v>
      </c>
      <c r="Q803">
        <v>100</v>
      </c>
      <c r="R803">
        <v>53</v>
      </c>
      <c r="S803">
        <v>86</v>
      </c>
      <c r="T803">
        <v>100</v>
      </c>
      <c r="U803">
        <v>25</v>
      </c>
      <c r="V803">
        <v>39</v>
      </c>
      <c r="W803">
        <v>97</v>
      </c>
      <c r="X803">
        <v>95</v>
      </c>
      <c r="Y803">
        <v>90</v>
      </c>
      <c r="Z803">
        <v>86</v>
      </c>
      <c r="AA803">
        <v>85</v>
      </c>
      <c r="AB803">
        <v>14</v>
      </c>
      <c r="AC803">
        <v>63</v>
      </c>
      <c r="AD803">
        <v>69</v>
      </c>
      <c r="AE803">
        <v>42</v>
      </c>
      <c r="AF803">
        <v>18</v>
      </c>
      <c r="AG803">
        <v>12</v>
      </c>
      <c r="AH803">
        <v>93</v>
      </c>
      <c r="AI803">
        <v>97</v>
      </c>
      <c r="AJ803">
        <v>87</v>
      </c>
      <c r="AK803">
        <v>95</v>
      </c>
      <c r="AL803">
        <v>41</v>
      </c>
      <c r="AM803">
        <v>48</v>
      </c>
      <c r="AN803">
        <v>49</v>
      </c>
      <c r="AO803">
        <v>44</v>
      </c>
      <c r="AP803">
        <v>63</v>
      </c>
      <c r="AQ803">
        <v>36</v>
      </c>
      <c r="AR803">
        <v>60</v>
      </c>
      <c r="AS803">
        <v>55</v>
      </c>
      <c r="AT803">
        <v>97</v>
      </c>
      <c r="AU803">
        <v>19</v>
      </c>
      <c r="AV803">
        <v>28</v>
      </c>
      <c r="AW803">
        <v>89</v>
      </c>
      <c r="AX803">
        <v>33</v>
      </c>
      <c r="AY803">
        <v>37</v>
      </c>
      <c r="AZ803">
        <v>16</v>
      </c>
      <c r="BA803">
        <v>87</v>
      </c>
      <c r="BB803">
        <v>39</v>
      </c>
      <c r="BC803">
        <v>21</v>
      </c>
      <c r="BD803">
        <v>16</v>
      </c>
      <c r="BE803">
        <v>68</v>
      </c>
      <c r="BF803">
        <v>14</v>
      </c>
      <c r="BG803">
        <v>10</v>
      </c>
      <c r="BH803">
        <v>51</v>
      </c>
      <c r="BI803">
        <v>81</v>
      </c>
      <c r="BJ803">
        <v>74</v>
      </c>
      <c r="BK803">
        <v>91</v>
      </c>
      <c r="BL803">
        <v>70</v>
      </c>
      <c r="BM803">
        <v>97</v>
      </c>
      <c r="BN803">
        <v>54</v>
      </c>
      <c r="BO803">
        <v>88</v>
      </c>
      <c r="BP803">
        <v>97</v>
      </c>
      <c r="BQ803">
        <v>31</v>
      </c>
      <c r="BR803">
        <v>86</v>
      </c>
      <c r="BS803">
        <v>57</v>
      </c>
      <c r="BT803">
        <v>63</v>
      </c>
      <c r="BU803">
        <v>82</v>
      </c>
      <c r="BV803">
        <v>45</v>
      </c>
      <c r="BW803">
        <v>13</v>
      </c>
      <c r="BX803">
        <v>22</v>
      </c>
      <c r="BY803">
        <v>30</v>
      </c>
      <c r="BZ803">
        <v>40</v>
      </c>
      <c r="CA803">
        <v>63</v>
      </c>
      <c r="CB803">
        <v>88</v>
      </c>
      <c r="CC803">
        <v>67</v>
      </c>
      <c r="CD803">
        <v>51</v>
      </c>
      <c r="CE803">
        <v>85</v>
      </c>
      <c r="CF803">
        <v>56</v>
      </c>
      <c r="CG803">
        <v>69</v>
      </c>
      <c r="CH803">
        <v>30</v>
      </c>
      <c r="CI803">
        <v>77</v>
      </c>
      <c r="CJ803">
        <v>25</v>
      </c>
      <c r="CK803">
        <v>28</v>
      </c>
      <c r="CL803">
        <v>62</v>
      </c>
      <c r="CM803">
        <v>35</v>
      </c>
      <c r="CN803">
        <v>64</v>
      </c>
      <c r="CO803">
        <v>30</v>
      </c>
      <c r="CP803">
        <v>76</v>
      </c>
      <c r="CQ803">
        <v>74</v>
      </c>
      <c r="CR803">
        <v>77</v>
      </c>
      <c r="CS803">
        <v>44</v>
      </c>
      <c r="CT803">
        <v>26</v>
      </c>
      <c r="CU803">
        <v>41</v>
      </c>
      <c r="CV803">
        <v>88</v>
      </c>
      <c r="CW803">
        <v>62</v>
      </c>
      <c r="CX803">
        <v>95</v>
      </c>
      <c r="CY803">
        <v>11</v>
      </c>
      <c r="CZ803">
        <v>100</v>
      </c>
      <c r="DA803">
        <v>75</v>
      </c>
      <c r="DB803">
        <v>52</v>
      </c>
      <c r="DC803">
        <v>12</v>
      </c>
      <c r="DD803">
        <v>82</v>
      </c>
      <c r="DE803">
        <v>73</v>
      </c>
      <c r="DF803">
        <v>86</v>
      </c>
      <c r="DG803">
        <v>43</v>
      </c>
      <c r="DH803">
        <v>18</v>
      </c>
      <c r="DI803">
        <v>50</v>
      </c>
      <c r="DJ803">
        <v>11</v>
      </c>
      <c r="DK803">
        <v>41</v>
      </c>
    </row>
    <row r="804" spans="1:115">
      <c r="A804" s="173">
        <f>Calculations[[#This Row],[Sum t eCO2]]*IF(Calculations[[#This Row],[GHG Scope]]="BIOGENIC",0,1)</f>
        <v>114.59628945450001</v>
      </c>
      <c r="O804">
        <f t="shared" si="13"/>
        <v>147</v>
      </c>
      <c r="P804">
        <v>44</v>
      </c>
      <c r="Q804">
        <v>26</v>
      </c>
      <c r="R804">
        <v>14</v>
      </c>
      <c r="S804">
        <v>77</v>
      </c>
      <c r="T804">
        <v>22</v>
      </c>
      <c r="U804">
        <v>54</v>
      </c>
      <c r="V804">
        <v>70</v>
      </c>
      <c r="W804">
        <v>98</v>
      </c>
      <c r="X804">
        <v>85</v>
      </c>
      <c r="Y804">
        <v>99</v>
      </c>
      <c r="Z804">
        <v>13</v>
      </c>
      <c r="AA804">
        <v>76</v>
      </c>
      <c r="AB804">
        <v>12</v>
      </c>
      <c r="AC804">
        <v>27</v>
      </c>
      <c r="AD804">
        <v>41</v>
      </c>
      <c r="AE804">
        <v>46</v>
      </c>
      <c r="AF804">
        <v>17</v>
      </c>
      <c r="AG804">
        <v>25</v>
      </c>
      <c r="AH804">
        <v>81</v>
      </c>
      <c r="AI804">
        <v>26</v>
      </c>
      <c r="AJ804">
        <v>72</v>
      </c>
      <c r="AK804">
        <v>69</v>
      </c>
      <c r="AL804">
        <v>74</v>
      </c>
      <c r="AM804">
        <v>100</v>
      </c>
      <c r="AN804">
        <v>60</v>
      </c>
      <c r="AO804">
        <v>76</v>
      </c>
      <c r="AP804">
        <v>12</v>
      </c>
      <c r="AQ804">
        <v>10</v>
      </c>
      <c r="AR804">
        <v>59</v>
      </c>
      <c r="AS804">
        <v>71</v>
      </c>
      <c r="AT804">
        <v>48</v>
      </c>
      <c r="AU804">
        <v>89</v>
      </c>
      <c r="AV804">
        <v>16</v>
      </c>
      <c r="AW804">
        <v>60</v>
      </c>
      <c r="AX804">
        <v>95</v>
      </c>
      <c r="AY804">
        <v>87</v>
      </c>
      <c r="AZ804">
        <v>54</v>
      </c>
      <c r="BA804">
        <v>93</v>
      </c>
      <c r="BB804">
        <v>58</v>
      </c>
      <c r="BC804">
        <v>79</v>
      </c>
      <c r="BD804">
        <v>20</v>
      </c>
      <c r="BE804">
        <v>58</v>
      </c>
      <c r="BF804">
        <v>82</v>
      </c>
      <c r="BG804">
        <v>13</v>
      </c>
      <c r="BH804">
        <v>22</v>
      </c>
      <c r="BI804">
        <v>24</v>
      </c>
      <c r="BJ804">
        <v>95</v>
      </c>
      <c r="BK804">
        <v>71</v>
      </c>
      <c r="BL804">
        <v>97</v>
      </c>
      <c r="BM804">
        <v>60</v>
      </c>
      <c r="BN804">
        <v>39</v>
      </c>
      <c r="BO804">
        <v>10</v>
      </c>
      <c r="BP804">
        <v>41</v>
      </c>
      <c r="BQ804">
        <v>98</v>
      </c>
      <c r="BR804">
        <v>69</v>
      </c>
      <c r="BS804">
        <v>28</v>
      </c>
      <c r="BT804">
        <v>66</v>
      </c>
      <c r="BU804">
        <v>15</v>
      </c>
      <c r="BV804">
        <v>82</v>
      </c>
      <c r="BW804">
        <v>45</v>
      </c>
      <c r="BX804">
        <v>27</v>
      </c>
      <c r="BY804">
        <v>71</v>
      </c>
      <c r="BZ804">
        <v>49</v>
      </c>
      <c r="CA804">
        <v>64</v>
      </c>
      <c r="CB804">
        <v>48</v>
      </c>
      <c r="CC804">
        <v>56</v>
      </c>
      <c r="CD804">
        <v>73</v>
      </c>
      <c r="CE804">
        <v>85</v>
      </c>
      <c r="CF804">
        <v>98</v>
      </c>
      <c r="CG804">
        <v>73</v>
      </c>
      <c r="CH804">
        <v>73</v>
      </c>
      <c r="CI804">
        <v>61</v>
      </c>
      <c r="CJ804">
        <v>83</v>
      </c>
      <c r="CK804">
        <v>14</v>
      </c>
      <c r="CL804">
        <v>32</v>
      </c>
      <c r="CM804">
        <v>89</v>
      </c>
      <c r="CN804">
        <v>99</v>
      </c>
      <c r="CO804">
        <v>24</v>
      </c>
      <c r="CP804">
        <v>28</v>
      </c>
      <c r="CQ804">
        <v>96</v>
      </c>
      <c r="CR804">
        <v>45</v>
      </c>
      <c r="CS804">
        <v>73</v>
      </c>
      <c r="CT804">
        <v>60</v>
      </c>
      <c r="CU804">
        <v>60</v>
      </c>
      <c r="CV804">
        <v>77</v>
      </c>
      <c r="CW804">
        <v>17</v>
      </c>
      <c r="CX804">
        <v>74</v>
      </c>
      <c r="CY804">
        <v>72</v>
      </c>
      <c r="CZ804">
        <v>11</v>
      </c>
      <c r="DA804">
        <v>62</v>
      </c>
      <c r="DB804">
        <v>76</v>
      </c>
      <c r="DC804">
        <v>93</v>
      </c>
      <c r="DD804">
        <v>51</v>
      </c>
      <c r="DE804">
        <v>25</v>
      </c>
      <c r="DF804">
        <v>23</v>
      </c>
      <c r="DG804">
        <v>29</v>
      </c>
      <c r="DH804">
        <v>64</v>
      </c>
      <c r="DI804">
        <v>29</v>
      </c>
      <c r="DJ804">
        <v>62</v>
      </c>
      <c r="DK804">
        <v>46</v>
      </c>
    </row>
    <row r="805" spans="1:115">
      <c r="A805" s="173">
        <f>Calculations[[#This Row],[Sum t eCO2]]*IF(Calculations[[#This Row],[GHG Scope]]="BIOGENIC",0,1)</f>
        <v>7.6252394262200003</v>
      </c>
      <c r="O805">
        <f t="shared" si="13"/>
        <v>148</v>
      </c>
      <c r="P805">
        <v>47</v>
      </c>
      <c r="Q805">
        <v>23</v>
      </c>
      <c r="R805">
        <v>81</v>
      </c>
      <c r="S805">
        <v>45</v>
      </c>
      <c r="T805">
        <v>88</v>
      </c>
      <c r="U805">
        <v>93</v>
      </c>
      <c r="V805">
        <v>28</v>
      </c>
      <c r="W805">
        <v>22</v>
      </c>
      <c r="X805">
        <v>44</v>
      </c>
      <c r="Y805">
        <v>68</v>
      </c>
      <c r="Z805">
        <v>35</v>
      </c>
      <c r="AA805">
        <v>71</v>
      </c>
      <c r="AB805">
        <v>12</v>
      </c>
      <c r="AC805">
        <v>20</v>
      </c>
      <c r="AD805">
        <v>59</v>
      </c>
      <c r="AE805">
        <v>75</v>
      </c>
      <c r="AF805">
        <v>70</v>
      </c>
      <c r="AG805">
        <v>36</v>
      </c>
      <c r="AH805">
        <v>44</v>
      </c>
      <c r="AI805">
        <v>16</v>
      </c>
      <c r="AJ805">
        <v>38</v>
      </c>
      <c r="AK805">
        <v>79</v>
      </c>
      <c r="AL805">
        <v>61</v>
      </c>
      <c r="AM805">
        <v>21</v>
      </c>
      <c r="AN805">
        <v>76</v>
      </c>
      <c r="AO805">
        <v>59</v>
      </c>
      <c r="AP805">
        <v>39</v>
      </c>
      <c r="AQ805">
        <v>59</v>
      </c>
      <c r="AR805">
        <v>30</v>
      </c>
      <c r="AS805">
        <v>75</v>
      </c>
      <c r="AT805">
        <v>11</v>
      </c>
      <c r="AU805">
        <v>18</v>
      </c>
      <c r="AV805">
        <v>43</v>
      </c>
      <c r="AW805">
        <v>67</v>
      </c>
      <c r="AX805">
        <v>10</v>
      </c>
      <c r="AY805">
        <v>81</v>
      </c>
      <c r="AZ805">
        <v>71</v>
      </c>
      <c r="BA805">
        <v>46</v>
      </c>
      <c r="BB805">
        <v>68</v>
      </c>
      <c r="BC805">
        <v>44</v>
      </c>
      <c r="BD805">
        <v>42</v>
      </c>
      <c r="BE805">
        <v>58</v>
      </c>
      <c r="BF805">
        <v>10</v>
      </c>
      <c r="BG805">
        <v>55</v>
      </c>
      <c r="BH805">
        <v>72</v>
      </c>
      <c r="BI805">
        <v>96</v>
      </c>
      <c r="BJ805">
        <v>11</v>
      </c>
      <c r="BK805">
        <v>62</v>
      </c>
      <c r="BL805">
        <v>98</v>
      </c>
      <c r="BM805">
        <v>14</v>
      </c>
      <c r="BN805">
        <v>11</v>
      </c>
      <c r="BO805">
        <v>33</v>
      </c>
      <c r="BP805">
        <v>63</v>
      </c>
      <c r="BQ805">
        <v>22</v>
      </c>
      <c r="BR805">
        <v>85</v>
      </c>
      <c r="BS805">
        <v>23</v>
      </c>
      <c r="BT805">
        <v>75</v>
      </c>
      <c r="BU805">
        <v>30</v>
      </c>
      <c r="BV805">
        <v>17</v>
      </c>
      <c r="BW805">
        <v>81</v>
      </c>
      <c r="BX805">
        <v>76</v>
      </c>
      <c r="BY805">
        <v>36</v>
      </c>
      <c r="BZ805">
        <v>55</v>
      </c>
      <c r="CA805">
        <v>69</v>
      </c>
      <c r="CB805">
        <v>40</v>
      </c>
      <c r="CC805">
        <v>53</v>
      </c>
      <c r="CD805">
        <v>99</v>
      </c>
      <c r="CE805">
        <v>83</v>
      </c>
      <c r="CF805">
        <v>60</v>
      </c>
      <c r="CG805">
        <v>40</v>
      </c>
      <c r="CH805">
        <v>16</v>
      </c>
      <c r="CI805">
        <v>51</v>
      </c>
      <c r="CJ805">
        <v>27</v>
      </c>
      <c r="CK805">
        <v>54</v>
      </c>
      <c r="CL805">
        <v>35</v>
      </c>
      <c r="CM805">
        <v>34</v>
      </c>
      <c r="CN805">
        <v>34</v>
      </c>
      <c r="CO805">
        <v>12</v>
      </c>
      <c r="CP805">
        <v>15</v>
      </c>
      <c r="CQ805">
        <v>15</v>
      </c>
      <c r="CR805">
        <v>63</v>
      </c>
      <c r="CS805">
        <v>69</v>
      </c>
      <c r="CT805">
        <v>81</v>
      </c>
      <c r="CU805">
        <v>61</v>
      </c>
      <c r="CV805">
        <v>55</v>
      </c>
      <c r="CW805">
        <v>24</v>
      </c>
      <c r="CX805">
        <v>27</v>
      </c>
      <c r="CY805">
        <v>41</v>
      </c>
      <c r="CZ805">
        <v>44</v>
      </c>
      <c r="DA805">
        <v>86</v>
      </c>
      <c r="DB805">
        <v>84</v>
      </c>
      <c r="DC805">
        <v>14</v>
      </c>
      <c r="DD805">
        <v>34</v>
      </c>
      <c r="DE805">
        <v>42</v>
      </c>
      <c r="DF805">
        <v>66</v>
      </c>
      <c r="DG805">
        <v>37</v>
      </c>
      <c r="DH805">
        <v>80</v>
      </c>
      <c r="DI805">
        <v>93</v>
      </c>
      <c r="DJ805">
        <v>100</v>
      </c>
      <c r="DK805">
        <v>58</v>
      </c>
    </row>
    <row r="806" spans="1:115">
      <c r="A806" s="173">
        <f>Calculations[[#This Row],[Sum t eCO2]]*IF(Calculations[[#This Row],[GHG Scope]]="BIOGENIC",0,1)</f>
        <v>34.375751520000001</v>
      </c>
      <c r="O806">
        <f t="shared" si="13"/>
        <v>149</v>
      </c>
      <c r="P806">
        <v>64</v>
      </c>
      <c r="Q806">
        <v>76</v>
      </c>
      <c r="R806">
        <v>97</v>
      </c>
      <c r="S806">
        <v>84</v>
      </c>
      <c r="T806">
        <v>55</v>
      </c>
      <c r="U806">
        <v>31</v>
      </c>
      <c r="V806">
        <v>76</v>
      </c>
      <c r="W806">
        <v>15</v>
      </c>
      <c r="X806">
        <v>26</v>
      </c>
      <c r="Y806">
        <v>70</v>
      </c>
      <c r="Z806">
        <v>93</v>
      </c>
      <c r="AA806">
        <v>85</v>
      </c>
      <c r="AB806">
        <v>99</v>
      </c>
      <c r="AC806">
        <v>44</v>
      </c>
      <c r="AD806">
        <v>26</v>
      </c>
      <c r="AE806">
        <v>15</v>
      </c>
      <c r="AF806">
        <v>83</v>
      </c>
      <c r="AG806">
        <v>96</v>
      </c>
      <c r="AH806">
        <v>93</v>
      </c>
      <c r="AI806">
        <v>28</v>
      </c>
      <c r="AJ806">
        <v>20</v>
      </c>
      <c r="AK806">
        <v>48</v>
      </c>
      <c r="AL806">
        <v>67</v>
      </c>
      <c r="AM806">
        <v>76</v>
      </c>
      <c r="AN806">
        <v>67</v>
      </c>
      <c r="AO806">
        <v>11</v>
      </c>
      <c r="AP806">
        <v>42</v>
      </c>
      <c r="AQ806">
        <v>29</v>
      </c>
      <c r="AR806">
        <v>82</v>
      </c>
      <c r="AS806">
        <v>94</v>
      </c>
      <c r="AT806">
        <v>15</v>
      </c>
      <c r="AU806">
        <v>13</v>
      </c>
      <c r="AV806">
        <v>81</v>
      </c>
      <c r="AW806">
        <v>89</v>
      </c>
      <c r="AX806">
        <v>21</v>
      </c>
      <c r="AY806">
        <v>59</v>
      </c>
      <c r="AZ806">
        <v>60</v>
      </c>
      <c r="BA806">
        <v>93</v>
      </c>
      <c r="BB806">
        <v>45</v>
      </c>
      <c r="BC806">
        <v>29</v>
      </c>
      <c r="BD806">
        <v>70</v>
      </c>
      <c r="BE806">
        <v>16</v>
      </c>
      <c r="BF806">
        <v>87</v>
      </c>
      <c r="BG806">
        <v>41</v>
      </c>
      <c r="BH806">
        <v>43</v>
      </c>
      <c r="BI806">
        <v>47</v>
      </c>
      <c r="BJ806">
        <v>18</v>
      </c>
      <c r="BK806">
        <v>99</v>
      </c>
      <c r="BL806">
        <v>18</v>
      </c>
      <c r="BM806">
        <v>51</v>
      </c>
      <c r="BN806">
        <v>46</v>
      </c>
      <c r="BO806">
        <v>64</v>
      </c>
      <c r="BP806">
        <v>98</v>
      </c>
      <c r="BQ806">
        <v>49</v>
      </c>
      <c r="BR806">
        <v>94</v>
      </c>
      <c r="BS806">
        <v>32</v>
      </c>
      <c r="BT806">
        <v>88</v>
      </c>
      <c r="BU806">
        <v>28</v>
      </c>
      <c r="BV806">
        <v>43</v>
      </c>
      <c r="BW806">
        <v>60</v>
      </c>
      <c r="BX806">
        <v>71</v>
      </c>
      <c r="BY806">
        <v>19</v>
      </c>
      <c r="BZ806">
        <v>46</v>
      </c>
      <c r="CA806">
        <v>32</v>
      </c>
      <c r="CB806">
        <v>35</v>
      </c>
      <c r="CC806">
        <v>29</v>
      </c>
      <c r="CD806">
        <v>97</v>
      </c>
      <c r="CE806">
        <v>20</v>
      </c>
      <c r="CF806">
        <v>100</v>
      </c>
      <c r="CG806">
        <v>69</v>
      </c>
      <c r="CH806">
        <v>42</v>
      </c>
      <c r="CI806">
        <v>23</v>
      </c>
      <c r="CJ806">
        <v>15</v>
      </c>
      <c r="CK806">
        <v>87</v>
      </c>
      <c r="CL806">
        <v>49</v>
      </c>
      <c r="CM806">
        <v>90</v>
      </c>
      <c r="CN806">
        <v>29</v>
      </c>
      <c r="CO806">
        <v>75</v>
      </c>
      <c r="CP806">
        <v>99</v>
      </c>
      <c r="CQ806">
        <v>78</v>
      </c>
      <c r="CR806">
        <v>11</v>
      </c>
      <c r="CS806">
        <v>97</v>
      </c>
      <c r="CT806">
        <v>42</v>
      </c>
      <c r="CU806">
        <v>65</v>
      </c>
      <c r="CV806">
        <v>57</v>
      </c>
      <c r="CW806">
        <v>50</v>
      </c>
      <c r="CX806">
        <v>42</v>
      </c>
      <c r="CY806">
        <v>96</v>
      </c>
      <c r="CZ806">
        <v>98</v>
      </c>
      <c r="DA806">
        <v>10</v>
      </c>
      <c r="DB806">
        <v>96</v>
      </c>
      <c r="DC806">
        <v>46</v>
      </c>
      <c r="DD806">
        <v>81</v>
      </c>
      <c r="DE806">
        <v>97</v>
      </c>
      <c r="DF806">
        <v>63</v>
      </c>
      <c r="DG806">
        <v>86</v>
      </c>
      <c r="DH806">
        <v>64</v>
      </c>
      <c r="DI806">
        <v>68</v>
      </c>
      <c r="DJ806">
        <v>19</v>
      </c>
      <c r="DK806">
        <v>99</v>
      </c>
    </row>
    <row r="807" spans="1:115">
      <c r="A807" s="173">
        <f>Calculations[[#This Row],[Sum t eCO2]]*IF(Calculations[[#This Row],[GHG Scope]]="BIOGENIC",0,1)</f>
        <v>822.70239407999998</v>
      </c>
      <c r="O807">
        <f t="shared" si="13"/>
        <v>150</v>
      </c>
      <c r="P807">
        <v>36</v>
      </c>
      <c r="Q807">
        <v>61</v>
      </c>
      <c r="R807">
        <v>72</v>
      </c>
      <c r="S807">
        <v>77</v>
      </c>
      <c r="T807">
        <v>97</v>
      </c>
      <c r="U807">
        <v>16</v>
      </c>
      <c r="V807">
        <v>11</v>
      </c>
      <c r="W807">
        <v>93</v>
      </c>
      <c r="X807">
        <v>85</v>
      </c>
      <c r="Y807">
        <v>35</v>
      </c>
      <c r="Z807">
        <v>41</v>
      </c>
      <c r="AA807">
        <v>88</v>
      </c>
      <c r="AB807">
        <v>92</v>
      </c>
      <c r="AC807">
        <v>71</v>
      </c>
      <c r="AD807">
        <v>87</v>
      </c>
      <c r="AE807">
        <v>90</v>
      </c>
      <c r="AF807">
        <v>46</v>
      </c>
      <c r="AG807">
        <v>98</v>
      </c>
      <c r="AH807">
        <v>89</v>
      </c>
      <c r="AI807">
        <v>45</v>
      </c>
      <c r="AJ807">
        <v>12</v>
      </c>
      <c r="AK807">
        <v>20</v>
      </c>
      <c r="AL807">
        <v>99</v>
      </c>
      <c r="AM807">
        <v>69</v>
      </c>
      <c r="AN807">
        <v>59</v>
      </c>
      <c r="AO807">
        <v>81</v>
      </c>
      <c r="AP807">
        <v>89</v>
      </c>
      <c r="AQ807">
        <v>39</v>
      </c>
      <c r="AR807">
        <v>98</v>
      </c>
      <c r="AS807">
        <v>65</v>
      </c>
      <c r="AT807">
        <v>82</v>
      </c>
      <c r="AU807">
        <v>72</v>
      </c>
      <c r="AV807">
        <v>28</v>
      </c>
      <c r="AW807">
        <v>74</v>
      </c>
      <c r="AX807">
        <v>86</v>
      </c>
      <c r="AY807">
        <v>73</v>
      </c>
      <c r="AZ807">
        <v>35</v>
      </c>
      <c r="BA807">
        <v>95</v>
      </c>
      <c r="BB807">
        <v>17</v>
      </c>
      <c r="BC807">
        <v>94</v>
      </c>
      <c r="BD807">
        <v>97</v>
      </c>
      <c r="BE807">
        <v>97</v>
      </c>
      <c r="BF807">
        <v>16</v>
      </c>
      <c r="BG807">
        <v>36</v>
      </c>
      <c r="BH807">
        <v>50</v>
      </c>
      <c r="BI807">
        <v>98</v>
      </c>
      <c r="BJ807">
        <v>86</v>
      </c>
      <c r="BK807">
        <v>41</v>
      </c>
      <c r="BL807">
        <v>85</v>
      </c>
      <c r="BM807">
        <v>79</v>
      </c>
      <c r="BN807">
        <v>45</v>
      </c>
      <c r="BO807">
        <v>80</v>
      </c>
      <c r="BP807">
        <v>37</v>
      </c>
      <c r="BQ807">
        <v>92</v>
      </c>
      <c r="BR807">
        <v>23</v>
      </c>
      <c r="BS807">
        <v>57</v>
      </c>
      <c r="BT807">
        <v>99</v>
      </c>
      <c r="BU807">
        <v>12</v>
      </c>
      <c r="BV807">
        <v>61</v>
      </c>
      <c r="BW807">
        <v>91</v>
      </c>
      <c r="BX807">
        <v>48</v>
      </c>
      <c r="BY807">
        <v>29</v>
      </c>
      <c r="BZ807">
        <v>15</v>
      </c>
      <c r="CA807">
        <v>44</v>
      </c>
      <c r="CB807">
        <v>57</v>
      </c>
      <c r="CC807">
        <v>41</v>
      </c>
      <c r="CD807">
        <v>83</v>
      </c>
      <c r="CE807">
        <v>21</v>
      </c>
      <c r="CF807">
        <v>53</v>
      </c>
      <c r="CG807">
        <v>62</v>
      </c>
      <c r="CH807">
        <v>31</v>
      </c>
      <c r="CI807">
        <v>89</v>
      </c>
      <c r="CJ807">
        <v>62</v>
      </c>
      <c r="CK807">
        <v>98</v>
      </c>
      <c r="CL807">
        <v>82</v>
      </c>
      <c r="CM807">
        <v>58</v>
      </c>
      <c r="CN807">
        <v>58</v>
      </c>
      <c r="CO807">
        <v>50</v>
      </c>
      <c r="CP807">
        <v>93</v>
      </c>
      <c r="CQ807">
        <v>51</v>
      </c>
      <c r="CR807">
        <v>56</v>
      </c>
      <c r="CS807">
        <v>72</v>
      </c>
      <c r="CT807">
        <v>89</v>
      </c>
      <c r="CU807">
        <v>74</v>
      </c>
      <c r="CV807">
        <v>71</v>
      </c>
      <c r="CW807">
        <v>51</v>
      </c>
      <c r="CX807">
        <v>29</v>
      </c>
      <c r="CY807">
        <v>47</v>
      </c>
      <c r="CZ807">
        <v>41</v>
      </c>
      <c r="DA807">
        <v>34</v>
      </c>
      <c r="DB807">
        <v>69</v>
      </c>
      <c r="DC807">
        <v>38</v>
      </c>
      <c r="DD807">
        <v>15</v>
      </c>
      <c r="DE807">
        <v>82</v>
      </c>
      <c r="DF807">
        <v>51</v>
      </c>
      <c r="DG807">
        <v>32</v>
      </c>
      <c r="DH807">
        <v>35</v>
      </c>
      <c r="DI807">
        <v>64</v>
      </c>
      <c r="DJ807">
        <v>20</v>
      </c>
      <c r="DK807">
        <v>83</v>
      </c>
    </row>
    <row r="808" spans="1:115">
      <c r="A808" s="173">
        <f>Calculations[[#This Row],[Sum t eCO2]]*IF(Calculations[[#This Row],[GHG Scope]]="BIOGENIC",0,1)</f>
        <v>826.89583069454989</v>
      </c>
      <c r="O808">
        <f t="shared" si="13"/>
        <v>151</v>
      </c>
      <c r="P808">
        <v>76</v>
      </c>
      <c r="Q808">
        <v>28</v>
      </c>
      <c r="R808">
        <v>46</v>
      </c>
      <c r="S808">
        <v>89</v>
      </c>
      <c r="T808">
        <v>85</v>
      </c>
      <c r="U808">
        <v>82</v>
      </c>
      <c r="V808">
        <v>81</v>
      </c>
      <c r="W808">
        <v>95</v>
      </c>
      <c r="X808">
        <v>54</v>
      </c>
      <c r="Y808">
        <v>96</v>
      </c>
      <c r="Z808">
        <v>99</v>
      </c>
      <c r="AA808">
        <v>64</v>
      </c>
      <c r="AB808">
        <v>59</v>
      </c>
      <c r="AC808">
        <v>81</v>
      </c>
      <c r="AD808">
        <v>87</v>
      </c>
      <c r="AE808">
        <v>65</v>
      </c>
      <c r="AF808">
        <v>92</v>
      </c>
      <c r="AG808">
        <v>32</v>
      </c>
      <c r="AH808">
        <v>70</v>
      </c>
      <c r="AI808">
        <v>18</v>
      </c>
      <c r="AJ808">
        <v>18</v>
      </c>
      <c r="AK808">
        <v>27</v>
      </c>
      <c r="AL808">
        <v>57</v>
      </c>
      <c r="AM808">
        <v>43</v>
      </c>
      <c r="AN808">
        <v>72</v>
      </c>
      <c r="AO808">
        <v>91</v>
      </c>
      <c r="AP808">
        <v>91</v>
      </c>
      <c r="AQ808">
        <v>86</v>
      </c>
      <c r="AR808">
        <v>53</v>
      </c>
      <c r="AS808">
        <v>48</v>
      </c>
      <c r="AT808">
        <v>75</v>
      </c>
      <c r="AU808">
        <v>36</v>
      </c>
      <c r="AV808">
        <v>36</v>
      </c>
      <c r="AW808">
        <v>65</v>
      </c>
      <c r="AX808">
        <v>81</v>
      </c>
      <c r="AY808">
        <v>11</v>
      </c>
      <c r="AZ808">
        <v>83</v>
      </c>
      <c r="BA808">
        <v>69</v>
      </c>
      <c r="BB808">
        <v>19</v>
      </c>
      <c r="BC808">
        <v>86</v>
      </c>
      <c r="BD808">
        <v>13</v>
      </c>
      <c r="BE808">
        <v>79</v>
      </c>
      <c r="BF808">
        <v>32</v>
      </c>
      <c r="BG808">
        <v>19</v>
      </c>
      <c r="BH808">
        <v>93</v>
      </c>
      <c r="BI808">
        <v>88</v>
      </c>
      <c r="BJ808">
        <v>73</v>
      </c>
      <c r="BK808">
        <v>80</v>
      </c>
      <c r="BL808">
        <v>38</v>
      </c>
      <c r="BM808">
        <v>53</v>
      </c>
      <c r="BN808">
        <v>34</v>
      </c>
      <c r="BO808">
        <v>68</v>
      </c>
      <c r="BP808">
        <v>62</v>
      </c>
      <c r="BQ808">
        <v>12</v>
      </c>
      <c r="BR808">
        <v>36</v>
      </c>
      <c r="BS808">
        <v>17</v>
      </c>
      <c r="BT808">
        <v>83</v>
      </c>
      <c r="BU808">
        <v>82</v>
      </c>
      <c r="BV808">
        <v>85</v>
      </c>
      <c r="BW808">
        <v>82</v>
      </c>
      <c r="BX808">
        <v>53</v>
      </c>
      <c r="BY808">
        <v>28</v>
      </c>
      <c r="BZ808">
        <v>92</v>
      </c>
      <c r="CA808">
        <v>81</v>
      </c>
      <c r="CB808">
        <v>89</v>
      </c>
      <c r="CC808">
        <v>74</v>
      </c>
      <c r="CD808">
        <v>66</v>
      </c>
      <c r="CE808">
        <v>68</v>
      </c>
      <c r="CF808">
        <v>22</v>
      </c>
      <c r="CG808">
        <v>38</v>
      </c>
      <c r="CH808">
        <v>43</v>
      </c>
      <c r="CI808">
        <v>69</v>
      </c>
      <c r="CJ808">
        <v>36</v>
      </c>
      <c r="CK808">
        <v>56</v>
      </c>
      <c r="CL808">
        <v>29</v>
      </c>
      <c r="CM808">
        <v>62</v>
      </c>
      <c r="CN808">
        <v>47</v>
      </c>
      <c r="CO808">
        <v>21</v>
      </c>
      <c r="CP808">
        <v>28</v>
      </c>
      <c r="CQ808">
        <v>77</v>
      </c>
      <c r="CR808">
        <v>46</v>
      </c>
      <c r="CS808">
        <v>45</v>
      </c>
      <c r="CT808">
        <v>11</v>
      </c>
      <c r="CU808">
        <v>12</v>
      </c>
      <c r="CV808">
        <v>30</v>
      </c>
      <c r="CW808">
        <v>47</v>
      </c>
      <c r="CX808">
        <v>11</v>
      </c>
      <c r="CY808">
        <v>24</v>
      </c>
      <c r="CZ808">
        <v>72</v>
      </c>
      <c r="DA808">
        <v>50</v>
      </c>
      <c r="DB808">
        <v>89</v>
      </c>
      <c r="DC808">
        <v>68</v>
      </c>
      <c r="DD808">
        <v>29</v>
      </c>
      <c r="DE808">
        <v>65</v>
      </c>
      <c r="DF808">
        <v>48</v>
      </c>
      <c r="DG808">
        <v>33</v>
      </c>
      <c r="DH808">
        <v>93</v>
      </c>
      <c r="DI808">
        <v>44</v>
      </c>
      <c r="DJ808">
        <v>30</v>
      </c>
      <c r="DK808">
        <v>71</v>
      </c>
    </row>
    <row r="809" spans="1:115">
      <c r="A809" s="173">
        <f>Calculations[[#This Row],[Sum t eCO2]]*IF(Calculations[[#This Row],[GHG Scope]]="BIOGENIC",0,1)</f>
        <v>0.16304841999999997</v>
      </c>
      <c r="O809">
        <f t="shared" si="13"/>
        <v>152</v>
      </c>
      <c r="P809">
        <v>39</v>
      </c>
      <c r="Q809">
        <v>58</v>
      </c>
      <c r="R809">
        <v>91</v>
      </c>
      <c r="S809">
        <v>13</v>
      </c>
      <c r="T809">
        <v>63</v>
      </c>
      <c r="U809">
        <v>60</v>
      </c>
      <c r="V809">
        <v>79</v>
      </c>
      <c r="W809">
        <v>66</v>
      </c>
      <c r="X809">
        <v>50</v>
      </c>
      <c r="Y809">
        <v>93</v>
      </c>
      <c r="Z809">
        <v>18</v>
      </c>
      <c r="AA809">
        <v>98</v>
      </c>
      <c r="AB809">
        <v>81</v>
      </c>
      <c r="AC809">
        <v>29</v>
      </c>
      <c r="AD809">
        <v>30</v>
      </c>
      <c r="AE809">
        <v>75</v>
      </c>
      <c r="AF809">
        <v>48</v>
      </c>
      <c r="AG809">
        <v>51</v>
      </c>
      <c r="AH809">
        <v>68</v>
      </c>
      <c r="AI809">
        <v>34</v>
      </c>
      <c r="AJ809">
        <v>57</v>
      </c>
      <c r="AK809">
        <v>78</v>
      </c>
      <c r="AL809">
        <v>53</v>
      </c>
      <c r="AM809">
        <v>33</v>
      </c>
      <c r="AN809">
        <v>26</v>
      </c>
      <c r="AO809">
        <v>74</v>
      </c>
      <c r="AP809">
        <v>11</v>
      </c>
      <c r="AQ809">
        <v>37</v>
      </c>
      <c r="AR809">
        <v>53</v>
      </c>
      <c r="AS809">
        <v>10</v>
      </c>
      <c r="AT809">
        <v>27</v>
      </c>
      <c r="AU809">
        <v>73</v>
      </c>
      <c r="AV809">
        <v>75</v>
      </c>
      <c r="AW809">
        <v>84</v>
      </c>
      <c r="AX809">
        <v>79</v>
      </c>
      <c r="AY809">
        <v>50</v>
      </c>
      <c r="AZ809">
        <v>18</v>
      </c>
      <c r="BA809">
        <v>29</v>
      </c>
      <c r="BB809">
        <v>82</v>
      </c>
      <c r="BC809">
        <v>84</v>
      </c>
      <c r="BD809">
        <v>86</v>
      </c>
      <c r="BE809">
        <v>32</v>
      </c>
      <c r="BF809">
        <v>41</v>
      </c>
      <c r="BG809">
        <v>90</v>
      </c>
      <c r="BH809">
        <v>20</v>
      </c>
      <c r="BI809">
        <v>98</v>
      </c>
      <c r="BJ809">
        <v>99</v>
      </c>
      <c r="BK809">
        <v>38</v>
      </c>
      <c r="BL809">
        <v>92</v>
      </c>
      <c r="BM809">
        <v>69</v>
      </c>
      <c r="BN809">
        <v>25</v>
      </c>
      <c r="BO809">
        <v>52</v>
      </c>
      <c r="BP809">
        <v>44</v>
      </c>
      <c r="BQ809">
        <v>76</v>
      </c>
      <c r="BR809">
        <v>74</v>
      </c>
      <c r="BS809">
        <v>69</v>
      </c>
      <c r="BT809">
        <v>57</v>
      </c>
      <c r="BU809">
        <v>41</v>
      </c>
      <c r="BV809">
        <v>20</v>
      </c>
      <c r="BW809">
        <v>53</v>
      </c>
      <c r="BX809">
        <v>83</v>
      </c>
      <c r="BY809">
        <v>53</v>
      </c>
      <c r="BZ809">
        <v>53</v>
      </c>
      <c r="CA809">
        <v>60</v>
      </c>
      <c r="CB809">
        <v>27</v>
      </c>
      <c r="CC809">
        <v>46</v>
      </c>
      <c r="CD809">
        <v>40</v>
      </c>
      <c r="CE809">
        <v>77</v>
      </c>
      <c r="CF809">
        <v>42</v>
      </c>
      <c r="CG809">
        <v>48</v>
      </c>
      <c r="CH809">
        <v>19</v>
      </c>
      <c r="CI809">
        <v>53</v>
      </c>
      <c r="CJ809">
        <v>80</v>
      </c>
      <c r="CK809">
        <v>43</v>
      </c>
      <c r="CL809">
        <v>34</v>
      </c>
      <c r="CM809">
        <v>64</v>
      </c>
      <c r="CN809">
        <v>74</v>
      </c>
      <c r="CO809">
        <v>88</v>
      </c>
      <c r="CP809">
        <v>35</v>
      </c>
      <c r="CQ809">
        <v>40</v>
      </c>
      <c r="CR809">
        <v>77</v>
      </c>
      <c r="CS809">
        <v>59</v>
      </c>
      <c r="CT809">
        <v>89</v>
      </c>
      <c r="CU809">
        <v>71</v>
      </c>
      <c r="CV809">
        <v>56</v>
      </c>
      <c r="CW809">
        <v>59</v>
      </c>
      <c r="CX809">
        <v>28</v>
      </c>
      <c r="CY809">
        <v>34</v>
      </c>
      <c r="CZ809">
        <v>13</v>
      </c>
      <c r="DA809">
        <v>87</v>
      </c>
      <c r="DB809">
        <v>70</v>
      </c>
      <c r="DC809">
        <v>46</v>
      </c>
      <c r="DD809">
        <v>36</v>
      </c>
      <c r="DE809">
        <v>75</v>
      </c>
      <c r="DF809">
        <v>83</v>
      </c>
      <c r="DG809">
        <v>32</v>
      </c>
      <c r="DH809">
        <v>30</v>
      </c>
      <c r="DI809">
        <v>61</v>
      </c>
      <c r="DJ809">
        <v>62</v>
      </c>
      <c r="DK809">
        <v>16</v>
      </c>
    </row>
    <row r="810" spans="1:115">
      <c r="A810" s="173">
        <f>Calculations[[#This Row],[Sum t eCO2]]*IF(Calculations[[#This Row],[GHG Scope]]="BIOGENIC",0,1)</f>
        <v>53.762037487535338</v>
      </c>
      <c r="O810">
        <f t="shared" si="13"/>
        <v>153</v>
      </c>
      <c r="P810">
        <v>22</v>
      </c>
      <c r="Q810">
        <v>73</v>
      </c>
      <c r="R810">
        <v>64</v>
      </c>
      <c r="S810">
        <v>40</v>
      </c>
      <c r="T810">
        <v>74</v>
      </c>
      <c r="U810">
        <v>63</v>
      </c>
      <c r="V810">
        <v>54</v>
      </c>
      <c r="W810">
        <v>32</v>
      </c>
      <c r="X810">
        <v>40</v>
      </c>
      <c r="Y810">
        <v>25</v>
      </c>
      <c r="Z810">
        <v>71</v>
      </c>
      <c r="AA810">
        <v>36</v>
      </c>
      <c r="AB810">
        <v>12</v>
      </c>
      <c r="AC810">
        <v>46</v>
      </c>
      <c r="AD810">
        <v>62</v>
      </c>
      <c r="AE810">
        <v>27</v>
      </c>
      <c r="AF810">
        <v>48</v>
      </c>
      <c r="AG810">
        <v>33</v>
      </c>
      <c r="AH810">
        <v>32</v>
      </c>
      <c r="AI810">
        <v>76</v>
      </c>
      <c r="AJ810">
        <v>21</v>
      </c>
      <c r="AK810">
        <v>20</v>
      </c>
      <c r="AL810">
        <v>59</v>
      </c>
      <c r="AM810">
        <v>74</v>
      </c>
      <c r="AN810">
        <v>82</v>
      </c>
      <c r="AO810">
        <v>22</v>
      </c>
      <c r="AP810">
        <v>37</v>
      </c>
      <c r="AQ810">
        <v>63</v>
      </c>
      <c r="AR810">
        <v>30</v>
      </c>
      <c r="AS810">
        <v>29</v>
      </c>
      <c r="AT810">
        <v>62</v>
      </c>
      <c r="AU810">
        <v>18</v>
      </c>
      <c r="AV810">
        <v>17</v>
      </c>
      <c r="AW810">
        <v>38</v>
      </c>
      <c r="AX810">
        <v>54</v>
      </c>
      <c r="AY810">
        <v>16</v>
      </c>
      <c r="AZ810">
        <v>93</v>
      </c>
      <c r="BA810">
        <v>38</v>
      </c>
      <c r="BB810">
        <v>52</v>
      </c>
      <c r="BC810">
        <v>95</v>
      </c>
      <c r="BD810">
        <v>39</v>
      </c>
      <c r="BE810">
        <v>67</v>
      </c>
      <c r="BF810">
        <v>56</v>
      </c>
      <c r="BG810">
        <v>67</v>
      </c>
      <c r="BH810">
        <v>51</v>
      </c>
      <c r="BI810">
        <v>56</v>
      </c>
      <c r="BJ810">
        <v>15</v>
      </c>
      <c r="BK810">
        <v>41</v>
      </c>
      <c r="BL810">
        <v>96</v>
      </c>
      <c r="BM810">
        <v>62</v>
      </c>
      <c r="BN810">
        <v>44</v>
      </c>
      <c r="BO810">
        <v>80</v>
      </c>
      <c r="BP810">
        <v>81</v>
      </c>
      <c r="BQ810">
        <v>56</v>
      </c>
      <c r="BR810">
        <v>70</v>
      </c>
      <c r="BS810">
        <v>21</v>
      </c>
      <c r="BT810">
        <v>20</v>
      </c>
      <c r="BU810">
        <v>48</v>
      </c>
      <c r="BV810">
        <v>77</v>
      </c>
      <c r="BW810">
        <v>42</v>
      </c>
      <c r="BX810">
        <v>93</v>
      </c>
      <c r="BY810">
        <v>81</v>
      </c>
      <c r="BZ810">
        <v>58</v>
      </c>
      <c r="CA810">
        <v>42</v>
      </c>
      <c r="CB810">
        <v>43</v>
      </c>
      <c r="CC810">
        <v>41</v>
      </c>
      <c r="CD810">
        <v>53</v>
      </c>
      <c r="CE810">
        <v>72</v>
      </c>
      <c r="CF810">
        <v>97</v>
      </c>
      <c r="CG810">
        <v>52</v>
      </c>
      <c r="CH810">
        <v>20</v>
      </c>
      <c r="CI810">
        <v>30</v>
      </c>
      <c r="CJ810">
        <v>99</v>
      </c>
      <c r="CK810">
        <v>82</v>
      </c>
      <c r="CL810">
        <v>21</v>
      </c>
      <c r="CM810">
        <v>27</v>
      </c>
      <c r="CN810">
        <v>20</v>
      </c>
      <c r="CO810">
        <v>69</v>
      </c>
      <c r="CP810">
        <v>99</v>
      </c>
      <c r="CQ810">
        <v>91</v>
      </c>
      <c r="CR810">
        <v>50</v>
      </c>
      <c r="CS810">
        <v>96</v>
      </c>
      <c r="CT810">
        <v>46</v>
      </c>
      <c r="CU810">
        <v>42</v>
      </c>
      <c r="CV810">
        <v>74</v>
      </c>
      <c r="CW810">
        <v>69</v>
      </c>
      <c r="CX810">
        <v>95</v>
      </c>
      <c r="CY810">
        <v>66</v>
      </c>
      <c r="CZ810">
        <v>50</v>
      </c>
      <c r="DA810">
        <v>100</v>
      </c>
      <c r="DB810">
        <v>81</v>
      </c>
      <c r="DC810">
        <v>34</v>
      </c>
      <c r="DD810">
        <v>51</v>
      </c>
      <c r="DE810">
        <v>56</v>
      </c>
      <c r="DF810">
        <v>32</v>
      </c>
      <c r="DG810">
        <v>27</v>
      </c>
      <c r="DH810">
        <v>74</v>
      </c>
      <c r="DI810">
        <v>86</v>
      </c>
      <c r="DJ810">
        <v>45</v>
      </c>
      <c r="DK810">
        <v>25</v>
      </c>
    </row>
    <row r="811" spans="1:115">
      <c r="A811" s="173">
        <f>Calculations[[#This Row],[Sum t eCO2]]*IF(Calculations[[#This Row],[GHG Scope]]="BIOGENIC",0,1)</f>
        <v>337.70618760628622</v>
      </c>
      <c r="O811">
        <f t="shared" si="13"/>
        <v>154</v>
      </c>
      <c r="P811">
        <v>79</v>
      </c>
      <c r="Q811">
        <v>10</v>
      </c>
      <c r="R811">
        <v>38</v>
      </c>
      <c r="S811">
        <v>53</v>
      </c>
      <c r="T811">
        <v>75</v>
      </c>
      <c r="U811">
        <v>87</v>
      </c>
      <c r="V811">
        <v>27</v>
      </c>
      <c r="W811">
        <v>81</v>
      </c>
      <c r="X811">
        <v>36</v>
      </c>
      <c r="Y811">
        <v>47</v>
      </c>
      <c r="Z811">
        <v>88</v>
      </c>
      <c r="AA811">
        <v>39</v>
      </c>
      <c r="AB811">
        <v>49</v>
      </c>
      <c r="AC811">
        <v>34</v>
      </c>
      <c r="AD811">
        <v>67</v>
      </c>
      <c r="AE811">
        <v>44</v>
      </c>
      <c r="AF811">
        <v>62</v>
      </c>
      <c r="AG811">
        <v>11</v>
      </c>
      <c r="AH811">
        <v>47</v>
      </c>
      <c r="AI811">
        <v>19</v>
      </c>
      <c r="AJ811">
        <v>88</v>
      </c>
      <c r="AK811">
        <v>67</v>
      </c>
      <c r="AL811">
        <v>65</v>
      </c>
      <c r="AM811">
        <v>84</v>
      </c>
      <c r="AN811">
        <v>40</v>
      </c>
      <c r="AO811">
        <v>41</v>
      </c>
      <c r="AP811">
        <v>17</v>
      </c>
      <c r="AQ811">
        <v>63</v>
      </c>
      <c r="AR811">
        <v>55</v>
      </c>
      <c r="AS811">
        <v>69</v>
      </c>
      <c r="AT811">
        <v>63</v>
      </c>
      <c r="AU811">
        <v>27</v>
      </c>
      <c r="AV811">
        <v>74</v>
      </c>
      <c r="AW811">
        <v>87</v>
      </c>
      <c r="AX811">
        <v>78</v>
      </c>
      <c r="AY811">
        <v>42</v>
      </c>
      <c r="AZ811">
        <v>51</v>
      </c>
      <c r="BA811">
        <v>27</v>
      </c>
      <c r="BB811">
        <v>59</v>
      </c>
      <c r="BC811">
        <v>55</v>
      </c>
      <c r="BD811">
        <v>70</v>
      </c>
      <c r="BE811">
        <v>62</v>
      </c>
      <c r="BF811">
        <v>89</v>
      </c>
      <c r="BG811">
        <v>88</v>
      </c>
      <c r="BH811">
        <v>89</v>
      </c>
      <c r="BI811">
        <v>32</v>
      </c>
      <c r="BJ811">
        <v>10</v>
      </c>
      <c r="BK811">
        <v>62</v>
      </c>
      <c r="BL811">
        <v>69</v>
      </c>
      <c r="BM811">
        <v>47</v>
      </c>
      <c r="BN811">
        <v>47</v>
      </c>
      <c r="BO811">
        <v>81</v>
      </c>
      <c r="BP811">
        <v>90</v>
      </c>
      <c r="BQ811">
        <v>70</v>
      </c>
      <c r="BR811">
        <v>29</v>
      </c>
      <c r="BS811">
        <v>96</v>
      </c>
      <c r="BT811">
        <v>88</v>
      </c>
      <c r="BU811">
        <v>24</v>
      </c>
      <c r="BV811">
        <v>47</v>
      </c>
      <c r="BW811">
        <v>48</v>
      </c>
      <c r="BX811">
        <v>21</v>
      </c>
      <c r="BY811">
        <v>28</v>
      </c>
      <c r="BZ811">
        <v>35</v>
      </c>
      <c r="CA811">
        <v>53</v>
      </c>
      <c r="CB811">
        <v>19</v>
      </c>
      <c r="CC811">
        <v>72</v>
      </c>
      <c r="CD811">
        <v>60</v>
      </c>
      <c r="CE811">
        <v>79</v>
      </c>
      <c r="CF811">
        <v>48</v>
      </c>
      <c r="CG811">
        <v>13</v>
      </c>
      <c r="CH811">
        <v>94</v>
      </c>
      <c r="CI811">
        <v>79</v>
      </c>
      <c r="CJ811">
        <v>48</v>
      </c>
      <c r="CK811">
        <v>85</v>
      </c>
      <c r="CL811">
        <v>83</v>
      </c>
      <c r="CM811">
        <v>39</v>
      </c>
      <c r="CN811">
        <v>44</v>
      </c>
      <c r="CO811">
        <v>86</v>
      </c>
      <c r="CP811">
        <v>84</v>
      </c>
      <c r="CQ811">
        <v>84</v>
      </c>
      <c r="CR811">
        <v>66</v>
      </c>
      <c r="CS811">
        <v>71</v>
      </c>
      <c r="CT811">
        <v>85</v>
      </c>
      <c r="CU811">
        <v>68</v>
      </c>
      <c r="CV811">
        <v>14</v>
      </c>
      <c r="CW811">
        <v>95</v>
      </c>
      <c r="CX811">
        <v>78</v>
      </c>
      <c r="CY811">
        <v>63</v>
      </c>
      <c r="CZ811">
        <v>70</v>
      </c>
      <c r="DA811">
        <v>49</v>
      </c>
      <c r="DB811">
        <v>99</v>
      </c>
      <c r="DC811">
        <v>81</v>
      </c>
      <c r="DD811">
        <v>18</v>
      </c>
      <c r="DE811">
        <v>92</v>
      </c>
      <c r="DF811">
        <v>43</v>
      </c>
      <c r="DG811">
        <v>65</v>
      </c>
      <c r="DH811">
        <v>46</v>
      </c>
      <c r="DI811">
        <v>70</v>
      </c>
      <c r="DJ811">
        <v>89</v>
      </c>
      <c r="DK811">
        <v>69</v>
      </c>
    </row>
    <row r="812" spans="1:115">
      <c r="A812" s="173">
        <f>Calculations[[#This Row],[Sum t eCO2]]*IF(Calculations[[#This Row],[GHG Scope]]="BIOGENIC",0,1)</f>
        <v>17890.181882909539</v>
      </c>
      <c r="O812">
        <f t="shared" si="13"/>
        <v>155</v>
      </c>
      <c r="P812">
        <v>19</v>
      </c>
      <c r="Q812">
        <v>34</v>
      </c>
      <c r="R812">
        <v>34</v>
      </c>
      <c r="S812">
        <v>62</v>
      </c>
      <c r="T812">
        <v>95</v>
      </c>
      <c r="U812">
        <v>81</v>
      </c>
      <c r="V812">
        <v>21</v>
      </c>
      <c r="W812">
        <v>38</v>
      </c>
      <c r="X812">
        <v>68</v>
      </c>
      <c r="Y812">
        <v>45</v>
      </c>
      <c r="Z812">
        <v>38</v>
      </c>
      <c r="AA812">
        <v>36</v>
      </c>
      <c r="AB812">
        <v>94</v>
      </c>
      <c r="AC812">
        <v>58</v>
      </c>
      <c r="AD812">
        <v>61</v>
      </c>
      <c r="AE812">
        <v>45</v>
      </c>
      <c r="AF812">
        <v>74</v>
      </c>
      <c r="AG812">
        <v>73</v>
      </c>
      <c r="AH812">
        <v>93</v>
      </c>
      <c r="AI812">
        <v>14</v>
      </c>
      <c r="AJ812">
        <v>69</v>
      </c>
      <c r="AK812">
        <v>86</v>
      </c>
      <c r="AL812">
        <v>40</v>
      </c>
      <c r="AM812">
        <v>64</v>
      </c>
      <c r="AN812">
        <v>40</v>
      </c>
      <c r="AO812">
        <v>73</v>
      </c>
      <c r="AP812">
        <v>69</v>
      </c>
      <c r="AQ812">
        <v>88</v>
      </c>
      <c r="AR812">
        <v>34</v>
      </c>
      <c r="AS812">
        <v>42</v>
      </c>
      <c r="AT812">
        <v>82</v>
      </c>
      <c r="AU812">
        <v>87</v>
      </c>
      <c r="AV812">
        <v>37</v>
      </c>
      <c r="AW812">
        <v>69</v>
      </c>
      <c r="AX812">
        <v>35</v>
      </c>
      <c r="AY812">
        <v>93</v>
      </c>
      <c r="AZ812">
        <v>27</v>
      </c>
      <c r="BA812">
        <v>31</v>
      </c>
      <c r="BB812">
        <v>20</v>
      </c>
      <c r="BC812">
        <v>44</v>
      </c>
      <c r="BD812">
        <v>15</v>
      </c>
      <c r="BE812">
        <v>40</v>
      </c>
      <c r="BF812">
        <v>61</v>
      </c>
      <c r="BG812">
        <v>75</v>
      </c>
      <c r="BH812">
        <v>76</v>
      </c>
      <c r="BI812">
        <v>97</v>
      </c>
      <c r="BJ812">
        <v>70</v>
      </c>
      <c r="BK812">
        <v>28</v>
      </c>
      <c r="BL812">
        <v>10</v>
      </c>
      <c r="BM812">
        <v>16</v>
      </c>
      <c r="BN812">
        <v>28</v>
      </c>
      <c r="BO812">
        <v>100</v>
      </c>
      <c r="BP812">
        <v>37</v>
      </c>
      <c r="BQ812">
        <v>29</v>
      </c>
      <c r="BR812">
        <v>76</v>
      </c>
      <c r="BS812">
        <v>84</v>
      </c>
      <c r="BT812">
        <v>28</v>
      </c>
      <c r="BU812">
        <v>69</v>
      </c>
      <c r="BV812">
        <v>46</v>
      </c>
      <c r="BW812">
        <v>13</v>
      </c>
      <c r="BX812">
        <v>58</v>
      </c>
      <c r="BY812">
        <v>41</v>
      </c>
      <c r="BZ812">
        <v>47</v>
      </c>
      <c r="CA812">
        <v>69</v>
      </c>
      <c r="CB812">
        <v>15</v>
      </c>
      <c r="CC812">
        <v>86</v>
      </c>
      <c r="CD812">
        <v>90</v>
      </c>
      <c r="CE812">
        <v>46</v>
      </c>
      <c r="CF812">
        <v>82</v>
      </c>
      <c r="CG812">
        <v>30</v>
      </c>
      <c r="CH812">
        <v>70</v>
      </c>
      <c r="CI812">
        <v>63</v>
      </c>
      <c r="CJ812">
        <v>44</v>
      </c>
      <c r="CK812">
        <v>95</v>
      </c>
      <c r="CL812">
        <v>12</v>
      </c>
      <c r="CM812">
        <v>84</v>
      </c>
      <c r="CN812">
        <v>81</v>
      </c>
      <c r="CO812">
        <v>64</v>
      </c>
      <c r="CP812">
        <v>79</v>
      </c>
      <c r="CQ812">
        <v>47</v>
      </c>
      <c r="CR812">
        <v>22</v>
      </c>
      <c r="CS812">
        <v>94</v>
      </c>
      <c r="CT812">
        <v>83</v>
      </c>
      <c r="CU812">
        <v>83</v>
      </c>
      <c r="CV812">
        <v>24</v>
      </c>
      <c r="CW812">
        <v>63</v>
      </c>
      <c r="CX812">
        <v>82</v>
      </c>
      <c r="CY812">
        <v>12</v>
      </c>
      <c r="CZ812">
        <v>67</v>
      </c>
      <c r="DA812">
        <v>43</v>
      </c>
      <c r="DB812">
        <v>31</v>
      </c>
      <c r="DC812">
        <v>36</v>
      </c>
      <c r="DD812">
        <v>60</v>
      </c>
      <c r="DE812">
        <v>60</v>
      </c>
      <c r="DF812">
        <v>16</v>
      </c>
      <c r="DG812">
        <v>32</v>
      </c>
      <c r="DH812">
        <v>48</v>
      </c>
      <c r="DI812">
        <v>78</v>
      </c>
      <c r="DJ812">
        <v>49</v>
      </c>
      <c r="DK812">
        <v>52</v>
      </c>
    </row>
    <row r="813" spans="1:115">
      <c r="A813" s="173">
        <f>Calculations[[#This Row],[Sum t eCO2]]*IF(Calculations[[#This Row],[GHG Scope]]="BIOGENIC",0,1)</f>
        <v>1530.912656224795</v>
      </c>
      <c r="O813">
        <f t="shared" si="13"/>
        <v>156</v>
      </c>
      <c r="P813">
        <v>96</v>
      </c>
      <c r="Q813">
        <v>89</v>
      </c>
      <c r="R813">
        <v>100</v>
      </c>
      <c r="S813">
        <v>22</v>
      </c>
      <c r="T813">
        <v>53</v>
      </c>
      <c r="U813">
        <v>33</v>
      </c>
      <c r="V813">
        <v>77</v>
      </c>
      <c r="W813">
        <v>94</v>
      </c>
      <c r="X813">
        <v>98</v>
      </c>
      <c r="Y813">
        <v>85</v>
      </c>
      <c r="Z813">
        <v>39</v>
      </c>
      <c r="AA813">
        <v>70</v>
      </c>
      <c r="AB813">
        <v>36</v>
      </c>
      <c r="AC813">
        <v>12</v>
      </c>
      <c r="AD813">
        <v>78</v>
      </c>
      <c r="AE813">
        <v>53</v>
      </c>
      <c r="AF813">
        <v>53</v>
      </c>
      <c r="AG813">
        <v>88</v>
      </c>
      <c r="AH813">
        <v>51</v>
      </c>
      <c r="AI813">
        <v>81</v>
      </c>
      <c r="AJ813">
        <v>95</v>
      </c>
      <c r="AK813">
        <v>28</v>
      </c>
      <c r="AL813">
        <v>96</v>
      </c>
      <c r="AM813">
        <v>82</v>
      </c>
      <c r="AN813">
        <v>48</v>
      </c>
      <c r="AO813">
        <v>50</v>
      </c>
      <c r="AP813">
        <v>36</v>
      </c>
      <c r="AQ813">
        <v>43</v>
      </c>
      <c r="AR813">
        <v>13</v>
      </c>
      <c r="AS813">
        <v>79</v>
      </c>
      <c r="AT813">
        <v>89</v>
      </c>
      <c r="AU813">
        <v>80</v>
      </c>
      <c r="AV813">
        <v>13</v>
      </c>
      <c r="AW813">
        <v>39</v>
      </c>
      <c r="AX813">
        <v>17</v>
      </c>
      <c r="AY813">
        <v>62</v>
      </c>
      <c r="AZ813">
        <v>77</v>
      </c>
      <c r="BA813">
        <v>23</v>
      </c>
      <c r="BB813">
        <v>64</v>
      </c>
      <c r="BC813">
        <v>30</v>
      </c>
      <c r="BD813">
        <v>71</v>
      </c>
      <c r="BE813">
        <v>100</v>
      </c>
      <c r="BF813">
        <v>28</v>
      </c>
      <c r="BG813">
        <v>18</v>
      </c>
      <c r="BH813">
        <v>96</v>
      </c>
      <c r="BI813">
        <v>69</v>
      </c>
      <c r="BJ813">
        <v>19</v>
      </c>
      <c r="BK813">
        <v>99</v>
      </c>
      <c r="BL813">
        <v>77</v>
      </c>
      <c r="BM813">
        <v>25</v>
      </c>
      <c r="BN813">
        <v>25</v>
      </c>
      <c r="BO813">
        <v>70</v>
      </c>
      <c r="BP813">
        <v>28</v>
      </c>
      <c r="BQ813">
        <v>95</v>
      </c>
      <c r="BR813">
        <v>41</v>
      </c>
      <c r="BS813">
        <v>42</v>
      </c>
      <c r="BT813">
        <v>67</v>
      </c>
      <c r="BU813">
        <v>100</v>
      </c>
      <c r="BV813">
        <v>52</v>
      </c>
      <c r="BW813">
        <v>41</v>
      </c>
      <c r="BX813">
        <v>78</v>
      </c>
      <c r="BY813">
        <v>17</v>
      </c>
      <c r="BZ813">
        <v>54</v>
      </c>
      <c r="CA813">
        <v>67</v>
      </c>
      <c r="CB813">
        <v>19</v>
      </c>
      <c r="CC813">
        <v>44</v>
      </c>
      <c r="CD813">
        <v>20</v>
      </c>
      <c r="CE813">
        <v>99</v>
      </c>
      <c r="CF813">
        <v>67</v>
      </c>
      <c r="CG813">
        <v>18</v>
      </c>
      <c r="CH813">
        <v>41</v>
      </c>
      <c r="CI813">
        <v>86</v>
      </c>
      <c r="CJ813">
        <v>34</v>
      </c>
      <c r="CK813">
        <v>58</v>
      </c>
      <c r="CL813">
        <v>65</v>
      </c>
      <c r="CM813">
        <v>32</v>
      </c>
      <c r="CN813">
        <v>67</v>
      </c>
      <c r="CO813">
        <v>100</v>
      </c>
      <c r="CP813">
        <v>68</v>
      </c>
      <c r="CQ813">
        <v>35</v>
      </c>
      <c r="CR813">
        <v>32</v>
      </c>
      <c r="CS813">
        <v>61</v>
      </c>
      <c r="CT813">
        <v>33</v>
      </c>
      <c r="CU813">
        <v>50</v>
      </c>
      <c r="CV813">
        <v>93</v>
      </c>
      <c r="CW813">
        <v>53</v>
      </c>
      <c r="CX813">
        <v>85</v>
      </c>
      <c r="CY813">
        <v>73</v>
      </c>
      <c r="CZ813">
        <v>59</v>
      </c>
      <c r="DA813">
        <v>56</v>
      </c>
      <c r="DB813">
        <v>66</v>
      </c>
      <c r="DC813">
        <v>76</v>
      </c>
      <c r="DD813">
        <v>41</v>
      </c>
      <c r="DE813">
        <v>31</v>
      </c>
      <c r="DF813">
        <v>50</v>
      </c>
      <c r="DG813">
        <v>18</v>
      </c>
      <c r="DH813">
        <v>11</v>
      </c>
      <c r="DI813">
        <v>44</v>
      </c>
      <c r="DJ813">
        <v>94</v>
      </c>
      <c r="DK813">
        <v>77</v>
      </c>
    </row>
    <row r="814" spans="1:115">
      <c r="A814" s="173">
        <f>Calculations[[#This Row],[Sum t eCO2]]*IF(Calculations[[#This Row],[GHG Scope]]="BIOGENIC",0,1)</f>
        <v>13998.610470453901</v>
      </c>
      <c r="O814">
        <f t="shared" si="13"/>
        <v>157</v>
      </c>
      <c r="P814">
        <v>80</v>
      </c>
      <c r="Q814">
        <v>20</v>
      </c>
      <c r="R814">
        <v>73</v>
      </c>
      <c r="S814">
        <v>65</v>
      </c>
      <c r="T814">
        <v>36</v>
      </c>
      <c r="U814">
        <v>29</v>
      </c>
      <c r="V814">
        <v>35</v>
      </c>
      <c r="W814">
        <v>84</v>
      </c>
      <c r="X814">
        <v>53</v>
      </c>
      <c r="Y814">
        <v>67</v>
      </c>
      <c r="Z814">
        <v>81</v>
      </c>
      <c r="AA814">
        <v>54</v>
      </c>
      <c r="AB814">
        <v>39</v>
      </c>
      <c r="AC814">
        <v>82</v>
      </c>
      <c r="AD814">
        <v>98</v>
      </c>
      <c r="AE814">
        <v>90</v>
      </c>
      <c r="AF814">
        <v>58</v>
      </c>
      <c r="AG814">
        <v>44</v>
      </c>
      <c r="AH814">
        <v>75</v>
      </c>
      <c r="AI814">
        <v>87</v>
      </c>
      <c r="AJ814">
        <v>36</v>
      </c>
      <c r="AK814">
        <v>54</v>
      </c>
      <c r="AL814">
        <v>84</v>
      </c>
      <c r="AM814">
        <v>78</v>
      </c>
      <c r="AN814">
        <v>96</v>
      </c>
      <c r="AO814">
        <v>79</v>
      </c>
      <c r="AP814">
        <v>27</v>
      </c>
      <c r="AQ814">
        <v>89</v>
      </c>
      <c r="AR814">
        <v>83</v>
      </c>
      <c r="AS814">
        <v>18</v>
      </c>
      <c r="AT814">
        <v>22</v>
      </c>
      <c r="AU814">
        <v>95</v>
      </c>
      <c r="AV814">
        <v>15</v>
      </c>
      <c r="AW814">
        <v>27</v>
      </c>
      <c r="AX814">
        <v>46</v>
      </c>
      <c r="AY814">
        <v>23</v>
      </c>
      <c r="AZ814">
        <v>19</v>
      </c>
      <c r="BA814">
        <v>13</v>
      </c>
      <c r="BB814">
        <v>45</v>
      </c>
      <c r="BC814">
        <v>14</v>
      </c>
      <c r="BD814">
        <v>47</v>
      </c>
      <c r="BE814">
        <v>37</v>
      </c>
      <c r="BF814">
        <v>64</v>
      </c>
      <c r="BG814">
        <v>79</v>
      </c>
      <c r="BH814">
        <v>23</v>
      </c>
      <c r="BI814">
        <v>68</v>
      </c>
      <c r="BJ814">
        <v>76</v>
      </c>
      <c r="BK814">
        <v>30</v>
      </c>
      <c r="BL814">
        <v>15</v>
      </c>
      <c r="BM814">
        <v>98</v>
      </c>
      <c r="BN814">
        <v>10</v>
      </c>
      <c r="BO814">
        <v>42</v>
      </c>
      <c r="BP814">
        <v>31</v>
      </c>
      <c r="BQ814">
        <v>99</v>
      </c>
      <c r="BR814">
        <v>38</v>
      </c>
      <c r="BS814">
        <v>29</v>
      </c>
      <c r="BT814">
        <v>18</v>
      </c>
      <c r="BU814">
        <v>48</v>
      </c>
      <c r="BV814">
        <v>49</v>
      </c>
      <c r="BW814">
        <v>94</v>
      </c>
      <c r="BX814">
        <v>51</v>
      </c>
      <c r="BY814">
        <v>72</v>
      </c>
      <c r="BZ814">
        <v>48</v>
      </c>
      <c r="CA814">
        <v>93</v>
      </c>
      <c r="CB814">
        <v>55</v>
      </c>
      <c r="CC814">
        <v>97</v>
      </c>
      <c r="CD814">
        <v>28</v>
      </c>
      <c r="CE814">
        <v>16</v>
      </c>
      <c r="CF814">
        <v>92</v>
      </c>
      <c r="CG814">
        <v>19</v>
      </c>
      <c r="CH814">
        <v>23</v>
      </c>
      <c r="CI814">
        <v>93</v>
      </c>
      <c r="CJ814">
        <v>94</v>
      </c>
      <c r="CK814">
        <v>56</v>
      </c>
      <c r="CL814">
        <v>87</v>
      </c>
      <c r="CM814">
        <v>40</v>
      </c>
      <c r="CN814">
        <v>81</v>
      </c>
      <c r="CO814">
        <v>90</v>
      </c>
      <c r="CP814">
        <v>36</v>
      </c>
      <c r="CQ814">
        <v>100</v>
      </c>
      <c r="CR814">
        <v>93</v>
      </c>
      <c r="CS814">
        <v>60</v>
      </c>
      <c r="CT814">
        <v>48</v>
      </c>
      <c r="CU814">
        <v>97</v>
      </c>
      <c r="CV814">
        <v>67</v>
      </c>
      <c r="CW814">
        <v>23</v>
      </c>
      <c r="CX814">
        <v>10</v>
      </c>
      <c r="CY814">
        <v>60</v>
      </c>
      <c r="CZ814">
        <v>43</v>
      </c>
      <c r="DA814">
        <v>69</v>
      </c>
      <c r="DB814">
        <v>66</v>
      </c>
      <c r="DC814">
        <v>100</v>
      </c>
      <c r="DD814">
        <v>88</v>
      </c>
      <c r="DE814">
        <v>56</v>
      </c>
      <c r="DF814">
        <v>24</v>
      </c>
      <c r="DG814">
        <v>38</v>
      </c>
      <c r="DH814">
        <v>24</v>
      </c>
      <c r="DI814">
        <v>71</v>
      </c>
      <c r="DJ814">
        <v>40</v>
      </c>
      <c r="DK814">
        <v>69</v>
      </c>
    </row>
    <row r="815" spans="1:115">
      <c r="A815" s="173">
        <f>Calculations[[#This Row],[Sum t eCO2]]*IF(Calculations[[#This Row],[GHG Scope]]="BIOGENIC",0,1)</f>
        <v>4447.1653039490056</v>
      </c>
      <c r="O815">
        <f t="shared" si="13"/>
        <v>158</v>
      </c>
      <c r="P815">
        <v>58</v>
      </c>
      <c r="Q815">
        <v>58</v>
      </c>
      <c r="R815">
        <v>20</v>
      </c>
      <c r="S815">
        <v>69</v>
      </c>
      <c r="T815">
        <v>38</v>
      </c>
      <c r="U815">
        <v>93</v>
      </c>
      <c r="V815">
        <v>37</v>
      </c>
      <c r="W815">
        <v>55</v>
      </c>
      <c r="X815">
        <v>42</v>
      </c>
      <c r="Y815">
        <v>69</v>
      </c>
      <c r="Z815">
        <v>49</v>
      </c>
      <c r="AA815">
        <v>99</v>
      </c>
      <c r="AB815">
        <v>45</v>
      </c>
      <c r="AC815">
        <v>46</v>
      </c>
      <c r="AD815">
        <v>22</v>
      </c>
      <c r="AE815">
        <v>61</v>
      </c>
      <c r="AF815">
        <v>91</v>
      </c>
      <c r="AG815">
        <v>91</v>
      </c>
      <c r="AH815">
        <v>100</v>
      </c>
      <c r="AI815">
        <v>47</v>
      </c>
      <c r="AJ815">
        <v>78</v>
      </c>
      <c r="AK815">
        <v>37</v>
      </c>
      <c r="AL815">
        <v>28</v>
      </c>
      <c r="AM815">
        <v>25</v>
      </c>
      <c r="AN815">
        <v>31</v>
      </c>
      <c r="AO815">
        <v>100</v>
      </c>
      <c r="AP815">
        <v>23</v>
      </c>
      <c r="AQ815">
        <v>34</v>
      </c>
      <c r="AR815">
        <v>85</v>
      </c>
      <c r="AS815">
        <v>28</v>
      </c>
      <c r="AT815">
        <v>66</v>
      </c>
      <c r="AU815">
        <v>78</v>
      </c>
      <c r="AV815">
        <v>61</v>
      </c>
      <c r="AW815">
        <v>44</v>
      </c>
      <c r="AX815">
        <v>23</v>
      </c>
      <c r="AY815">
        <v>71</v>
      </c>
      <c r="AZ815">
        <v>52</v>
      </c>
      <c r="BA815">
        <v>13</v>
      </c>
      <c r="BB815">
        <v>77</v>
      </c>
      <c r="BC815">
        <v>55</v>
      </c>
      <c r="BD815">
        <v>32</v>
      </c>
      <c r="BE815">
        <v>41</v>
      </c>
      <c r="BF815">
        <v>43</v>
      </c>
      <c r="BG815">
        <v>24</v>
      </c>
      <c r="BH815">
        <v>36</v>
      </c>
      <c r="BI815">
        <v>60</v>
      </c>
      <c r="BJ815">
        <v>11</v>
      </c>
      <c r="BK815">
        <v>57</v>
      </c>
      <c r="BL815">
        <v>62</v>
      </c>
      <c r="BM815">
        <v>22</v>
      </c>
      <c r="BN815">
        <v>47</v>
      </c>
      <c r="BO815">
        <v>39</v>
      </c>
      <c r="BP815">
        <v>73</v>
      </c>
      <c r="BQ815">
        <v>77</v>
      </c>
      <c r="BR815">
        <v>34</v>
      </c>
      <c r="BS815">
        <v>76</v>
      </c>
      <c r="BT815">
        <v>98</v>
      </c>
      <c r="BU815">
        <v>99</v>
      </c>
      <c r="BV815">
        <v>79</v>
      </c>
      <c r="BW815">
        <v>58</v>
      </c>
      <c r="BX815">
        <v>41</v>
      </c>
      <c r="BY815">
        <v>90</v>
      </c>
      <c r="BZ815">
        <v>52</v>
      </c>
      <c r="CA815">
        <v>61</v>
      </c>
      <c r="CB815">
        <v>51</v>
      </c>
      <c r="CC815">
        <v>82</v>
      </c>
      <c r="CD815">
        <v>10</v>
      </c>
      <c r="CE815">
        <v>45</v>
      </c>
      <c r="CF815">
        <v>99</v>
      </c>
      <c r="CG815">
        <v>88</v>
      </c>
      <c r="CH815">
        <v>38</v>
      </c>
      <c r="CI815">
        <v>15</v>
      </c>
      <c r="CJ815">
        <v>17</v>
      </c>
      <c r="CK815">
        <v>98</v>
      </c>
      <c r="CL815">
        <v>33</v>
      </c>
      <c r="CM815">
        <v>42</v>
      </c>
      <c r="CN815">
        <v>84</v>
      </c>
      <c r="CO815">
        <v>38</v>
      </c>
      <c r="CP815">
        <v>74</v>
      </c>
      <c r="CQ815">
        <v>77</v>
      </c>
      <c r="CR815">
        <v>48</v>
      </c>
      <c r="CS815">
        <v>40</v>
      </c>
      <c r="CT815">
        <v>65</v>
      </c>
      <c r="CU815">
        <v>62</v>
      </c>
      <c r="CV815">
        <v>74</v>
      </c>
      <c r="CW815">
        <v>10</v>
      </c>
      <c r="CX815">
        <v>77</v>
      </c>
      <c r="CY815">
        <v>95</v>
      </c>
      <c r="CZ815">
        <v>73</v>
      </c>
      <c r="DA815">
        <v>98</v>
      </c>
      <c r="DB815">
        <v>65</v>
      </c>
      <c r="DC815">
        <v>98</v>
      </c>
      <c r="DD815">
        <v>76</v>
      </c>
      <c r="DE815">
        <v>26</v>
      </c>
      <c r="DF815">
        <v>65</v>
      </c>
      <c r="DG815">
        <v>71</v>
      </c>
      <c r="DH815">
        <v>24</v>
      </c>
      <c r="DI815">
        <v>89</v>
      </c>
      <c r="DJ815">
        <v>63</v>
      </c>
      <c r="DK815">
        <v>20</v>
      </c>
    </row>
    <row r="816" spans="1:115">
      <c r="A816" s="173">
        <f>Calculations[[#This Row],[Sum t eCO2]]*IF(Calculations[[#This Row],[GHG Scope]]="BIOGENIC",0,1)</f>
        <v>21.053705114131439</v>
      </c>
      <c r="O816">
        <f t="shared" si="13"/>
        <v>159</v>
      </c>
      <c r="P816">
        <v>21</v>
      </c>
      <c r="Q816">
        <v>37</v>
      </c>
      <c r="R816">
        <v>67</v>
      </c>
      <c r="S816">
        <v>48</v>
      </c>
      <c r="T816">
        <v>69</v>
      </c>
      <c r="U816">
        <v>98</v>
      </c>
      <c r="V816">
        <v>19</v>
      </c>
      <c r="W816">
        <v>87</v>
      </c>
      <c r="X816">
        <v>83</v>
      </c>
      <c r="Y816">
        <v>67</v>
      </c>
      <c r="Z816">
        <v>100</v>
      </c>
      <c r="AA816">
        <v>79</v>
      </c>
      <c r="AB816">
        <v>41</v>
      </c>
      <c r="AC816">
        <v>99</v>
      </c>
      <c r="AD816">
        <v>13</v>
      </c>
      <c r="AE816">
        <v>17</v>
      </c>
      <c r="AF816">
        <v>39</v>
      </c>
      <c r="AG816">
        <v>49</v>
      </c>
      <c r="AH816">
        <v>89</v>
      </c>
      <c r="AI816">
        <v>87</v>
      </c>
      <c r="AJ816">
        <v>42</v>
      </c>
      <c r="AK816">
        <v>62</v>
      </c>
      <c r="AL816">
        <v>26</v>
      </c>
      <c r="AM816">
        <v>88</v>
      </c>
      <c r="AN816">
        <v>69</v>
      </c>
      <c r="AO816">
        <v>25</v>
      </c>
      <c r="AP816">
        <v>44</v>
      </c>
      <c r="AQ816">
        <v>95</v>
      </c>
      <c r="AR816">
        <v>88</v>
      </c>
      <c r="AS816">
        <v>38</v>
      </c>
      <c r="AT816">
        <v>97</v>
      </c>
      <c r="AU816">
        <v>83</v>
      </c>
      <c r="AV816">
        <v>58</v>
      </c>
      <c r="AW816">
        <v>55</v>
      </c>
      <c r="AX816">
        <v>33</v>
      </c>
      <c r="AY816">
        <v>77</v>
      </c>
      <c r="AZ816">
        <v>18</v>
      </c>
      <c r="BA816">
        <v>32</v>
      </c>
      <c r="BB816">
        <v>66</v>
      </c>
      <c r="BC816">
        <v>54</v>
      </c>
      <c r="BD816">
        <v>63</v>
      </c>
      <c r="BE816">
        <v>25</v>
      </c>
      <c r="BF816">
        <v>48</v>
      </c>
      <c r="BG816">
        <v>38</v>
      </c>
      <c r="BH816">
        <v>19</v>
      </c>
      <c r="BI816">
        <v>94</v>
      </c>
      <c r="BJ816">
        <v>74</v>
      </c>
      <c r="BK816">
        <v>53</v>
      </c>
      <c r="BL816">
        <v>87</v>
      </c>
      <c r="BM816">
        <v>35</v>
      </c>
      <c r="BN816">
        <v>53</v>
      </c>
      <c r="BO816">
        <v>41</v>
      </c>
      <c r="BP816">
        <v>21</v>
      </c>
      <c r="BQ816">
        <v>13</v>
      </c>
      <c r="BR816">
        <v>96</v>
      </c>
      <c r="BS816">
        <v>65</v>
      </c>
      <c r="BT816">
        <v>11</v>
      </c>
      <c r="BU816">
        <v>96</v>
      </c>
      <c r="BV816">
        <v>30</v>
      </c>
      <c r="BW816">
        <v>34</v>
      </c>
      <c r="BX816">
        <v>34</v>
      </c>
      <c r="BY816">
        <v>82</v>
      </c>
      <c r="BZ816">
        <v>35</v>
      </c>
      <c r="CA816">
        <v>85</v>
      </c>
      <c r="CB816">
        <v>82</v>
      </c>
      <c r="CC816">
        <v>86</v>
      </c>
      <c r="CD816">
        <v>76</v>
      </c>
      <c r="CE816">
        <v>69</v>
      </c>
      <c r="CF816">
        <v>54</v>
      </c>
      <c r="CG816">
        <v>36</v>
      </c>
      <c r="CH816">
        <v>18</v>
      </c>
      <c r="CI816">
        <v>19</v>
      </c>
      <c r="CJ816">
        <v>27</v>
      </c>
      <c r="CK816">
        <v>67</v>
      </c>
      <c r="CL816">
        <v>63</v>
      </c>
      <c r="CM816">
        <v>33</v>
      </c>
      <c r="CN816">
        <v>67</v>
      </c>
      <c r="CO816">
        <v>10</v>
      </c>
      <c r="CP816">
        <v>83</v>
      </c>
      <c r="CQ816">
        <v>95</v>
      </c>
      <c r="CR816">
        <v>39</v>
      </c>
      <c r="CS816">
        <v>19</v>
      </c>
      <c r="CT816">
        <v>43</v>
      </c>
      <c r="CU816">
        <v>36</v>
      </c>
      <c r="CV816">
        <v>91</v>
      </c>
      <c r="CW816">
        <v>14</v>
      </c>
      <c r="CX816">
        <v>51</v>
      </c>
      <c r="CY816">
        <v>54</v>
      </c>
      <c r="CZ816">
        <v>53</v>
      </c>
      <c r="DA816">
        <v>46</v>
      </c>
      <c r="DB816">
        <v>53</v>
      </c>
      <c r="DC816">
        <v>59</v>
      </c>
      <c r="DD816">
        <v>32</v>
      </c>
      <c r="DE816">
        <v>96</v>
      </c>
      <c r="DF816">
        <v>51</v>
      </c>
      <c r="DG816">
        <v>50</v>
      </c>
      <c r="DH816">
        <v>36</v>
      </c>
      <c r="DI816">
        <v>30</v>
      </c>
      <c r="DJ816">
        <v>49</v>
      </c>
      <c r="DK816">
        <v>78</v>
      </c>
    </row>
    <row r="817" spans="1:115">
      <c r="A817" s="173">
        <f>Calculations[[#This Row],[Sum t eCO2]]*IF(Calculations[[#This Row],[GHG Scope]]="BIOGENIC",0,1)</f>
        <v>1.9004862352949998</v>
      </c>
      <c r="O817">
        <f>O816+1</f>
        <v>160</v>
      </c>
      <c r="P817">
        <v>95</v>
      </c>
      <c r="Q817">
        <v>83</v>
      </c>
      <c r="R817">
        <v>81</v>
      </c>
      <c r="S817">
        <v>71</v>
      </c>
      <c r="T817">
        <v>47</v>
      </c>
      <c r="U817">
        <v>27</v>
      </c>
      <c r="V817">
        <v>18</v>
      </c>
      <c r="W817">
        <v>78</v>
      </c>
      <c r="X817">
        <v>95</v>
      </c>
      <c r="Y817">
        <v>24</v>
      </c>
      <c r="Z817">
        <v>44</v>
      </c>
      <c r="AA817">
        <v>75</v>
      </c>
      <c r="AB817">
        <v>46</v>
      </c>
      <c r="AC817">
        <v>95</v>
      </c>
      <c r="AD817">
        <v>57</v>
      </c>
      <c r="AE817">
        <v>42</v>
      </c>
      <c r="AF817">
        <v>32</v>
      </c>
      <c r="AG817">
        <v>43</v>
      </c>
      <c r="AH817">
        <v>21</v>
      </c>
      <c r="AI817">
        <v>20</v>
      </c>
      <c r="AJ817">
        <v>98</v>
      </c>
      <c r="AK817">
        <v>79</v>
      </c>
      <c r="AL817">
        <v>79</v>
      </c>
      <c r="AM817">
        <v>97</v>
      </c>
      <c r="AN817">
        <v>83</v>
      </c>
      <c r="AO817">
        <v>78</v>
      </c>
      <c r="AP817">
        <v>84</v>
      </c>
      <c r="AQ817">
        <v>51</v>
      </c>
      <c r="AR817">
        <v>42</v>
      </c>
      <c r="AS817">
        <v>79</v>
      </c>
      <c r="AT817">
        <v>29</v>
      </c>
      <c r="AU817">
        <v>16</v>
      </c>
      <c r="AV817">
        <v>68</v>
      </c>
      <c r="AW817">
        <v>83</v>
      </c>
      <c r="AX817">
        <v>62</v>
      </c>
      <c r="AY817">
        <v>18</v>
      </c>
      <c r="AZ817">
        <v>38</v>
      </c>
      <c r="BA817">
        <v>98</v>
      </c>
      <c r="BB817">
        <v>14</v>
      </c>
      <c r="BC817">
        <v>74</v>
      </c>
      <c r="BD817">
        <v>52</v>
      </c>
      <c r="BE817">
        <v>92</v>
      </c>
      <c r="BF817">
        <v>75</v>
      </c>
      <c r="BG817">
        <v>52</v>
      </c>
      <c r="BH817">
        <v>31</v>
      </c>
      <c r="BI817">
        <v>19</v>
      </c>
      <c r="BJ817">
        <v>91</v>
      </c>
      <c r="BK817">
        <v>22</v>
      </c>
      <c r="BL817">
        <v>58</v>
      </c>
      <c r="BM817">
        <v>50</v>
      </c>
      <c r="BN817">
        <v>81</v>
      </c>
      <c r="BO817">
        <v>91</v>
      </c>
      <c r="BP817">
        <v>27</v>
      </c>
      <c r="BQ817">
        <v>11</v>
      </c>
      <c r="BR817">
        <v>76</v>
      </c>
      <c r="BS817">
        <v>75</v>
      </c>
      <c r="BT817">
        <v>29</v>
      </c>
      <c r="BU817">
        <v>23</v>
      </c>
      <c r="BV817">
        <v>29</v>
      </c>
      <c r="BW817">
        <v>69</v>
      </c>
      <c r="BX817">
        <v>42</v>
      </c>
      <c r="BY817">
        <v>55</v>
      </c>
      <c r="BZ817">
        <v>68</v>
      </c>
      <c r="CA817">
        <v>13</v>
      </c>
      <c r="CB817">
        <v>31</v>
      </c>
      <c r="CC817">
        <v>80</v>
      </c>
      <c r="CD817">
        <v>83</v>
      </c>
      <c r="CE817">
        <v>39</v>
      </c>
      <c r="CF817">
        <v>65</v>
      </c>
      <c r="CG817">
        <v>58</v>
      </c>
      <c r="CH817">
        <v>39</v>
      </c>
      <c r="CI817">
        <v>35</v>
      </c>
      <c r="CJ817">
        <v>13</v>
      </c>
      <c r="CK817">
        <v>74</v>
      </c>
      <c r="CL817">
        <v>31</v>
      </c>
      <c r="CM817">
        <v>35</v>
      </c>
      <c r="CN817">
        <v>90</v>
      </c>
      <c r="CO817">
        <v>79</v>
      </c>
      <c r="CP817">
        <v>84</v>
      </c>
      <c r="CQ817">
        <v>97</v>
      </c>
      <c r="CR817">
        <v>26</v>
      </c>
      <c r="CS817">
        <v>17</v>
      </c>
      <c r="CT817">
        <v>79</v>
      </c>
      <c r="CU817">
        <v>89</v>
      </c>
      <c r="CV817">
        <v>54</v>
      </c>
      <c r="CW817">
        <v>63</v>
      </c>
      <c r="CX817">
        <v>11</v>
      </c>
      <c r="CY817">
        <v>15</v>
      </c>
      <c r="CZ817">
        <v>69</v>
      </c>
      <c r="DA817">
        <v>54</v>
      </c>
      <c r="DB817">
        <v>96</v>
      </c>
      <c r="DC817">
        <v>82</v>
      </c>
      <c r="DD817">
        <v>22</v>
      </c>
      <c r="DE817">
        <v>11</v>
      </c>
      <c r="DF817">
        <v>91</v>
      </c>
      <c r="DG817">
        <v>85</v>
      </c>
      <c r="DH817">
        <v>55</v>
      </c>
      <c r="DI817">
        <v>18</v>
      </c>
      <c r="DJ817">
        <v>57</v>
      </c>
      <c r="DK817">
        <v>61</v>
      </c>
    </row>
    <row r="818" spans="1:115">
      <c r="A818" s="173">
        <f>Calculations[[#This Row],[Sum t eCO2]]*IF(Calculations[[#This Row],[GHG Scope]]="BIOGENIC",0,1)</f>
        <v>2.6194339718899617E-3</v>
      </c>
      <c r="O818">
        <f t="shared" ref="O818:O829" si="14">O817+1</f>
        <v>161</v>
      </c>
      <c r="P818">
        <v>54</v>
      </c>
      <c r="Q818">
        <v>97</v>
      </c>
      <c r="R818">
        <v>75</v>
      </c>
      <c r="S818">
        <v>80</v>
      </c>
      <c r="T818">
        <v>61</v>
      </c>
      <c r="U818">
        <v>84</v>
      </c>
      <c r="V818">
        <v>70</v>
      </c>
      <c r="W818">
        <v>63</v>
      </c>
      <c r="X818">
        <v>35</v>
      </c>
      <c r="Y818">
        <v>16</v>
      </c>
      <c r="Z818">
        <v>50</v>
      </c>
      <c r="AA818">
        <v>20</v>
      </c>
      <c r="AB818">
        <v>90</v>
      </c>
      <c r="AC818">
        <v>66</v>
      </c>
      <c r="AD818">
        <v>80</v>
      </c>
      <c r="AE818">
        <v>13</v>
      </c>
      <c r="AF818">
        <v>11</v>
      </c>
      <c r="AG818">
        <v>67</v>
      </c>
      <c r="AH818">
        <v>80</v>
      </c>
      <c r="AI818">
        <v>28</v>
      </c>
      <c r="AJ818">
        <v>75</v>
      </c>
      <c r="AK818">
        <v>80</v>
      </c>
      <c r="AL818">
        <v>79</v>
      </c>
      <c r="AM818">
        <v>61</v>
      </c>
      <c r="AN818">
        <v>23</v>
      </c>
      <c r="AO818">
        <v>89</v>
      </c>
      <c r="AP818">
        <v>73</v>
      </c>
      <c r="AQ818">
        <v>91</v>
      </c>
      <c r="AR818">
        <v>27</v>
      </c>
      <c r="AS818">
        <v>72</v>
      </c>
      <c r="AT818">
        <v>20</v>
      </c>
      <c r="AU818">
        <v>16</v>
      </c>
      <c r="AV818">
        <v>89</v>
      </c>
      <c r="AW818">
        <v>64</v>
      </c>
      <c r="AX818">
        <v>47</v>
      </c>
      <c r="AY818">
        <v>60</v>
      </c>
      <c r="AZ818">
        <v>22</v>
      </c>
      <c r="BA818">
        <v>39</v>
      </c>
      <c r="BB818">
        <v>38</v>
      </c>
      <c r="BC818">
        <v>63</v>
      </c>
      <c r="BD818">
        <v>42</v>
      </c>
      <c r="BE818">
        <v>13</v>
      </c>
      <c r="BF818">
        <v>60</v>
      </c>
      <c r="BG818">
        <v>41</v>
      </c>
      <c r="BH818">
        <v>10</v>
      </c>
      <c r="BI818">
        <v>36</v>
      </c>
      <c r="BJ818">
        <v>70</v>
      </c>
      <c r="BK818">
        <v>57</v>
      </c>
      <c r="BL818">
        <v>52</v>
      </c>
      <c r="BM818">
        <v>90</v>
      </c>
      <c r="BN818">
        <v>84</v>
      </c>
      <c r="BO818">
        <v>34</v>
      </c>
      <c r="BP818">
        <v>16</v>
      </c>
      <c r="BQ818">
        <v>74</v>
      </c>
      <c r="BR818">
        <v>51</v>
      </c>
      <c r="BS818">
        <v>43</v>
      </c>
      <c r="BT818">
        <v>43</v>
      </c>
      <c r="BU818">
        <v>20</v>
      </c>
      <c r="BV818">
        <v>89</v>
      </c>
      <c r="BW818">
        <v>18</v>
      </c>
      <c r="BX818">
        <v>25</v>
      </c>
      <c r="BY818">
        <v>96</v>
      </c>
      <c r="BZ818">
        <v>41</v>
      </c>
      <c r="CA818">
        <v>95</v>
      </c>
      <c r="CB818">
        <v>85</v>
      </c>
      <c r="CC818">
        <v>59</v>
      </c>
      <c r="CD818">
        <v>24</v>
      </c>
      <c r="CE818">
        <v>41</v>
      </c>
      <c r="CF818">
        <v>41</v>
      </c>
      <c r="CG818">
        <v>28</v>
      </c>
      <c r="CH818">
        <v>54</v>
      </c>
      <c r="CI818">
        <v>37</v>
      </c>
      <c r="CJ818">
        <v>44</v>
      </c>
      <c r="CK818">
        <v>10</v>
      </c>
      <c r="CL818">
        <v>27</v>
      </c>
      <c r="CM818">
        <v>16</v>
      </c>
      <c r="CN818">
        <v>21</v>
      </c>
      <c r="CO818">
        <v>23</v>
      </c>
      <c r="CP818">
        <v>87</v>
      </c>
      <c r="CQ818">
        <v>51</v>
      </c>
      <c r="CR818">
        <v>53</v>
      </c>
      <c r="CS818">
        <v>59</v>
      </c>
      <c r="CT818">
        <v>54</v>
      </c>
      <c r="CU818">
        <v>67</v>
      </c>
      <c r="CV818">
        <v>12</v>
      </c>
      <c r="CW818">
        <v>49</v>
      </c>
      <c r="CX818">
        <v>34</v>
      </c>
      <c r="CY818">
        <v>97</v>
      </c>
      <c r="CZ818">
        <v>27</v>
      </c>
      <c r="DA818">
        <v>26</v>
      </c>
      <c r="DB818">
        <v>60</v>
      </c>
      <c r="DC818">
        <v>28</v>
      </c>
      <c r="DD818">
        <v>78</v>
      </c>
      <c r="DE818">
        <v>78</v>
      </c>
      <c r="DF818">
        <v>76</v>
      </c>
      <c r="DG818">
        <v>18</v>
      </c>
      <c r="DH818">
        <v>16</v>
      </c>
      <c r="DI818">
        <v>25</v>
      </c>
      <c r="DJ818">
        <v>72</v>
      </c>
      <c r="DK818">
        <v>62</v>
      </c>
    </row>
    <row r="819" spans="1:115">
      <c r="A819" s="173">
        <f>Calculations[[#This Row],[Sum t eCO2]]*IF(Calculations[[#This Row],[GHG Scope]]="BIOGENIC",0,1)</f>
        <v>4.7887256699999999E-2</v>
      </c>
      <c r="O819">
        <f t="shared" si="14"/>
        <v>162</v>
      </c>
      <c r="P819">
        <v>83</v>
      </c>
      <c r="Q819">
        <v>82</v>
      </c>
      <c r="R819">
        <v>14</v>
      </c>
      <c r="S819">
        <v>89</v>
      </c>
      <c r="T819">
        <v>53</v>
      </c>
      <c r="U819">
        <v>33</v>
      </c>
      <c r="V819">
        <v>89</v>
      </c>
      <c r="W819">
        <v>87</v>
      </c>
      <c r="X819">
        <v>63</v>
      </c>
      <c r="Y819">
        <v>84</v>
      </c>
      <c r="Z819">
        <v>68</v>
      </c>
      <c r="AA819">
        <v>13</v>
      </c>
      <c r="AB819">
        <v>100</v>
      </c>
      <c r="AC819">
        <v>16</v>
      </c>
      <c r="AD819">
        <v>48</v>
      </c>
      <c r="AE819">
        <v>47</v>
      </c>
      <c r="AF819">
        <v>99</v>
      </c>
      <c r="AG819">
        <v>38</v>
      </c>
      <c r="AH819">
        <v>20</v>
      </c>
      <c r="AI819">
        <v>34</v>
      </c>
      <c r="AJ819">
        <v>87</v>
      </c>
      <c r="AK819">
        <v>16</v>
      </c>
      <c r="AL819">
        <v>45</v>
      </c>
      <c r="AM819">
        <v>15</v>
      </c>
      <c r="AN819">
        <v>65</v>
      </c>
      <c r="AO819">
        <v>93</v>
      </c>
      <c r="AP819">
        <v>19</v>
      </c>
      <c r="AQ819">
        <v>88</v>
      </c>
      <c r="AR819">
        <v>57</v>
      </c>
      <c r="AS819">
        <v>31</v>
      </c>
      <c r="AT819">
        <v>99</v>
      </c>
      <c r="AU819">
        <v>94</v>
      </c>
      <c r="AV819">
        <v>85</v>
      </c>
      <c r="AW819">
        <v>43</v>
      </c>
      <c r="AX819">
        <v>23</v>
      </c>
      <c r="AY819">
        <v>20</v>
      </c>
      <c r="AZ819">
        <v>81</v>
      </c>
      <c r="BA819">
        <v>46</v>
      </c>
      <c r="BB819">
        <v>97</v>
      </c>
      <c r="BC819">
        <v>87</v>
      </c>
      <c r="BD819">
        <v>12</v>
      </c>
      <c r="BE819">
        <v>33</v>
      </c>
      <c r="BF819">
        <v>14</v>
      </c>
      <c r="BG819">
        <v>71</v>
      </c>
      <c r="BH819">
        <v>57</v>
      </c>
      <c r="BI819">
        <v>94</v>
      </c>
      <c r="BJ819">
        <v>78</v>
      </c>
      <c r="BK819">
        <v>11</v>
      </c>
      <c r="BL819">
        <v>60</v>
      </c>
      <c r="BM819">
        <v>46</v>
      </c>
      <c r="BN819">
        <v>86</v>
      </c>
      <c r="BO819">
        <v>79</v>
      </c>
      <c r="BP819">
        <v>86</v>
      </c>
      <c r="BQ819">
        <v>69</v>
      </c>
      <c r="BR819">
        <v>78</v>
      </c>
      <c r="BS819">
        <v>77</v>
      </c>
      <c r="BT819">
        <v>88</v>
      </c>
      <c r="BU819">
        <v>77</v>
      </c>
      <c r="BV819">
        <v>17</v>
      </c>
      <c r="BW819">
        <v>74</v>
      </c>
      <c r="BX819">
        <v>58</v>
      </c>
      <c r="BY819">
        <v>86</v>
      </c>
      <c r="BZ819">
        <v>98</v>
      </c>
      <c r="CA819">
        <v>80</v>
      </c>
      <c r="CB819">
        <v>63</v>
      </c>
      <c r="CC819">
        <v>66</v>
      </c>
      <c r="CD819">
        <v>39</v>
      </c>
      <c r="CE819">
        <v>85</v>
      </c>
      <c r="CF819">
        <v>42</v>
      </c>
      <c r="CG819">
        <v>68</v>
      </c>
      <c r="CH819">
        <v>98</v>
      </c>
      <c r="CI819">
        <v>37</v>
      </c>
      <c r="CJ819">
        <v>19</v>
      </c>
      <c r="CK819">
        <v>35</v>
      </c>
      <c r="CL819">
        <v>35</v>
      </c>
      <c r="CM819">
        <v>80</v>
      </c>
      <c r="CN819">
        <v>20</v>
      </c>
      <c r="CO819">
        <v>99</v>
      </c>
      <c r="CP819">
        <v>90</v>
      </c>
      <c r="CQ819">
        <v>55</v>
      </c>
      <c r="CR819">
        <v>49</v>
      </c>
      <c r="CS819">
        <v>47</v>
      </c>
      <c r="CT819">
        <v>40</v>
      </c>
      <c r="CU819">
        <v>31</v>
      </c>
      <c r="CV819">
        <v>51</v>
      </c>
      <c r="CW819">
        <v>75</v>
      </c>
      <c r="CX819">
        <v>94</v>
      </c>
      <c r="CY819">
        <v>93</v>
      </c>
      <c r="CZ819">
        <v>90</v>
      </c>
      <c r="DA819">
        <v>49</v>
      </c>
      <c r="DB819">
        <v>27</v>
      </c>
      <c r="DC819">
        <v>20</v>
      </c>
      <c r="DD819">
        <v>41</v>
      </c>
      <c r="DE819">
        <v>16</v>
      </c>
      <c r="DF819">
        <v>52</v>
      </c>
      <c r="DG819">
        <v>40</v>
      </c>
      <c r="DH819">
        <v>55</v>
      </c>
      <c r="DI819">
        <v>94</v>
      </c>
      <c r="DJ819">
        <v>90</v>
      </c>
      <c r="DK819">
        <v>50</v>
      </c>
    </row>
    <row r="820" spans="1:115">
      <c r="A820" s="173">
        <f>Calculations[[#This Row],[Sum t eCO2]]*IF(Calculations[[#This Row],[GHG Scope]]="BIOGENIC",0,1)</f>
        <v>2.3200020521422261E-2</v>
      </c>
      <c r="O820">
        <f t="shared" si="14"/>
        <v>163</v>
      </c>
      <c r="P820">
        <v>73</v>
      </c>
      <c r="Q820">
        <v>93</v>
      </c>
      <c r="R820">
        <v>18</v>
      </c>
      <c r="S820">
        <v>33</v>
      </c>
      <c r="T820">
        <v>63</v>
      </c>
      <c r="U820">
        <v>14</v>
      </c>
      <c r="V820">
        <v>98</v>
      </c>
      <c r="W820">
        <v>81</v>
      </c>
      <c r="X820">
        <v>34</v>
      </c>
      <c r="Y820">
        <v>52</v>
      </c>
      <c r="Z820">
        <v>33</v>
      </c>
      <c r="AA820">
        <v>75</v>
      </c>
      <c r="AB820">
        <v>50</v>
      </c>
      <c r="AC820">
        <v>41</v>
      </c>
      <c r="AD820">
        <v>14</v>
      </c>
      <c r="AE820">
        <v>89</v>
      </c>
      <c r="AF820">
        <v>62</v>
      </c>
      <c r="AG820">
        <v>16</v>
      </c>
      <c r="AH820">
        <v>29</v>
      </c>
      <c r="AI820">
        <v>47</v>
      </c>
      <c r="AJ820">
        <v>58</v>
      </c>
      <c r="AK820">
        <v>33</v>
      </c>
      <c r="AL820">
        <v>68</v>
      </c>
      <c r="AM820">
        <v>95</v>
      </c>
      <c r="AN820">
        <v>32</v>
      </c>
      <c r="AO820">
        <v>12</v>
      </c>
      <c r="AP820">
        <v>73</v>
      </c>
      <c r="AQ820">
        <v>15</v>
      </c>
      <c r="AR820">
        <v>96</v>
      </c>
      <c r="AS820">
        <v>46</v>
      </c>
      <c r="AT820">
        <v>51</v>
      </c>
      <c r="AU820">
        <v>49</v>
      </c>
      <c r="AV820">
        <v>18</v>
      </c>
      <c r="AW820">
        <v>100</v>
      </c>
      <c r="AX820">
        <v>79</v>
      </c>
      <c r="AY820">
        <v>48</v>
      </c>
      <c r="AZ820">
        <v>18</v>
      </c>
      <c r="BA820">
        <v>45</v>
      </c>
      <c r="BB820">
        <v>62</v>
      </c>
      <c r="BC820">
        <v>54</v>
      </c>
      <c r="BD820">
        <v>81</v>
      </c>
      <c r="BE820">
        <v>36</v>
      </c>
      <c r="BF820">
        <v>38</v>
      </c>
      <c r="BG820">
        <v>66</v>
      </c>
      <c r="BH820">
        <v>12</v>
      </c>
      <c r="BI820">
        <v>39</v>
      </c>
      <c r="BJ820">
        <v>53</v>
      </c>
      <c r="BK820">
        <v>83</v>
      </c>
      <c r="BL820">
        <v>72</v>
      </c>
      <c r="BM820">
        <v>61</v>
      </c>
      <c r="BN820">
        <v>73</v>
      </c>
      <c r="BO820">
        <v>10</v>
      </c>
      <c r="BP820">
        <v>60</v>
      </c>
      <c r="BQ820">
        <v>86</v>
      </c>
      <c r="BR820">
        <v>42</v>
      </c>
      <c r="BS820">
        <v>30</v>
      </c>
      <c r="BT820">
        <v>56</v>
      </c>
      <c r="BU820">
        <v>24</v>
      </c>
      <c r="BV820">
        <v>61</v>
      </c>
      <c r="BW820">
        <v>46</v>
      </c>
      <c r="BX820">
        <v>43</v>
      </c>
      <c r="BY820">
        <v>41</v>
      </c>
      <c r="BZ820">
        <v>16</v>
      </c>
      <c r="CA820">
        <v>20</v>
      </c>
      <c r="CB820">
        <v>45</v>
      </c>
      <c r="CC820">
        <v>35</v>
      </c>
      <c r="CD820">
        <v>14</v>
      </c>
      <c r="CE820">
        <v>63</v>
      </c>
      <c r="CF820">
        <v>47</v>
      </c>
      <c r="CG820">
        <v>90</v>
      </c>
      <c r="CH820">
        <v>80</v>
      </c>
      <c r="CI820">
        <v>39</v>
      </c>
      <c r="CJ820">
        <v>28</v>
      </c>
      <c r="CK820">
        <v>73</v>
      </c>
      <c r="CL820">
        <v>10</v>
      </c>
      <c r="CM820">
        <v>98</v>
      </c>
      <c r="CN820">
        <v>67</v>
      </c>
      <c r="CO820">
        <v>13</v>
      </c>
      <c r="CP820">
        <v>15</v>
      </c>
      <c r="CQ820">
        <v>37</v>
      </c>
      <c r="CR820">
        <v>95</v>
      </c>
      <c r="CS820">
        <v>43</v>
      </c>
      <c r="CT820">
        <v>90</v>
      </c>
      <c r="CU820">
        <v>69</v>
      </c>
      <c r="CV820">
        <v>97</v>
      </c>
      <c r="CW820">
        <v>12</v>
      </c>
      <c r="CX820">
        <v>16</v>
      </c>
      <c r="CY820">
        <v>16</v>
      </c>
      <c r="CZ820">
        <v>79</v>
      </c>
      <c r="DA820">
        <v>85</v>
      </c>
      <c r="DB820">
        <v>84</v>
      </c>
      <c r="DC820">
        <v>13</v>
      </c>
      <c r="DD820">
        <v>98</v>
      </c>
      <c r="DE820">
        <v>43</v>
      </c>
      <c r="DF820">
        <v>91</v>
      </c>
      <c r="DG820">
        <v>19</v>
      </c>
      <c r="DH820">
        <v>50</v>
      </c>
      <c r="DI820">
        <v>61</v>
      </c>
      <c r="DJ820">
        <v>93</v>
      </c>
      <c r="DK820">
        <v>12</v>
      </c>
    </row>
    <row r="821" spans="1:115">
      <c r="A821" s="173">
        <f>Calculations[[#This Row],[Sum t eCO2]]*IF(Calculations[[#This Row],[GHG Scope]]="BIOGENIC",0,1)</f>
        <v>7.0985526684117332E-3</v>
      </c>
      <c r="O821">
        <f t="shared" si="14"/>
        <v>164</v>
      </c>
      <c r="P821">
        <v>56</v>
      </c>
      <c r="Q821">
        <v>94</v>
      </c>
      <c r="R821">
        <v>81</v>
      </c>
      <c r="S821">
        <v>50</v>
      </c>
      <c r="T821">
        <v>81</v>
      </c>
      <c r="U821">
        <v>67</v>
      </c>
      <c r="V821">
        <v>18</v>
      </c>
      <c r="W821">
        <v>26</v>
      </c>
      <c r="X821">
        <v>18</v>
      </c>
      <c r="Y821">
        <v>84</v>
      </c>
      <c r="Z821">
        <v>42</v>
      </c>
      <c r="AA821">
        <v>40</v>
      </c>
      <c r="AB821">
        <v>78</v>
      </c>
      <c r="AC821">
        <v>23</v>
      </c>
      <c r="AD821">
        <v>57</v>
      </c>
      <c r="AE821">
        <v>36</v>
      </c>
      <c r="AF821">
        <v>22</v>
      </c>
      <c r="AG821">
        <v>66</v>
      </c>
      <c r="AH821">
        <v>86</v>
      </c>
      <c r="AI821">
        <v>24</v>
      </c>
      <c r="AJ821">
        <v>87</v>
      </c>
      <c r="AK821">
        <v>77</v>
      </c>
      <c r="AL821">
        <v>86</v>
      </c>
      <c r="AM821">
        <v>68</v>
      </c>
      <c r="AN821">
        <v>42</v>
      </c>
      <c r="AO821">
        <v>16</v>
      </c>
      <c r="AP821">
        <v>76</v>
      </c>
      <c r="AQ821">
        <v>59</v>
      </c>
      <c r="AR821">
        <v>59</v>
      </c>
      <c r="AS821">
        <v>96</v>
      </c>
      <c r="AT821">
        <v>42</v>
      </c>
      <c r="AU821">
        <v>57</v>
      </c>
      <c r="AV821">
        <v>42</v>
      </c>
      <c r="AW821">
        <v>47</v>
      </c>
      <c r="AX821">
        <v>41</v>
      </c>
      <c r="AY821">
        <v>95</v>
      </c>
      <c r="AZ821">
        <v>22</v>
      </c>
      <c r="BA821">
        <v>49</v>
      </c>
      <c r="BB821">
        <v>74</v>
      </c>
      <c r="BC821">
        <v>23</v>
      </c>
      <c r="BD821">
        <v>85</v>
      </c>
      <c r="BE821">
        <v>29</v>
      </c>
      <c r="BF821">
        <v>95</v>
      </c>
      <c r="BG821">
        <v>67</v>
      </c>
      <c r="BH821">
        <v>61</v>
      </c>
      <c r="BI821">
        <v>94</v>
      </c>
      <c r="BJ821">
        <v>99</v>
      </c>
      <c r="BK821">
        <v>99</v>
      </c>
      <c r="BL821">
        <v>97</v>
      </c>
      <c r="BM821">
        <v>17</v>
      </c>
      <c r="BN821">
        <v>96</v>
      </c>
      <c r="BO821">
        <v>78</v>
      </c>
      <c r="BP821">
        <v>54</v>
      </c>
      <c r="BQ821">
        <v>38</v>
      </c>
      <c r="BR821">
        <v>70</v>
      </c>
      <c r="BS821">
        <v>71</v>
      </c>
      <c r="BT821">
        <v>62</v>
      </c>
      <c r="BU821">
        <v>93</v>
      </c>
      <c r="BV821">
        <v>95</v>
      </c>
      <c r="BW821">
        <v>78</v>
      </c>
      <c r="BX821">
        <v>92</v>
      </c>
      <c r="BY821">
        <v>73</v>
      </c>
      <c r="BZ821">
        <v>63</v>
      </c>
      <c r="CA821">
        <v>72</v>
      </c>
      <c r="CB821">
        <v>36</v>
      </c>
      <c r="CC821">
        <v>96</v>
      </c>
      <c r="CD821">
        <v>87</v>
      </c>
      <c r="CE821">
        <v>74</v>
      </c>
      <c r="CF821">
        <v>40</v>
      </c>
      <c r="CG821">
        <v>91</v>
      </c>
      <c r="CH821">
        <v>99</v>
      </c>
      <c r="CI821">
        <v>40</v>
      </c>
      <c r="CJ821">
        <v>36</v>
      </c>
      <c r="CK821">
        <v>53</v>
      </c>
      <c r="CL821">
        <v>17</v>
      </c>
      <c r="CM821">
        <v>54</v>
      </c>
      <c r="CN821">
        <v>44</v>
      </c>
      <c r="CO821">
        <v>61</v>
      </c>
      <c r="CP821">
        <v>77</v>
      </c>
      <c r="CQ821">
        <v>10</v>
      </c>
      <c r="CR821">
        <v>46</v>
      </c>
      <c r="CS821">
        <v>96</v>
      </c>
      <c r="CT821">
        <v>53</v>
      </c>
      <c r="CU821">
        <v>15</v>
      </c>
      <c r="CV821">
        <v>97</v>
      </c>
      <c r="CW821">
        <v>10</v>
      </c>
      <c r="CX821">
        <v>17</v>
      </c>
      <c r="CY821">
        <v>82</v>
      </c>
      <c r="CZ821">
        <v>55</v>
      </c>
      <c r="DA821">
        <v>10</v>
      </c>
      <c r="DB821">
        <v>35</v>
      </c>
      <c r="DC821">
        <v>54</v>
      </c>
      <c r="DD821">
        <v>89</v>
      </c>
      <c r="DE821">
        <v>39</v>
      </c>
      <c r="DF821">
        <v>71</v>
      </c>
      <c r="DG821">
        <v>92</v>
      </c>
      <c r="DH821">
        <v>14</v>
      </c>
      <c r="DI821">
        <v>49</v>
      </c>
      <c r="DJ821">
        <v>98</v>
      </c>
      <c r="DK821">
        <v>82</v>
      </c>
    </row>
    <row r="822" spans="1:115">
      <c r="A822" s="173">
        <f>Calculations[[#This Row],[Sum t eCO2]]*IF(Calculations[[#This Row],[GHG Scope]]="BIOGENIC",0,1)</f>
        <v>6.8037246023115814E-4</v>
      </c>
      <c r="O822">
        <f t="shared" si="14"/>
        <v>165</v>
      </c>
      <c r="P822">
        <v>65</v>
      </c>
      <c r="Q822">
        <v>92</v>
      </c>
      <c r="R822">
        <v>31</v>
      </c>
      <c r="S822">
        <v>25</v>
      </c>
      <c r="T822">
        <v>58</v>
      </c>
      <c r="U822">
        <v>16</v>
      </c>
      <c r="V822">
        <v>51</v>
      </c>
      <c r="W822">
        <v>47</v>
      </c>
      <c r="X822">
        <v>73</v>
      </c>
      <c r="Y822">
        <v>89</v>
      </c>
      <c r="Z822">
        <v>85</v>
      </c>
      <c r="AA822">
        <v>16</v>
      </c>
      <c r="AB822">
        <v>62</v>
      </c>
      <c r="AC822">
        <v>50</v>
      </c>
      <c r="AD822">
        <v>43</v>
      </c>
      <c r="AE822">
        <v>52</v>
      </c>
      <c r="AF822">
        <v>78</v>
      </c>
      <c r="AG822">
        <v>57</v>
      </c>
      <c r="AH822">
        <v>17</v>
      </c>
      <c r="AI822">
        <v>97</v>
      </c>
      <c r="AJ822">
        <v>66</v>
      </c>
      <c r="AK822">
        <v>86</v>
      </c>
      <c r="AL822">
        <v>74</v>
      </c>
      <c r="AM822">
        <v>52</v>
      </c>
      <c r="AN822">
        <v>39</v>
      </c>
      <c r="AO822">
        <v>79</v>
      </c>
      <c r="AP822">
        <v>94</v>
      </c>
      <c r="AQ822">
        <v>41</v>
      </c>
      <c r="AR822">
        <v>14</v>
      </c>
      <c r="AS822">
        <v>36</v>
      </c>
      <c r="AT822">
        <v>74</v>
      </c>
      <c r="AU822">
        <v>30</v>
      </c>
      <c r="AV822">
        <v>27</v>
      </c>
      <c r="AW822">
        <v>36</v>
      </c>
      <c r="AX822">
        <v>94</v>
      </c>
      <c r="AY822">
        <v>57</v>
      </c>
      <c r="AZ822">
        <v>20</v>
      </c>
      <c r="BA822">
        <v>49</v>
      </c>
      <c r="BB822">
        <v>15</v>
      </c>
      <c r="BC822">
        <v>77</v>
      </c>
      <c r="BD822">
        <v>54</v>
      </c>
      <c r="BE822">
        <v>15</v>
      </c>
      <c r="BF822">
        <v>69</v>
      </c>
      <c r="BG822">
        <v>48</v>
      </c>
      <c r="BH822">
        <v>25</v>
      </c>
      <c r="BI822">
        <v>22</v>
      </c>
      <c r="BJ822">
        <v>74</v>
      </c>
      <c r="BK822">
        <v>64</v>
      </c>
      <c r="BL822">
        <v>50</v>
      </c>
      <c r="BM822">
        <v>95</v>
      </c>
      <c r="BN822">
        <v>84</v>
      </c>
      <c r="BO822">
        <v>90</v>
      </c>
      <c r="BP822">
        <v>52</v>
      </c>
      <c r="BQ822">
        <v>51</v>
      </c>
      <c r="BR822">
        <v>96</v>
      </c>
      <c r="BS822">
        <v>76</v>
      </c>
      <c r="BT822">
        <v>51</v>
      </c>
      <c r="BU822">
        <v>50</v>
      </c>
      <c r="BV822">
        <v>12</v>
      </c>
      <c r="BW822">
        <v>45</v>
      </c>
      <c r="BX822">
        <v>52</v>
      </c>
      <c r="BY822">
        <v>82</v>
      </c>
      <c r="BZ822">
        <v>91</v>
      </c>
      <c r="CA822">
        <v>28</v>
      </c>
      <c r="CB822">
        <v>16</v>
      </c>
      <c r="CC822">
        <v>18</v>
      </c>
      <c r="CD822">
        <v>48</v>
      </c>
      <c r="CE822">
        <v>95</v>
      </c>
      <c r="CF822">
        <v>90</v>
      </c>
      <c r="CG822">
        <v>43</v>
      </c>
      <c r="CH822">
        <v>22</v>
      </c>
      <c r="CI822">
        <v>75</v>
      </c>
      <c r="CJ822">
        <v>35</v>
      </c>
      <c r="CK822">
        <v>52</v>
      </c>
      <c r="CL822">
        <v>62</v>
      </c>
      <c r="CM822">
        <v>82</v>
      </c>
      <c r="CN822">
        <v>64</v>
      </c>
      <c r="CO822">
        <v>39</v>
      </c>
      <c r="CP822">
        <v>41</v>
      </c>
      <c r="CQ822">
        <v>12</v>
      </c>
      <c r="CR822">
        <v>37</v>
      </c>
      <c r="CS822">
        <v>42</v>
      </c>
      <c r="CT822">
        <v>78</v>
      </c>
      <c r="CU822">
        <v>47</v>
      </c>
      <c r="CV822">
        <v>14</v>
      </c>
      <c r="CW822">
        <v>73</v>
      </c>
      <c r="CX822">
        <v>33</v>
      </c>
      <c r="CY822">
        <v>16</v>
      </c>
      <c r="CZ822">
        <v>16</v>
      </c>
      <c r="DA822">
        <v>87</v>
      </c>
      <c r="DB822">
        <v>79</v>
      </c>
      <c r="DC822">
        <v>61</v>
      </c>
      <c r="DD822">
        <v>93</v>
      </c>
      <c r="DE822">
        <v>36</v>
      </c>
      <c r="DF822">
        <v>68</v>
      </c>
      <c r="DG822">
        <v>48</v>
      </c>
      <c r="DH822">
        <v>17</v>
      </c>
      <c r="DI822">
        <v>81</v>
      </c>
      <c r="DJ822">
        <v>69</v>
      </c>
      <c r="DK822">
        <v>63</v>
      </c>
    </row>
    <row r="823" spans="1:115">
      <c r="A823" s="173">
        <f>Calculations[[#This Row],[Sum t eCO2]]*IF(Calculations[[#This Row],[GHG Scope]]="BIOGENIC",0,1)</f>
        <v>0.12019893749999999</v>
      </c>
      <c r="O823">
        <f t="shared" si="14"/>
        <v>166</v>
      </c>
      <c r="P823">
        <v>71</v>
      </c>
      <c r="Q823">
        <v>57</v>
      </c>
      <c r="R823">
        <v>42</v>
      </c>
      <c r="S823">
        <v>43</v>
      </c>
      <c r="T823">
        <v>28</v>
      </c>
      <c r="U823">
        <v>22</v>
      </c>
      <c r="V823">
        <v>75</v>
      </c>
      <c r="W823">
        <v>24</v>
      </c>
      <c r="X823">
        <v>48</v>
      </c>
      <c r="Y823">
        <v>54</v>
      </c>
      <c r="Z823">
        <v>58</v>
      </c>
      <c r="AA823">
        <v>16</v>
      </c>
      <c r="AB823">
        <v>99</v>
      </c>
      <c r="AC823">
        <v>86</v>
      </c>
      <c r="AD823">
        <v>25</v>
      </c>
      <c r="AE823">
        <v>100</v>
      </c>
      <c r="AF823">
        <v>35</v>
      </c>
      <c r="AG823">
        <v>20</v>
      </c>
      <c r="AH823">
        <v>100</v>
      </c>
      <c r="AI823">
        <v>45</v>
      </c>
      <c r="AJ823">
        <v>59</v>
      </c>
      <c r="AK823">
        <v>89</v>
      </c>
      <c r="AL823">
        <v>85</v>
      </c>
      <c r="AM823">
        <v>54</v>
      </c>
      <c r="AN823">
        <v>46</v>
      </c>
      <c r="AO823">
        <v>93</v>
      </c>
      <c r="AP823">
        <v>42</v>
      </c>
      <c r="AQ823">
        <v>37</v>
      </c>
      <c r="AR823">
        <v>72</v>
      </c>
      <c r="AS823">
        <v>19</v>
      </c>
      <c r="AT823">
        <v>31</v>
      </c>
      <c r="AU823">
        <v>35</v>
      </c>
      <c r="AV823">
        <v>76</v>
      </c>
      <c r="AW823">
        <v>92</v>
      </c>
      <c r="AX823">
        <v>92</v>
      </c>
      <c r="AY823">
        <v>60</v>
      </c>
      <c r="AZ823">
        <v>44</v>
      </c>
      <c r="BA823">
        <v>69</v>
      </c>
      <c r="BB823">
        <v>97</v>
      </c>
      <c r="BC823">
        <v>93</v>
      </c>
      <c r="BD823">
        <v>10</v>
      </c>
      <c r="BE823">
        <v>49</v>
      </c>
      <c r="BF823">
        <v>17</v>
      </c>
      <c r="BG823">
        <v>100</v>
      </c>
      <c r="BH823">
        <v>47</v>
      </c>
      <c r="BI823">
        <v>65</v>
      </c>
      <c r="BJ823">
        <v>47</v>
      </c>
      <c r="BK823">
        <v>44</v>
      </c>
      <c r="BL823">
        <v>82</v>
      </c>
      <c r="BM823">
        <v>90</v>
      </c>
      <c r="BN823">
        <v>32</v>
      </c>
      <c r="BO823">
        <v>56</v>
      </c>
      <c r="BP823">
        <v>86</v>
      </c>
      <c r="BQ823">
        <v>56</v>
      </c>
      <c r="BR823">
        <v>73</v>
      </c>
      <c r="BS823">
        <v>77</v>
      </c>
      <c r="BT823">
        <v>100</v>
      </c>
      <c r="BU823">
        <v>53</v>
      </c>
      <c r="BV823">
        <v>71</v>
      </c>
      <c r="BW823">
        <v>23</v>
      </c>
      <c r="BX823">
        <v>81</v>
      </c>
      <c r="BY823">
        <v>37</v>
      </c>
      <c r="BZ823">
        <v>16</v>
      </c>
      <c r="CA823">
        <v>66</v>
      </c>
      <c r="CB823">
        <v>26</v>
      </c>
      <c r="CC823">
        <v>59</v>
      </c>
      <c r="CD823">
        <v>60</v>
      </c>
      <c r="CE823">
        <v>100</v>
      </c>
      <c r="CF823">
        <v>51</v>
      </c>
      <c r="CG823">
        <v>55</v>
      </c>
      <c r="CH823">
        <v>67</v>
      </c>
      <c r="CI823">
        <v>34</v>
      </c>
      <c r="CJ823">
        <v>87</v>
      </c>
      <c r="CK823">
        <v>94</v>
      </c>
      <c r="CL823">
        <v>76</v>
      </c>
      <c r="CM823">
        <v>82</v>
      </c>
      <c r="CN823">
        <v>86</v>
      </c>
      <c r="CO823">
        <v>17</v>
      </c>
      <c r="CP823">
        <v>78</v>
      </c>
      <c r="CQ823">
        <v>61</v>
      </c>
      <c r="CR823">
        <v>42</v>
      </c>
      <c r="CS823">
        <v>56</v>
      </c>
      <c r="CT823">
        <v>59</v>
      </c>
      <c r="CU823">
        <v>80</v>
      </c>
      <c r="CV823">
        <v>30</v>
      </c>
      <c r="CW823">
        <v>68</v>
      </c>
      <c r="CX823">
        <v>67</v>
      </c>
      <c r="CY823">
        <v>61</v>
      </c>
      <c r="CZ823">
        <v>48</v>
      </c>
      <c r="DA823">
        <v>84</v>
      </c>
      <c r="DB823">
        <v>97</v>
      </c>
      <c r="DC823">
        <v>35</v>
      </c>
      <c r="DD823">
        <v>67</v>
      </c>
      <c r="DE823">
        <v>100</v>
      </c>
      <c r="DF823">
        <v>26</v>
      </c>
      <c r="DG823">
        <v>42</v>
      </c>
      <c r="DH823">
        <v>96</v>
      </c>
      <c r="DI823">
        <v>41</v>
      </c>
      <c r="DJ823">
        <v>75</v>
      </c>
      <c r="DK823">
        <v>52</v>
      </c>
    </row>
    <row r="824" spans="1:115">
      <c r="A824" s="173">
        <f>Calculations[[#This Row],[Sum t eCO2]]*IF(Calculations[[#This Row],[GHG Scope]]="BIOGENIC",0,1)</f>
        <v>3.902138307</v>
      </c>
      <c r="O824">
        <f t="shared" si="14"/>
        <v>167</v>
      </c>
      <c r="P824">
        <v>11</v>
      </c>
      <c r="Q824">
        <v>64</v>
      </c>
      <c r="R824">
        <v>87</v>
      </c>
      <c r="S824">
        <v>27</v>
      </c>
      <c r="T824">
        <v>21</v>
      </c>
      <c r="U824">
        <v>64</v>
      </c>
      <c r="V824">
        <v>78</v>
      </c>
      <c r="W824">
        <v>14</v>
      </c>
      <c r="X824">
        <v>45</v>
      </c>
      <c r="Y824">
        <v>60</v>
      </c>
      <c r="Z824">
        <v>12</v>
      </c>
      <c r="AA824">
        <v>47</v>
      </c>
      <c r="AB824">
        <v>68</v>
      </c>
      <c r="AC824">
        <v>19</v>
      </c>
      <c r="AD824">
        <v>43</v>
      </c>
      <c r="AE824">
        <v>37</v>
      </c>
      <c r="AF824">
        <v>55</v>
      </c>
      <c r="AG824">
        <v>94</v>
      </c>
      <c r="AH824">
        <v>19</v>
      </c>
      <c r="AI824">
        <v>48</v>
      </c>
      <c r="AJ824">
        <v>30</v>
      </c>
      <c r="AK824">
        <v>95</v>
      </c>
      <c r="AL824">
        <v>60</v>
      </c>
      <c r="AM824">
        <v>41</v>
      </c>
      <c r="AN824">
        <v>54</v>
      </c>
      <c r="AO824">
        <v>81</v>
      </c>
      <c r="AP824">
        <v>89</v>
      </c>
      <c r="AQ824">
        <v>40</v>
      </c>
      <c r="AR824">
        <v>92</v>
      </c>
      <c r="AS824">
        <v>75</v>
      </c>
      <c r="AT824">
        <v>56</v>
      </c>
      <c r="AU824">
        <v>46</v>
      </c>
      <c r="AV824">
        <v>43</v>
      </c>
      <c r="AW824">
        <v>43</v>
      </c>
      <c r="AX824">
        <v>17</v>
      </c>
      <c r="AY824">
        <v>19</v>
      </c>
      <c r="AZ824">
        <v>82</v>
      </c>
      <c r="BA824">
        <v>79</v>
      </c>
      <c r="BB824">
        <v>93</v>
      </c>
      <c r="BC824">
        <v>42</v>
      </c>
      <c r="BD824">
        <v>95</v>
      </c>
      <c r="BE824">
        <v>48</v>
      </c>
      <c r="BF824">
        <v>11</v>
      </c>
      <c r="BG824">
        <v>72</v>
      </c>
      <c r="BH824">
        <v>49</v>
      </c>
      <c r="BI824">
        <v>32</v>
      </c>
      <c r="BJ824">
        <v>50</v>
      </c>
      <c r="BK824">
        <v>93</v>
      </c>
      <c r="BL824">
        <v>48</v>
      </c>
      <c r="BM824">
        <v>51</v>
      </c>
      <c r="BN824">
        <v>18</v>
      </c>
      <c r="BO824">
        <v>66</v>
      </c>
      <c r="BP824">
        <v>97</v>
      </c>
      <c r="BQ824">
        <v>49</v>
      </c>
      <c r="BR824">
        <v>55</v>
      </c>
      <c r="BS824">
        <v>90</v>
      </c>
      <c r="BT824">
        <v>66</v>
      </c>
      <c r="BU824">
        <v>12</v>
      </c>
      <c r="BV824">
        <v>54</v>
      </c>
      <c r="BW824">
        <v>86</v>
      </c>
      <c r="BX824">
        <v>95</v>
      </c>
      <c r="BY824">
        <v>23</v>
      </c>
      <c r="BZ824">
        <v>63</v>
      </c>
      <c r="CA824">
        <v>18</v>
      </c>
      <c r="CB824">
        <v>59</v>
      </c>
      <c r="CC824">
        <v>14</v>
      </c>
      <c r="CD824">
        <v>24</v>
      </c>
      <c r="CE824">
        <v>88</v>
      </c>
      <c r="CF824">
        <v>74</v>
      </c>
      <c r="CG824">
        <v>60</v>
      </c>
      <c r="CH824">
        <v>54</v>
      </c>
      <c r="CI824">
        <v>92</v>
      </c>
      <c r="CJ824">
        <v>88</v>
      </c>
      <c r="CK824">
        <v>47</v>
      </c>
      <c r="CL824">
        <v>19</v>
      </c>
      <c r="CM824">
        <v>33</v>
      </c>
      <c r="CN824">
        <v>78</v>
      </c>
      <c r="CO824">
        <v>55</v>
      </c>
      <c r="CP824">
        <v>50</v>
      </c>
      <c r="CQ824">
        <v>95</v>
      </c>
      <c r="CR824">
        <v>21</v>
      </c>
      <c r="CS824">
        <v>53</v>
      </c>
      <c r="CT824">
        <v>88</v>
      </c>
      <c r="CU824">
        <v>39</v>
      </c>
      <c r="CV824">
        <v>27</v>
      </c>
      <c r="CW824">
        <v>24</v>
      </c>
      <c r="CX824">
        <v>32</v>
      </c>
      <c r="CY824">
        <v>44</v>
      </c>
      <c r="CZ824">
        <v>52</v>
      </c>
      <c r="DA824">
        <v>52</v>
      </c>
      <c r="DB824">
        <v>57</v>
      </c>
      <c r="DC824">
        <v>51</v>
      </c>
      <c r="DD824">
        <v>87</v>
      </c>
      <c r="DE824">
        <v>70</v>
      </c>
      <c r="DF824">
        <v>27</v>
      </c>
      <c r="DG824">
        <v>81</v>
      </c>
      <c r="DH824">
        <v>79</v>
      </c>
      <c r="DI824">
        <v>63</v>
      </c>
      <c r="DJ824">
        <v>68</v>
      </c>
      <c r="DK824">
        <v>92</v>
      </c>
    </row>
    <row r="825" spans="1:115">
      <c r="A825" s="173">
        <f>Calculations[[#This Row],[Sum t eCO2]]*IF(Calculations[[#This Row],[GHG Scope]]="BIOGENIC",0,1)</f>
        <v>6.7505197740299989</v>
      </c>
      <c r="O825">
        <f t="shared" si="14"/>
        <v>168</v>
      </c>
      <c r="P825">
        <v>19</v>
      </c>
      <c r="Q825">
        <v>34</v>
      </c>
      <c r="R825">
        <v>11</v>
      </c>
      <c r="S825">
        <v>25</v>
      </c>
      <c r="T825">
        <v>23</v>
      </c>
      <c r="U825">
        <v>60</v>
      </c>
      <c r="V825">
        <v>51</v>
      </c>
      <c r="W825">
        <v>62</v>
      </c>
      <c r="X825">
        <v>79</v>
      </c>
      <c r="Y825">
        <v>36</v>
      </c>
      <c r="Z825">
        <v>79</v>
      </c>
      <c r="AA825">
        <v>56</v>
      </c>
      <c r="AB825">
        <v>58</v>
      </c>
      <c r="AC825">
        <v>26</v>
      </c>
      <c r="AD825">
        <v>65</v>
      </c>
      <c r="AE825">
        <v>25</v>
      </c>
      <c r="AF825">
        <v>30</v>
      </c>
      <c r="AG825">
        <v>82</v>
      </c>
      <c r="AH825">
        <v>42</v>
      </c>
      <c r="AI825">
        <v>89</v>
      </c>
      <c r="AJ825">
        <v>80</v>
      </c>
      <c r="AK825">
        <v>98</v>
      </c>
      <c r="AL825">
        <v>75</v>
      </c>
      <c r="AM825">
        <v>14</v>
      </c>
      <c r="AN825">
        <v>36</v>
      </c>
      <c r="AO825">
        <v>41</v>
      </c>
      <c r="AP825">
        <v>19</v>
      </c>
      <c r="AQ825">
        <v>99</v>
      </c>
      <c r="AR825">
        <v>56</v>
      </c>
      <c r="AS825">
        <v>94</v>
      </c>
      <c r="AT825">
        <v>36</v>
      </c>
      <c r="AU825">
        <v>12</v>
      </c>
      <c r="AV825">
        <v>14</v>
      </c>
      <c r="AW825">
        <v>45</v>
      </c>
      <c r="AX825">
        <v>51</v>
      </c>
      <c r="AY825">
        <v>28</v>
      </c>
      <c r="AZ825">
        <v>64</v>
      </c>
      <c r="BA825">
        <v>10</v>
      </c>
      <c r="BB825">
        <v>28</v>
      </c>
      <c r="BC825">
        <v>31</v>
      </c>
      <c r="BD825">
        <v>74</v>
      </c>
      <c r="BE825">
        <v>82</v>
      </c>
      <c r="BF825">
        <v>55</v>
      </c>
      <c r="BG825">
        <v>45</v>
      </c>
      <c r="BH825">
        <v>77</v>
      </c>
      <c r="BI825">
        <v>87</v>
      </c>
      <c r="BJ825">
        <v>51</v>
      </c>
      <c r="BK825">
        <v>58</v>
      </c>
      <c r="BL825">
        <v>14</v>
      </c>
      <c r="BM825">
        <v>80</v>
      </c>
      <c r="BN825">
        <v>38</v>
      </c>
      <c r="BO825">
        <v>78</v>
      </c>
      <c r="BP825">
        <v>63</v>
      </c>
      <c r="BQ825">
        <v>88</v>
      </c>
      <c r="BR825">
        <v>53</v>
      </c>
      <c r="BS825">
        <v>18</v>
      </c>
      <c r="BT825">
        <v>52</v>
      </c>
      <c r="BU825">
        <v>58</v>
      </c>
      <c r="BV825">
        <v>44</v>
      </c>
      <c r="BW825">
        <v>82</v>
      </c>
      <c r="BX825">
        <v>90</v>
      </c>
      <c r="BY825">
        <v>42</v>
      </c>
      <c r="BZ825">
        <v>61</v>
      </c>
      <c r="CA825">
        <v>51</v>
      </c>
      <c r="CB825">
        <v>24</v>
      </c>
      <c r="CC825">
        <v>85</v>
      </c>
      <c r="CD825">
        <v>33</v>
      </c>
      <c r="CE825">
        <v>29</v>
      </c>
      <c r="CF825">
        <v>28</v>
      </c>
      <c r="CG825">
        <v>23</v>
      </c>
      <c r="CH825">
        <v>67</v>
      </c>
      <c r="CI825">
        <v>12</v>
      </c>
      <c r="CJ825">
        <v>68</v>
      </c>
      <c r="CK825">
        <v>13</v>
      </c>
      <c r="CL825">
        <v>34</v>
      </c>
      <c r="CM825">
        <v>24</v>
      </c>
      <c r="CN825">
        <v>67</v>
      </c>
      <c r="CO825">
        <v>82</v>
      </c>
      <c r="CP825">
        <v>88</v>
      </c>
      <c r="CQ825">
        <v>40</v>
      </c>
      <c r="CR825">
        <v>33</v>
      </c>
      <c r="CS825">
        <v>43</v>
      </c>
      <c r="CT825">
        <v>48</v>
      </c>
      <c r="CU825">
        <v>60</v>
      </c>
      <c r="CV825">
        <v>44</v>
      </c>
      <c r="CW825">
        <v>26</v>
      </c>
      <c r="CX825">
        <v>12</v>
      </c>
      <c r="CY825">
        <v>29</v>
      </c>
      <c r="CZ825">
        <v>91</v>
      </c>
      <c r="DA825">
        <v>99</v>
      </c>
      <c r="DB825">
        <v>91</v>
      </c>
      <c r="DC825">
        <v>38</v>
      </c>
      <c r="DD825">
        <v>13</v>
      </c>
      <c r="DE825">
        <v>27</v>
      </c>
      <c r="DF825">
        <v>44</v>
      </c>
      <c r="DG825">
        <v>40</v>
      </c>
      <c r="DH825">
        <v>58</v>
      </c>
      <c r="DI825">
        <v>64</v>
      </c>
      <c r="DJ825">
        <v>74</v>
      </c>
      <c r="DK825">
        <v>13</v>
      </c>
    </row>
    <row r="826" spans="1:115">
      <c r="A826" s="173">
        <f>Calculations[[#This Row],[Sum t eCO2]]*IF(Calculations[[#This Row],[GHG Scope]]="BIOGENIC",0,1)</f>
        <v>0.48627682155000002</v>
      </c>
      <c r="O826">
        <f t="shared" si="14"/>
        <v>169</v>
      </c>
      <c r="P826">
        <v>29</v>
      </c>
      <c r="Q826">
        <v>97</v>
      </c>
      <c r="R826">
        <v>86</v>
      </c>
      <c r="S826">
        <v>50</v>
      </c>
      <c r="T826">
        <v>87</v>
      </c>
      <c r="U826">
        <v>85</v>
      </c>
      <c r="V826">
        <v>64</v>
      </c>
      <c r="W826">
        <v>31</v>
      </c>
      <c r="X826">
        <v>51</v>
      </c>
      <c r="Y826">
        <v>90</v>
      </c>
      <c r="Z826">
        <v>57</v>
      </c>
      <c r="AA826">
        <v>86</v>
      </c>
      <c r="AB826">
        <v>74</v>
      </c>
      <c r="AC826">
        <v>91</v>
      </c>
      <c r="AD826">
        <v>77</v>
      </c>
      <c r="AE826">
        <v>45</v>
      </c>
      <c r="AF826">
        <v>27</v>
      </c>
      <c r="AG826">
        <v>49</v>
      </c>
      <c r="AH826">
        <v>64</v>
      </c>
      <c r="AI826">
        <v>85</v>
      </c>
      <c r="AJ826">
        <v>41</v>
      </c>
      <c r="AK826">
        <v>11</v>
      </c>
      <c r="AL826">
        <v>31</v>
      </c>
      <c r="AM826">
        <v>52</v>
      </c>
      <c r="AN826">
        <v>33</v>
      </c>
      <c r="AO826">
        <v>14</v>
      </c>
      <c r="AP826">
        <v>56</v>
      </c>
      <c r="AQ826">
        <v>42</v>
      </c>
      <c r="AR826">
        <v>30</v>
      </c>
      <c r="AS826">
        <v>59</v>
      </c>
      <c r="AT826">
        <v>78</v>
      </c>
      <c r="AU826">
        <v>31</v>
      </c>
      <c r="AV826">
        <v>88</v>
      </c>
      <c r="AW826">
        <v>45</v>
      </c>
      <c r="AX826">
        <v>14</v>
      </c>
      <c r="AY826">
        <v>30</v>
      </c>
      <c r="AZ826">
        <v>34</v>
      </c>
      <c r="BA826">
        <v>15</v>
      </c>
      <c r="BB826">
        <v>47</v>
      </c>
      <c r="BC826">
        <v>19</v>
      </c>
      <c r="BD826">
        <v>62</v>
      </c>
      <c r="BE826">
        <v>29</v>
      </c>
      <c r="BF826">
        <v>86</v>
      </c>
      <c r="BG826">
        <v>83</v>
      </c>
      <c r="BH826">
        <v>17</v>
      </c>
      <c r="BI826">
        <v>31</v>
      </c>
      <c r="BJ826">
        <v>48</v>
      </c>
      <c r="BK826">
        <v>98</v>
      </c>
      <c r="BL826">
        <v>65</v>
      </c>
      <c r="BM826">
        <v>60</v>
      </c>
      <c r="BN826">
        <v>17</v>
      </c>
      <c r="BO826">
        <v>91</v>
      </c>
      <c r="BP826">
        <v>51</v>
      </c>
      <c r="BQ826">
        <v>74</v>
      </c>
      <c r="BR826">
        <v>72</v>
      </c>
      <c r="BS826">
        <v>62</v>
      </c>
      <c r="BT826">
        <v>40</v>
      </c>
      <c r="BU826">
        <v>31</v>
      </c>
      <c r="BV826">
        <v>30</v>
      </c>
      <c r="BW826">
        <v>93</v>
      </c>
      <c r="BX826">
        <v>19</v>
      </c>
      <c r="BY826">
        <v>38</v>
      </c>
      <c r="BZ826">
        <v>47</v>
      </c>
      <c r="CA826">
        <v>30</v>
      </c>
      <c r="CB826">
        <v>50</v>
      </c>
      <c r="CC826">
        <v>44</v>
      </c>
      <c r="CD826">
        <v>30</v>
      </c>
      <c r="CE826">
        <v>44</v>
      </c>
      <c r="CF826">
        <v>82</v>
      </c>
      <c r="CG826">
        <v>82</v>
      </c>
      <c r="CH826">
        <v>54</v>
      </c>
      <c r="CI826">
        <v>47</v>
      </c>
      <c r="CJ826">
        <v>82</v>
      </c>
      <c r="CK826">
        <v>93</v>
      </c>
      <c r="CL826">
        <v>98</v>
      </c>
      <c r="CM826">
        <v>96</v>
      </c>
      <c r="CN826">
        <v>38</v>
      </c>
      <c r="CO826">
        <v>62</v>
      </c>
      <c r="CP826">
        <v>24</v>
      </c>
      <c r="CQ826">
        <v>17</v>
      </c>
      <c r="CR826">
        <v>21</v>
      </c>
      <c r="CS826">
        <v>65</v>
      </c>
      <c r="CT826">
        <v>55</v>
      </c>
      <c r="CU826">
        <v>71</v>
      </c>
      <c r="CV826">
        <v>89</v>
      </c>
      <c r="CW826">
        <v>65</v>
      </c>
      <c r="CX826">
        <v>20</v>
      </c>
      <c r="CY826">
        <v>88</v>
      </c>
      <c r="CZ826">
        <v>100</v>
      </c>
      <c r="DA826">
        <v>49</v>
      </c>
      <c r="DB826">
        <v>45</v>
      </c>
      <c r="DC826">
        <v>43</v>
      </c>
      <c r="DD826">
        <v>77</v>
      </c>
      <c r="DE826">
        <v>29</v>
      </c>
      <c r="DF826">
        <v>42</v>
      </c>
      <c r="DG826">
        <v>49</v>
      </c>
      <c r="DH826">
        <v>12</v>
      </c>
      <c r="DI826">
        <v>44</v>
      </c>
      <c r="DJ826">
        <v>69</v>
      </c>
      <c r="DK826">
        <v>22</v>
      </c>
    </row>
    <row r="827" spans="1:115">
      <c r="A827" s="173">
        <f>Calculations[[#This Row],[Sum t eCO2]]*IF(Calculations[[#This Row],[GHG Scope]]="BIOGENIC",0,1)</f>
        <v>1.4359766399999999E-3</v>
      </c>
      <c r="O827">
        <f t="shared" si="14"/>
        <v>170</v>
      </c>
      <c r="P827">
        <v>75</v>
      </c>
      <c r="Q827">
        <v>30</v>
      </c>
      <c r="R827">
        <v>55</v>
      </c>
      <c r="S827">
        <v>69</v>
      </c>
      <c r="T827">
        <v>33</v>
      </c>
      <c r="U827">
        <v>82</v>
      </c>
      <c r="V827">
        <v>24</v>
      </c>
      <c r="W827">
        <v>86</v>
      </c>
      <c r="X827">
        <v>92</v>
      </c>
      <c r="Y827">
        <v>51</v>
      </c>
      <c r="Z827">
        <v>51</v>
      </c>
      <c r="AA827">
        <v>62</v>
      </c>
      <c r="AB827">
        <v>12</v>
      </c>
      <c r="AC827">
        <v>17</v>
      </c>
      <c r="AD827">
        <v>29</v>
      </c>
      <c r="AE827">
        <v>54</v>
      </c>
      <c r="AF827">
        <v>62</v>
      </c>
      <c r="AG827">
        <v>39</v>
      </c>
      <c r="AH827">
        <v>50</v>
      </c>
      <c r="AI827">
        <v>17</v>
      </c>
      <c r="AJ827">
        <v>26</v>
      </c>
      <c r="AK827">
        <v>11</v>
      </c>
      <c r="AL827">
        <v>81</v>
      </c>
      <c r="AM827">
        <v>40</v>
      </c>
      <c r="AN827">
        <v>61</v>
      </c>
      <c r="AO827">
        <v>55</v>
      </c>
      <c r="AP827">
        <v>35</v>
      </c>
      <c r="AQ827">
        <v>71</v>
      </c>
      <c r="AR827">
        <v>20</v>
      </c>
      <c r="AS827">
        <v>42</v>
      </c>
      <c r="AT827">
        <v>100</v>
      </c>
      <c r="AU827">
        <v>43</v>
      </c>
      <c r="AV827">
        <v>66</v>
      </c>
      <c r="AW827">
        <v>83</v>
      </c>
      <c r="AX827">
        <v>91</v>
      </c>
      <c r="AY827">
        <v>76</v>
      </c>
      <c r="AZ827">
        <v>52</v>
      </c>
      <c r="BA827">
        <v>52</v>
      </c>
      <c r="BB827">
        <v>52</v>
      </c>
      <c r="BC827">
        <v>99</v>
      </c>
      <c r="BD827">
        <v>33</v>
      </c>
      <c r="BE827">
        <v>29</v>
      </c>
      <c r="BF827">
        <v>60</v>
      </c>
      <c r="BG827">
        <v>81</v>
      </c>
      <c r="BH827">
        <v>21</v>
      </c>
      <c r="BI827">
        <v>63</v>
      </c>
      <c r="BJ827">
        <v>87</v>
      </c>
      <c r="BK827">
        <v>27</v>
      </c>
      <c r="BL827">
        <v>72</v>
      </c>
      <c r="BM827">
        <v>37</v>
      </c>
      <c r="BN827">
        <v>23</v>
      </c>
      <c r="BO827">
        <v>63</v>
      </c>
      <c r="BP827">
        <v>62</v>
      </c>
      <c r="BQ827">
        <v>50</v>
      </c>
      <c r="BR827">
        <v>12</v>
      </c>
      <c r="BS827">
        <v>85</v>
      </c>
      <c r="BT827">
        <v>11</v>
      </c>
      <c r="BU827">
        <v>38</v>
      </c>
      <c r="BV827">
        <v>69</v>
      </c>
      <c r="BW827">
        <v>75</v>
      </c>
      <c r="BX827">
        <v>83</v>
      </c>
      <c r="BY827">
        <v>73</v>
      </c>
      <c r="BZ827">
        <v>53</v>
      </c>
      <c r="CA827">
        <v>94</v>
      </c>
      <c r="CB827">
        <v>68</v>
      </c>
      <c r="CC827">
        <v>40</v>
      </c>
      <c r="CD827">
        <v>68</v>
      </c>
      <c r="CE827">
        <v>84</v>
      </c>
      <c r="CF827">
        <v>71</v>
      </c>
      <c r="CG827">
        <v>66</v>
      </c>
      <c r="CH827">
        <v>87</v>
      </c>
      <c r="CI827">
        <v>15</v>
      </c>
      <c r="CJ827">
        <v>45</v>
      </c>
      <c r="CK827">
        <v>47</v>
      </c>
      <c r="CL827">
        <v>62</v>
      </c>
      <c r="CM827">
        <v>24</v>
      </c>
      <c r="CN827">
        <v>57</v>
      </c>
      <c r="CO827">
        <v>84</v>
      </c>
      <c r="CP827">
        <v>60</v>
      </c>
      <c r="CQ827">
        <v>43</v>
      </c>
      <c r="CR827">
        <v>29</v>
      </c>
      <c r="CS827">
        <v>33</v>
      </c>
      <c r="CT827">
        <v>86</v>
      </c>
      <c r="CU827">
        <v>88</v>
      </c>
      <c r="CV827">
        <v>59</v>
      </c>
      <c r="CW827">
        <v>37</v>
      </c>
      <c r="CX827">
        <v>96</v>
      </c>
      <c r="CY827">
        <v>46</v>
      </c>
      <c r="CZ827">
        <v>27</v>
      </c>
      <c r="DA827">
        <v>15</v>
      </c>
      <c r="DB827">
        <v>40</v>
      </c>
      <c r="DC827">
        <v>82</v>
      </c>
      <c r="DD827">
        <v>30</v>
      </c>
      <c r="DE827">
        <v>58</v>
      </c>
      <c r="DF827">
        <v>49</v>
      </c>
      <c r="DG827">
        <v>74</v>
      </c>
      <c r="DH827">
        <v>21</v>
      </c>
      <c r="DI827">
        <v>43</v>
      </c>
      <c r="DJ827">
        <v>14</v>
      </c>
      <c r="DK827">
        <v>37</v>
      </c>
    </row>
    <row r="828" spans="1:115">
      <c r="A828" s="173">
        <f>Calculations[[#This Row],[Sum t eCO2]]*IF(Calculations[[#This Row],[GHG Scope]]="BIOGENIC",0,1)</f>
        <v>2.6065540259999993E-4</v>
      </c>
      <c r="O828">
        <f t="shared" si="14"/>
        <v>171</v>
      </c>
      <c r="P828">
        <v>46</v>
      </c>
      <c r="Q828">
        <v>32</v>
      </c>
      <c r="R828">
        <v>78</v>
      </c>
      <c r="S828">
        <v>15</v>
      </c>
      <c r="T828">
        <v>28</v>
      </c>
      <c r="U828">
        <v>47</v>
      </c>
      <c r="V828">
        <v>75</v>
      </c>
      <c r="W828">
        <v>15</v>
      </c>
      <c r="X828">
        <v>43</v>
      </c>
      <c r="Y828">
        <v>18</v>
      </c>
      <c r="Z828">
        <v>29</v>
      </c>
      <c r="AA828">
        <v>86</v>
      </c>
      <c r="AB828">
        <v>51</v>
      </c>
      <c r="AC828">
        <v>19</v>
      </c>
      <c r="AD828">
        <v>29</v>
      </c>
      <c r="AE828">
        <v>18</v>
      </c>
      <c r="AF828">
        <v>97</v>
      </c>
      <c r="AG828">
        <v>87</v>
      </c>
      <c r="AH828">
        <v>72</v>
      </c>
      <c r="AI828">
        <v>27</v>
      </c>
      <c r="AJ828">
        <v>75</v>
      </c>
      <c r="AK828">
        <v>84</v>
      </c>
      <c r="AL828">
        <v>82</v>
      </c>
      <c r="AM828">
        <v>22</v>
      </c>
      <c r="AN828">
        <v>29</v>
      </c>
      <c r="AO828">
        <v>18</v>
      </c>
      <c r="AP828">
        <v>15</v>
      </c>
      <c r="AQ828">
        <v>19</v>
      </c>
      <c r="AR828">
        <v>90</v>
      </c>
      <c r="AS828">
        <v>76</v>
      </c>
      <c r="AT828">
        <v>83</v>
      </c>
      <c r="AU828">
        <v>74</v>
      </c>
      <c r="AV828">
        <v>97</v>
      </c>
      <c r="AW828">
        <v>12</v>
      </c>
      <c r="AX828">
        <v>15</v>
      </c>
      <c r="AY828">
        <v>46</v>
      </c>
      <c r="AZ828">
        <v>44</v>
      </c>
      <c r="BA828">
        <v>50</v>
      </c>
      <c r="BB828">
        <v>73</v>
      </c>
      <c r="BC828">
        <v>70</v>
      </c>
      <c r="BD828">
        <v>60</v>
      </c>
      <c r="BE828">
        <v>21</v>
      </c>
      <c r="BF828">
        <v>77</v>
      </c>
      <c r="BG828">
        <v>34</v>
      </c>
      <c r="BH828">
        <v>89</v>
      </c>
      <c r="BI828">
        <v>37</v>
      </c>
      <c r="BJ828">
        <v>35</v>
      </c>
      <c r="BK828">
        <v>49</v>
      </c>
      <c r="BL828">
        <v>22</v>
      </c>
      <c r="BM828">
        <v>20</v>
      </c>
      <c r="BN828">
        <v>22</v>
      </c>
      <c r="BO828">
        <v>65</v>
      </c>
      <c r="BP828">
        <v>32</v>
      </c>
      <c r="BQ828">
        <v>50</v>
      </c>
      <c r="BR828">
        <v>26</v>
      </c>
      <c r="BS828">
        <v>85</v>
      </c>
      <c r="BT828">
        <v>64</v>
      </c>
      <c r="BU828">
        <v>91</v>
      </c>
      <c r="BV828">
        <v>50</v>
      </c>
      <c r="BW828">
        <v>60</v>
      </c>
      <c r="BX828">
        <v>42</v>
      </c>
      <c r="BY828">
        <v>67</v>
      </c>
      <c r="BZ828">
        <v>14</v>
      </c>
      <c r="CA828">
        <v>30</v>
      </c>
      <c r="CB828">
        <v>17</v>
      </c>
      <c r="CC828">
        <v>72</v>
      </c>
      <c r="CD828">
        <v>31</v>
      </c>
      <c r="CE828">
        <v>100</v>
      </c>
      <c r="CF828">
        <v>51</v>
      </c>
      <c r="CG828">
        <v>82</v>
      </c>
      <c r="CH828">
        <v>62</v>
      </c>
      <c r="CI828">
        <v>73</v>
      </c>
      <c r="CJ828">
        <v>52</v>
      </c>
      <c r="CK828">
        <v>76</v>
      </c>
      <c r="CL828">
        <v>50</v>
      </c>
      <c r="CM828">
        <v>40</v>
      </c>
      <c r="CN828">
        <v>22</v>
      </c>
      <c r="CO828">
        <v>88</v>
      </c>
      <c r="CP828">
        <v>99</v>
      </c>
      <c r="CQ828">
        <v>13</v>
      </c>
      <c r="CR828">
        <v>10</v>
      </c>
      <c r="CS828">
        <v>93</v>
      </c>
      <c r="CT828">
        <v>94</v>
      </c>
      <c r="CU828">
        <v>35</v>
      </c>
      <c r="CV828">
        <v>76</v>
      </c>
      <c r="CW828">
        <v>63</v>
      </c>
      <c r="CX828">
        <v>35</v>
      </c>
      <c r="CY828">
        <v>90</v>
      </c>
      <c r="CZ828">
        <v>52</v>
      </c>
      <c r="DA828">
        <v>71</v>
      </c>
      <c r="DB828">
        <v>83</v>
      </c>
      <c r="DC828">
        <v>20</v>
      </c>
      <c r="DD828">
        <v>37</v>
      </c>
      <c r="DE828">
        <v>59</v>
      </c>
      <c r="DF828">
        <v>56</v>
      </c>
      <c r="DG828">
        <v>73</v>
      </c>
      <c r="DH828">
        <v>29</v>
      </c>
      <c r="DI828">
        <v>53</v>
      </c>
      <c r="DJ828">
        <v>63</v>
      </c>
      <c r="DK828">
        <v>19</v>
      </c>
    </row>
    <row r="829" spans="1:115">
      <c r="A829" s="173">
        <f>Calculations[[#This Row],[Sum t eCO2]]*IF(Calculations[[#This Row],[GHG Scope]]="BIOGENIC",0,1)</f>
        <v>15.581885090399998</v>
      </c>
      <c r="O829">
        <f t="shared" si="14"/>
        <v>172</v>
      </c>
      <c r="P829">
        <v>18</v>
      </c>
      <c r="Q829">
        <v>79</v>
      </c>
      <c r="R829">
        <v>78</v>
      </c>
      <c r="S829">
        <v>37</v>
      </c>
      <c r="T829">
        <v>84</v>
      </c>
      <c r="U829">
        <v>37</v>
      </c>
      <c r="V829">
        <v>24</v>
      </c>
      <c r="W829">
        <v>40</v>
      </c>
      <c r="X829">
        <v>43</v>
      </c>
      <c r="Y829">
        <v>32</v>
      </c>
      <c r="Z829">
        <v>29</v>
      </c>
      <c r="AA829">
        <v>70</v>
      </c>
      <c r="AB829">
        <v>67</v>
      </c>
      <c r="AC829">
        <v>56</v>
      </c>
      <c r="AD829">
        <v>94</v>
      </c>
      <c r="AE829">
        <v>98</v>
      </c>
      <c r="AF829">
        <v>13</v>
      </c>
      <c r="AG829">
        <v>15</v>
      </c>
      <c r="AH829">
        <v>34</v>
      </c>
      <c r="AI829">
        <v>44</v>
      </c>
      <c r="AJ829">
        <v>50</v>
      </c>
      <c r="AK829">
        <v>24</v>
      </c>
      <c r="AL829">
        <v>13</v>
      </c>
      <c r="AM829">
        <v>72</v>
      </c>
      <c r="AN829">
        <v>57</v>
      </c>
      <c r="AO829">
        <v>90</v>
      </c>
      <c r="AP829">
        <v>95</v>
      </c>
      <c r="AQ829">
        <v>69</v>
      </c>
      <c r="AR829">
        <v>64</v>
      </c>
      <c r="AS829">
        <v>94</v>
      </c>
      <c r="AT829">
        <v>16</v>
      </c>
      <c r="AU829">
        <v>74</v>
      </c>
      <c r="AV829">
        <v>96</v>
      </c>
      <c r="AW829">
        <v>86</v>
      </c>
      <c r="AX829">
        <v>70</v>
      </c>
      <c r="AY829">
        <v>58</v>
      </c>
      <c r="AZ829">
        <v>77</v>
      </c>
      <c r="BA829">
        <v>83</v>
      </c>
      <c r="BB829">
        <v>41</v>
      </c>
      <c r="BC829">
        <v>46</v>
      </c>
      <c r="BD829">
        <v>64</v>
      </c>
      <c r="BE829">
        <v>85</v>
      </c>
      <c r="BF829">
        <v>34</v>
      </c>
      <c r="BG829">
        <v>20</v>
      </c>
      <c r="BH829">
        <v>77</v>
      </c>
      <c r="BI829">
        <v>28</v>
      </c>
      <c r="BJ829">
        <v>41</v>
      </c>
      <c r="BK829">
        <v>40</v>
      </c>
      <c r="BL829">
        <v>81</v>
      </c>
      <c r="BM829">
        <v>55</v>
      </c>
      <c r="BN829">
        <v>23</v>
      </c>
      <c r="BO829">
        <v>48</v>
      </c>
      <c r="BP829">
        <v>59</v>
      </c>
      <c r="BQ829">
        <v>28</v>
      </c>
      <c r="BR829">
        <v>17</v>
      </c>
      <c r="BS829">
        <v>10</v>
      </c>
      <c r="BT829">
        <v>100</v>
      </c>
      <c r="BU829">
        <v>68</v>
      </c>
      <c r="BV829">
        <v>23</v>
      </c>
      <c r="BW829">
        <v>88</v>
      </c>
      <c r="BX829">
        <v>19</v>
      </c>
      <c r="BY829">
        <v>14</v>
      </c>
      <c r="BZ829">
        <v>97</v>
      </c>
      <c r="CA829">
        <v>58</v>
      </c>
      <c r="CB829">
        <v>62</v>
      </c>
      <c r="CC829">
        <v>10</v>
      </c>
      <c r="CD829">
        <v>53</v>
      </c>
      <c r="CE829">
        <v>44</v>
      </c>
      <c r="CF829">
        <v>36</v>
      </c>
      <c r="CG829">
        <v>15</v>
      </c>
      <c r="CH829">
        <v>84</v>
      </c>
      <c r="CI829">
        <v>45</v>
      </c>
      <c r="CJ829">
        <v>60</v>
      </c>
      <c r="CK829">
        <v>100</v>
      </c>
      <c r="CL829">
        <v>24</v>
      </c>
      <c r="CM829">
        <v>70</v>
      </c>
      <c r="CN829">
        <v>31</v>
      </c>
      <c r="CO829">
        <v>92</v>
      </c>
      <c r="CP829">
        <v>30</v>
      </c>
      <c r="CQ829">
        <v>90</v>
      </c>
      <c r="CR829">
        <v>70</v>
      </c>
      <c r="CS829">
        <v>97</v>
      </c>
      <c r="CT829">
        <v>58</v>
      </c>
      <c r="CU829">
        <v>11</v>
      </c>
      <c r="CV829">
        <v>90</v>
      </c>
      <c r="CW829">
        <v>87</v>
      </c>
      <c r="CX829">
        <v>34</v>
      </c>
      <c r="CY829">
        <v>76</v>
      </c>
      <c r="CZ829">
        <v>28</v>
      </c>
      <c r="DA829">
        <v>58</v>
      </c>
      <c r="DB829">
        <v>89</v>
      </c>
      <c r="DC829">
        <v>66</v>
      </c>
      <c r="DD829">
        <v>12</v>
      </c>
      <c r="DE829">
        <v>22</v>
      </c>
      <c r="DF829">
        <v>65</v>
      </c>
      <c r="DG829">
        <v>10</v>
      </c>
      <c r="DH829">
        <v>21</v>
      </c>
      <c r="DI829">
        <v>82</v>
      </c>
      <c r="DJ829">
        <v>31</v>
      </c>
      <c r="DK829">
        <v>81</v>
      </c>
    </row>
    <row r="830" spans="1:115">
      <c r="A830" s="173">
        <f>Calculations[[#This Row],[Sum t eCO2]]*IF(Calculations[[#This Row],[GHG Scope]]="BIOGENIC",0,1)</f>
        <v>35.500051023525003</v>
      </c>
      <c r="O830">
        <f>O829+1</f>
        <v>173</v>
      </c>
      <c r="P830">
        <v>96</v>
      </c>
      <c r="Q830">
        <v>13</v>
      </c>
      <c r="R830">
        <v>48</v>
      </c>
      <c r="S830">
        <v>21</v>
      </c>
      <c r="T830">
        <v>39</v>
      </c>
      <c r="U830">
        <v>74</v>
      </c>
      <c r="V830">
        <v>37</v>
      </c>
      <c r="W830">
        <v>93</v>
      </c>
      <c r="X830">
        <v>70</v>
      </c>
      <c r="Y830">
        <v>95</v>
      </c>
      <c r="Z830">
        <v>24</v>
      </c>
      <c r="AA830">
        <v>32</v>
      </c>
      <c r="AB830">
        <v>32</v>
      </c>
      <c r="AC830">
        <v>17</v>
      </c>
      <c r="AD830">
        <v>90</v>
      </c>
      <c r="AE830">
        <v>68</v>
      </c>
      <c r="AF830">
        <v>41</v>
      </c>
      <c r="AG830">
        <v>41</v>
      </c>
      <c r="AH830">
        <v>14</v>
      </c>
      <c r="AI830">
        <v>16</v>
      </c>
      <c r="AJ830">
        <v>84</v>
      </c>
      <c r="AK830">
        <v>27</v>
      </c>
      <c r="AL830">
        <v>96</v>
      </c>
      <c r="AM830">
        <v>10</v>
      </c>
      <c r="AN830">
        <v>45</v>
      </c>
      <c r="AO830">
        <v>24</v>
      </c>
      <c r="AP830">
        <v>59</v>
      </c>
      <c r="AQ830">
        <v>20</v>
      </c>
      <c r="AR830">
        <v>97</v>
      </c>
      <c r="AS830">
        <v>78</v>
      </c>
      <c r="AT830">
        <v>18</v>
      </c>
      <c r="AU830">
        <v>81</v>
      </c>
      <c r="AV830">
        <v>67</v>
      </c>
      <c r="AW830">
        <v>26</v>
      </c>
      <c r="AX830">
        <v>14</v>
      </c>
      <c r="AY830">
        <v>95</v>
      </c>
      <c r="AZ830">
        <v>10</v>
      </c>
      <c r="BA830">
        <v>18</v>
      </c>
      <c r="BB830">
        <v>12</v>
      </c>
      <c r="BC830">
        <v>33</v>
      </c>
      <c r="BD830">
        <v>27</v>
      </c>
      <c r="BE830">
        <v>72</v>
      </c>
      <c r="BF830">
        <v>26</v>
      </c>
      <c r="BG830">
        <v>43</v>
      </c>
      <c r="BH830">
        <v>12</v>
      </c>
      <c r="BI830">
        <v>88</v>
      </c>
      <c r="BJ830">
        <v>30</v>
      </c>
      <c r="BK830">
        <v>65</v>
      </c>
      <c r="BL830">
        <v>99</v>
      </c>
      <c r="BM830">
        <v>13</v>
      </c>
      <c r="BN830">
        <v>86</v>
      </c>
      <c r="BO830">
        <v>24</v>
      </c>
      <c r="BP830">
        <v>100</v>
      </c>
      <c r="BQ830">
        <v>71</v>
      </c>
      <c r="BR830">
        <v>57</v>
      </c>
      <c r="BS830">
        <v>65</v>
      </c>
      <c r="BT830">
        <v>86</v>
      </c>
      <c r="BU830">
        <v>50</v>
      </c>
      <c r="BV830">
        <v>45</v>
      </c>
      <c r="BW830">
        <v>83</v>
      </c>
      <c r="BX830">
        <v>84</v>
      </c>
      <c r="BY830">
        <v>26</v>
      </c>
      <c r="BZ830">
        <v>39</v>
      </c>
      <c r="CA830">
        <v>81</v>
      </c>
      <c r="CB830">
        <v>95</v>
      </c>
      <c r="CC830">
        <v>10</v>
      </c>
      <c r="CD830">
        <v>93</v>
      </c>
      <c r="CE830">
        <v>90</v>
      </c>
      <c r="CF830">
        <v>12</v>
      </c>
      <c r="CG830">
        <v>32</v>
      </c>
      <c r="CH830">
        <v>30</v>
      </c>
      <c r="CI830">
        <v>48</v>
      </c>
      <c r="CJ830">
        <v>94</v>
      </c>
      <c r="CK830">
        <v>31</v>
      </c>
      <c r="CL830">
        <v>69</v>
      </c>
      <c r="CM830">
        <v>34</v>
      </c>
      <c r="CN830">
        <v>53</v>
      </c>
      <c r="CO830">
        <v>24</v>
      </c>
      <c r="CP830">
        <v>20</v>
      </c>
      <c r="CQ830">
        <v>59</v>
      </c>
      <c r="CR830">
        <v>22</v>
      </c>
      <c r="CS830">
        <v>95</v>
      </c>
      <c r="CT830">
        <v>90</v>
      </c>
      <c r="CU830">
        <v>90</v>
      </c>
      <c r="CV830">
        <v>98</v>
      </c>
      <c r="CW830">
        <v>35</v>
      </c>
      <c r="CX830">
        <v>18</v>
      </c>
      <c r="CY830">
        <v>37</v>
      </c>
      <c r="CZ830">
        <v>38</v>
      </c>
      <c r="DA830">
        <v>64</v>
      </c>
      <c r="DB830">
        <v>52</v>
      </c>
      <c r="DC830">
        <v>22</v>
      </c>
      <c r="DD830">
        <v>92</v>
      </c>
      <c r="DE830">
        <v>48</v>
      </c>
      <c r="DF830">
        <v>87</v>
      </c>
      <c r="DG830">
        <v>89</v>
      </c>
      <c r="DH830">
        <v>63</v>
      </c>
      <c r="DI830">
        <v>19</v>
      </c>
      <c r="DJ830">
        <v>66</v>
      </c>
      <c r="DK830">
        <v>45</v>
      </c>
    </row>
    <row r="831" spans="1:115">
      <c r="A831" s="173">
        <f>Calculations[[#This Row],[Sum t eCO2]]*IF(Calculations[[#This Row],[GHG Scope]]="BIOGENIC",0,1)</f>
        <v>3.1476095099999997E-2</v>
      </c>
      <c r="O831">
        <f t="shared" ref="O831:O838" si="15">O830+1</f>
        <v>174</v>
      </c>
      <c r="P831">
        <v>62</v>
      </c>
      <c r="Q831">
        <v>88</v>
      </c>
      <c r="R831">
        <v>88</v>
      </c>
      <c r="S831">
        <v>44</v>
      </c>
      <c r="T831">
        <v>78</v>
      </c>
      <c r="U831">
        <v>85</v>
      </c>
      <c r="V831">
        <v>66</v>
      </c>
      <c r="W831">
        <v>52</v>
      </c>
      <c r="X831">
        <v>39</v>
      </c>
      <c r="Y831">
        <v>85</v>
      </c>
      <c r="Z831">
        <v>18</v>
      </c>
      <c r="AA831">
        <v>81</v>
      </c>
      <c r="AB831">
        <v>11</v>
      </c>
      <c r="AC831">
        <v>49</v>
      </c>
      <c r="AD831">
        <v>30</v>
      </c>
      <c r="AE831">
        <v>17</v>
      </c>
      <c r="AF831">
        <v>50</v>
      </c>
      <c r="AG831">
        <v>58</v>
      </c>
      <c r="AH831">
        <v>97</v>
      </c>
      <c r="AI831">
        <v>24</v>
      </c>
      <c r="AJ831">
        <v>80</v>
      </c>
      <c r="AK831">
        <v>51</v>
      </c>
      <c r="AL831">
        <v>42</v>
      </c>
      <c r="AM831">
        <v>24</v>
      </c>
      <c r="AN831">
        <v>35</v>
      </c>
      <c r="AO831">
        <v>46</v>
      </c>
      <c r="AP831">
        <v>50</v>
      </c>
      <c r="AQ831">
        <v>55</v>
      </c>
      <c r="AR831">
        <v>24</v>
      </c>
      <c r="AS831">
        <v>97</v>
      </c>
      <c r="AT831">
        <v>33</v>
      </c>
      <c r="AU831">
        <v>39</v>
      </c>
      <c r="AV831">
        <v>49</v>
      </c>
      <c r="AW831">
        <v>63</v>
      </c>
      <c r="AX831">
        <v>98</v>
      </c>
      <c r="AY831">
        <v>91</v>
      </c>
      <c r="AZ831">
        <v>97</v>
      </c>
      <c r="BA831">
        <v>17</v>
      </c>
      <c r="BB831">
        <v>92</v>
      </c>
      <c r="BC831">
        <v>95</v>
      </c>
      <c r="BD831">
        <v>80</v>
      </c>
      <c r="BE831">
        <v>72</v>
      </c>
      <c r="BF831">
        <v>65</v>
      </c>
      <c r="BG831">
        <v>67</v>
      </c>
      <c r="BH831">
        <v>35</v>
      </c>
      <c r="BI831">
        <v>24</v>
      </c>
      <c r="BJ831">
        <v>73</v>
      </c>
      <c r="BK831">
        <v>68</v>
      </c>
      <c r="BL831">
        <v>55</v>
      </c>
      <c r="BM831">
        <v>25</v>
      </c>
      <c r="BN831">
        <v>74</v>
      </c>
      <c r="BO831">
        <v>87</v>
      </c>
      <c r="BP831">
        <v>33</v>
      </c>
      <c r="BQ831">
        <v>62</v>
      </c>
      <c r="BR831">
        <v>92</v>
      </c>
      <c r="BS831">
        <v>10</v>
      </c>
      <c r="BT831">
        <v>82</v>
      </c>
      <c r="BU831">
        <v>34</v>
      </c>
      <c r="BV831">
        <v>55</v>
      </c>
      <c r="BW831">
        <v>29</v>
      </c>
      <c r="BX831">
        <v>33</v>
      </c>
      <c r="BY831">
        <v>25</v>
      </c>
      <c r="BZ831">
        <v>89</v>
      </c>
      <c r="CA831">
        <v>92</v>
      </c>
      <c r="CB831">
        <v>53</v>
      </c>
      <c r="CC831">
        <v>66</v>
      </c>
      <c r="CD831">
        <v>16</v>
      </c>
      <c r="CE831">
        <v>28</v>
      </c>
      <c r="CF831">
        <v>87</v>
      </c>
      <c r="CG831">
        <v>50</v>
      </c>
      <c r="CH831">
        <v>35</v>
      </c>
      <c r="CI831">
        <v>89</v>
      </c>
      <c r="CJ831">
        <v>45</v>
      </c>
      <c r="CK831">
        <v>87</v>
      </c>
      <c r="CL831">
        <v>11</v>
      </c>
      <c r="CM831">
        <v>89</v>
      </c>
      <c r="CN831">
        <v>52</v>
      </c>
      <c r="CO831">
        <v>95</v>
      </c>
      <c r="CP831">
        <v>87</v>
      </c>
      <c r="CQ831">
        <v>65</v>
      </c>
      <c r="CR831">
        <v>35</v>
      </c>
      <c r="CS831">
        <v>46</v>
      </c>
      <c r="CT831">
        <v>18</v>
      </c>
      <c r="CU831">
        <v>88</v>
      </c>
      <c r="CV831">
        <v>37</v>
      </c>
      <c r="CW831">
        <v>31</v>
      </c>
      <c r="CX831">
        <v>95</v>
      </c>
      <c r="CY831">
        <v>91</v>
      </c>
      <c r="CZ831">
        <v>93</v>
      </c>
      <c r="DA831">
        <v>46</v>
      </c>
      <c r="DB831">
        <v>22</v>
      </c>
      <c r="DC831">
        <v>81</v>
      </c>
      <c r="DD831">
        <v>44</v>
      </c>
      <c r="DE831">
        <v>66</v>
      </c>
      <c r="DF831">
        <v>87</v>
      </c>
      <c r="DG831">
        <v>54</v>
      </c>
      <c r="DH831">
        <v>67</v>
      </c>
      <c r="DI831">
        <v>17</v>
      </c>
      <c r="DJ831">
        <v>79</v>
      </c>
      <c r="DK831">
        <v>81</v>
      </c>
    </row>
    <row r="832" spans="1:115">
      <c r="A832" s="173">
        <f>Calculations[[#This Row],[Sum t eCO2]]*IF(Calculations[[#This Row],[GHG Scope]]="BIOGENIC",0,1)</f>
        <v>0.11257672220999999</v>
      </c>
      <c r="O832">
        <f t="shared" si="15"/>
        <v>175</v>
      </c>
      <c r="P832">
        <v>58</v>
      </c>
      <c r="Q832">
        <v>10</v>
      </c>
      <c r="R832">
        <v>77</v>
      </c>
      <c r="S832">
        <v>35</v>
      </c>
      <c r="T832">
        <v>97</v>
      </c>
      <c r="U832">
        <v>94</v>
      </c>
      <c r="V832">
        <v>58</v>
      </c>
      <c r="W832">
        <v>78</v>
      </c>
      <c r="X832">
        <v>42</v>
      </c>
      <c r="Y832">
        <v>86</v>
      </c>
      <c r="Z832">
        <v>28</v>
      </c>
      <c r="AA832">
        <v>16</v>
      </c>
      <c r="AB832">
        <v>81</v>
      </c>
      <c r="AC832">
        <v>64</v>
      </c>
      <c r="AD832">
        <v>90</v>
      </c>
      <c r="AE832">
        <v>84</v>
      </c>
      <c r="AF832">
        <v>28</v>
      </c>
      <c r="AG832">
        <v>56</v>
      </c>
      <c r="AH832">
        <v>74</v>
      </c>
      <c r="AI832">
        <v>67</v>
      </c>
      <c r="AJ832">
        <v>39</v>
      </c>
      <c r="AK832">
        <v>64</v>
      </c>
      <c r="AL832">
        <v>12</v>
      </c>
      <c r="AM832">
        <v>86</v>
      </c>
      <c r="AN832">
        <v>50</v>
      </c>
      <c r="AO832">
        <v>31</v>
      </c>
      <c r="AP832">
        <v>60</v>
      </c>
      <c r="AQ832">
        <v>39</v>
      </c>
      <c r="AR832">
        <v>17</v>
      </c>
      <c r="AS832">
        <v>27</v>
      </c>
      <c r="AT832">
        <v>90</v>
      </c>
      <c r="AU832">
        <v>46</v>
      </c>
      <c r="AV832">
        <v>21</v>
      </c>
      <c r="AW832">
        <v>99</v>
      </c>
      <c r="AX832">
        <v>49</v>
      </c>
      <c r="AY832">
        <v>43</v>
      </c>
      <c r="AZ832">
        <v>55</v>
      </c>
      <c r="BA832">
        <v>65</v>
      </c>
      <c r="BB832">
        <v>16</v>
      </c>
      <c r="BC832">
        <v>19</v>
      </c>
      <c r="BD832">
        <v>82</v>
      </c>
      <c r="BE832">
        <v>51</v>
      </c>
      <c r="BF832">
        <v>59</v>
      </c>
      <c r="BG832">
        <v>93</v>
      </c>
      <c r="BH832">
        <v>16</v>
      </c>
      <c r="BI832">
        <v>90</v>
      </c>
      <c r="BJ832">
        <v>85</v>
      </c>
      <c r="BK832">
        <v>98</v>
      </c>
      <c r="BL832">
        <v>100</v>
      </c>
      <c r="BM832">
        <v>26</v>
      </c>
      <c r="BN832">
        <v>50</v>
      </c>
      <c r="BO832">
        <v>69</v>
      </c>
      <c r="BP832">
        <v>100</v>
      </c>
      <c r="BQ832">
        <v>31</v>
      </c>
      <c r="BR832">
        <v>71</v>
      </c>
      <c r="BS832">
        <v>40</v>
      </c>
      <c r="BT832">
        <v>71</v>
      </c>
      <c r="BU832">
        <v>76</v>
      </c>
      <c r="BV832">
        <v>66</v>
      </c>
      <c r="BW832">
        <v>87</v>
      </c>
      <c r="BX832">
        <v>58</v>
      </c>
      <c r="BY832">
        <v>24</v>
      </c>
      <c r="BZ832">
        <v>23</v>
      </c>
      <c r="CA832">
        <v>84</v>
      </c>
      <c r="CB832">
        <v>58</v>
      </c>
      <c r="CC832">
        <v>68</v>
      </c>
      <c r="CD832">
        <v>90</v>
      </c>
      <c r="CE832">
        <v>90</v>
      </c>
      <c r="CF832">
        <v>23</v>
      </c>
      <c r="CG832">
        <v>26</v>
      </c>
      <c r="CH832">
        <v>23</v>
      </c>
      <c r="CI832">
        <v>12</v>
      </c>
      <c r="CJ832">
        <v>12</v>
      </c>
      <c r="CK832">
        <v>100</v>
      </c>
      <c r="CL832">
        <v>18</v>
      </c>
      <c r="CM832">
        <v>42</v>
      </c>
      <c r="CN832">
        <v>13</v>
      </c>
      <c r="CO832">
        <v>40</v>
      </c>
      <c r="CP832">
        <v>44</v>
      </c>
      <c r="CQ832">
        <v>25</v>
      </c>
      <c r="CR832">
        <v>63</v>
      </c>
      <c r="CS832">
        <v>83</v>
      </c>
      <c r="CT832">
        <v>39</v>
      </c>
      <c r="CU832">
        <v>80</v>
      </c>
      <c r="CV832">
        <v>17</v>
      </c>
      <c r="CW832">
        <v>13</v>
      </c>
      <c r="CX832">
        <v>82</v>
      </c>
      <c r="CY832">
        <v>26</v>
      </c>
      <c r="CZ832">
        <v>17</v>
      </c>
      <c r="DA832">
        <v>56</v>
      </c>
      <c r="DB832">
        <v>43</v>
      </c>
      <c r="DC832">
        <v>61</v>
      </c>
      <c r="DD832">
        <v>62</v>
      </c>
      <c r="DE832">
        <v>83</v>
      </c>
      <c r="DF832">
        <v>65</v>
      </c>
      <c r="DG832">
        <v>92</v>
      </c>
      <c r="DH832">
        <v>88</v>
      </c>
      <c r="DI832">
        <v>33</v>
      </c>
      <c r="DJ832">
        <v>87</v>
      </c>
      <c r="DK832">
        <v>15</v>
      </c>
    </row>
    <row r="833" spans="1:115">
      <c r="A833" s="173">
        <f>Calculations[[#This Row],[Sum t eCO2]]*IF(Calculations[[#This Row],[GHG Scope]]="BIOGENIC",0,1)</f>
        <v>8.9748540000000009E-4</v>
      </c>
      <c r="O833">
        <f t="shared" si="15"/>
        <v>176</v>
      </c>
      <c r="P833">
        <v>98</v>
      </c>
      <c r="Q833">
        <v>69</v>
      </c>
      <c r="R833">
        <v>39</v>
      </c>
      <c r="S833">
        <v>10</v>
      </c>
      <c r="T833">
        <v>18</v>
      </c>
      <c r="U833">
        <v>55</v>
      </c>
      <c r="V833">
        <v>74</v>
      </c>
      <c r="W833">
        <v>74</v>
      </c>
      <c r="X833">
        <v>75</v>
      </c>
      <c r="Y833">
        <v>30</v>
      </c>
      <c r="Z833">
        <v>62</v>
      </c>
      <c r="AA833">
        <v>47</v>
      </c>
      <c r="AB833">
        <v>41</v>
      </c>
      <c r="AC833">
        <v>60</v>
      </c>
      <c r="AD833">
        <v>49</v>
      </c>
      <c r="AE833">
        <v>80</v>
      </c>
      <c r="AF833">
        <v>44</v>
      </c>
      <c r="AG833">
        <v>48</v>
      </c>
      <c r="AH833">
        <v>91</v>
      </c>
      <c r="AI833">
        <v>97</v>
      </c>
      <c r="AJ833">
        <v>99</v>
      </c>
      <c r="AK833">
        <v>100</v>
      </c>
      <c r="AL833">
        <v>90</v>
      </c>
      <c r="AM833">
        <v>93</v>
      </c>
      <c r="AN833">
        <v>82</v>
      </c>
      <c r="AO833">
        <v>42</v>
      </c>
      <c r="AP833">
        <v>25</v>
      </c>
      <c r="AQ833">
        <v>25</v>
      </c>
      <c r="AR833">
        <v>26</v>
      </c>
      <c r="AS833">
        <v>88</v>
      </c>
      <c r="AT833">
        <v>74</v>
      </c>
      <c r="AU833">
        <v>15</v>
      </c>
      <c r="AV833">
        <v>79</v>
      </c>
      <c r="AW833">
        <v>52</v>
      </c>
      <c r="AX833">
        <v>51</v>
      </c>
      <c r="AY833">
        <v>37</v>
      </c>
      <c r="AZ833">
        <v>22</v>
      </c>
      <c r="BA833">
        <v>16</v>
      </c>
      <c r="BB833">
        <v>90</v>
      </c>
      <c r="BC833">
        <v>72</v>
      </c>
      <c r="BD833">
        <v>46</v>
      </c>
      <c r="BE833">
        <v>38</v>
      </c>
      <c r="BF833">
        <v>79</v>
      </c>
      <c r="BG833">
        <v>77</v>
      </c>
      <c r="BH833">
        <v>86</v>
      </c>
      <c r="BI833">
        <v>59</v>
      </c>
      <c r="BJ833">
        <v>90</v>
      </c>
      <c r="BK833">
        <v>43</v>
      </c>
      <c r="BL833">
        <v>51</v>
      </c>
      <c r="BM833">
        <v>50</v>
      </c>
      <c r="BN833">
        <v>55</v>
      </c>
      <c r="BO833">
        <v>59</v>
      </c>
      <c r="BP833">
        <v>64</v>
      </c>
      <c r="BQ833">
        <v>65</v>
      </c>
      <c r="BR833">
        <v>26</v>
      </c>
      <c r="BS833">
        <v>71</v>
      </c>
      <c r="BT833">
        <v>99</v>
      </c>
      <c r="BU833">
        <v>44</v>
      </c>
      <c r="BV833">
        <v>41</v>
      </c>
      <c r="BW833">
        <v>65</v>
      </c>
      <c r="BX833">
        <v>82</v>
      </c>
      <c r="BY833">
        <v>30</v>
      </c>
      <c r="BZ833">
        <v>68</v>
      </c>
      <c r="CA833">
        <v>97</v>
      </c>
      <c r="CB833">
        <v>17</v>
      </c>
      <c r="CC833">
        <v>25</v>
      </c>
      <c r="CD833">
        <v>66</v>
      </c>
      <c r="CE833">
        <v>20</v>
      </c>
      <c r="CF833">
        <v>78</v>
      </c>
      <c r="CG833">
        <v>44</v>
      </c>
      <c r="CH833">
        <v>50</v>
      </c>
      <c r="CI833">
        <v>37</v>
      </c>
      <c r="CJ833">
        <v>41</v>
      </c>
      <c r="CK833">
        <v>51</v>
      </c>
      <c r="CL833">
        <v>42</v>
      </c>
      <c r="CM833">
        <v>15</v>
      </c>
      <c r="CN833">
        <v>20</v>
      </c>
      <c r="CO833">
        <v>12</v>
      </c>
      <c r="CP833">
        <v>89</v>
      </c>
      <c r="CQ833">
        <v>98</v>
      </c>
      <c r="CR833">
        <v>47</v>
      </c>
      <c r="CS833">
        <v>39</v>
      </c>
      <c r="CT833">
        <v>39</v>
      </c>
      <c r="CU833">
        <v>12</v>
      </c>
      <c r="CV833">
        <v>55</v>
      </c>
      <c r="CW833">
        <v>79</v>
      </c>
      <c r="CX833">
        <v>77</v>
      </c>
      <c r="CY833">
        <v>57</v>
      </c>
      <c r="CZ833">
        <v>52</v>
      </c>
      <c r="DA833">
        <v>29</v>
      </c>
      <c r="DB833">
        <v>78</v>
      </c>
      <c r="DC833">
        <v>32</v>
      </c>
      <c r="DD833">
        <v>68</v>
      </c>
      <c r="DE833">
        <v>43</v>
      </c>
      <c r="DF833">
        <v>75</v>
      </c>
      <c r="DG833">
        <v>94</v>
      </c>
      <c r="DH833">
        <v>11</v>
      </c>
      <c r="DI833">
        <v>27</v>
      </c>
      <c r="DJ833">
        <v>74</v>
      </c>
      <c r="DK833">
        <v>33</v>
      </c>
    </row>
    <row r="834" spans="1:115">
      <c r="A834" s="173">
        <f>Calculations[[#This Row],[Sum t eCO2]]*IF(Calculations[[#This Row],[GHG Scope]]="BIOGENIC",0,1)</f>
        <v>3.7555148350800004E-2</v>
      </c>
      <c r="O834">
        <f t="shared" si="15"/>
        <v>177</v>
      </c>
      <c r="P834">
        <v>52</v>
      </c>
      <c r="Q834">
        <v>91</v>
      </c>
      <c r="R834">
        <v>100</v>
      </c>
      <c r="S834">
        <v>46</v>
      </c>
      <c r="T834">
        <v>58</v>
      </c>
      <c r="U834">
        <v>52</v>
      </c>
      <c r="V834">
        <v>35</v>
      </c>
      <c r="W834">
        <v>73</v>
      </c>
      <c r="X834">
        <v>38</v>
      </c>
      <c r="Y834">
        <v>74</v>
      </c>
      <c r="Z834">
        <v>64</v>
      </c>
      <c r="AA834">
        <v>43</v>
      </c>
      <c r="AB834">
        <v>32</v>
      </c>
      <c r="AC834">
        <v>21</v>
      </c>
      <c r="AD834">
        <v>73</v>
      </c>
      <c r="AE834">
        <v>48</v>
      </c>
      <c r="AF834">
        <v>100</v>
      </c>
      <c r="AG834">
        <v>81</v>
      </c>
      <c r="AH834">
        <v>23</v>
      </c>
      <c r="AI834">
        <v>95</v>
      </c>
      <c r="AJ834">
        <v>53</v>
      </c>
      <c r="AK834">
        <v>74</v>
      </c>
      <c r="AL834">
        <v>40</v>
      </c>
      <c r="AM834">
        <v>39</v>
      </c>
      <c r="AN834">
        <v>100</v>
      </c>
      <c r="AO834">
        <v>10</v>
      </c>
      <c r="AP834">
        <v>50</v>
      </c>
      <c r="AQ834">
        <v>15</v>
      </c>
      <c r="AR834">
        <v>24</v>
      </c>
      <c r="AS834">
        <v>69</v>
      </c>
      <c r="AT834">
        <v>44</v>
      </c>
      <c r="AU834">
        <v>11</v>
      </c>
      <c r="AV834">
        <v>53</v>
      </c>
      <c r="AW834">
        <v>86</v>
      </c>
      <c r="AX834">
        <v>93</v>
      </c>
      <c r="AY834">
        <v>87</v>
      </c>
      <c r="AZ834">
        <v>63</v>
      </c>
      <c r="BA834">
        <v>68</v>
      </c>
      <c r="BB834">
        <v>31</v>
      </c>
      <c r="BC834">
        <v>68</v>
      </c>
      <c r="BD834">
        <v>33</v>
      </c>
      <c r="BE834">
        <v>100</v>
      </c>
      <c r="BF834">
        <v>89</v>
      </c>
      <c r="BG834">
        <v>82</v>
      </c>
      <c r="BH834">
        <v>39</v>
      </c>
      <c r="BI834">
        <v>16</v>
      </c>
      <c r="BJ834">
        <v>90</v>
      </c>
      <c r="BK834">
        <v>11</v>
      </c>
      <c r="BL834">
        <v>13</v>
      </c>
      <c r="BM834">
        <v>90</v>
      </c>
      <c r="BN834">
        <v>18</v>
      </c>
      <c r="BO834">
        <v>13</v>
      </c>
      <c r="BP834">
        <v>29</v>
      </c>
      <c r="BQ834">
        <v>12</v>
      </c>
      <c r="BR834">
        <v>30</v>
      </c>
      <c r="BS834">
        <v>99</v>
      </c>
      <c r="BT834">
        <v>47</v>
      </c>
      <c r="BU834">
        <v>70</v>
      </c>
      <c r="BV834">
        <v>21</v>
      </c>
      <c r="BW834">
        <v>63</v>
      </c>
      <c r="BX834">
        <v>39</v>
      </c>
      <c r="BY834">
        <v>26</v>
      </c>
      <c r="BZ834">
        <v>21</v>
      </c>
      <c r="CA834">
        <v>91</v>
      </c>
      <c r="CB834">
        <v>37</v>
      </c>
      <c r="CC834">
        <v>90</v>
      </c>
      <c r="CD834">
        <v>28</v>
      </c>
      <c r="CE834">
        <v>81</v>
      </c>
      <c r="CF834">
        <v>31</v>
      </c>
      <c r="CG834">
        <v>82</v>
      </c>
      <c r="CH834">
        <v>11</v>
      </c>
      <c r="CI834">
        <v>36</v>
      </c>
      <c r="CJ834">
        <v>76</v>
      </c>
      <c r="CK834">
        <v>20</v>
      </c>
      <c r="CL834">
        <v>46</v>
      </c>
      <c r="CM834">
        <v>32</v>
      </c>
      <c r="CN834">
        <v>18</v>
      </c>
      <c r="CO834">
        <v>75</v>
      </c>
      <c r="CP834">
        <v>26</v>
      </c>
      <c r="CQ834">
        <v>26</v>
      </c>
      <c r="CR834">
        <v>69</v>
      </c>
      <c r="CS834">
        <v>61</v>
      </c>
      <c r="CT834">
        <v>27</v>
      </c>
      <c r="CU834">
        <v>49</v>
      </c>
      <c r="CV834">
        <v>78</v>
      </c>
      <c r="CW834">
        <v>48</v>
      </c>
      <c r="CX834">
        <v>95</v>
      </c>
      <c r="CY834">
        <v>98</v>
      </c>
      <c r="CZ834">
        <v>26</v>
      </c>
      <c r="DA834">
        <v>65</v>
      </c>
      <c r="DB834">
        <v>94</v>
      </c>
      <c r="DC834">
        <v>90</v>
      </c>
      <c r="DD834">
        <v>71</v>
      </c>
      <c r="DE834">
        <v>29</v>
      </c>
      <c r="DF834">
        <v>98</v>
      </c>
      <c r="DG834">
        <v>86</v>
      </c>
      <c r="DH834">
        <v>76</v>
      </c>
      <c r="DI834">
        <v>24</v>
      </c>
      <c r="DJ834">
        <v>95</v>
      </c>
      <c r="DK834">
        <v>44</v>
      </c>
    </row>
    <row r="835" spans="1:115">
      <c r="A835" s="173">
        <f>Calculations[[#This Row],[Sum t eCO2]]*IF(Calculations[[#This Row],[GHG Scope]]="BIOGENIC",0,1)</f>
        <v>10.862837044635473</v>
      </c>
      <c r="O835">
        <f t="shared" si="15"/>
        <v>178</v>
      </c>
      <c r="P835">
        <v>53</v>
      </c>
      <c r="Q835">
        <v>79</v>
      </c>
      <c r="R835">
        <v>68</v>
      </c>
      <c r="S835">
        <v>25</v>
      </c>
      <c r="T835">
        <v>97</v>
      </c>
      <c r="U835">
        <v>74</v>
      </c>
      <c r="V835">
        <v>37</v>
      </c>
      <c r="W835">
        <v>68</v>
      </c>
      <c r="X835">
        <v>51</v>
      </c>
      <c r="Y835">
        <v>92</v>
      </c>
      <c r="Z835">
        <v>87</v>
      </c>
      <c r="AA835">
        <v>50</v>
      </c>
      <c r="AB835">
        <v>95</v>
      </c>
      <c r="AC835">
        <v>53</v>
      </c>
      <c r="AD835">
        <v>89</v>
      </c>
      <c r="AE835">
        <v>54</v>
      </c>
      <c r="AF835">
        <v>72</v>
      </c>
      <c r="AG835">
        <v>73</v>
      </c>
      <c r="AH835">
        <v>29</v>
      </c>
      <c r="AI835">
        <v>84</v>
      </c>
      <c r="AJ835">
        <v>24</v>
      </c>
      <c r="AK835">
        <v>41</v>
      </c>
      <c r="AL835">
        <v>51</v>
      </c>
      <c r="AM835">
        <v>33</v>
      </c>
      <c r="AN835">
        <v>85</v>
      </c>
      <c r="AO835">
        <v>70</v>
      </c>
      <c r="AP835">
        <v>25</v>
      </c>
      <c r="AQ835">
        <v>90</v>
      </c>
      <c r="AR835">
        <v>69</v>
      </c>
      <c r="AS835">
        <v>87</v>
      </c>
      <c r="AT835">
        <v>87</v>
      </c>
      <c r="AU835">
        <v>31</v>
      </c>
      <c r="AV835">
        <v>67</v>
      </c>
      <c r="AW835">
        <v>30</v>
      </c>
      <c r="AX835">
        <v>11</v>
      </c>
      <c r="AY835">
        <v>64</v>
      </c>
      <c r="AZ835">
        <v>54</v>
      </c>
      <c r="BA835">
        <v>41</v>
      </c>
      <c r="BB835">
        <v>47</v>
      </c>
      <c r="BC835">
        <v>16</v>
      </c>
      <c r="BD835">
        <v>76</v>
      </c>
      <c r="BE835">
        <v>35</v>
      </c>
      <c r="BF835">
        <v>82</v>
      </c>
      <c r="BG835">
        <v>12</v>
      </c>
      <c r="BH835">
        <v>98</v>
      </c>
      <c r="BI835">
        <v>79</v>
      </c>
      <c r="BJ835">
        <v>33</v>
      </c>
      <c r="BK835">
        <v>52</v>
      </c>
      <c r="BL835">
        <v>13</v>
      </c>
      <c r="BM835">
        <v>56</v>
      </c>
      <c r="BN835">
        <v>23</v>
      </c>
      <c r="BO835">
        <v>78</v>
      </c>
      <c r="BP835">
        <v>54</v>
      </c>
      <c r="BQ835">
        <v>90</v>
      </c>
      <c r="BR835">
        <v>18</v>
      </c>
      <c r="BS835">
        <v>40</v>
      </c>
      <c r="BT835">
        <v>76</v>
      </c>
      <c r="BU835">
        <v>23</v>
      </c>
      <c r="BV835">
        <v>55</v>
      </c>
      <c r="BW835">
        <v>67</v>
      </c>
      <c r="BX835">
        <v>44</v>
      </c>
      <c r="BY835">
        <v>88</v>
      </c>
      <c r="BZ835">
        <v>98</v>
      </c>
      <c r="CA835">
        <v>23</v>
      </c>
      <c r="CB835">
        <v>71</v>
      </c>
      <c r="CC835">
        <v>21</v>
      </c>
      <c r="CD835">
        <v>34</v>
      </c>
      <c r="CE835">
        <v>56</v>
      </c>
      <c r="CF835">
        <v>85</v>
      </c>
      <c r="CG835">
        <v>14</v>
      </c>
      <c r="CH835">
        <v>83</v>
      </c>
      <c r="CI835">
        <v>15</v>
      </c>
      <c r="CJ835">
        <v>10</v>
      </c>
      <c r="CK835">
        <v>45</v>
      </c>
      <c r="CL835">
        <v>17</v>
      </c>
      <c r="CM835">
        <v>58</v>
      </c>
      <c r="CN835">
        <v>63</v>
      </c>
      <c r="CO835">
        <v>62</v>
      </c>
      <c r="CP835">
        <v>57</v>
      </c>
      <c r="CQ835">
        <v>85</v>
      </c>
      <c r="CR835">
        <v>69</v>
      </c>
      <c r="CS835">
        <v>99</v>
      </c>
      <c r="CT835">
        <v>63</v>
      </c>
      <c r="CU835">
        <v>68</v>
      </c>
      <c r="CV835">
        <v>84</v>
      </c>
      <c r="CW835">
        <v>46</v>
      </c>
      <c r="CX835">
        <v>82</v>
      </c>
      <c r="CY835">
        <v>29</v>
      </c>
      <c r="CZ835">
        <v>16</v>
      </c>
      <c r="DA835">
        <v>35</v>
      </c>
      <c r="DB835">
        <v>72</v>
      </c>
      <c r="DC835">
        <v>26</v>
      </c>
      <c r="DD835">
        <v>86</v>
      </c>
      <c r="DE835">
        <v>72</v>
      </c>
      <c r="DF835">
        <v>24</v>
      </c>
      <c r="DG835">
        <v>66</v>
      </c>
      <c r="DH835">
        <v>94</v>
      </c>
      <c r="DI835">
        <v>45</v>
      </c>
      <c r="DJ835">
        <v>71</v>
      </c>
      <c r="DK835">
        <v>76</v>
      </c>
    </row>
    <row r="836" spans="1:115">
      <c r="A836" s="173">
        <f>Calculations[[#This Row],[Sum t eCO2]]*IF(Calculations[[#This Row],[GHG Scope]]="BIOGENIC",0,1)</f>
        <v>14.546193755419651</v>
      </c>
      <c r="O836">
        <f t="shared" si="15"/>
        <v>179</v>
      </c>
      <c r="P836">
        <v>22</v>
      </c>
      <c r="Q836">
        <v>94</v>
      </c>
      <c r="R836">
        <v>21</v>
      </c>
      <c r="S836">
        <v>71</v>
      </c>
      <c r="T836">
        <v>65</v>
      </c>
      <c r="U836">
        <v>44</v>
      </c>
      <c r="V836">
        <v>12</v>
      </c>
      <c r="W836">
        <v>17</v>
      </c>
      <c r="X836">
        <v>84</v>
      </c>
      <c r="Y836">
        <v>91</v>
      </c>
      <c r="Z836">
        <v>46</v>
      </c>
      <c r="AA836">
        <v>47</v>
      </c>
      <c r="AB836">
        <v>14</v>
      </c>
      <c r="AC836">
        <v>38</v>
      </c>
      <c r="AD836">
        <v>43</v>
      </c>
      <c r="AE836">
        <v>95</v>
      </c>
      <c r="AF836">
        <v>33</v>
      </c>
      <c r="AG836">
        <v>64</v>
      </c>
      <c r="AH836">
        <v>77</v>
      </c>
      <c r="AI836">
        <v>65</v>
      </c>
      <c r="AJ836">
        <v>86</v>
      </c>
      <c r="AK836">
        <v>52</v>
      </c>
      <c r="AL836">
        <v>27</v>
      </c>
      <c r="AM836">
        <v>96</v>
      </c>
      <c r="AN836">
        <v>48</v>
      </c>
      <c r="AO836">
        <v>38</v>
      </c>
      <c r="AP836">
        <v>60</v>
      </c>
      <c r="AQ836">
        <v>75</v>
      </c>
      <c r="AR836">
        <v>87</v>
      </c>
      <c r="AS836">
        <v>18</v>
      </c>
      <c r="AT836">
        <v>13</v>
      </c>
      <c r="AU836">
        <v>44</v>
      </c>
      <c r="AV836">
        <v>41</v>
      </c>
      <c r="AW836">
        <v>58</v>
      </c>
      <c r="AX836">
        <v>95</v>
      </c>
      <c r="AY836">
        <v>81</v>
      </c>
      <c r="AZ836">
        <v>18</v>
      </c>
      <c r="BA836">
        <v>15</v>
      </c>
      <c r="BB836">
        <v>95</v>
      </c>
      <c r="BC836">
        <v>74</v>
      </c>
      <c r="BD836">
        <v>72</v>
      </c>
      <c r="BE836">
        <v>93</v>
      </c>
      <c r="BF836">
        <v>43</v>
      </c>
      <c r="BG836">
        <v>51</v>
      </c>
      <c r="BH836">
        <v>55</v>
      </c>
      <c r="BI836">
        <v>13</v>
      </c>
      <c r="BJ836">
        <v>55</v>
      </c>
      <c r="BK836">
        <v>95</v>
      </c>
      <c r="BL836">
        <v>88</v>
      </c>
      <c r="BM836">
        <v>88</v>
      </c>
      <c r="BN836">
        <v>45</v>
      </c>
      <c r="BO836">
        <v>51</v>
      </c>
      <c r="BP836">
        <v>13</v>
      </c>
      <c r="BQ836">
        <v>54</v>
      </c>
      <c r="BR836">
        <v>85</v>
      </c>
      <c r="BS836">
        <v>61</v>
      </c>
      <c r="BT836">
        <v>94</v>
      </c>
      <c r="BU836">
        <v>69</v>
      </c>
      <c r="BV836">
        <v>91</v>
      </c>
      <c r="BW836">
        <v>43</v>
      </c>
      <c r="BX836">
        <v>73</v>
      </c>
      <c r="BY836">
        <v>47</v>
      </c>
      <c r="BZ836">
        <v>41</v>
      </c>
      <c r="CA836">
        <v>25</v>
      </c>
      <c r="CB836">
        <v>99</v>
      </c>
      <c r="CC836">
        <v>47</v>
      </c>
      <c r="CD836">
        <v>85</v>
      </c>
      <c r="CE836">
        <v>78</v>
      </c>
      <c r="CF836">
        <v>23</v>
      </c>
      <c r="CG836">
        <v>88</v>
      </c>
      <c r="CH836">
        <v>95</v>
      </c>
      <c r="CI836">
        <v>42</v>
      </c>
      <c r="CJ836">
        <v>49</v>
      </c>
      <c r="CK836">
        <v>71</v>
      </c>
      <c r="CL836">
        <v>69</v>
      </c>
      <c r="CM836">
        <v>99</v>
      </c>
      <c r="CN836">
        <v>30</v>
      </c>
      <c r="CO836">
        <v>75</v>
      </c>
      <c r="CP836">
        <v>24</v>
      </c>
      <c r="CQ836">
        <v>96</v>
      </c>
      <c r="CR836">
        <v>35</v>
      </c>
      <c r="CS836">
        <v>24</v>
      </c>
      <c r="CT836">
        <v>12</v>
      </c>
      <c r="CU836">
        <v>55</v>
      </c>
      <c r="CV836">
        <v>95</v>
      </c>
      <c r="CW836">
        <v>21</v>
      </c>
      <c r="CX836">
        <v>40</v>
      </c>
      <c r="CY836">
        <v>22</v>
      </c>
      <c r="CZ836">
        <v>10</v>
      </c>
      <c r="DA836">
        <v>58</v>
      </c>
      <c r="DB836">
        <v>81</v>
      </c>
      <c r="DC836">
        <v>15</v>
      </c>
      <c r="DD836">
        <v>81</v>
      </c>
      <c r="DE836">
        <v>43</v>
      </c>
      <c r="DF836">
        <v>80</v>
      </c>
      <c r="DG836">
        <v>45</v>
      </c>
      <c r="DH836">
        <v>36</v>
      </c>
      <c r="DI836">
        <v>33</v>
      </c>
      <c r="DJ836">
        <v>19</v>
      </c>
      <c r="DK836">
        <v>63</v>
      </c>
    </row>
    <row r="837" spans="1:115">
      <c r="A837" s="173">
        <f>Calculations[[#This Row],[Sum t eCO2]]*IF(Calculations[[#This Row],[GHG Scope]]="BIOGENIC",0,1)</f>
        <v>1.0317633870252271E-2</v>
      </c>
      <c r="O837">
        <f t="shared" si="15"/>
        <v>180</v>
      </c>
      <c r="P837">
        <v>32</v>
      </c>
      <c r="Q837">
        <v>27</v>
      </c>
      <c r="R837">
        <v>71</v>
      </c>
      <c r="S837">
        <v>19</v>
      </c>
      <c r="T837">
        <v>86</v>
      </c>
      <c r="U837">
        <v>21</v>
      </c>
      <c r="V837">
        <v>37</v>
      </c>
      <c r="W837">
        <v>23</v>
      </c>
      <c r="X837">
        <v>86</v>
      </c>
      <c r="Y837">
        <v>30</v>
      </c>
      <c r="Z837">
        <v>73</v>
      </c>
      <c r="AA837">
        <v>23</v>
      </c>
      <c r="AB837">
        <v>92</v>
      </c>
      <c r="AC837">
        <v>81</v>
      </c>
      <c r="AD837">
        <v>84</v>
      </c>
      <c r="AE837">
        <v>16</v>
      </c>
      <c r="AF837">
        <v>78</v>
      </c>
      <c r="AG837">
        <v>96</v>
      </c>
      <c r="AH837">
        <v>84</v>
      </c>
      <c r="AI837">
        <v>84</v>
      </c>
      <c r="AJ837">
        <v>62</v>
      </c>
      <c r="AK837">
        <v>82</v>
      </c>
      <c r="AL837">
        <v>15</v>
      </c>
      <c r="AM837">
        <v>94</v>
      </c>
      <c r="AN837">
        <v>80</v>
      </c>
      <c r="AO837">
        <v>22</v>
      </c>
      <c r="AP837">
        <v>71</v>
      </c>
      <c r="AQ837">
        <v>36</v>
      </c>
      <c r="AR837">
        <v>66</v>
      </c>
      <c r="AS837">
        <v>32</v>
      </c>
      <c r="AT837">
        <v>40</v>
      </c>
      <c r="AU837">
        <v>46</v>
      </c>
      <c r="AV837">
        <v>74</v>
      </c>
      <c r="AW837">
        <v>79</v>
      </c>
      <c r="AX837">
        <v>66</v>
      </c>
      <c r="AY837">
        <v>68</v>
      </c>
      <c r="AZ837">
        <v>67</v>
      </c>
      <c r="BA837">
        <v>53</v>
      </c>
      <c r="BB837">
        <v>86</v>
      </c>
      <c r="BC837">
        <v>97</v>
      </c>
      <c r="BD837">
        <v>26</v>
      </c>
      <c r="BE837">
        <v>62</v>
      </c>
      <c r="BF837">
        <v>23</v>
      </c>
      <c r="BG837">
        <v>46</v>
      </c>
      <c r="BH837">
        <v>34</v>
      </c>
      <c r="BI837">
        <v>92</v>
      </c>
      <c r="BJ837">
        <v>88</v>
      </c>
      <c r="BK837">
        <v>30</v>
      </c>
      <c r="BL837">
        <v>14</v>
      </c>
      <c r="BM837">
        <v>76</v>
      </c>
      <c r="BN837">
        <v>56</v>
      </c>
      <c r="BO837">
        <v>97</v>
      </c>
      <c r="BP837">
        <v>33</v>
      </c>
      <c r="BQ837">
        <v>59</v>
      </c>
      <c r="BR837">
        <v>45</v>
      </c>
      <c r="BS837">
        <v>75</v>
      </c>
      <c r="BT837">
        <v>100</v>
      </c>
      <c r="BU837">
        <v>30</v>
      </c>
      <c r="BV837">
        <v>23</v>
      </c>
      <c r="BW837">
        <v>71</v>
      </c>
      <c r="BX837">
        <v>93</v>
      </c>
      <c r="BY837">
        <v>36</v>
      </c>
      <c r="BZ837">
        <v>43</v>
      </c>
      <c r="CA837">
        <v>97</v>
      </c>
      <c r="CB837">
        <v>13</v>
      </c>
      <c r="CC837">
        <v>28</v>
      </c>
      <c r="CD837">
        <v>25</v>
      </c>
      <c r="CE837">
        <v>13</v>
      </c>
      <c r="CF837">
        <v>32</v>
      </c>
      <c r="CG837">
        <v>73</v>
      </c>
      <c r="CH837">
        <v>52</v>
      </c>
      <c r="CI837">
        <v>29</v>
      </c>
      <c r="CJ837">
        <v>16</v>
      </c>
      <c r="CK837">
        <v>51</v>
      </c>
      <c r="CL837">
        <v>43</v>
      </c>
      <c r="CM837">
        <v>15</v>
      </c>
      <c r="CN837">
        <v>89</v>
      </c>
      <c r="CO837">
        <v>83</v>
      </c>
      <c r="CP837">
        <v>71</v>
      </c>
      <c r="CQ837">
        <v>35</v>
      </c>
      <c r="CR837">
        <v>85</v>
      </c>
      <c r="CS837">
        <v>50</v>
      </c>
      <c r="CT837">
        <v>86</v>
      </c>
      <c r="CU837">
        <v>18</v>
      </c>
      <c r="CV837">
        <v>84</v>
      </c>
      <c r="CW837">
        <v>21</v>
      </c>
      <c r="CX837">
        <v>62</v>
      </c>
      <c r="CY837">
        <v>86</v>
      </c>
      <c r="CZ837">
        <v>39</v>
      </c>
      <c r="DA837">
        <v>31</v>
      </c>
      <c r="DB837">
        <v>99</v>
      </c>
      <c r="DC837">
        <v>28</v>
      </c>
      <c r="DD837">
        <v>31</v>
      </c>
      <c r="DE837">
        <v>45</v>
      </c>
      <c r="DF837">
        <v>30</v>
      </c>
      <c r="DG837">
        <v>83</v>
      </c>
      <c r="DH837">
        <v>46</v>
      </c>
      <c r="DI837">
        <v>29</v>
      </c>
      <c r="DJ837">
        <v>38</v>
      </c>
      <c r="DK837">
        <v>66</v>
      </c>
    </row>
    <row r="838" spans="1:115">
      <c r="A838" s="173">
        <f>Calculations[[#This Row],[Sum t eCO2]]*IF(Calculations[[#This Row],[GHG Scope]]="BIOGENIC",0,1)</f>
        <v>68778.224276411536</v>
      </c>
      <c r="O838">
        <f t="shared" si="15"/>
        <v>181</v>
      </c>
      <c r="P838">
        <v>76</v>
      </c>
      <c r="Q838">
        <v>93</v>
      </c>
      <c r="R838">
        <v>64</v>
      </c>
      <c r="S838">
        <v>79</v>
      </c>
      <c r="T838">
        <v>68</v>
      </c>
      <c r="U838">
        <v>99</v>
      </c>
      <c r="V838">
        <v>71</v>
      </c>
      <c r="W838">
        <v>90</v>
      </c>
      <c r="X838">
        <v>60</v>
      </c>
      <c r="Y838">
        <v>72</v>
      </c>
      <c r="Z838">
        <v>95</v>
      </c>
      <c r="AA838">
        <v>52</v>
      </c>
      <c r="AB838">
        <v>48</v>
      </c>
      <c r="AC838">
        <v>39</v>
      </c>
      <c r="AD838">
        <v>16</v>
      </c>
      <c r="AE838">
        <v>36</v>
      </c>
      <c r="AF838">
        <v>85</v>
      </c>
      <c r="AG838">
        <v>98</v>
      </c>
      <c r="AH838">
        <v>77</v>
      </c>
      <c r="AI838">
        <v>37</v>
      </c>
      <c r="AJ838">
        <v>80</v>
      </c>
      <c r="AK838">
        <v>55</v>
      </c>
      <c r="AL838">
        <v>81</v>
      </c>
      <c r="AM838">
        <v>29</v>
      </c>
      <c r="AN838">
        <v>18</v>
      </c>
      <c r="AO838">
        <v>42</v>
      </c>
      <c r="AP838">
        <v>90</v>
      </c>
      <c r="AQ838">
        <v>14</v>
      </c>
      <c r="AR838">
        <v>52</v>
      </c>
      <c r="AS838">
        <v>49</v>
      </c>
      <c r="AT838">
        <v>52</v>
      </c>
      <c r="AU838">
        <v>13</v>
      </c>
      <c r="AV838">
        <v>83</v>
      </c>
      <c r="AW838">
        <v>23</v>
      </c>
      <c r="AX838">
        <v>44</v>
      </c>
      <c r="AY838">
        <v>25</v>
      </c>
      <c r="AZ838">
        <v>42</v>
      </c>
      <c r="BA838">
        <v>86</v>
      </c>
      <c r="BB838">
        <v>14</v>
      </c>
      <c r="BC838">
        <v>17</v>
      </c>
      <c r="BD838">
        <v>63</v>
      </c>
      <c r="BE838">
        <v>19</v>
      </c>
      <c r="BF838">
        <v>54</v>
      </c>
      <c r="BG838">
        <v>70</v>
      </c>
      <c r="BH838">
        <v>65</v>
      </c>
      <c r="BI838">
        <v>91</v>
      </c>
      <c r="BJ838">
        <v>96</v>
      </c>
      <c r="BK838">
        <v>12</v>
      </c>
      <c r="BL838">
        <v>92</v>
      </c>
      <c r="BM838">
        <v>39</v>
      </c>
      <c r="BN838">
        <v>19</v>
      </c>
      <c r="BO838">
        <v>96</v>
      </c>
      <c r="BP838">
        <v>78</v>
      </c>
      <c r="BQ838">
        <v>54</v>
      </c>
      <c r="BR838">
        <v>16</v>
      </c>
      <c r="BS838">
        <v>77</v>
      </c>
      <c r="BT838">
        <v>66</v>
      </c>
      <c r="BU838">
        <v>70</v>
      </c>
      <c r="BV838">
        <v>27</v>
      </c>
      <c r="BW838">
        <v>71</v>
      </c>
      <c r="BX838">
        <v>42</v>
      </c>
      <c r="BY838">
        <v>79</v>
      </c>
      <c r="BZ838">
        <v>26</v>
      </c>
      <c r="CA838">
        <v>74</v>
      </c>
      <c r="CB838">
        <v>20</v>
      </c>
      <c r="CC838">
        <v>50</v>
      </c>
      <c r="CD838">
        <v>93</v>
      </c>
      <c r="CE838">
        <v>48</v>
      </c>
      <c r="CF838">
        <v>26</v>
      </c>
      <c r="CG838">
        <v>64</v>
      </c>
      <c r="CH838">
        <v>36</v>
      </c>
      <c r="CI838">
        <v>70</v>
      </c>
      <c r="CJ838">
        <v>28</v>
      </c>
      <c r="CK838">
        <v>18</v>
      </c>
      <c r="CL838">
        <v>12</v>
      </c>
      <c r="CM838">
        <v>71</v>
      </c>
      <c r="CN838">
        <v>80</v>
      </c>
      <c r="CO838">
        <v>51</v>
      </c>
      <c r="CP838">
        <v>47</v>
      </c>
      <c r="CQ838">
        <v>85</v>
      </c>
      <c r="CR838">
        <v>45</v>
      </c>
      <c r="CS838">
        <v>30</v>
      </c>
      <c r="CT838">
        <v>68</v>
      </c>
      <c r="CU838">
        <v>36</v>
      </c>
      <c r="CV838">
        <v>78</v>
      </c>
      <c r="CW838">
        <v>22</v>
      </c>
      <c r="CX838">
        <v>61</v>
      </c>
      <c r="CY838">
        <v>80</v>
      </c>
      <c r="CZ838">
        <v>90</v>
      </c>
      <c r="DA838">
        <v>94</v>
      </c>
      <c r="DB838">
        <v>41</v>
      </c>
      <c r="DC838">
        <v>56</v>
      </c>
      <c r="DD838">
        <v>43</v>
      </c>
      <c r="DE838">
        <v>10</v>
      </c>
      <c r="DF838">
        <v>15</v>
      </c>
      <c r="DG838">
        <v>12</v>
      </c>
      <c r="DH838">
        <v>37</v>
      </c>
      <c r="DI838">
        <v>32</v>
      </c>
      <c r="DJ838">
        <v>32</v>
      </c>
      <c r="DK838">
        <v>13</v>
      </c>
    </row>
    <row r="839" spans="1:115">
      <c r="A839" s="173">
        <f>Calculations[[#This Row],[Sum t eCO2]]*IF(Calculations[[#This Row],[GHG Scope]]="BIOGENIC",0,1)</f>
        <v>75624.102865756257</v>
      </c>
      <c r="O839">
        <f>O838+1</f>
        <v>182</v>
      </c>
      <c r="P839">
        <v>63</v>
      </c>
      <c r="Q839">
        <v>11</v>
      </c>
      <c r="R839">
        <v>61</v>
      </c>
      <c r="S839">
        <v>31</v>
      </c>
      <c r="T839">
        <v>39</v>
      </c>
      <c r="U839">
        <v>17</v>
      </c>
      <c r="V839">
        <v>92</v>
      </c>
      <c r="W839">
        <v>18</v>
      </c>
      <c r="X839">
        <v>88</v>
      </c>
      <c r="Y839">
        <v>34</v>
      </c>
      <c r="Z839">
        <v>81</v>
      </c>
      <c r="AA839">
        <v>18</v>
      </c>
      <c r="AB839">
        <v>23</v>
      </c>
      <c r="AC839">
        <v>22</v>
      </c>
      <c r="AD839">
        <v>68</v>
      </c>
      <c r="AE839">
        <v>60</v>
      </c>
      <c r="AF839">
        <v>70</v>
      </c>
      <c r="AG839">
        <v>70</v>
      </c>
      <c r="AH839">
        <v>13</v>
      </c>
      <c r="AI839">
        <v>53</v>
      </c>
      <c r="AJ839">
        <v>14</v>
      </c>
      <c r="AK839">
        <v>47</v>
      </c>
      <c r="AL839">
        <v>54</v>
      </c>
      <c r="AM839">
        <v>49</v>
      </c>
      <c r="AN839">
        <v>41</v>
      </c>
      <c r="AO839">
        <v>24</v>
      </c>
      <c r="AP839">
        <v>24</v>
      </c>
      <c r="AQ839">
        <v>31</v>
      </c>
      <c r="AR839">
        <v>16</v>
      </c>
      <c r="AS839">
        <v>68</v>
      </c>
      <c r="AT839">
        <v>50</v>
      </c>
      <c r="AU839">
        <v>91</v>
      </c>
      <c r="AV839">
        <v>91</v>
      </c>
      <c r="AW839">
        <v>27</v>
      </c>
      <c r="AX839">
        <v>10</v>
      </c>
      <c r="AY839">
        <v>66</v>
      </c>
      <c r="AZ839">
        <v>10</v>
      </c>
      <c r="BA839">
        <v>74</v>
      </c>
      <c r="BB839">
        <v>100</v>
      </c>
      <c r="BC839">
        <v>70</v>
      </c>
      <c r="BD839">
        <v>78</v>
      </c>
      <c r="BE839">
        <v>39</v>
      </c>
      <c r="BF839">
        <v>70</v>
      </c>
      <c r="BG839">
        <v>64</v>
      </c>
      <c r="BH839">
        <v>72</v>
      </c>
      <c r="BI839">
        <v>100</v>
      </c>
      <c r="BJ839">
        <v>30</v>
      </c>
      <c r="BK839">
        <v>14</v>
      </c>
      <c r="BL839">
        <v>65</v>
      </c>
      <c r="BM839">
        <v>37</v>
      </c>
      <c r="BN839">
        <v>95</v>
      </c>
      <c r="BO839">
        <v>11</v>
      </c>
      <c r="BP839">
        <v>85</v>
      </c>
      <c r="BQ839">
        <v>59</v>
      </c>
      <c r="BR839">
        <v>72</v>
      </c>
      <c r="BS839">
        <v>28</v>
      </c>
      <c r="BT839">
        <v>38</v>
      </c>
      <c r="BU839">
        <v>65</v>
      </c>
      <c r="BV839">
        <v>64</v>
      </c>
      <c r="BW839">
        <v>38</v>
      </c>
      <c r="BX839">
        <v>82</v>
      </c>
      <c r="BY839">
        <v>44</v>
      </c>
      <c r="BZ839">
        <v>53</v>
      </c>
      <c r="CA839">
        <v>20</v>
      </c>
      <c r="CB839">
        <v>21</v>
      </c>
      <c r="CC839">
        <v>69</v>
      </c>
      <c r="CD839">
        <v>43</v>
      </c>
      <c r="CE839">
        <v>27</v>
      </c>
      <c r="CF839">
        <v>65</v>
      </c>
      <c r="CG839">
        <v>55</v>
      </c>
      <c r="CH839">
        <v>98</v>
      </c>
      <c r="CI839">
        <v>98</v>
      </c>
      <c r="CJ839">
        <v>72</v>
      </c>
      <c r="CK839">
        <v>42</v>
      </c>
      <c r="CL839">
        <v>91</v>
      </c>
      <c r="CM839">
        <v>16</v>
      </c>
      <c r="CN839">
        <v>16</v>
      </c>
      <c r="CO839">
        <v>43</v>
      </c>
      <c r="CP839">
        <v>67</v>
      </c>
      <c r="CQ839">
        <v>81</v>
      </c>
      <c r="CR839">
        <v>76</v>
      </c>
      <c r="CS839">
        <v>25</v>
      </c>
      <c r="CT839">
        <v>18</v>
      </c>
      <c r="CU839">
        <v>86</v>
      </c>
      <c r="CV839">
        <v>100</v>
      </c>
      <c r="CW839">
        <v>91</v>
      </c>
      <c r="CX839">
        <v>42</v>
      </c>
      <c r="CY839">
        <v>57</v>
      </c>
      <c r="CZ839">
        <v>51</v>
      </c>
      <c r="DA839">
        <v>97</v>
      </c>
      <c r="DB839">
        <v>52</v>
      </c>
      <c r="DC839">
        <v>50</v>
      </c>
      <c r="DD839">
        <v>78</v>
      </c>
      <c r="DE839">
        <v>92</v>
      </c>
      <c r="DF839">
        <v>30</v>
      </c>
      <c r="DG839">
        <v>92</v>
      </c>
      <c r="DH839">
        <v>98</v>
      </c>
      <c r="DI839">
        <v>54</v>
      </c>
      <c r="DJ839">
        <v>28</v>
      </c>
      <c r="DK839">
        <v>11</v>
      </c>
    </row>
    <row r="840" spans="1:115">
      <c r="A840" s="173">
        <f>Calculations[[#This Row],[Sum t eCO2]]*IF(Calculations[[#This Row],[GHG Scope]]="BIOGENIC",0,1)</f>
        <v>0.88485649830000002</v>
      </c>
      <c r="O840">
        <f t="shared" ref="O840:O844" si="16">O839+1</f>
        <v>183</v>
      </c>
      <c r="P840">
        <v>61</v>
      </c>
      <c r="Q840">
        <v>81</v>
      </c>
      <c r="R840">
        <v>14</v>
      </c>
      <c r="S840">
        <v>41</v>
      </c>
      <c r="T840">
        <v>42</v>
      </c>
      <c r="U840">
        <v>72</v>
      </c>
      <c r="V840">
        <v>22</v>
      </c>
      <c r="W840">
        <v>90</v>
      </c>
      <c r="X840">
        <v>43</v>
      </c>
      <c r="Y840">
        <v>63</v>
      </c>
      <c r="Z840">
        <v>54</v>
      </c>
      <c r="AA840">
        <v>56</v>
      </c>
      <c r="AB840">
        <v>92</v>
      </c>
      <c r="AC840">
        <v>81</v>
      </c>
      <c r="AD840">
        <v>23</v>
      </c>
      <c r="AE840">
        <v>16</v>
      </c>
      <c r="AF840">
        <v>71</v>
      </c>
      <c r="AG840">
        <v>84</v>
      </c>
      <c r="AH840">
        <v>11</v>
      </c>
      <c r="AI840">
        <v>96</v>
      </c>
      <c r="AJ840">
        <v>75</v>
      </c>
      <c r="AK840">
        <v>89</v>
      </c>
      <c r="AL840">
        <v>91</v>
      </c>
      <c r="AM840">
        <v>41</v>
      </c>
      <c r="AN840">
        <v>80</v>
      </c>
      <c r="AO840">
        <v>17</v>
      </c>
      <c r="AP840">
        <v>40</v>
      </c>
      <c r="AQ840">
        <v>35</v>
      </c>
      <c r="AR840">
        <v>68</v>
      </c>
      <c r="AS840">
        <v>70</v>
      </c>
      <c r="AT840">
        <v>32</v>
      </c>
      <c r="AU840">
        <v>12</v>
      </c>
      <c r="AV840">
        <v>16</v>
      </c>
      <c r="AW840">
        <v>89</v>
      </c>
      <c r="AX840">
        <v>34</v>
      </c>
      <c r="AY840">
        <v>19</v>
      </c>
      <c r="AZ840">
        <v>53</v>
      </c>
      <c r="BA840">
        <v>61</v>
      </c>
      <c r="BB840">
        <v>42</v>
      </c>
      <c r="BC840">
        <v>100</v>
      </c>
      <c r="BD840">
        <v>26</v>
      </c>
      <c r="BE840">
        <v>27</v>
      </c>
      <c r="BF840">
        <v>24</v>
      </c>
      <c r="BG840">
        <v>55</v>
      </c>
      <c r="BH840">
        <v>85</v>
      </c>
      <c r="BI840">
        <v>43</v>
      </c>
      <c r="BJ840">
        <v>63</v>
      </c>
      <c r="BK840">
        <v>23</v>
      </c>
      <c r="BL840">
        <v>72</v>
      </c>
      <c r="BM840">
        <v>65</v>
      </c>
      <c r="BN840">
        <v>30</v>
      </c>
      <c r="BO840">
        <v>28</v>
      </c>
      <c r="BP840">
        <v>87</v>
      </c>
      <c r="BQ840">
        <v>42</v>
      </c>
      <c r="BR840">
        <v>96</v>
      </c>
      <c r="BS840">
        <v>37</v>
      </c>
      <c r="BT840">
        <v>83</v>
      </c>
      <c r="BU840">
        <v>77</v>
      </c>
      <c r="BV840">
        <v>47</v>
      </c>
      <c r="BW840">
        <v>37</v>
      </c>
      <c r="BX840">
        <v>75</v>
      </c>
      <c r="BY840">
        <v>81</v>
      </c>
      <c r="BZ840">
        <v>35</v>
      </c>
      <c r="CA840">
        <v>99</v>
      </c>
      <c r="CB840">
        <v>50</v>
      </c>
      <c r="CC840">
        <v>82</v>
      </c>
      <c r="CD840">
        <v>61</v>
      </c>
      <c r="CE840">
        <v>70</v>
      </c>
      <c r="CF840">
        <v>41</v>
      </c>
      <c r="CG840">
        <v>77</v>
      </c>
      <c r="CH840">
        <v>25</v>
      </c>
      <c r="CI840">
        <v>31</v>
      </c>
      <c r="CJ840">
        <v>38</v>
      </c>
      <c r="CK840">
        <v>19</v>
      </c>
      <c r="CL840">
        <v>88</v>
      </c>
      <c r="CM840">
        <v>30</v>
      </c>
      <c r="CN840">
        <v>31</v>
      </c>
      <c r="CO840">
        <v>19</v>
      </c>
      <c r="CP840">
        <v>82</v>
      </c>
      <c r="CQ840">
        <v>27</v>
      </c>
      <c r="CR840">
        <v>44</v>
      </c>
      <c r="CS840">
        <v>100</v>
      </c>
      <c r="CT840">
        <v>33</v>
      </c>
      <c r="CU840">
        <v>34</v>
      </c>
      <c r="CV840">
        <v>55</v>
      </c>
      <c r="CW840">
        <v>75</v>
      </c>
      <c r="CX840">
        <v>64</v>
      </c>
      <c r="CY840">
        <v>12</v>
      </c>
      <c r="CZ840">
        <v>72</v>
      </c>
      <c r="DA840">
        <v>99</v>
      </c>
      <c r="DB840">
        <v>12</v>
      </c>
      <c r="DC840">
        <v>17</v>
      </c>
      <c r="DD840">
        <v>75</v>
      </c>
      <c r="DE840">
        <v>43</v>
      </c>
      <c r="DF840">
        <v>100</v>
      </c>
      <c r="DG840">
        <v>90</v>
      </c>
      <c r="DH840">
        <v>50</v>
      </c>
      <c r="DI840">
        <v>38</v>
      </c>
      <c r="DJ840">
        <v>57</v>
      </c>
      <c r="DK840">
        <v>31</v>
      </c>
    </row>
    <row r="841" spans="1:115">
      <c r="A841" s="173">
        <f>Calculations[[#This Row],[Sum t eCO2]]*IF(Calculations[[#This Row],[GHG Scope]]="BIOGENIC",0,1)</f>
        <v>4.6041001019999993E-4</v>
      </c>
      <c r="O841">
        <f t="shared" si="16"/>
        <v>184</v>
      </c>
      <c r="P841">
        <v>88</v>
      </c>
      <c r="Q841">
        <v>97</v>
      </c>
      <c r="R841">
        <v>45</v>
      </c>
      <c r="S841">
        <v>11</v>
      </c>
      <c r="T841">
        <v>61</v>
      </c>
      <c r="U841">
        <v>66</v>
      </c>
      <c r="V841">
        <v>70</v>
      </c>
      <c r="W841">
        <v>83</v>
      </c>
      <c r="X841">
        <v>50</v>
      </c>
      <c r="Y841">
        <v>82</v>
      </c>
      <c r="Z841">
        <v>50</v>
      </c>
      <c r="AA841">
        <v>42</v>
      </c>
      <c r="AB841">
        <v>46</v>
      </c>
      <c r="AC841">
        <v>10</v>
      </c>
      <c r="AD841">
        <v>12</v>
      </c>
      <c r="AE841">
        <v>75</v>
      </c>
      <c r="AF841">
        <v>87</v>
      </c>
      <c r="AG841">
        <v>64</v>
      </c>
      <c r="AH841">
        <v>29</v>
      </c>
      <c r="AI841">
        <v>50</v>
      </c>
      <c r="AJ841">
        <v>13</v>
      </c>
      <c r="AK841">
        <v>16</v>
      </c>
      <c r="AL841">
        <v>60</v>
      </c>
      <c r="AM841">
        <v>60</v>
      </c>
      <c r="AN841">
        <v>99</v>
      </c>
      <c r="AO841">
        <v>43</v>
      </c>
      <c r="AP841">
        <v>12</v>
      </c>
      <c r="AQ841">
        <v>75</v>
      </c>
      <c r="AR841">
        <v>65</v>
      </c>
      <c r="AS841">
        <v>15</v>
      </c>
      <c r="AT841">
        <v>51</v>
      </c>
      <c r="AU841">
        <v>59</v>
      </c>
      <c r="AV841">
        <v>44</v>
      </c>
      <c r="AW841">
        <v>15</v>
      </c>
      <c r="AX841">
        <v>77</v>
      </c>
      <c r="AY841">
        <v>18</v>
      </c>
      <c r="AZ841">
        <v>83</v>
      </c>
      <c r="BA841">
        <v>22</v>
      </c>
      <c r="BB841">
        <v>66</v>
      </c>
      <c r="BC841">
        <v>57</v>
      </c>
      <c r="BD841">
        <v>100</v>
      </c>
      <c r="BE841">
        <v>55</v>
      </c>
      <c r="BF841">
        <v>29</v>
      </c>
      <c r="BG841">
        <v>100</v>
      </c>
      <c r="BH841">
        <v>34</v>
      </c>
      <c r="BI841">
        <v>57</v>
      </c>
      <c r="BJ841">
        <v>43</v>
      </c>
      <c r="BK841">
        <v>58</v>
      </c>
      <c r="BL841">
        <v>29</v>
      </c>
      <c r="BM841">
        <v>60</v>
      </c>
      <c r="BN841">
        <v>59</v>
      </c>
      <c r="BO841">
        <v>72</v>
      </c>
      <c r="BP841">
        <v>75</v>
      </c>
      <c r="BQ841">
        <v>73</v>
      </c>
      <c r="BR841">
        <v>88</v>
      </c>
      <c r="BS841">
        <v>89</v>
      </c>
      <c r="BT841">
        <v>12</v>
      </c>
      <c r="BU841">
        <v>54</v>
      </c>
      <c r="BV841">
        <v>63</v>
      </c>
      <c r="BW841">
        <v>64</v>
      </c>
      <c r="BX841">
        <v>35</v>
      </c>
      <c r="BY841">
        <v>38</v>
      </c>
      <c r="BZ841">
        <v>71</v>
      </c>
      <c r="CA841">
        <v>67</v>
      </c>
      <c r="CB841">
        <v>63</v>
      </c>
      <c r="CC841">
        <v>39</v>
      </c>
      <c r="CD841">
        <v>27</v>
      </c>
      <c r="CE841">
        <v>82</v>
      </c>
      <c r="CF841">
        <v>91</v>
      </c>
      <c r="CG841">
        <v>71</v>
      </c>
      <c r="CH841">
        <v>95</v>
      </c>
      <c r="CI841">
        <v>30</v>
      </c>
      <c r="CJ841">
        <v>67</v>
      </c>
      <c r="CK841">
        <v>20</v>
      </c>
      <c r="CL841">
        <v>40</v>
      </c>
      <c r="CM841">
        <v>20</v>
      </c>
      <c r="CN841">
        <v>24</v>
      </c>
      <c r="CO841">
        <v>20</v>
      </c>
      <c r="CP841">
        <v>88</v>
      </c>
      <c r="CQ841">
        <v>63</v>
      </c>
      <c r="CR841">
        <v>31</v>
      </c>
      <c r="CS841">
        <v>14</v>
      </c>
      <c r="CT841">
        <v>40</v>
      </c>
      <c r="CU841">
        <v>82</v>
      </c>
      <c r="CV841">
        <v>63</v>
      </c>
      <c r="CW841">
        <v>37</v>
      </c>
      <c r="CX841">
        <v>39</v>
      </c>
      <c r="CY841">
        <v>13</v>
      </c>
      <c r="CZ841">
        <v>100</v>
      </c>
      <c r="DA841">
        <v>18</v>
      </c>
      <c r="DB841">
        <v>68</v>
      </c>
      <c r="DC841">
        <v>21</v>
      </c>
      <c r="DD841">
        <v>66</v>
      </c>
      <c r="DE841">
        <v>59</v>
      </c>
      <c r="DF841">
        <v>19</v>
      </c>
      <c r="DG841">
        <v>97</v>
      </c>
      <c r="DH841">
        <v>98</v>
      </c>
      <c r="DI841">
        <v>92</v>
      </c>
      <c r="DJ841">
        <v>44</v>
      </c>
      <c r="DK841">
        <v>13</v>
      </c>
    </row>
    <row r="842" spans="1:115">
      <c r="A842" s="173">
        <f>Calculations[[#This Row],[Sum t eCO2]]*IF(Calculations[[#This Row],[GHG Scope]]="BIOGENIC",0,1)</f>
        <v>1.1539097999999999E-3</v>
      </c>
      <c r="O842">
        <f t="shared" si="16"/>
        <v>185</v>
      </c>
      <c r="P842">
        <v>46</v>
      </c>
      <c r="Q842">
        <v>57</v>
      </c>
      <c r="R842">
        <v>38</v>
      </c>
      <c r="S842">
        <v>18</v>
      </c>
      <c r="T842">
        <v>100</v>
      </c>
      <c r="U842">
        <v>25</v>
      </c>
      <c r="V842">
        <v>32</v>
      </c>
      <c r="W842">
        <v>52</v>
      </c>
      <c r="X842">
        <v>14</v>
      </c>
      <c r="Y842">
        <v>20</v>
      </c>
      <c r="Z842">
        <v>95</v>
      </c>
      <c r="AA842">
        <v>69</v>
      </c>
      <c r="AB842">
        <v>80</v>
      </c>
      <c r="AC842">
        <v>45</v>
      </c>
      <c r="AD842">
        <v>75</v>
      </c>
      <c r="AE842">
        <v>24</v>
      </c>
      <c r="AF842">
        <v>49</v>
      </c>
      <c r="AG842">
        <v>93</v>
      </c>
      <c r="AH842">
        <v>82</v>
      </c>
      <c r="AI842">
        <v>90</v>
      </c>
      <c r="AJ842">
        <v>64</v>
      </c>
      <c r="AK842">
        <v>10</v>
      </c>
      <c r="AL842">
        <v>58</v>
      </c>
      <c r="AM842">
        <v>76</v>
      </c>
      <c r="AN842">
        <v>30</v>
      </c>
      <c r="AO842">
        <v>41</v>
      </c>
      <c r="AP842">
        <v>77</v>
      </c>
      <c r="AQ842">
        <v>37</v>
      </c>
      <c r="AR842">
        <v>79</v>
      </c>
      <c r="AS842">
        <v>17</v>
      </c>
      <c r="AT842">
        <v>29</v>
      </c>
      <c r="AU842">
        <v>34</v>
      </c>
      <c r="AV842">
        <v>23</v>
      </c>
      <c r="AW842">
        <v>80</v>
      </c>
      <c r="AX842">
        <v>76</v>
      </c>
      <c r="AY842">
        <v>24</v>
      </c>
      <c r="AZ842">
        <v>69</v>
      </c>
      <c r="BA842">
        <v>67</v>
      </c>
      <c r="BB842">
        <v>28</v>
      </c>
      <c r="BC842">
        <v>12</v>
      </c>
      <c r="BD842">
        <v>69</v>
      </c>
      <c r="BE842">
        <v>29</v>
      </c>
      <c r="BF842">
        <v>88</v>
      </c>
      <c r="BG842">
        <v>34</v>
      </c>
      <c r="BH842">
        <v>85</v>
      </c>
      <c r="BI842">
        <v>35</v>
      </c>
      <c r="BJ842">
        <v>14</v>
      </c>
      <c r="BK842">
        <v>88</v>
      </c>
      <c r="BL842">
        <v>22</v>
      </c>
      <c r="BM842">
        <v>45</v>
      </c>
      <c r="BN842">
        <v>72</v>
      </c>
      <c r="BO842">
        <v>93</v>
      </c>
      <c r="BP842">
        <v>76</v>
      </c>
      <c r="BQ842">
        <v>21</v>
      </c>
      <c r="BR842">
        <v>94</v>
      </c>
      <c r="BS842">
        <v>77</v>
      </c>
      <c r="BT842">
        <v>27</v>
      </c>
      <c r="BU842">
        <v>68</v>
      </c>
      <c r="BV842">
        <v>41</v>
      </c>
      <c r="BW842">
        <v>65</v>
      </c>
      <c r="BX842">
        <v>30</v>
      </c>
      <c r="BY842">
        <v>49</v>
      </c>
      <c r="BZ842">
        <v>20</v>
      </c>
      <c r="CA842">
        <v>70</v>
      </c>
      <c r="CB842">
        <v>28</v>
      </c>
      <c r="CC842">
        <v>57</v>
      </c>
      <c r="CD842">
        <v>41</v>
      </c>
      <c r="CE842">
        <v>87</v>
      </c>
      <c r="CF842">
        <v>39</v>
      </c>
      <c r="CG842">
        <v>95</v>
      </c>
      <c r="CH842">
        <v>11</v>
      </c>
      <c r="CI842">
        <v>52</v>
      </c>
      <c r="CJ842">
        <v>59</v>
      </c>
      <c r="CK842">
        <v>35</v>
      </c>
      <c r="CL842">
        <v>17</v>
      </c>
      <c r="CM842">
        <v>69</v>
      </c>
      <c r="CN842">
        <v>25</v>
      </c>
      <c r="CO842">
        <v>65</v>
      </c>
      <c r="CP842">
        <v>92</v>
      </c>
      <c r="CQ842">
        <v>11</v>
      </c>
      <c r="CR842">
        <v>22</v>
      </c>
      <c r="CS842">
        <v>35</v>
      </c>
      <c r="CT842">
        <v>75</v>
      </c>
      <c r="CU842">
        <v>79</v>
      </c>
      <c r="CV842">
        <v>41</v>
      </c>
      <c r="CW842">
        <v>71</v>
      </c>
      <c r="CX842">
        <v>34</v>
      </c>
      <c r="CY842">
        <v>42</v>
      </c>
      <c r="CZ842">
        <v>96</v>
      </c>
      <c r="DA842">
        <v>20</v>
      </c>
      <c r="DB842">
        <v>68</v>
      </c>
      <c r="DC842">
        <v>69</v>
      </c>
      <c r="DD842">
        <v>45</v>
      </c>
      <c r="DE842">
        <v>57</v>
      </c>
      <c r="DF842">
        <v>10</v>
      </c>
      <c r="DG842">
        <v>17</v>
      </c>
      <c r="DH842">
        <v>83</v>
      </c>
      <c r="DI842">
        <v>67</v>
      </c>
      <c r="DJ842">
        <v>50</v>
      </c>
      <c r="DK842">
        <v>94</v>
      </c>
    </row>
    <row r="843" spans="1:115">
      <c r="A843" s="173">
        <f>Calculations[[#This Row],[Sum t eCO2]]*IF(Calculations[[#This Row],[GHG Scope]]="BIOGENIC",0,1)</f>
        <v>3.1681234619999998E-2</v>
      </c>
      <c r="O843">
        <f t="shared" si="16"/>
        <v>186</v>
      </c>
      <c r="P843">
        <v>56</v>
      </c>
      <c r="Q843">
        <v>38</v>
      </c>
      <c r="R843">
        <v>85</v>
      </c>
      <c r="S843">
        <v>71</v>
      </c>
      <c r="T843">
        <v>10</v>
      </c>
      <c r="U843">
        <v>95</v>
      </c>
      <c r="V843">
        <v>41</v>
      </c>
      <c r="W843">
        <v>55</v>
      </c>
      <c r="X843">
        <v>55</v>
      </c>
      <c r="Y843">
        <v>44</v>
      </c>
      <c r="Z843">
        <v>17</v>
      </c>
      <c r="AA843">
        <v>51</v>
      </c>
      <c r="AB843">
        <v>78</v>
      </c>
      <c r="AC843">
        <v>89</v>
      </c>
      <c r="AD843">
        <v>22</v>
      </c>
      <c r="AE843">
        <v>48</v>
      </c>
      <c r="AF843">
        <v>82</v>
      </c>
      <c r="AG843">
        <v>83</v>
      </c>
      <c r="AH843">
        <v>79</v>
      </c>
      <c r="AI843">
        <v>88</v>
      </c>
      <c r="AJ843">
        <v>14</v>
      </c>
      <c r="AK843">
        <v>29</v>
      </c>
      <c r="AL843">
        <v>38</v>
      </c>
      <c r="AM843">
        <v>17</v>
      </c>
      <c r="AN843">
        <v>36</v>
      </c>
      <c r="AO843">
        <v>88</v>
      </c>
      <c r="AP843">
        <v>38</v>
      </c>
      <c r="AQ843">
        <v>32</v>
      </c>
      <c r="AR843">
        <v>50</v>
      </c>
      <c r="AS843">
        <v>38</v>
      </c>
      <c r="AT843">
        <v>33</v>
      </c>
      <c r="AU843">
        <v>34</v>
      </c>
      <c r="AV843">
        <v>53</v>
      </c>
      <c r="AW843">
        <v>85</v>
      </c>
      <c r="AX843">
        <v>90</v>
      </c>
      <c r="AY843">
        <v>31</v>
      </c>
      <c r="AZ843">
        <v>94</v>
      </c>
      <c r="BA843">
        <v>64</v>
      </c>
      <c r="BB843">
        <v>84</v>
      </c>
      <c r="BC843">
        <v>16</v>
      </c>
      <c r="BD843">
        <v>93</v>
      </c>
      <c r="BE843">
        <v>56</v>
      </c>
      <c r="BF843">
        <v>56</v>
      </c>
      <c r="BG843">
        <v>16</v>
      </c>
      <c r="BH843">
        <v>60</v>
      </c>
      <c r="BI843">
        <v>18</v>
      </c>
      <c r="BJ843">
        <v>51</v>
      </c>
      <c r="BK843">
        <v>14</v>
      </c>
      <c r="BL843">
        <v>38</v>
      </c>
      <c r="BM843">
        <v>76</v>
      </c>
      <c r="BN843">
        <v>19</v>
      </c>
      <c r="BO843">
        <v>76</v>
      </c>
      <c r="BP843">
        <v>19</v>
      </c>
      <c r="BQ843">
        <v>79</v>
      </c>
      <c r="BR843">
        <v>63</v>
      </c>
      <c r="BS843">
        <v>58</v>
      </c>
      <c r="BT843">
        <v>22</v>
      </c>
      <c r="BU843">
        <v>30</v>
      </c>
      <c r="BV843">
        <v>61</v>
      </c>
      <c r="BW843">
        <v>47</v>
      </c>
      <c r="BX843">
        <v>41</v>
      </c>
      <c r="BY843">
        <v>22</v>
      </c>
      <c r="BZ843">
        <v>26</v>
      </c>
      <c r="CA843">
        <v>98</v>
      </c>
      <c r="CB843">
        <v>30</v>
      </c>
      <c r="CC843">
        <v>43</v>
      </c>
      <c r="CD843">
        <v>78</v>
      </c>
      <c r="CE843">
        <v>73</v>
      </c>
      <c r="CF843">
        <v>36</v>
      </c>
      <c r="CG843">
        <v>91</v>
      </c>
      <c r="CH843">
        <v>88</v>
      </c>
      <c r="CI843">
        <v>74</v>
      </c>
      <c r="CJ843">
        <v>61</v>
      </c>
      <c r="CK843">
        <v>10</v>
      </c>
      <c r="CL843">
        <v>72</v>
      </c>
      <c r="CM843">
        <v>52</v>
      </c>
      <c r="CN843">
        <v>35</v>
      </c>
      <c r="CO843">
        <v>27</v>
      </c>
      <c r="CP843">
        <v>64</v>
      </c>
      <c r="CQ843">
        <v>94</v>
      </c>
      <c r="CR843">
        <v>91</v>
      </c>
      <c r="CS843">
        <v>21</v>
      </c>
      <c r="CT843">
        <v>36</v>
      </c>
      <c r="CU843">
        <v>82</v>
      </c>
      <c r="CV843">
        <v>15</v>
      </c>
      <c r="CW843">
        <v>76</v>
      </c>
      <c r="CX843">
        <v>10</v>
      </c>
      <c r="CY843">
        <v>77</v>
      </c>
      <c r="CZ843">
        <v>10</v>
      </c>
      <c r="DA843">
        <v>95</v>
      </c>
      <c r="DB843">
        <v>70</v>
      </c>
      <c r="DC843">
        <v>92</v>
      </c>
      <c r="DD843">
        <v>40</v>
      </c>
      <c r="DE843">
        <v>87</v>
      </c>
      <c r="DF843">
        <v>44</v>
      </c>
      <c r="DG843">
        <v>58</v>
      </c>
      <c r="DH843">
        <v>51</v>
      </c>
      <c r="DI843">
        <v>93</v>
      </c>
      <c r="DJ843">
        <v>39</v>
      </c>
      <c r="DK843">
        <v>76</v>
      </c>
    </row>
    <row r="844" spans="1:115">
      <c r="A844" s="173">
        <f>Calculations[[#This Row],[Sum t eCO2]]*IF(Calculations[[#This Row],[GHG Scope]]="BIOGENIC",0,1)</f>
        <v>6.5093333939999999E-4</v>
      </c>
      <c r="O844">
        <f t="shared" si="16"/>
        <v>187</v>
      </c>
      <c r="P844">
        <v>64</v>
      </c>
      <c r="Q844">
        <v>22</v>
      </c>
      <c r="R844">
        <v>91</v>
      </c>
      <c r="S844">
        <v>59</v>
      </c>
      <c r="T844">
        <v>12</v>
      </c>
      <c r="U844">
        <v>66</v>
      </c>
      <c r="V844">
        <v>40</v>
      </c>
      <c r="W844">
        <v>71</v>
      </c>
      <c r="X844">
        <v>48</v>
      </c>
      <c r="Y844">
        <v>64</v>
      </c>
      <c r="Z844">
        <v>16</v>
      </c>
      <c r="AA844">
        <v>47</v>
      </c>
      <c r="AB844">
        <v>89</v>
      </c>
      <c r="AC844">
        <v>85</v>
      </c>
      <c r="AD844">
        <v>95</v>
      </c>
      <c r="AE844">
        <v>22</v>
      </c>
      <c r="AF844">
        <v>17</v>
      </c>
      <c r="AG844">
        <v>14</v>
      </c>
      <c r="AH844">
        <v>17</v>
      </c>
      <c r="AI844">
        <v>83</v>
      </c>
      <c r="AJ844">
        <v>46</v>
      </c>
      <c r="AK844">
        <v>96</v>
      </c>
      <c r="AL844">
        <v>69</v>
      </c>
      <c r="AM844">
        <v>36</v>
      </c>
      <c r="AN844">
        <v>98</v>
      </c>
      <c r="AO844">
        <v>43</v>
      </c>
      <c r="AP844">
        <v>36</v>
      </c>
      <c r="AQ844">
        <v>91</v>
      </c>
      <c r="AR844">
        <v>64</v>
      </c>
      <c r="AS844">
        <v>65</v>
      </c>
      <c r="AT844">
        <v>86</v>
      </c>
      <c r="AU844">
        <v>94</v>
      </c>
      <c r="AV844">
        <v>66</v>
      </c>
      <c r="AW844">
        <v>78</v>
      </c>
      <c r="AX844">
        <v>92</v>
      </c>
      <c r="AY844">
        <v>99</v>
      </c>
      <c r="AZ844">
        <v>27</v>
      </c>
      <c r="BA844">
        <v>80</v>
      </c>
      <c r="BB844">
        <v>17</v>
      </c>
      <c r="BC844">
        <v>27</v>
      </c>
      <c r="BD844">
        <v>82</v>
      </c>
      <c r="BE844">
        <v>60</v>
      </c>
      <c r="BF844">
        <v>77</v>
      </c>
      <c r="BG844">
        <v>94</v>
      </c>
      <c r="BH844">
        <v>92</v>
      </c>
      <c r="BI844">
        <v>53</v>
      </c>
      <c r="BJ844">
        <v>11</v>
      </c>
      <c r="BK844">
        <v>14</v>
      </c>
      <c r="BL844">
        <v>31</v>
      </c>
      <c r="BM844">
        <v>22</v>
      </c>
      <c r="BN844">
        <v>48</v>
      </c>
      <c r="BO844">
        <v>93</v>
      </c>
      <c r="BP844">
        <v>37</v>
      </c>
      <c r="BQ844">
        <v>55</v>
      </c>
      <c r="BR844">
        <v>36</v>
      </c>
      <c r="BS844">
        <v>93</v>
      </c>
      <c r="BT844">
        <v>59</v>
      </c>
      <c r="BU844">
        <v>13</v>
      </c>
      <c r="BV844">
        <v>84</v>
      </c>
      <c r="BW844">
        <v>41</v>
      </c>
      <c r="BX844">
        <v>48</v>
      </c>
      <c r="BY844">
        <v>55</v>
      </c>
      <c r="BZ844">
        <v>58</v>
      </c>
      <c r="CA844">
        <v>43</v>
      </c>
      <c r="CB844">
        <v>44</v>
      </c>
      <c r="CC844">
        <v>88</v>
      </c>
      <c r="CD844">
        <v>85</v>
      </c>
      <c r="CE844">
        <v>44</v>
      </c>
      <c r="CF844">
        <v>92</v>
      </c>
      <c r="CG844">
        <v>30</v>
      </c>
      <c r="CH844">
        <v>23</v>
      </c>
      <c r="CI844">
        <v>40</v>
      </c>
      <c r="CJ844">
        <v>85</v>
      </c>
      <c r="CK844">
        <v>17</v>
      </c>
      <c r="CL844">
        <v>13</v>
      </c>
      <c r="CM844">
        <v>67</v>
      </c>
      <c r="CN844">
        <v>66</v>
      </c>
      <c r="CO844">
        <v>32</v>
      </c>
      <c r="CP844">
        <v>34</v>
      </c>
      <c r="CQ844">
        <v>68</v>
      </c>
      <c r="CR844">
        <v>16</v>
      </c>
      <c r="CS844">
        <v>33</v>
      </c>
      <c r="CT844">
        <v>12</v>
      </c>
      <c r="CU844">
        <v>16</v>
      </c>
      <c r="CV844">
        <v>30</v>
      </c>
      <c r="CW844">
        <v>28</v>
      </c>
      <c r="CX844">
        <v>85</v>
      </c>
      <c r="CY844">
        <v>88</v>
      </c>
      <c r="CZ844">
        <v>73</v>
      </c>
      <c r="DA844">
        <v>18</v>
      </c>
      <c r="DB844">
        <v>62</v>
      </c>
      <c r="DC844">
        <v>47</v>
      </c>
      <c r="DD844">
        <v>91</v>
      </c>
      <c r="DE844">
        <v>91</v>
      </c>
      <c r="DF844">
        <v>62</v>
      </c>
      <c r="DG844">
        <v>58</v>
      </c>
      <c r="DH844">
        <v>50</v>
      </c>
      <c r="DI844">
        <v>94</v>
      </c>
      <c r="DJ844">
        <v>23</v>
      </c>
      <c r="DK844">
        <v>57</v>
      </c>
    </row>
    <row r="845" spans="1:115">
      <c r="A845" s="173">
        <f>Calculations[[#This Row],[Sum t eCO2]]*IF(Calculations[[#This Row],[GHG Scope]]="BIOGENIC",0,1)</f>
        <v>1.30776444E-2</v>
      </c>
      <c r="O845">
        <f>O844+1</f>
        <v>188</v>
      </c>
      <c r="P845">
        <v>77</v>
      </c>
      <c r="Q845">
        <v>32</v>
      </c>
      <c r="R845">
        <v>72</v>
      </c>
      <c r="S845">
        <v>46</v>
      </c>
      <c r="T845">
        <v>42</v>
      </c>
      <c r="U845">
        <v>17</v>
      </c>
      <c r="V845">
        <v>93</v>
      </c>
      <c r="W845">
        <v>21</v>
      </c>
      <c r="X845">
        <v>88</v>
      </c>
      <c r="Y845">
        <v>62</v>
      </c>
      <c r="Z845">
        <v>96</v>
      </c>
      <c r="AA845">
        <v>11</v>
      </c>
      <c r="AB845">
        <v>18</v>
      </c>
      <c r="AC845">
        <v>10</v>
      </c>
      <c r="AD845">
        <v>92</v>
      </c>
      <c r="AE845">
        <v>51</v>
      </c>
      <c r="AF845">
        <v>79</v>
      </c>
      <c r="AG845">
        <v>12</v>
      </c>
      <c r="AH845">
        <v>62</v>
      </c>
      <c r="AI845">
        <v>26</v>
      </c>
      <c r="AJ845">
        <v>48</v>
      </c>
      <c r="AK845">
        <v>74</v>
      </c>
      <c r="AL845">
        <v>79</v>
      </c>
      <c r="AM845">
        <v>50</v>
      </c>
      <c r="AN845">
        <v>44</v>
      </c>
      <c r="AO845">
        <v>31</v>
      </c>
      <c r="AP845">
        <v>60</v>
      </c>
      <c r="AQ845">
        <v>61</v>
      </c>
      <c r="AR845">
        <v>79</v>
      </c>
      <c r="AS845">
        <v>36</v>
      </c>
      <c r="AT845">
        <v>38</v>
      </c>
      <c r="AU845">
        <v>60</v>
      </c>
      <c r="AV845">
        <v>86</v>
      </c>
      <c r="AW845">
        <v>56</v>
      </c>
      <c r="AX845">
        <v>29</v>
      </c>
      <c r="AY845">
        <v>78</v>
      </c>
      <c r="AZ845">
        <v>74</v>
      </c>
      <c r="BA845">
        <v>25</v>
      </c>
      <c r="BB845">
        <v>57</v>
      </c>
      <c r="BC845">
        <v>74</v>
      </c>
      <c r="BD845">
        <v>83</v>
      </c>
      <c r="BE845">
        <v>14</v>
      </c>
      <c r="BF845">
        <v>34</v>
      </c>
      <c r="BG845">
        <v>58</v>
      </c>
      <c r="BH845">
        <v>55</v>
      </c>
      <c r="BI845">
        <v>13</v>
      </c>
      <c r="BJ845">
        <v>67</v>
      </c>
      <c r="BK845">
        <v>50</v>
      </c>
      <c r="BL845">
        <v>74</v>
      </c>
      <c r="BM845">
        <v>43</v>
      </c>
      <c r="BN845">
        <v>25</v>
      </c>
      <c r="BO845">
        <v>13</v>
      </c>
      <c r="BP845">
        <v>72</v>
      </c>
      <c r="BQ845">
        <v>65</v>
      </c>
      <c r="BR845">
        <v>14</v>
      </c>
      <c r="BS845">
        <v>62</v>
      </c>
      <c r="BT845">
        <v>11</v>
      </c>
      <c r="BU845">
        <v>74</v>
      </c>
      <c r="BV845">
        <v>86</v>
      </c>
      <c r="BW845">
        <v>17</v>
      </c>
      <c r="BX845">
        <v>27</v>
      </c>
      <c r="BY845">
        <v>74</v>
      </c>
      <c r="BZ845">
        <v>90</v>
      </c>
      <c r="CA845">
        <v>81</v>
      </c>
      <c r="CB845">
        <v>91</v>
      </c>
      <c r="CC845">
        <v>67</v>
      </c>
      <c r="CD845">
        <v>75</v>
      </c>
      <c r="CE845">
        <v>61</v>
      </c>
      <c r="CF845">
        <v>42</v>
      </c>
      <c r="CG845">
        <v>30</v>
      </c>
      <c r="CH845">
        <v>53</v>
      </c>
      <c r="CI845">
        <v>32</v>
      </c>
      <c r="CJ845">
        <v>39</v>
      </c>
      <c r="CK845">
        <v>60</v>
      </c>
      <c r="CL845">
        <v>19</v>
      </c>
      <c r="CM845">
        <v>45</v>
      </c>
      <c r="CN845">
        <v>43</v>
      </c>
      <c r="CO845">
        <v>61</v>
      </c>
      <c r="CP845">
        <v>85</v>
      </c>
      <c r="CQ845">
        <v>87</v>
      </c>
      <c r="CR845">
        <v>100</v>
      </c>
      <c r="CS845">
        <v>77</v>
      </c>
      <c r="CT845">
        <v>100</v>
      </c>
      <c r="CU845">
        <v>94</v>
      </c>
      <c r="CV845">
        <v>21</v>
      </c>
      <c r="CW845">
        <v>26</v>
      </c>
      <c r="CX845">
        <v>61</v>
      </c>
      <c r="CY845">
        <v>12</v>
      </c>
      <c r="CZ845">
        <v>88</v>
      </c>
      <c r="DA845">
        <v>41</v>
      </c>
      <c r="DB845">
        <v>27</v>
      </c>
      <c r="DC845">
        <v>33</v>
      </c>
      <c r="DD845">
        <v>11</v>
      </c>
      <c r="DE845">
        <v>47</v>
      </c>
      <c r="DF845">
        <v>99</v>
      </c>
      <c r="DG845">
        <v>53</v>
      </c>
      <c r="DH845">
        <v>81</v>
      </c>
      <c r="DI845">
        <v>88</v>
      </c>
      <c r="DJ845">
        <v>56</v>
      </c>
      <c r="DK845">
        <v>92</v>
      </c>
    </row>
    <row r="846" spans="1:115">
      <c r="A846" s="173">
        <f>Calculations[[#This Row],[Sum t eCO2]]*IF(Calculations[[#This Row],[GHG Scope]]="BIOGENIC",0,1)</f>
        <v>0.1416103749</v>
      </c>
      <c r="O846">
        <f t="shared" ref="O846" si="17">O845+1</f>
        <v>189</v>
      </c>
      <c r="P846">
        <v>55</v>
      </c>
      <c r="Q846">
        <v>56</v>
      </c>
      <c r="R846">
        <v>82</v>
      </c>
      <c r="S846">
        <v>10</v>
      </c>
      <c r="T846">
        <v>21</v>
      </c>
      <c r="U846">
        <v>85</v>
      </c>
      <c r="V846">
        <v>28</v>
      </c>
      <c r="W846">
        <v>84</v>
      </c>
      <c r="X846">
        <v>19</v>
      </c>
      <c r="Y846">
        <v>26</v>
      </c>
      <c r="Z846">
        <v>19</v>
      </c>
      <c r="AA846">
        <v>34</v>
      </c>
      <c r="AB846">
        <v>28</v>
      </c>
      <c r="AC846">
        <v>10</v>
      </c>
      <c r="AD846">
        <v>72</v>
      </c>
      <c r="AE846">
        <v>25</v>
      </c>
      <c r="AF846">
        <v>73</v>
      </c>
      <c r="AG846">
        <v>82</v>
      </c>
      <c r="AH846">
        <v>53</v>
      </c>
      <c r="AI846">
        <v>20</v>
      </c>
      <c r="AJ846">
        <v>91</v>
      </c>
      <c r="AK846">
        <v>72</v>
      </c>
      <c r="AL846">
        <v>12</v>
      </c>
      <c r="AM846">
        <v>18</v>
      </c>
      <c r="AN846">
        <v>94</v>
      </c>
      <c r="AO846">
        <v>88</v>
      </c>
      <c r="AP846">
        <v>21</v>
      </c>
      <c r="AQ846">
        <v>56</v>
      </c>
      <c r="AR846">
        <v>75</v>
      </c>
      <c r="AS846">
        <v>56</v>
      </c>
      <c r="AT846">
        <v>67</v>
      </c>
      <c r="AU846">
        <v>97</v>
      </c>
      <c r="AV846">
        <v>24</v>
      </c>
      <c r="AW846">
        <v>57</v>
      </c>
      <c r="AX846">
        <v>23</v>
      </c>
      <c r="AY846">
        <v>40</v>
      </c>
      <c r="AZ846">
        <v>97</v>
      </c>
      <c r="BA846">
        <v>33</v>
      </c>
      <c r="BB846">
        <v>38</v>
      </c>
      <c r="BC846">
        <v>15</v>
      </c>
      <c r="BD846">
        <v>26</v>
      </c>
      <c r="BE846">
        <v>88</v>
      </c>
      <c r="BF846">
        <v>73</v>
      </c>
      <c r="BG846">
        <v>64</v>
      </c>
      <c r="BH846">
        <v>59</v>
      </c>
      <c r="BI846">
        <v>46</v>
      </c>
      <c r="BJ846">
        <v>85</v>
      </c>
      <c r="BK846">
        <v>27</v>
      </c>
      <c r="BL846">
        <v>12</v>
      </c>
      <c r="BM846">
        <v>100</v>
      </c>
      <c r="BN846">
        <v>35</v>
      </c>
      <c r="BO846">
        <v>94</v>
      </c>
      <c r="BP846">
        <v>49</v>
      </c>
      <c r="BQ846">
        <v>47</v>
      </c>
      <c r="BR846">
        <v>29</v>
      </c>
      <c r="BS846">
        <v>53</v>
      </c>
      <c r="BT846">
        <v>11</v>
      </c>
      <c r="BU846">
        <v>61</v>
      </c>
      <c r="BV846">
        <v>97</v>
      </c>
      <c r="BW846">
        <v>90</v>
      </c>
      <c r="BX846">
        <v>93</v>
      </c>
      <c r="BY846">
        <v>28</v>
      </c>
      <c r="BZ846">
        <v>24</v>
      </c>
      <c r="CA846">
        <v>91</v>
      </c>
      <c r="CB846">
        <v>99</v>
      </c>
      <c r="CC846">
        <v>23</v>
      </c>
      <c r="CD846">
        <v>13</v>
      </c>
      <c r="CE846">
        <v>96</v>
      </c>
      <c r="CF846">
        <v>20</v>
      </c>
      <c r="CG846">
        <v>60</v>
      </c>
      <c r="CH846">
        <v>15</v>
      </c>
      <c r="CI846">
        <v>70</v>
      </c>
      <c r="CJ846">
        <v>96</v>
      </c>
      <c r="CK846">
        <v>96</v>
      </c>
      <c r="CL846">
        <v>85</v>
      </c>
      <c r="CM846">
        <v>81</v>
      </c>
      <c r="CN846">
        <v>75</v>
      </c>
      <c r="CO846">
        <v>34</v>
      </c>
      <c r="CP846">
        <v>47</v>
      </c>
      <c r="CQ846">
        <v>58</v>
      </c>
      <c r="CR846">
        <v>73</v>
      </c>
      <c r="CS846">
        <v>98</v>
      </c>
      <c r="CT846">
        <v>97</v>
      </c>
      <c r="CU846">
        <v>56</v>
      </c>
      <c r="CV846">
        <v>23</v>
      </c>
      <c r="CW846">
        <v>14</v>
      </c>
      <c r="CX846">
        <v>53</v>
      </c>
      <c r="CY846">
        <v>98</v>
      </c>
      <c r="CZ846">
        <v>97</v>
      </c>
      <c r="DA846">
        <v>55</v>
      </c>
      <c r="DB846">
        <v>51</v>
      </c>
      <c r="DC846">
        <v>23</v>
      </c>
      <c r="DD846">
        <v>30</v>
      </c>
      <c r="DE846">
        <v>83</v>
      </c>
      <c r="DF846">
        <v>84</v>
      </c>
      <c r="DG846">
        <v>15</v>
      </c>
      <c r="DH846">
        <v>57</v>
      </c>
      <c r="DI846">
        <v>95</v>
      </c>
      <c r="DJ846">
        <v>67</v>
      </c>
      <c r="DK846">
        <v>65</v>
      </c>
    </row>
    <row r="847" spans="1:115">
      <c r="A847" s="173">
        <f>Calculations[[#This Row],[Sum t eCO2]]*IF(Calculations[[#This Row],[GHG Scope]]="BIOGENIC",0,1)</f>
        <v>0.11155743522</v>
      </c>
      <c r="O847">
        <f>O846+1</f>
        <v>190</v>
      </c>
      <c r="P847">
        <v>44</v>
      </c>
      <c r="Q847">
        <v>33</v>
      </c>
      <c r="R847">
        <v>53</v>
      </c>
      <c r="S847">
        <v>98</v>
      </c>
      <c r="T847">
        <v>64</v>
      </c>
      <c r="U847">
        <v>70</v>
      </c>
      <c r="V847">
        <v>73</v>
      </c>
      <c r="W847">
        <v>43</v>
      </c>
      <c r="X847">
        <v>81</v>
      </c>
      <c r="Y847">
        <v>37</v>
      </c>
      <c r="Z847">
        <v>52</v>
      </c>
      <c r="AA847">
        <v>32</v>
      </c>
      <c r="AB847">
        <v>92</v>
      </c>
      <c r="AC847">
        <v>84</v>
      </c>
      <c r="AD847">
        <v>76</v>
      </c>
      <c r="AE847">
        <v>38</v>
      </c>
      <c r="AF847">
        <v>82</v>
      </c>
      <c r="AG847">
        <v>92</v>
      </c>
      <c r="AH847">
        <v>13</v>
      </c>
      <c r="AI847">
        <v>22</v>
      </c>
      <c r="AJ847">
        <v>40</v>
      </c>
      <c r="AK847">
        <v>63</v>
      </c>
      <c r="AL847">
        <v>72</v>
      </c>
      <c r="AM847">
        <v>65</v>
      </c>
      <c r="AN847">
        <v>43</v>
      </c>
      <c r="AO847">
        <v>77</v>
      </c>
      <c r="AP847">
        <v>96</v>
      </c>
      <c r="AQ847">
        <v>91</v>
      </c>
      <c r="AR847">
        <v>29</v>
      </c>
      <c r="AS847">
        <v>63</v>
      </c>
      <c r="AT847">
        <v>17</v>
      </c>
      <c r="AU847">
        <v>31</v>
      </c>
      <c r="AV847">
        <v>49</v>
      </c>
      <c r="AW847">
        <v>67</v>
      </c>
      <c r="AX847">
        <v>53</v>
      </c>
      <c r="AY847">
        <v>62</v>
      </c>
      <c r="AZ847">
        <v>79</v>
      </c>
      <c r="BA847">
        <v>71</v>
      </c>
      <c r="BB847">
        <v>84</v>
      </c>
      <c r="BC847">
        <v>100</v>
      </c>
      <c r="BD847">
        <v>38</v>
      </c>
      <c r="BE847">
        <v>58</v>
      </c>
      <c r="BF847">
        <v>97</v>
      </c>
      <c r="BG847">
        <v>74</v>
      </c>
      <c r="BH847">
        <v>70</v>
      </c>
      <c r="BI847">
        <v>19</v>
      </c>
      <c r="BJ847">
        <v>97</v>
      </c>
      <c r="BK847">
        <v>70</v>
      </c>
      <c r="BL847">
        <v>35</v>
      </c>
      <c r="BM847">
        <v>30</v>
      </c>
      <c r="BN847">
        <v>36</v>
      </c>
      <c r="BO847">
        <v>12</v>
      </c>
      <c r="BP847">
        <v>59</v>
      </c>
      <c r="BQ847">
        <v>29</v>
      </c>
      <c r="BR847">
        <v>84</v>
      </c>
      <c r="BS847">
        <v>22</v>
      </c>
      <c r="BT847">
        <v>30</v>
      </c>
      <c r="BU847">
        <v>33</v>
      </c>
      <c r="BV847">
        <v>14</v>
      </c>
      <c r="BW847">
        <v>98</v>
      </c>
      <c r="BX847">
        <v>61</v>
      </c>
      <c r="BY847">
        <v>17</v>
      </c>
      <c r="BZ847">
        <v>18</v>
      </c>
      <c r="CA847">
        <v>12</v>
      </c>
      <c r="CB847">
        <v>14</v>
      </c>
      <c r="CC847">
        <v>60</v>
      </c>
      <c r="CD847">
        <v>47</v>
      </c>
      <c r="CE847">
        <v>34</v>
      </c>
      <c r="CF847">
        <v>67</v>
      </c>
      <c r="CG847">
        <v>34</v>
      </c>
      <c r="CH847">
        <v>20</v>
      </c>
      <c r="CI847">
        <v>40</v>
      </c>
      <c r="CJ847">
        <v>99</v>
      </c>
      <c r="CK847">
        <v>53</v>
      </c>
      <c r="CL847">
        <v>67</v>
      </c>
      <c r="CM847">
        <v>91</v>
      </c>
      <c r="CN847">
        <v>93</v>
      </c>
      <c r="CO847">
        <v>21</v>
      </c>
      <c r="CP847">
        <v>34</v>
      </c>
      <c r="CQ847">
        <v>96</v>
      </c>
      <c r="CR847">
        <v>23</v>
      </c>
      <c r="CS847">
        <v>19</v>
      </c>
      <c r="CT847">
        <v>91</v>
      </c>
      <c r="CU847">
        <v>69</v>
      </c>
      <c r="CV847">
        <v>42</v>
      </c>
      <c r="CW847">
        <v>47</v>
      </c>
      <c r="CX847">
        <v>20</v>
      </c>
      <c r="CY847">
        <v>85</v>
      </c>
      <c r="CZ847">
        <v>89</v>
      </c>
      <c r="DA847">
        <v>85</v>
      </c>
      <c r="DB847">
        <v>56</v>
      </c>
      <c r="DC847">
        <v>15</v>
      </c>
      <c r="DD847">
        <v>14</v>
      </c>
      <c r="DE847">
        <v>54</v>
      </c>
      <c r="DF847">
        <v>99</v>
      </c>
      <c r="DG847">
        <v>20</v>
      </c>
      <c r="DH847">
        <v>60</v>
      </c>
      <c r="DI847">
        <v>37</v>
      </c>
      <c r="DJ847">
        <v>34</v>
      </c>
      <c r="DK847">
        <v>25</v>
      </c>
    </row>
    <row r="848" spans="1:115">
      <c r="A848" s="173">
        <f>Calculations[[#This Row],[Sum t eCO2]]*IF(Calculations[[#This Row],[GHG Scope]]="BIOGENIC",0,1)</f>
        <v>0.74521888452400553</v>
      </c>
      <c r="O848">
        <f t="shared" ref="O848" si="18">O847+1</f>
        <v>191</v>
      </c>
      <c r="P848">
        <v>87</v>
      </c>
      <c r="Q848">
        <v>56</v>
      </c>
      <c r="R848">
        <v>61</v>
      </c>
      <c r="S848">
        <v>12</v>
      </c>
      <c r="T848">
        <v>71</v>
      </c>
      <c r="U848">
        <v>39</v>
      </c>
      <c r="V848">
        <v>20</v>
      </c>
      <c r="W848">
        <v>64</v>
      </c>
      <c r="X848">
        <v>53</v>
      </c>
      <c r="Y848">
        <v>67</v>
      </c>
      <c r="Z848">
        <v>60</v>
      </c>
      <c r="AA848">
        <v>67</v>
      </c>
      <c r="AB848">
        <v>85</v>
      </c>
      <c r="AC848">
        <v>82</v>
      </c>
      <c r="AD848">
        <v>63</v>
      </c>
      <c r="AE848">
        <v>97</v>
      </c>
      <c r="AF848">
        <v>69</v>
      </c>
      <c r="AG848">
        <v>20</v>
      </c>
      <c r="AH848">
        <v>81</v>
      </c>
      <c r="AI848">
        <v>21</v>
      </c>
      <c r="AJ848">
        <v>36</v>
      </c>
      <c r="AK848">
        <v>44</v>
      </c>
      <c r="AL848">
        <v>98</v>
      </c>
      <c r="AM848">
        <v>24</v>
      </c>
      <c r="AN848">
        <v>94</v>
      </c>
      <c r="AO848">
        <v>27</v>
      </c>
      <c r="AP848">
        <v>19</v>
      </c>
      <c r="AQ848">
        <v>99</v>
      </c>
      <c r="AR848">
        <v>34</v>
      </c>
      <c r="AS848">
        <v>18</v>
      </c>
      <c r="AT848">
        <v>16</v>
      </c>
      <c r="AU848">
        <v>77</v>
      </c>
      <c r="AV848">
        <v>65</v>
      </c>
      <c r="AW848">
        <v>20</v>
      </c>
      <c r="AX848">
        <v>93</v>
      </c>
      <c r="AY848">
        <v>63</v>
      </c>
      <c r="AZ848">
        <v>80</v>
      </c>
      <c r="BA848">
        <v>77</v>
      </c>
      <c r="BB848">
        <v>57</v>
      </c>
      <c r="BC848">
        <v>58</v>
      </c>
      <c r="BD848">
        <v>68</v>
      </c>
      <c r="BE848">
        <v>81</v>
      </c>
      <c r="BF848">
        <v>45</v>
      </c>
      <c r="BG848">
        <v>39</v>
      </c>
      <c r="BH848">
        <v>78</v>
      </c>
      <c r="BI848">
        <v>12</v>
      </c>
      <c r="BJ848">
        <v>55</v>
      </c>
      <c r="BK848">
        <v>50</v>
      </c>
      <c r="BL848">
        <v>76</v>
      </c>
      <c r="BM848">
        <v>65</v>
      </c>
      <c r="BN848">
        <v>52</v>
      </c>
      <c r="BO848">
        <v>76</v>
      </c>
      <c r="BP848">
        <v>17</v>
      </c>
      <c r="BQ848">
        <v>45</v>
      </c>
      <c r="BR848">
        <v>83</v>
      </c>
      <c r="BS848">
        <v>75</v>
      </c>
      <c r="BT848">
        <v>15</v>
      </c>
      <c r="BU848">
        <v>54</v>
      </c>
      <c r="BV848">
        <v>14</v>
      </c>
      <c r="BW848">
        <v>83</v>
      </c>
      <c r="BX848">
        <v>19</v>
      </c>
      <c r="BY848">
        <v>12</v>
      </c>
      <c r="BZ848">
        <v>17</v>
      </c>
      <c r="CA848">
        <v>64</v>
      </c>
      <c r="CB848">
        <v>61</v>
      </c>
      <c r="CC848">
        <v>60</v>
      </c>
      <c r="CD848">
        <v>62</v>
      </c>
      <c r="CE848">
        <v>22</v>
      </c>
      <c r="CF848">
        <v>88</v>
      </c>
      <c r="CG848">
        <v>15</v>
      </c>
      <c r="CH848">
        <v>67</v>
      </c>
      <c r="CI848">
        <v>20</v>
      </c>
      <c r="CJ848">
        <v>44</v>
      </c>
      <c r="CK848">
        <v>55</v>
      </c>
      <c r="CL848">
        <v>49</v>
      </c>
      <c r="CM848">
        <v>55</v>
      </c>
      <c r="CN848">
        <v>11</v>
      </c>
      <c r="CO848">
        <v>77</v>
      </c>
      <c r="CP848">
        <v>83</v>
      </c>
      <c r="CQ848">
        <v>19</v>
      </c>
      <c r="CR848">
        <v>53</v>
      </c>
      <c r="CS848">
        <v>30</v>
      </c>
      <c r="CT848">
        <v>71</v>
      </c>
      <c r="CU848">
        <v>46</v>
      </c>
      <c r="CV848">
        <v>81</v>
      </c>
      <c r="CW848">
        <v>77</v>
      </c>
      <c r="CX848">
        <v>42</v>
      </c>
      <c r="CY848">
        <v>58</v>
      </c>
      <c r="CZ848">
        <v>84</v>
      </c>
      <c r="DA848">
        <v>20</v>
      </c>
      <c r="DB848">
        <v>22</v>
      </c>
      <c r="DC848">
        <v>73</v>
      </c>
      <c r="DD848">
        <v>70</v>
      </c>
      <c r="DE848">
        <v>66</v>
      </c>
      <c r="DF848">
        <v>43</v>
      </c>
      <c r="DG848">
        <v>64</v>
      </c>
      <c r="DH848">
        <v>75</v>
      </c>
      <c r="DI848">
        <v>88</v>
      </c>
      <c r="DJ848">
        <v>48</v>
      </c>
      <c r="DK848">
        <v>61</v>
      </c>
    </row>
    <row r="849" spans="1:115">
      <c r="A849" s="173">
        <f>Calculations[[#This Row],[Sum t eCO2]]*IF(Calculations[[#This Row],[GHG Scope]]="BIOGENIC",0,1)</f>
        <v>1.0276297196092606E-2</v>
      </c>
      <c r="O849">
        <v>1</v>
      </c>
      <c r="P849">
        <v>687</v>
      </c>
      <c r="Q849">
        <v>543</v>
      </c>
      <c r="R849">
        <v>390</v>
      </c>
      <c r="S849">
        <v>856</v>
      </c>
      <c r="T849">
        <v>890</v>
      </c>
      <c r="U849">
        <v>234</v>
      </c>
      <c r="V849">
        <v>594</v>
      </c>
      <c r="W849">
        <v>360</v>
      </c>
      <c r="X849">
        <v>238</v>
      </c>
      <c r="Y849">
        <v>231</v>
      </c>
      <c r="Z849">
        <v>197</v>
      </c>
      <c r="AA849">
        <v>659</v>
      </c>
      <c r="AB849">
        <v>316</v>
      </c>
      <c r="AC849">
        <v>357</v>
      </c>
      <c r="AD849">
        <v>124</v>
      </c>
      <c r="AE849">
        <v>748</v>
      </c>
      <c r="AF849">
        <v>259</v>
      </c>
      <c r="AG849">
        <v>653</v>
      </c>
      <c r="AH849">
        <v>489</v>
      </c>
      <c r="AI849">
        <v>110</v>
      </c>
      <c r="AJ849">
        <v>362</v>
      </c>
      <c r="AK849">
        <v>349</v>
      </c>
      <c r="AL849">
        <v>855</v>
      </c>
      <c r="AM849">
        <v>177</v>
      </c>
      <c r="AN849">
        <v>767</v>
      </c>
      <c r="AO849">
        <v>595</v>
      </c>
      <c r="AP849">
        <v>845</v>
      </c>
      <c r="AQ849">
        <v>306</v>
      </c>
      <c r="AR849">
        <v>751</v>
      </c>
      <c r="AS849">
        <v>509</v>
      </c>
      <c r="AT849">
        <v>920</v>
      </c>
      <c r="AU849">
        <v>476</v>
      </c>
      <c r="AV849">
        <v>755</v>
      </c>
      <c r="AW849">
        <v>924</v>
      </c>
      <c r="AX849">
        <v>881</v>
      </c>
      <c r="AY849">
        <v>600</v>
      </c>
      <c r="AZ849">
        <v>886</v>
      </c>
      <c r="BA849">
        <v>115</v>
      </c>
      <c r="BB849">
        <v>643</v>
      </c>
      <c r="BC849">
        <v>118</v>
      </c>
      <c r="BD849">
        <v>364</v>
      </c>
      <c r="BE849">
        <v>344</v>
      </c>
      <c r="BF849">
        <v>447</v>
      </c>
      <c r="BG849">
        <v>642</v>
      </c>
      <c r="BH849">
        <v>395</v>
      </c>
      <c r="BI849">
        <v>155</v>
      </c>
      <c r="BJ849">
        <v>544</v>
      </c>
      <c r="BK849">
        <v>738</v>
      </c>
      <c r="BL849">
        <v>449</v>
      </c>
      <c r="BM849">
        <v>482</v>
      </c>
      <c r="BN849">
        <v>108</v>
      </c>
      <c r="BO849">
        <v>374</v>
      </c>
      <c r="BP849">
        <v>591</v>
      </c>
      <c r="BQ849">
        <v>468</v>
      </c>
      <c r="BR849">
        <v>404</v>
      </c>
      <c r="BS849">
        <v>888</v>
      </c>
      <c r="BT849">
        <v>195</v>
      </c>
      <c r="BU849">
        <v>849</v>
      </c>
      <c r="BV849">
        <v>881</v>
      </c>
      <c r="BW849">
        <v>629</v>
      </c>
      <c r="BX849">
        <v>220</v>
      </c>
      <c r="BY849">
        <v>687</v>
      </c>
      <c r="BZ849">
        <v>484</v>
      </c>
      <c r="CA849">
        <v>624</v>
      </c>
      <c r="CB849">
        <v>907</v>
      </c>
      <c r="CC849">
        <v>109</v>
      </c>
      <c r="CD849">
        <v>827</v>
      </c>
      <c r="CE849">
        <v>868</v>
      </c>
      <c r="CF849">
        <v>489</v>
      </c>
      <c r="CG849">
        <v>901</v>
      </c>
      <c r="CH849">
        <v>433</v>
      </c>
      <c r="CI849">
        <v>292</v>
      </c>
      <c r="CJ849">
        <v>202</v>
      </c>
      <c r="CK849">
        <v>977</v>
      </c>
      <c r="CL849">
        <v>278</v>
      </c>
      <c r="CM849">
        <v>812</v>
      </c>
      <c r="CN849">
        <v>959</v>
      </c>
      <c r="CO849">
        <v>716</v>
      </c>
      <c r="CP849">
        <v>604</v>
      </c>
      <c r="CQ849">
        <v>691</v>
      </c>
      <c r="CR849">
        <v>925</v>
      </c>
      <c r="CS849">
        <v>291</v>
      </c>
      <c r="CT849">
        <v>515</v>
      </c>
      <c r="CU849">
        <v>749</v>
      </c>
      <c r="CV849">
        <v>592</v>
      </c>
      <c r="CW849">
        <v>182</v>
      </c>
      <c r="CX849">
        <v>596</v>
      </c>
      <c r="CY849">
        <v>238</v>
      </c>
      <c r="CZ849">
        <v>488</v>
      </c>
      <c r="DA849">
        <v>740</v>
      </c>
      <c r="DB849">
        <v>969</v>
      </c>
      <c r="DC849">
        <v>206</v>
      </c>
      <c r="DD849">
        <v>367</v>
      </c>
      <c r="DE849">
        <v>888</v>
      </c>
      <c r="DF849">
        <v>732</v>
      </c>
      <c r="DG849">
        <v>778</v>
      </c>
      <c r="DH849">
        <v>560</v>
      </c>
      <c r="DI849">
        <v>314</v>
      </c>
      <c r="DJ849">
        <v>529</v>
      </c>
      <c r="DK849">
        <v>385</v>
      </c>
    </row>
    <row r="850" spans="1:115">
      <c r="A850" s="173">
        <f>Calculations[[#This Row],[Sum t eCO2]]*IF(Calculations[[#This Row],[GHG Scope]]="BIOGENIC",0,1)</f>
        <v>1.7495651436993973</v>
      </c>
      <c r="O850">
        <f>O849+1</f>
        <v>2</v>
      </c>
      <c r="P850">
        <v>121</v>
      </c>
      <c r="Q850">
        <v>869</v>
      </c>
      <c r="R850">
        <v>957</v>
      </c>
      <c r="S850">
        <v>484</v>
      </c>
      <c r="T850">
        <v>583</v>
      </c>
      <c r="U850">
        <v>755</v>
      </c>
      <c r="V850">
        <v>288</v>
      </c>
      <c r="W850">
        <v>122</v>
      </c>
      <c r="X850">
        <v>457</v>
      </c>
      <c r="Y850">
        <v>747</v>
      </c>
      <c r="Z850">
        <v>370</v>
      </c>
      <c r="AA850">
        <v>979</v>
      </c>
      <c r="AB850">
        <v>343</v>
      </c>
      <c r="AC850">
        <v>619</v>
      </c>
      <c r="AD850">
        <v>194</v>
      </c>
      <c r="AE850">
        <v>259</v>
      </c>
      <c r="AF850">
        <v>116</v>
      </c>
      <c r="AG850">
        <v>304</v>
      </c>
      <c r="AH850">
        <v>798</v>
      </c>
      <c r="AI850">
        <v>894</v>
      </c>
      <c r="AJ850">
        <v>148</v>
      </c>
      <c r="AK850">
        <v>601</v>
      </c>
      <c r="AL850">
        <v>716</v>
      </c>
      <c r="AM850">
        <v>401</v>
      </c>
      <c r="AN850">
        <v>755</v>
      </c>
      <c r="AO850">
        <v>275</v>
      </c>
      <c r="AP850">
        <v>643</v>
      </c>
      <c r="AQ850">
        <v>557</v>
      </c>
      <c r="AR850">
        <v>249</v>
      </c>
      <c r="AS850">
        <v>729</v>
      </c>
      <c r="AT850">
        <v>941</v>
      </c>
      <c r="AU850">
        <v>891</v>
      </c>
      <c r="AV850">
        <v>258</v>
      </c>
      <c r="AW850">
        <v>754</v>
      </c>
      <c r="AX850">
        <v>947</v>
      </c>
      <c r="AY850">
        <v>502</v>
      </c>
      <c r="AZ850">
        <v>499</v>
      </c>
      <c r="BA850">
        <v>488</v>
      </c>
      <c r="BB850">
        <v>428</v>
      </c>
      <c r="BC850">
        <v>920</v>
      </c>
      <c r="BD850">
        <v>361</v>
      </c>
      <c r="BE850">
        <v>684</v>
      </c>
      <c r="BF850">
        <v>627</v>
      </c>
      <c r="BG850">
        <v>639</v>
      </c>
      <c r="BH850">
        <v>297</v>
      </c>
      <c r="BI850">
        <v>668</v>
      </c>
      <c r="BJ850">
        <v>320</v>
      </c>
      <c r="BK850">
        <v>989</v>
      </c>
      <c r="BL850">
        <v>214</v>
      </c>
      <c r="BM850">
        <v>977</v>
      </c>
      <c r="BN850">
        <v>480</v>
      </c>
      <c r="BO850">
        <v>898</v>
      </c>
      <c r="BP850">
        <v>154</v>
      </c>
      <c r="BQ850">
        <v>706</v>
      </c>
      <c r="BR850">
        <v>221</v>
      </c>
      <c r="BS850">
        <v>182</v>
      </c>
      <c r="BT850">
        <v>354</v>
      </c>
      <c r="BU850">
        <v>684</v>
      </c>
      <c r="BV850">
        <v>811</v>
      </c>
      <c r="BW850">
        <v>927</v>
      </c>
      <c r="BX850">
        <v>685</v>
      </c>
      <c r="BY850">
        <v>946</v>
      </c>
      <c r="BZ850">
        <v>505</v>
      </c>
      <c r="CA850">
        <v>130</v>
      </c>
      <c r="CB850">
        <v>809</v>
      </c>
      <c r="CC850">
        <v>417</v>
      </c>
      <c r="CD850">
        <v>510</v>
      </c>
      <c r="CE850">
        <v>1000</v>
      </c>
      <c r="CF850">
        <v>515</v>
      </c>
      <c r="CG850">
        <v>678</v>
      </c>
      <c r="CH850">
        <v>400</v>
      </c>
      <c r="CI850">
        <v>365</v>
      </c>
      <c r="CJ850">
        <v>656</v>
      </c>
      <c r="CK850">
        <v>529</v>
      </c>
      <c r="CL850">
        <v>288</v>
      </c>
      <c r="CM850">
        <v>741</v>
      </c>
      <c r="CN850">
        <v>688</v>
      </c>
      <c r="CO850">
        <v>351</v>
      </c>
      <c r="CP850">
        <v>330</v>
      </c>
      <c r="CQ850">
        <v>971</v>
      </c>
      <c r="CR850">
        <v>526</v>
      </c>
      <c r="CS850">
        <v>453</v>
      </c>
      <c r="CT850">
        <v>843</v>
      </c>
      <c r="CU850">
        <v>374</v>
      </c>
      <c r="CV850">
        <v>302</v>
      </c>
      <c r="CW850">
        <v>302</v>
      </c>
      <c r="CX850">
        <v>716</v>
      </c>
      <c r="CY850">
        <v>879</v>
      </c>
      <c r="CZ850">
        <v>523</v>
      </c>
      <c r="DA850">
        <v>889</v>
      </c>
      <c r="DB850">
        <v>254</v>
      </c>
      <c r="DC850">
        <v>562</v>
      </c>
      <c r="DD850">
        <v>169</v>
      </c>
      <c r="DE850">
        <v>121</v>
      </c>
      <c r="DF850">
        <v>390</v>
      </c>
      <c r="DG850">
        <v>757</v>
      </c>
      <c r="DH850">
        <v>326</v>
      </c>
      <c r="DI850">
        <v>480</v>
      </c>
      <c r="DJ850">
        <v>880</v>
      </c>
      <c r="DK850">
        <v>349</v>
      </c>
    </row>
    <row r="851" spans="1:115">
      <c r="A851" s="173">
        <f>Calculations[[#This Row],[Sum t eCO2]]*IF(Calculations[[#This Row],[GHG Scope]]="BIOGENIC",0,1)</f>
        <v>0.93255536904203218</v>
      </c>
      <c r="O851">
        <f t="shared" ref="O851:O914" si="19">O850+1</f>
        <v>3</v>
      </c>
      <c r="P851">
        <v>806</v>
      </c>
      <c r="Q851">
        <v>459</v>
      </c>
      <c r="R851">
        <v>816</v>
      </c>
      <c r="S851">
        <v>597</v>
      </c>
      <c r="T851">
        <v>191</v>
      </c>
      <c r="U851">
        <v>985</v>
      </c>
      <c r="V851">
        <v>705</v>
      </c>
      <c r="W851">
        <v>886</v>
      </c>
      <c r="X851">
        <v>881</v>
      </c>
      <c r="Y851">
        <v>296</v>
      </c>
      <c r="Z851">
        <v>933</v>
      </c>
      <c r="AA851">
        <v>290</v>
      </c>
      <c r="AB851">
        <v>835</v>
      </c>
      <c r="AC851">
        <v>256</v>
      </c>
      <c r="AD851">
        <v>344</v>
      </c>
      <c r="AE851">
        <v>841</v>
      </c>
      <c r="AF851">
        <v>591</v>
      </c>
      <c r="AG851">
        <v>957</v>
      </c>
      <c r="AH851">
        <v>589</v>
      </c>
      <c r="AI851">
        <v>654</v>
      </c>
      <c r="AJ851">
        <v>510</v>
      </c>
      <c r="AK851">
        <v>608</v>
      </c>
      <c r="AL851">
        <v>856</v>
      </c>
      <c r="AM851">
        <v>120</v>
      </c>
      <c r="AN851">
        <v>849</v>
      </c>
      <c r="AO851">
        <v>325</v>
      </c>
      <c r="AP851">
        <v>172</v>
      </c>
      <c r="AQ851">
        <v>171</v>
      </c>
      <c r="AR851">
        <v>764</v>
      </c>
      <c r="AS851">
        <v>613</v>
      </c>
      <c r="AT851">
        <v>264</v>
      </c>
      <c r="AU851">
        <v>823</v>
      </c>
      <c r="AV851">
        <v>711</v>
      </c>
      <c r="AW851">
        <v>951</v>
      </c>
      <c r="AX851">
        <v>334</v>
      </c>
      <c r="AY851">
        <v>979</v>
      </c>
      <c r="AZ851">
        <v>146</v>
      </c>
      <c r="BA851">
        <v>708</v>
      </c>
      <c r="BB851">
        <v>934</v>
      </c>
      <c r="BC851">
        <v>947</v>
      </c>
      <c r="BD851">
        <v>463</v>
      </c>
      <c r="BE851">
        <v>711</v>
      </c>
      <c r="BF851">
        <v>956</v>
      </c>
      <c r="BG851">
        <v>766</v>
      </c>
      <c r="BH851">
        <v>944</v>
      </c>
      <c r="BI851">
        <v>725</v>
      </c>
      <c r="BJ851">
        <v>857</v>
      </c>
      <c r="BK851">
        <v>537</v>
      </c>
      <c r="BL851">
        <v>865</v>
      </c>
      <c r="BM851">
        <v>280</v>
      </c>
      <c r="BN851">
        <v>714</v>
      </c>
      <c r="BO851">
        <v>733</v>
      </c>
      <c r="BP851">
        <v>485</v>
      </c>
      <c r="BQ851">
        <v>578</v>
      </c>
      <c r="BR851">
        <v>222</v>
      </c>
      <c r="BS851">
        <v>654</v>
      </c>
      <c r="BT851">
        <v>325</v>
      </c>
      <c r="BU851">
        <v>227</v>
      </c>
      <c r="BV851">
        <v>589</v>
      </c>
      <c r="BW851">
        <v>300</v>
      </c>
      <c r="BX851">
        <v>194</v>
      </c>
      <c r="BY851">
        <v>672</v>
      </c>
      <c r="BZ851">
        <v>750</v>
      </c>
      <c r="CA851">
        <v>548</v>
      </c>
      <c r="CB851">
        <v>752</v>
      </c>
      <c r="CC851">
        <v>253</v>
      </c>
      <c r="CD851">
        <v>390</v>
      </c>
      <c r="CE851">
        <v>999</v>
      </c>
      <c r="CF851">
        <v>966</v>
      </c>
      <c r="CG851">
        <v>678</v>
      </c>
      <c r="CH851">
        <v>862</v>
      </c>
      <c r="CI851">
        <v>649</v>
      </c>
      <c r="CJ851">
        <v>984</v>
      </c>
      <c r="CK851">
        <v>803</v>
      </c>
      <c r="CL851">
        <v>598</v>
      </c>
      <c r="CM851">
        <v>381</v>
      </c>
      <c r="CN851">
        <v>746</v>
      </c>
      <c r="CO851">
        <v>576</v>
      </c>
      <c r="CP851">
        <v>241</v>
      </c>
      <c r="CQ851">
        <v>877</v>
      </c>
      <c r="CR851">
        <v>374</v>
      </c>
      <c r="CS851">
        <v>170</v>
      </c>
      <c r="CT851">
        <v>538</v>
      </c>
      <c r="CU851">
        <v>783</v>
      </c>
      <c r="CV851">
        <v>469</v>
      </c>
      <c r="CW851">
        <v>115</v>
      </c>
      <c r="CX851">
        <v>373</v>
      </c>
      <c r="CY851">
        <v>803</v>
      </c>
      <c r="CZ851">
        <v>674</v>
      </c>
      <c r="DA851">
        <v>332</v>
      </c>
      <c r="DB851">
        <v>693</v>
      </c>
      <c r="DC851">
        <v>140</v>
      </c>
      <c r="DD851">
        <v>273</v>
      </c>
      <c r="DE851">
        <v>867</v>
      </c>
      <c r="DF851">
        <v>263</v>
      </c>
      <c r="DG851">
        <v>230</v>
      </c>
      <c r="DH851">
        <v>955</v>
      </c>
      <c r="DI851">
        <v>257</v>
      </c>
      <c r="DJ851">
        <v>236</v>
      </c>
      <c r="DK851">
        <v>963</v>
      </c>
    </row>
    <row r="852" spans="1:115">
      <c r="A852" s="173">
        <f>Calculations[[#This Row],[Sum t eCO2]]*IF(Calculations[[#This Row],[GHG Scope]]="BIOGENIC",0,1)</f>
        <v>0.44345984038488123</v>
      </c>
      <c r="O852">
        <f t="shared" si="19"/>
        <v>4</v>
      </c>
      <c r="P852">
        <v>369</v>
      </c>
      <c r="Q852">
        <v>602</v>
      </c>
      <c r="R852">
        <v>273</v>
      </c>
      <c r="S852">
        <v>646</v>
      </c>
      <c r="T852">
        <v>390</v>
      </c>
      <c r="U852">
        <v>896</v>
      </c>
      <c r="V852">
        <v>643</v>
      </c>
      <c r="W852">
        <v>201</v>
      </c>
      <c r="X852">
        <v>627</v>
      </c>
      <c r="Y852">
        <v>190</v>
      </c>
      <c r="Z852">
        <v>523</v>
      </c>
      <c r="AA852">
        <v>696</v>
      </c>
      <c r="AB852">
        <v>782</v>
      </c>
      <c r="AC852">
        <v>671</v>
      </c>
      <c r="AD852">
        <v>637</v>
      </c>
      <c r="AE852">
        <v>806</v>
      </c>
      <c r="AF852">
        <v>412</v>
      </c>
      <c r="AG852">
        <v>230</v>
      </c>
      <c r="AH852">
        <v>159</v>
      </c>
      <c r="AI852">
        <v>180</v>
      </c>
      <c r="AJ852">
        <v>647</v>
      </c>
      <c r="AK852">
        <v>818</v>
      </c>
      <c r="AL852">
        <v>910</v>
      </c>
      <c r="AM852">
        <v>621</v>
      </c>
      <c r="AN852">
        <v>547</v>
      </c>
      <c r="AO852">
        <v>305</v>
      </c>
      <c r="AP852">
        <v>144</v>
      </c>
      <c r="AQ852">
        <v>828</v>
      </c>
      <c r="AR852">
        <v>589</v>
      </c>
      <c r="AS852">
        <v>330</v>
      </c>
      <c r="AT852">
        <v>524</v>
      </c>
      <c r="AU852">
        <v>130</v>
      </c>
      <c r="AV852">
        <v>981</v>
      </c>
      <c r="AW852">
        <v>358</v>
      </c>
      <c r="AX852">
        <v>467</v>
      </c>
      <c r="AY852">
        <v>165</v>
      </c>
      <c r="AZ852">
        <v>153</v>
      </c>
      <c r="BA852">
        <v>845</v>
      </c>
      <c r="BB852">
        <v>173</v>
      </c>
      <c r="BC852">
        <v>934</v>
      </c>
      <c r="BD852">
        <v>753</v>
      </c>
      <c r="BE852">
        <v>440</v>
      </c>
      <c r="BF852">
        <v>573</v>
      </c>
      <c r="BG852">
        <v>862</v>
      </c>
      <c r="BH852">
        <v>842</v>
      </c>
      <c r="BI852">
        <v>608</v>
      </c>
      <c r="BJ852">
        <v>565</v>
      </c>
      <c r="BK852">
        <v>887</v>
      </c>
      <c r="BL852">
        <v>438</v>
      </c>
      <c r="BM852">
        <v>731</v>
      </c>
      <c r="BN852">
        <v>612</v>
      </c>
      <c r="BO852">
        <v>666</v>
      </c>
      <c r="BP852">
        <v>384</v>
      </c>
      <c r="BQ852">
        <v>752</v>
      </c>
      <c r="BR852">
        <v>629</v>
      </c>
      <c r="BS852">
        <v>794</v>
      </c>
      <c r="BT852">
        <v>645</v>
      </c>
      <c r="BU852">
        <v>206</v>
      </c>
      <c r="BV852">
        <v>161</v>
      </c>
      <c r="BW852">
        <v>854</v>
      </c>
      <c r="BX852">
        <v>723</v>
      </c>
      <c r="BY852">
        <v>383</v>
      </c>
      <c r="BZ852">
        <v>143</v>
      </c>
      <c r="CA852">
        <v>676</v>
      </c>
      <c r="CB852">
        <v>280</v>
      </c>
      <c r="CC852">
        <v>737</v>
      </c>
      <c r="CD852">
        <v>378</v>
      </c>
      <c r="CE852">
        <v>791</v>
      </c>
      <c r="CF852">
        <v>946</v>
      </c>
      <c r="CG852">
        <v>294</v>
      </c>
      <c r="CH852">
        <v>543</v>
      </c>
      <c r="CI852">
        <v>702</v>
      </c>
      <c r="CJ852">
        <v>648</v>
      </c>
      <c r="CK852">
        <v>734</v>
      </c>
      <c r="CL852">
        <v>408</v>
      </c>
      <c r="CM852">
        <v>600</v>
      </c>
      <c r="CN852">
        <v>596</v>
      </c>
      <c r="CO852">
        <v>800</v>
      </c>
      <c r="CP852">
        <v>206</v>
      </c>
      <c r="CQ852">
        <v>812</v>
      </c>
      <c r="CR852">
        <v>607</v>
      </c>
      <c r="CS852">
        <v>542</v>
      </c>
      <c r="CT852">
        <v>454</v>
      </c>
      <c r="CU852">
        <v>162</v>
      </c>
      <c r="CV852">
        <v>126</v>
      </c>
      <c r="CW852">
        <v>376</v>
      </c>
      <c r="CX852">
        <v>231</v>
      </c>
      <c r="CY852">
        <v>842</v>
      </c>
      <c r="CZ852">
        <v>550</v>
      </c>
      <c r="DA852">
        <v>477</v>
      </c>
      <c r="DB852">
        <v>974</v>
      </c>
      <c r="DC852">
        <v>746</v>
      </c>
      <c r="DD852">
        <v>438</v>
      </c>
      <c r="DE852">
        <v>885</v>
      </c>
      <c r="DF852">
        <v>380</v>
      </c>
      <c r="DG852">
        <v>993</v>
      </c>
      <c r="DH852">
        <v>891</v>
      </c>
      <c r="DI852">
        <v>986</v>
      </c>
      <c r="DJ852">
        <v>859</v>
      </c>
      <c r="DK852">
        <v>437</v>
      </c>
    </row>
    <row r="853" spans="1:115">
      <c r="A853" s="173">
        <f>Calculations[[#This Row],[Sum t eCO2]]*IF(Calculations[[#This Row],[GHG Scope]]="BIOGENIC",0,1)</f>
        <v>7760.3735927039515</v>
      </c>
      <c r="O853">
        <f t="shared" si="19"/>
        <v>5</v>
      </c>
      <c r="P853">
        <v>628</v>
      </c>
      <c r="Q853">
        <v>991</v>
      </c>
      <c r="R853">
        <v>167</v>
      </c>
      <c r="S853">
        <v>579</v>
      </c>
      <c r="T853">
        <v>273</v>
      </c>
      <c r="U853">
        <v>713</v>
      </c>
      <c r="V853">
        <v>500</v>
      </c>
      <c r="W853">
        <v>807</v>
      </c>
      <c r="X853">
        <v>367</v>
      </c>
      <c r="Y853">
        <v>132</v>
      </c>
      <c r="Z853">
        <v>591</v>
      </c>
      <c r="AA853">
        <v>394</v>
      </c>
      <c r="AB853">
        <v>983</v>
      </c>
      <c r="AC853">
        <v>704</v>
      </c>
      <c r="AD853">
        <v>628</v>
      </c>
      <c r="AE853">
        <v>414</v>
      </c>
      <c r="AF853">
        <v>598</v>
      </c>
      <c r="AG853">
        <v>155</v>
      </c>
      <c r="AH853">
        <v>877</v>
      </c>
      <c r="AI853">
        <v>985</v>
      </c>
      <c r="AJ853">
        <v>691</v>
      </c>
      <c r="AK853">
        <v>443</v>
      </c>
      <c r="AL853">
        <v>980</v>
      </c>
      <c r="AM853">
        <v>444</v>
      </c>
      <c r="AN853">
        <v>773</v>
      </c>
      <c r="AO853">
        <v>942</v>
      </c>
      <c r="AP853">
        <v>256</v>
      </c>
      <c r="AQ853">
        <v>932</v>
      </c>
      <c r="AR853">
        <v>532</v>
      </c>
      <c r="AS853">
        <v>379</v>
      </c>
      <c r="AT853">
        <v>420</v>
      </c>
      <c r="AU853">
        <v>266</v>
      </c>
      <c r="AV853">
        <v>548</v>
      </c>
      <c r="AW853">
        <v>587</v>
      </c>
      <c r="AX853">
        <v>927</v>
      </c>
      <c r="AY853">
        <v>112</v>
      </c>
      <c r="AZ853">
        <v>376</v>
      </c>
      <c r="BA853">
        <v>499</v>
      </c>
      <c r="BB853">
        <v>747</v>
      </c>
      <c r="BC853">
        <v>675</v>
      </c>
      <c r="BD853">
        <v>767</v>
      </c>
      <c r="BE853">
        <v>170</v>
      </c>
      <c r="BF853">
        <v>902</v>
      </c>
      <c r="BG853">
        <v>872</v>
      </c>
      <c r="BH853">
        <v>360</v>
      </c>
      <c r="BI853">
        <v>880</v>
      </c>
      <c r="BJ853">
        <v>518</v>
      </c>
      <c r="BK853">
        <v>464</v>
      </c>
      <c r="BL853">
        <v>619</v>
      </c>
      <c r="BM853">
        <v>888</v>
      </c>
      <c r="BN853">
        <v>995</v>
      </c>
      <c r="BO853">
        <v>928</v>
      </c>
      <c r="BP853">
        <v>420</v>
      </c>
      <c r="BQ853">
        <v>147</v>
      </c>
      <c r="BR853">
        <v>159</v>
      </c>
      <c r="BS853">
        <v>836</v>
      </c>
      <c r="BT853">
        <v>972</v>
      </c>
      <c r="BU853">
        <v>659</v>
      </c>
      <c r="BV853">
        <v>910</v>
      </c>
      <c r="BW853">
        <v>485</v>
      </c>
      <c r="BX853">
        <v>472</v>
      </c>
      <c r="BY853">
        <v>466</v>
      </c>
      <c r="BZ853">
        <v>421</v>
      </c>
      <c r="CA853">
        <v>186</v>
      </c>
      <c r="CB853">
        <v>611</v>
      </c>
      <c r="CC853">
        <v>216</v>
      </c>
      <c r="CD853">
        <v>153</v>
      </c>
      <c r="CE853">
        <v>522</v>
      </c>
      <c r="CF853">
        <v>688</v>
      </c>
      <c r="CG853">
        <v>131</v>
      </c>
      <c r="CH853">
        <v>677</v>
      </c>
      <c r="CI853">
        <v>859</v>
      </c>
      <c r="CJ853">
        <v>700</v>
      </c>
      <c r="CK853">
        <v>374</v>
      </c>
      <c r="CL853">
        <v>837</v>
      </c>
      <c r="CM853">
        <v>669</v>
      </c>
      <c r="CN853">
        <v>801</v>
      </c>
      <c r="CO853">
        <v>103</v>
      </c>
      <c r="CP853">
        <v>263</v>
      </c>
      <c r="CQ853">
        <v>731</v>
      </c>
      <c r="CR853">
        <v>527</v>
      </c>
      <c r="CS853">
        <v>298</v>
      </c>
      <c r="CT853">
        <v>421</v>
      </c>
      <c r="CU853">
        <v>816</v>
      </c>
      <c r="CV853">
        <v>832</v>
      </c>
      <c r="CW853">
        <v>112</v>
      </c>
      <c r="CX853">
        <v>981</v>
      </c>
      <c r="CY853">
        <v>806</v>
      </c>
      <c r="CZ853">
        <v>686</v>
      </c>
      <c r="DA853">
        <v>469</v>
      </c>
      <c r="DB853">
        <v>772</v>
      </c>
      <c r="DC853">
        <v>189</v>
      </c>
      <c r="DD853">
        <v>606</v>
      </c>
      <c r="DE853">
        <v>967</v>
      </c>
      <c r="DF853">
        <v>220</v>
      </c>
      <c r="DG853">
        <v>251</v>
      </c>
      <c r="DH853">
        <v>267</v>
      </c>
      <c r="DI853">
        <v>802</v>
      </c>
      <c r="DJ853">
        <v>424</v>
      </c>
      <c r="DK853">
        <v>189</v>
      </c>
    </row>
    <row r="854" spans="1:115">
      <c r="A854" s="173">
        <f>Calculations[[#This Row],[Sum t eCO2]]*IF(Calculations[[#This Row],[GHG Scope]]="BIOGENIC",0,1)</f>
        <v>4.3205091831681379</v>
      </c>
      <c r="O854">
        <f t="shared" si="19"/>
        <v>6</v>
      </c>
      <c r="P854">
        <v>378</v>
      </c>
      <c r="Q854">
        <v>765</v>
      </c>
      <c r="R854">
        <v>939</v>
      </c>
      <c r="S854">
        <v>912</v>
      </c>
      <c r="T854">
        <v>597</v>
      </c>
      <c r="U854">
        <v>974</v>
      </c>
      <c r="V854">
        <v>489</v>
      </c>
      <c r="W854">
        <v>464</v>
      </c>
      <c r="X854">
        <v>621</v>
      </c>
      <c r="Y854">
        <v>873</v>
      </c>
      <c r="Z854">
        <v>903</v>
      </c>
      <c r="AA854">
        <v>157</v>
      </c>
      <c r="AB854">
        <v>153</v>
      </c>
      <c r="AC854">
        <v>761</v>
      </c>
      <c r="AD854">
        <v>324</v>
      </c>
      <c r="AE854">
        <v>941</v>
      </c>
      <c r="AF854">
        <v>387</v>
      </c>
      <c r="AG854">
        <v>546</v>
      </c>
      <c r="AH854">
        <v>218</v>
      </c>
      <c r="AI854">
        <v>342</v>
      </c>
      <c r="AJ854">
        <v>750</v>
      </c>
      <c r="AK854">
        <v>763</v>
      </c>
      <c r="AL854">
        <v>538</v>
      </c>
      <c r="AM854">
        <v>976</v>
      </c>
      <c r="AN854">
        <v>439</v>
      </c>
      <c r="AO854">
        <v>805</v>
      </c>
      <c r="AP854">
        <v>460</v>
      </c>
      <c r="AQ854">
        <v>319</v>
      </c>
      <c r="AR854">
        <v>531</v>
      </c>
      <c r="AS854">
        <v>441</v>
      </c>
      <c r="AT854">
        <v>128</v>
      </c>
      <c r="AU854">
        <v>830</v>
      </c>
      <c r="AV854">
        <v>952</v>
      </c>
      <c r="AW854">
        <v>387</v>
      </c>
      <c r="AX854">
        <v>878</v>
      </c>
      <c r="AY854">
        <v>198</v>
      </c>
      <c r="AZ854">
        <v>680</v>
      </c>
      <c r="BA854">
        <v>309</v>
      </c>
      <c r="BB854">
        <v>811</v>
      </c>
      <c r="BC854">
        <v>649</v>
      </c>
      <c r="BD854">
        <v>178</v>
      </c>
      <c r="BE854">
        <v>274</v>
      </c>
      <c r="BF854">
        <v>306</v>
      </c>
      <c r="BG854">
        <v>560</v>
      </c>
      <c r="BH854">
        <v>475</v>
      </c>
      <c r="BI854">
        <v>932</v>
      </c>
      <c r="BJ854">
        <v>527</v>
      </c>
      <c r="BK854">
        <v>843</v>
      </c>
      <c r="BL854">
        <v>889</v>
      </c>
      <c r="BM854">
        <v>340</v>
      </c>
      <c r="BN854">
        <v>355</v>
      </c>
      <c r="BO854">
        <v>632</v>
      </c>
      <c r="BP854">
        <v>229</v>
      </c>
      <c r="BQ854">
        <v>709</v>
      </c>
      <c r="BR854">
        <v>420</v>
      </c>
      <c r="BS854">
        <v>160</v>
      </c>
      <c r="BT854">
        <v>188</v>
      </c>
      <c r="BU854">
        <v>942</v>
      </c>
      <c r="BV854">
        <v>779</v>
      </c>
      <c r="BW854">
        <v>315</v>
      </c>
      <c r="BX854">
        <v>584</v>
      </c>
      <c r="BY854">
        <v>821</v>
      </c>
      <c r="BZ854">
        <v>992</v>
      </c>
      <c r="CA854">
        <v>811</v>
      </c>
      <c r="CB854">
        <v>279</v>
      </c>
      <c r="CC854">
        <v>403</v>
      </c>
      <c r="CD854">
        <v>158</v>
      </c>
      <c r="CE854">
        <v>289</v>
      </c>
      <c r="CF854">
        <v>407</v>
      </c>
      <c r="CG854">
        <v>444</v>
      </c>
      <c r="CH854">
        <v>233</v>
      </c>
      <c r="CI854">
        <v>834</v>
      </c>
      <c r="CJ854">
        <v>268</v>
      </c>
      <c r="CK854">
        <v>544</v>
      </c>
      <c r="CL854">
        <v>992</v>
      </c>
      <c r="CM854">
        <v>445</v>
      </c>
      <c r="CN854">
        <v>811</v>
      </c>
      <c r="CO854">
        <v>708</v>
      </c>
      <c r="CP854">
        <v>454</v>
      </c>
      <c r="CQ854">
        <v>945</v>
      </c>
      <c r="CR854">
        <v>254</v>
      </c>
      <c r="CS854">
        <v>340</v>
      </c>
      <c r="CT854">
        <v>648</v>
      </c>
      <c r="CU854">
        <v>380</v>
      </c>
      <c r="CV854">
        <v>277</v>
      </c>
      <c r="CW854">
        <v>886</v>
      </c>
      <c r="CX854">
        <v>684</v>
      </c>
      <c r="CY854">
        <v>321</v>
      </c>
      <c r="CZ854">
        <v>447</v>
      </c>
      <c r="DA854">
        <v>965</v>
      </c>
      <c r="DB854">
        <v>795</v>
      </c>
      <c r="DC854">
        <v>514</v>
      </c>
      <c r="DD854">
        <v>669</v>
      </c>
      <c r="DE854">
        <v>428</v>
      </c>
      <c r="DF854">
        <v>362</v>
      </c>
      <c r="DG854">
        <v>733</v>
      </c>
      <c r="DH854">
        <v>469</v>
      </c>
      <c r="DI854">
        <v>702</v>
      </c>
      <c r="DJ854">
        <v>114</v>
      </c>
      <c r="DK854">
        <v>991</v>
      </c>
    </row>
    <row r="855" spans="1:115">
      <c r="A855" s="173">
        <f>Calculations[[#This Row],[Sum t eCO2]]*IF(Calculations[[#This Row],[GHG Scope]]="BIOGENIC",0,1)</f>
        <v>1.5158985147832182</v>
      </c>
      <c r="O855">
        <f t="shared" si="19"/>
        <v>7</v>
      </c>
      <c r="P855">
        <v>219</v>
      </c>
      <c r="Q855">
        <v>305</v>
      </c>
      <c r="R855">
        <v>269</v>
      </c>
      <c r="S855">
        <v>196</v>
      </c>
      <c r="T855">
        <v>406</v>
      </c>
      <c r="U855">
        <v>748</v>
      </c>
      <c r="V855">
        <v>714</v>
      </c>
      <c r="W855">
        <v>647</v>
      </c>
      <c r="X855">
        <v>858</v>
      </c>
      <c r="Y855">
        <v>526</v>
      </c>
      <c r="Z855">
        <v>109</v>
      </c>
      <c r="AA855">
        <v>306</v>
      </c>
      <c r="AB855">
        <v>379</v>
      </c>
      <c r="AC855">
        <v>824</v>
      </c>
      <c r="AD855">
        <v>773</v>
      </c>
      <c r="AE855">
        <v>538</v>
      </c>
      <c r="AF855">
        <v>674</v>
      </c>
      <c r="AG855">
        <v>981</v>
      </c>
      <c r="AH855">
        <v>977</v>
      </c>
      <c r="AI855">
        <v>952</v>
      </c>
      <c r="AJ855">
        <v>162</v>
      </c>
      <c r="AK855">
        <v>819</v>
      </c>
      <c r="AL855">
        <v>436</v>
      </c>
      <c r="AM855">
        <v>540</v>
      </c>
      <c r="AN855">
        <v>578</v>
      </c>
      <c r="AO855">
        <v>744</v>
      </c>
      <c r="AP855">
        <v>136</v>
      </c>
      <c r="AQ855">
        <v>881</v>
      </c>
      <c r="AR855">
        <v>268</v>
      </c>
      <c r="AS855">
        <v>308</v>
      </c>
      <c r="AT855">
        <v>225</v>
      </c>
      <c r="AU855">
        <v>494</v>
      </c>
      <c r="AV855">
        <v>876</v>
      </c>
      <c r="AW855">
        <v>339</v>
      </c>
      <c r="AX855">
        <v>313</v>
      </c>
      <c r="AY855">
        <v>799</v>
      </c>
      <c r="AZ855">
        <v>297</v>
      </c>
      <c r="BA855">
        <v>789</v>
      </c>
      <c r="BB855">
        <v>200</v>
      </c>
      <c r="BC855">
        <v>269</v>
      </c>
      <c r="BD855">
        <v>196</v>
      </c>
      <c r="BE855">
        <v>684</v>
      </c>
      <c r="BF855">
        <v>608</v>
      </c>
      <c r="BG855">
        <v>430</v>
      </c>
      <c r="BH855">
        <v>938</v>
      </c>
      <c r="BI855">
        <v>353</v>
      </c>
      <c r="BJ855">
        <v>632</v>
      </c>
      <c r="BK855">
        <v>402</v>
      </c>
      <c r="BL855">
        <v>569</v>
      </c>
      <c r="BM855">
        <v>302</v>
      </c>
      <c r="BN855">
        <v>138</v>
      </c>
      <c r="BO855">
        <v>770</v>
      </c>
      <c r="BP855">
        <v>801</v>
      </c>
      <c r="BQ855">
        <v>850</v>
      </c>
      <c r="BR855">
        <v>776</v>
      </c>
      <c r="BS855">
        <v>271</v>
      </c>
      <c r="BT855">
        <v>967</v>
      </c>
      <c r="BU855">
        <v>237</v>
      </c>
      <c r="BV855">
        <v>921</v>
      </c>
      <c r="BW855">
        <v>279</v>
      </c>
      <c r="BX855">
        <v>680</v>
      </c>
      <c r="BY855">
        <v>352</v>
      </c>
      <c r="BZ855">
        <v>545</v>
      </c>
      <c r="CA855">
        <v>879</v>
      </c>
      <c r="CB855">
        <v>311</v>
      </c>
      <c r="CC855">
        <v>800</v>
      </c>
      <c r="CD855">
        <v>673</v>
      </c>
      <c r="CE855">
        <v>171</v>
      </c>
      <c r="CF855">
        <v>851</v>
      </c>
      <c r="CG855">
        <v>878</v>
      </c>
      <c r="CH855">
        <v>227</v>
      </c>
      <c r="CI855">
        <v>608</v>
      </c>
      <c r="CJ855">
        <v>649</v>
      </c>
      <c r="CK855">
        <v>891</v>
      </c>
      <c r="CL855">
        <v>582</v>
      </c>
      <c r="CM855">
        <v>857</v>
      </c>
      <c r="CN855">
        <v>342</v>
      </c>
      <c r="CO855">
        <v>906</v>
      </c>
      <c r="CP855">
        <v>842</v>
      </c>
      <c r="CQ855">
        <v>392</v>
      </c>
      <c r="CR855">
        <v>471</v>
      </c>
      <c r="CS855">
        <v>331</v>
      </c>
      <c r="CT855">
        <v>487</v>
      </c>
      <c r="CU855">
        <v>119</v>
      </c>
      <c r="CV855">
        <v>774</v>
      </c>
      <c r="CW855">
        <v>361</v>
      </c>
      <c r="CX855">
        <v>166</v>
      </c>
      <c r="CY855">
        <v>701</v>
      </c>
      <c r="CZ855">
        <v>651</v>
      </c>
      <c r="DA855">
        <v>339</v>
      </c>
      <c r="DB855">
        <v>147</v>
      </c>
      <c r="DC855">
        <v>527</v>
      </c>
      <c r="DD855">
        <v>230</v>
      </c>
      <c r="DE855">
        <v>775</v>
      </c>
      <c r="DF855">
        <v>918</v>
      </c>
      <c r="DG855">
        <v>412</v>
      </c>
      <c r="DH855">
        <v>368</v>
      </c>
      <c r="DI855">
        <v>697</v>
      </c>
      <c r="DJ855">
        <v>869</v>
      </c>
      <c r="DK855">
        <v>458</v>
      </c>
    </row>
    <row r="856" spans="1:115">
      <c r="A856" s="173">
        <f>Calculations[[#This Row],[Sum t eCO2]]*IF(Calculations[[#This Row],[GHG Scope]]="BIOGENIC",0,1)</f>
        <v>0.32629517114672807</v>
      </c>
      <c r="O856">
        <f t="shared" si="19"/>
        <v>8</v>
      </c>
      <c r="P856">
        <v>545</v>
      </c>
      <c r="Q856">
        <v>786</v>
      </c>
      <c r="R856">
        <v>212</v>
      </c>
      <c r="S856">
        <v>257</v>
      </c>
      <c r="T856">
        <v>808</v>
      </c>
      <c r="U856">
        <v>562</v>
      </c>
      <c r="V856">
        <v>796</v>
      </c>
      <c r="W856">
        <v>745</v>
      </c>
      <c r="X856">
        <v>669</v>
      </c>
      <c r="Y856">
        <v>199</v>
      </c>
      <c r="Z856">
        <v>194</v>
      </c>
      <c r="AA856">
        <v>990</v>
      </c>
      <c r="AB856">
        <v>920</v>
      </c>
      <c r="AC856">
        <v>969</v>
      </c>
      <c r="AD856">
        <v>986</v>
      </c>
      <c r="AE856">
        <v>912</v>
      </c>
      <c r="AF856">
        <v>211</v>
      </c>
      <c r="AG856">
        <v>893</v>
      </c>
      <c r="AH856">
        <v>772</v>
      </c>
      <c r="AI856">
        <v>529</v>
      </c>
      <c r="AJ856">
        <v>447</v>
      </c>
      <c r="AK856">
        <v>373</v>
      </c>
      <c r="AL856">
        <v>618</v>
      </c>
      <c r="AM856">
        <v>144</v>
      </c>
      <c r="AN856">
        <v>897</v>
      </c>
      <c r="AO856">
        <v>217</v>
      </c>
      <c r="AP856">
        <v>681</v>
      </c>
      <c r="AQ856">
        <v>603</v>
      </c>
      <c r="AR856">
        <v>287</v>
      </c>
      <c r="AS856">
        <v>910</v>
      </c>
      <c r="AT856">
        <v>672</v>
      </c>
      <c r="AU856">
        <v>507</v>
      </c>
      <c r="AV856">
        <v>111</v>
      </c>
      <c r="AW856">
        <v>845</v>
      </c>
      <c r="AX856">
        <v>149</v>
      </c>
      <c r="AY856">
        <v>846</v>
      </c>
      <c r="AZ856">
        <v>114</v>
      </c>
      <c r="BA856">
        <v>177</v>
      </c>
      <c r="BB856">
        <v>668</v>
      </c>
      <c r="BC856">
        <v>137</v>
      </c>
      <c r="BD856">
        <v>401</v>
      </c>
      <c r="BE856">
        <v>884</v>
      </c>
      <c r="BF856">
        <v>362</v>
      </c>
      <c r="BG856">
        <v>417</v>
      </c>
      <c r="BH856">
        <v>244</v>
      </c>
      <c r="BI856">
        <v>798</v>
      </c>
      <c r="BJ856">
        <v>571</v>
      </c>
      <c r="BK856">
        <v>563</v>
      </c>
      <c r="BL856">
        <v>944</v>
      </c>
      <c r="BM856">
        <v>632</v>
      </c>
      <c r="BN856">
        <v>853</v>
      </c>
      <c r="BO856">
        <v>731</v>
      </c>
      <c r="BP856">
        <v>229</v>
      </c>
      <c r="BQ856">
        <v>783</v>
      </c>
      <c r="BR856">
        <v>437</v>
      </c>
      <c r="BS856">
        <v>447</v>
      </c>
      <c r="BT856">
        <v>204</v>
      </c>
      <c r="BU856">
        <v>676</v>
      </c>
      <c r="BV856">
        <v>147</v>
      </c>
      <c r="BW856">
        <v>920</v>
      </c>
      <c r="BX856">
        <v>525</v>
      </c>
      <c r="BY856">
        <v>258</v>
      </c>
      <c r="BZ856">
        <v>684</v>
      </c>
      <c r="CA856">
        <v>593</v>
      </c>
      <c r="CB856">
        <v>970</v>
      </c>
      <c r="CC856">
        <v>308</v>
      </c>
      <c r="CD856">
        <v>461</v>
      </c>
      <c r="CE856">
        <v>776</v>
      </c>
      <c r="CF856">
        <v>716</v>
      </c>
      <c r="CG856">
        <v>143</v>
      </c>
      <c r="CH856">
        <v>522</v>
      </c>
      <c r="CI856">
        <v>306</v>
      </c>
      <c r="CJ856">
        <v>176</v>
      </c>
      <c r="CK856">
        <v>294</v>
      </c>
      <c r="CL856">
        <v>866</v>
      </c>
      <c r="CM856">
        <v>943</v>
      </c>
      <c r="CN856">
        <v>593</v>
      </c>
      <c r="CO856">
        <v>473</v>
      </c>
      <c r="CP856">
        <v>390</v>
      </c>
      <c r="CQ856">
        <v>175</v>
      </c>
      <c r="CR856">
        <v>741</v>
      </c>
      <c r="CS856">
        <v>916</v>
      </c>
      <c r="CT856">
        <v>134</v>
      </c>
      <c r="CU856">
        <v>197</v>
      </c>
      <c r="CV856">
        <v>180</v>
      </c>
      <c r="CW856">
        <v>112</v>
      </c>
      <c r="CX856">
        <v>134</v>
      </c>
      <c r="CY856">
        <v>475</v>
      </c>
      <c r="CZ856">
        <v>312</v>
      </c>
      <c r="DA856">
        <v>484</v>
      </c>
      <c r="DB856">
        <v>263</v>
      </c>
      <c r="DC856">
        <v>817</v>
      </c>
      <c r="DD856">
        <v>871</v>
      </c>
      <c r="DE856">
        <v>336</v>
      </c>
      <c r="DF856">
        <v>917</v>
      </c>
      <c r="DG856">
        <v>643</v>
      </c>
      <c r="DH856">
        <v>512</v>
      </c>
      <c r="DI856">
        <v>833</v>
      </c>
      <c r="DJ856">
        <v>645</v>
      </c>
      <c r="DK856">
        <v>460</v>
      </c>
    </row>
    <row r="857" spans="1:115">
      <c r="A857" s="173">
        <f>Calculations[[#This Row],[Sum t eCO2]]*IF(Calculations[[#This Row],[GHG Scope]]="BIOGENIC",0,1)</f>
        <v>3.5484145500000001E-2</v>
      </c>
      <c r="O857">
        <f t="shared" si="19"/>
        <v>9</v>
      </c>
      <c r="P857">
        <v>881</v>
      </c>
      <c r="Q857">
        <v>750</v>
      </c>
      <c r="R857">
        <v>426</v>
      </c>
      <c r="S857">
        <v>870</v>
      </c>
      <c r="T857">
        <v>343</v>
      </c>
      <c r="U857">
        <v>942</v>
      </c>
      <c r="V857">
        <v>491</v>
      </c>
      <c r="W857">
        <v>576</v>
      </c>
      <c r="X857">
        <v>139</v>
      </c>
      <c r="Y857">
        <v>910</v>
      </c>
      <c r="Z857">
        <v>516</v>
      </c>
      <c r="AA857">
        <v>285</v>
      </c>
      <c r="AB857">
        <v>195</v>
      </c>
      <c r="AC857">
        <v>195</v>
      </c>
      <c r="AD857">
        <v>995</v>
      </c>
      <c r="AE857">
        <v>142</v>
      </c>
      <c r="AF857">
        <v>455</v>
      </c>
      <c r="AG857">
        <v>441</v>
      </c>
      <c r="AH857">
        <v>481</v>
      </c>
      <c r="AI857">
        <v>136</v>
      </c>
      <c r="AJ857">
        <v>322</v>
      </c>
      <c r="AK857">
        <v>121</v>
      </c>
      <c r="AL857">
        <v>276</v>
      </c>
      <c r="AM857">
        <v>534</v>
      </c>
      <c r="AN857">
        <v>871</v>
      </c>
      <c r="AO857">
        <v>755</v>
      </c>
      <c r="AP857">
        <v>321</v>
      </c>
      <c r="AQ857">
        <v>542</v>
      </c>
      <c r="AR857">
        <v>694</v>
      </c>
      <c r="AS857">
        <v>616</v>
      </c>
      <c r="AT857">
        <v>664</v>
      </c>
      <c r="AU857">
        <v>957</v>
      </c>
      <c r="AV857">
        <v>705</v>
      </c>
      <c r="AW857">
        <v>362</v>
      </c>
      <c r="AX857">
        <v>572</v>
      </c>
      <c r="AY857">
        <v>959</v>
      </c>
      <c r="AZ857">
        <v>568</v>
      </c>
      <c r="BA857">
        <v>823</v>
      </c>
      <c r="BB857">
        <v>252</v>
      </c>
      <c r="BC857">
        <v>884</v>
      </c>
      <c r="BD857">
        <v>469</v>
      </c>
      <c r="BE857">
        <v>591</v>
      </c>
      <c r="BF857">
        <v>605</v>
      </c>
      <c r="BG857">
        <v>239</v>
      </c>
      <c r="BH857">
        <v>287</v>
      </c>
      <c r="BI857">
        <v>862</v>
      </c>
      <c r="BJ857">
        <v>955</v>
      </c>
      <c r="BK857">
        <v>437</v>
      </c>
      <c r="BL857">
        <v>224</v>
      </c>
      <c r="BM857">
        <v>616</v>
      </c>
      <c r="BN857">
        <v>475</v>
      </c>
      <c r="BO857">
        <v>777</v>
      </c>
      <c r="BP857">
        <v>957</v>
      </c>
      <c r="BQ857">
        <v>634</v>
      </c>
      <c r="BR857">
        <v>357</v>
      </c>
      <c r="BS857">
        <v>549</v>
      </c>
      <c r="BT857">
        <v>680</v>
      </c>
      <c r="BU857">
        <v>911</v>
      </c>
      <c r="BV857">
        <v>170</v>
      </c>
      <c r="BW857">
        <v>858</v>
      </c>
      <c r="BX857">
        <v>801</v>
      </c>
      <c r="BY857">
        <v>635</v>
      </c>
      <c r="BZ857">
        <v>362</v>
      </c>
      <c r="CA857">
        <v>567</v>
      </c>
      <c r="CB857">
        <v>452</v>
      </c>
      <c r="CC857">
        <v>272</v>
      </c>
      <c r="CD857">
        <v>226</v>
      </c>
      <c r="CE857">
        <v>507</v>
      </c>
      <c r="CF857">
        <v>967</v>
      </c>
      <c r="CG857">
        <v>221</v>
      </c>
      <c r="CH857">
        <v>644</v>
      </c>
      <c r="CI857">
        <v>787</v>
      </c>
      <c r="CJ857">
        <v>378</v>
      </c>
      <c r="CK857">
        <v>562</v>
      </c>
      <c r="CL857">
        <v>425</v>
      </c>
      <c r="CM857">
        <v>248</v>
      </c>
      <c r="CN857">
        <v>983</v>
      </c>
      <c r="CO857">
        <v>904</v>
      </c>
      <c r="CP857">
        <v>521</v>
      </c>
      <c r="CQ857">
        <v>442</v>
      </c>
      <c r="CR857">
        <v>413</v>
      </c>
      <c r="CS857">
        <v>583</v>
      </c>
      <c r="CT857">
        <v>272</v>
      </c>
      <c r="CU857">
        <v>474</v>
      </c>
      <c r="CV857">
        <v>636</v>
      </c>
      <c r="CW857">
        <v>538</v>
      </c>
      <c r="CX857">
        <v>835</v>
      </c>
      <c r="CY857">
        <v>571</v>
      </c>
      <c r="CZ857">
        <v>688</v>
      </c>
      <c r="DA857">
        <v>652</v>
      </c>
      <c r="DB857">
        <v>954</v>
      </c>
      <c r="DC857">
        <v>683</v>
      </c>
      <c r="DD857">
        <v>796</v>
      </c>
      <c r="DE857">
        <v>441</v>
      </c>
      <c r="DF857">
        <v>733</v>
      </c>
      <c r="DG857">
        <v>445</v>
      </c>
      <c r="DH857">
        <v>415</v>
      </c>
      <c r="DI857">
        <v>264</v>
      </c>
      <c r="DJ857">
        <v>362</v>
      </c>
      <c r="DK857">
        <v>950</v>
      </c>
    </row>
    <row r="858" spans="1:115">
      <c r="A858" s="173">
        <f>Calculations[[#This Row],[Sum t eCO2]]*IF(Calculations[[#This Row],[GHG Scope]]="BIOGENIC",0,1)</f>
        <v>417.97936327720851</v>
      </c>
      <c r="O858">
        <f t="shared" si="19"/>
        <v>10</v>
      </c>
      <c r="P858">
        <v>938</v>
      </c>
      <c r="Q858">
        <v>182</v>
      </c>
      <c r="R858">
        <v>128</v>
      </c>
      <c r="S858">
        <v>721</v>
      </c>
      <c r="T858">
        <v>697</v>
      </c>
      <c r="U858">
        <v>754</v>
      </c>
      <c r="V858">
        <v>317</v>
      </c>
      <c r="W858">
        <v>333</v>
      </c>
      <c r="X858">
        <v>178</v>
      </c>
      <c r="Y858">
        <v>364</v>
      </c>
      <c r="Z858">
        <v>143</v>
      </c>
      <c r="AA858">
        <v>130</v>
      </c>
      <c r="AB858">
        <v>670</v>
      </c>
      <c r="AC858">
        <v>761</v>
      </c>
      <c r="AD858">
        <v>263</v>
      </c>
      <c r="AE858">
        <v>823</v>
      </c>
      <c r="AF858">
        <v>343</v>
      </c>
      <c r="AG858">
        <v>814</v>
      </c>
      <c r="AH858">
        <v>425</v>
      </c>
      <c r="AI858">
        <v>972</v>
      </c>
      <c r="AJ858">
        <v>923</v>
      </c>
      <c r="AK858">
        <v>947</v>
      </c>
      <c r="AL858">
        <v>533</v>
      </c>
      <c r="AM858">
        <v>314</v>
      </c>
      <c r="AN858">
        <v>252</v>
      </c>
      <c r="AO858">
        <v>375</v>
      </c>
      <c r="AP858">
        <v>271</v>
      </c>
      <c r="AQ858">
        <v>170</v>
      </c>
      <c r="AR858">
        <v>999</v>
      </c>
      <c r="AS858">
        <v>828</v>
      </c>
      <c r="AT858">
        <v>933</v>
      </c>
      <c r="AU858">
        <v>545</v>
      </c>
      <c r="AV858">
        <v>604</v>
      </c>
      <c r="AW858">
        <v>358</v>
      </c>
      <c r="AX858">
        <v>619</v>
      </c>
      <c r="AY858">
        <v>804</v>
      </c>
      <c r="AZ858">
        <v>743</v>
      </c>
      <c r="BA858">
        <v>411</v>
      </c>
      <c r="BB858">
        <v>827</v>
      </c>
      <c r="BC858">
        <v>372</v>
      </c>
      <c r="BD858">
        <v>764</v>
      </c>
      <c r="BE858">
        <v>966</v>
      </c>
      <c r="BF858">
        <v>475</v>
      </c>
      <c r="BG858">
        <v>969</v>
      </c>
      <c r="BH858">
        <v>650</v>
      </c>
      <c r="BI858">
        <v>526</v>
      </c>
      <c r="BJ858">
        <v>602</v>
      </c>
      <c r="BK858">
        <v>379</v>
      </c>
      <c r="BL858">
        <v>853</v>
      </c>
      <c r="BM858">
        <v>881</v>
      </c>
      <c r="BN858">
        <v>540</v>
      </c>
      <c r="BO858">
        <v>753</v>
      </c>
      <c r="BP858">
        <v>204</v>
      </c>
      <c r="BQ858">
        <v>688</v>
      </c>
      <c r="BR858">
        <v>493</v>
      </c>
      <c r="BS858">
        <v>963</v>
      </c>
      <c r="BT858">
        <v>399</v>
      </c>
      <c r="BU858">
        <v>170</v>
      </c>
      <c r="BV858">
        <v>382</v>
      </c>
      <c r="BW858">
        <v>320</v>
      </c>
      <c r="BX858">
        <v>127</v>
      </c>
      <c r="BY858">
        <v>585</v>
      </c>
      <c r="BZ858">
        <v>190</v>
      </c>
      <c r="CA858">
        <v>456</v>
      </c>
      <c r="CB858">
        <v>733</v>
      </c>
      <c r="CC858">
        <v>638</v>
      </c>
      <c r="CD858">
        <v>454</v>
      </c>
      <c r="CE858">
        <v>174</v>
      </c>
      <c r="CF858">
        <v>228</v>
      </c>
      <c r="CG858">
        <v>292</v>
      </c>
      <c r="CH858">
        <v>499</v>
      </c>
      <c r="CI858">
        <v>576</v>
      </c>
      <c r="CJ858">
        <v>125</v>
      </c>
      <c r="CK858">
        <v>164</v>
      </c>
      <c r="CL858">
        <v>237</v>
      </c>
      <c r="CM858">
        <v>100</v>
      </c>
      <c r="CN858">
        <v>339</v>
      </c>
      <c r="CO858">
        <v>140</v>
      </c>
      <c r="CP858">
        <v>854</v>
      </c>
      <c r="CQ858">
        <v>980</v>
      </c>
      <c r="CR858">
        <v>654</v>
      </c>
      <c r="CS858">
        <v>601</v>
      </c>
      <c r="CT858">
        <v>756</v>
      </c>
      <c r="CU858">
        <v>609</v>
      </c>
      <c r="CV858">
        <v>696</v>
      </c>
      <c r="CW858">
        <v>199</v>
      </c>
      <c r="CX858">
        <v>732</v>
      </c>
      <c r="CY858">
        <v>145</v>
      </c>
      <c r="CZ858">
        <v>627</v>
      </c>
      <c r="DA858">
        <v>537</v>
      </c>
      <c r="DB858">
        <v>875</v>
      </c>
      <c r="DC858">
        <v>615</v>
      </c>
      <c r="DD858">
        <v>491</v>
      </c>
      <c r="DE858">
        <v>340</v>
      </c>
      <c r="DF858">
        <v>501</v>
      </c>
      <c r="DG858">
        <v>644</v>
      </c>
      <c r="DH858">
        <v>438</v>
      </c>
      <c r="DI858">
        <v>338</v>
      </c>
      <c r="DJ858">
        <v>802</v>
      </c>
      <c r="DK858">
        <v>593</v>
      </c>
    </row>
    <row r="859" spans="1:115">
      <c r="A859" s="173">
        <f>Calculations[[#This Row],[Sum t eCO2]]*IF(Calculations[[#This Row],[GHG Scope]]="BIOGENIC",0,1)</f>
        <v>550.03702994386788</v>
      </c>
      <c r="O859">
        <f t="shared" si="19"/>
        <v>11</v>
      </c>
      <c r="P859">
        <v>283</v>
      </c>
      <c r="Q859">
        <v>392</v>
      </c>
      <c r="R859">
        <v>883</v>
      </c>
      <c r="S859">
        <v>356</v>
      </c>
      <c r="T859">
        <v>176</v>
      </c>
      <c r="U859">
        <v>183</v>
      </c>
      <c r="V859">
        <v>962</v>
      </c>
      <c r="W859">
        <v>744</v>
      </c>
      <c r="X859">
        <v>689</v>
      </c>
      <c r="Y859">
        <v>717</v>
      </c>
      <c r="Z859">
        <v>382</v>
      </c>
      <c r="AA859">
        <v>328</v>
      </c>
      <c r="AB859">
        <v>913</v>
      </c>
      <c r="AC859">
        <v>563</v>
      </c>
      <c r="AD859">
        <v>972</v>
      </c>
      <c r="AE859">
        <v>773</v>
      </c>
      <c r="AF859">
        <v>222</v>
      </c>
      <c r="AG859">
        <v>153</v>
      </c>
      <c r="AH859">
        <v>527</v>
      </c>
      <c r="AI859">
        <v>179</v>
      </c>
      <c r="AJ859">
        <v>768</v>
      </c>
      <c r="AK859">
        <v>995</v>
      </c>
      <c r="AL859">
        <v>192</v>
      </c>
      <c r="AM859">
        <v>576</v>
      </c>
      <c r="AN859">
        <v>849</v>
      </c>
      <c r="AO859">
        <v>269</v>
      </c>
      <c r="AP859">
        <v>641</v>
      </c>
      <c r="AQ859">
        <v>993</v>
      </c>
      <c r="AR859">
        <v>599</v>
      </c>
      <c r="AS859">
        <v>421</v>
      </c>
      <c r="AT859">
        <v>350</v>
      </c>
      <c r="AU859">
        <v>629</v>
      </c>
      <c r="AV859">
        <v>622</v>
      </c>
      <c r="AW859">
        <v>295</v>
      </c>
      <c r="AX859">
        <v>952</v>
      </c>
      <c r="AY859">
        <v>125</v>
      </c>
      <c r="AZ859">
        <v>120</v>
      </c>
      <c r="BA859">
        <v>902</v>
      </c>
      <c r="BB859">
        <v>655</v>
      </c>
      <c r="BC859">
        <v>385</v>
      </c>
      <c r="BD859">
        <v>348</v>
      </c>
      <c r="BE859">
        <v>553</v>
      </c>
      <c r="BF859">
        <v>310</v>
      </c>
      <c r="BG859">
        <v>335</v>
      </c>
      <c r="BH859">
        <v>190</v>
      </c>
      <c r="BI859">
        <v>599</v>
      </c>
      <c r="BJ859">
        <v>411</v>
      </c>
      <c r="BK859">
        <v>100</v>
      </c>
      <c r="BL859">
        <v>799</v>
      </c>
      <c r="BM859">
        <v>579</v>
      </c>
      <c r="BN859">
        <v>905</v>
      </c>
      <c r="BO859">
        <v>863</v>
      </c>
      <c r="BP859">
        <v>941</v>
      </c>
      <c r="BQ859">
        <v>447</v>
      </c>
      <c r="BR859">
        <v>729</v>
      </c>
      <c r="BS859">
        <v>420</v>
      </c>
      <c r="BT859">
        <v>975</v>
      </c>
      <c r="BU859">
        <v>580</v>
      </c>
      <c r="BV859">
        <v>788</v>
      </c>
      <c r="BW859">
        <v>543</v>
      </c>
      <c r="BX859">
        <v>141</v>
      </c>
      <c r="BY859">
        <v>211</v>
      </c>
      <c r="BZ859">
        <v>193</v>
      </c>
      <c r="CA859">
        <v>670</v>
      </c>
      <c r="CB859">
        <v>408</v>
      </c>
      <c r="CC859">
        <v>180</v>
      </c>
      <c r="CD859">
        <v>496</v>
      </c>
      <c r="CE859">
        <v>332</v>
      </c>
      <c r="CF859">
        <v>615</v>
      </c>
      <c r="CG859">
        <v>576</v>
      </c>
      <c r="CH859">
        <v>868</v>
      </c>
      <c r="CI859">
        <v>264</v>
      </c>
      <c r="CJ859">
        <v>941</v>
      </c>
      <c r="CK859">
        <v>488</v>
      </c>
      <c r="CL859">
        <v>513</v>
      </c>
      <c r="CM859">
        <v>494</v>
      </c>
      <c r="CN859">
        <v>664</v>
      </c>
      <c r="CO859">
        <v>763</v>
      </c>
      <c r="CP859">
        <v>409</v>
      </c>
      <c r="CQ859">
        <v>829</v>
      </c>
      <c r="CR859">
        <v>491</v>
      </c>
      <c r="CS859">
        <v>573</v>
      </c>
      <c r="CT859">
        <v>233</v>
      </c>
      <c r="CU859">
        <v>936</v>
      </c>
      <c r="CV859">
        <v>123</v>
      </c>
      <c r="CW859">
        <v>544</v>
      </c>
      <c r="CX859">
        <v>353</v>
      </c>
      <c r="CY859">
        <v>161</v>
      </c>
      <c r="CZ859">
        <v>861</v>
      </c>
      <c r="DA859">
        <v>316</v>
      </c>
      <c r="DB859">
        <v>504</v>
      </c>
      <c r="DC859">
        <v>614</v>
      </c>
      <c r="DD859">
        <v>321</v>
      </c>
      <c r="DE859">
        <v>358</v>
      </c>
      <c r="DF859">
        <v>880</v>
      </c>
      <c r="DG859">
        <v>175</v>
      </c>
      <c r="DH859">
        <v>379</v>
      </c>
      <c r="DI859">
        <v>108</v>
      </c>
      <c r="DJ859">
        <v>530</v>
      </c>
      <c r="DK859">
        <v>631</v>
      </c>
    </row>
    <row r="860" spans="1:115">
      <c r="A860" s="173">
        <f>Calculations[[#This Row],[Sum t eCO2]]*IF(Calculations[[#This Row],[GHG Scope]]="BIOGENIC",0,1)</f>
        <v>2414.587463188589</v>
      </c>
      <c r="O860">
        <f t="shared" si="19"/>
        <v>12</v>
      </c>
      <c r="P860">
        <v>912</v>
      </c>
      <c r="Q860">
        <v>106</v>
      </c>
      <c r="R860">
        <v>402</v>
      </c>
      <c r="S860">
        <v>743</v>
      </c>
      <c r="T860">
        <v>544</v>
      </c>
      <c r="U860">
        <v>622</v>
      </c>
      <c r="V860">
        <v>932</v>
      </c>
      <c r="W860">
        <v>825</v>
      </c>
      <c r="X860">
        <v>825</v>
      </c>
      <c r="Y860">
        <v>539</v>
      </c>
      <c r="Z860">
        <v>756</v>
      </c>
      <c r="AA860">
        <v>420</v>
      </c>
      <c r="AB860">
        <v>308</v>
      </c>
      <c r="AC860">
        <v>436</v>
      </c>
      <c r="AD860">
        <v>207</v>
      </c>
      <c r="AE860">
        <v>526</v>
      </c>
      <c r="AF860">
        <v>224</v>
      </c>
      <c r="AG860">
        <v>460</v>
      </c>
      <c r="AH860">
        <v>109</v>
      </c>
      <c r="AI860">
        <v>854</v>
      </c>
      <c r="AJ860">
        <v>710</v>
      </c>
      <c r="AK860">
        <v>567</v>
      </c>
      <c r="AL860">
        <v>362</v>
      </c>
      <c r="AM860">
        <v>435</v>
      </c>
      <c r="AN860">
        <v>152</v>
      </c>
      <c r="AO860">
        <v>262</v>
      </c>
      <c r="AP860">
        <v>551</v>
      </c>
      <c r="AQ860">
        <v>753</v>
      </c>
      <c r="AR860">
        <v>393</v>
      </c>
      <c r="AS860">
        <v>296</v>
      </c>
      <c r="AT860">
        <v>246</v>
      </c>
      <c r="AU860">
        <v>890</v>
      </c>
      <c r="AV860">
        <v>754</v>
      </c>
      <c r="AW860">
        <v>109</v>
      </c>
      <c r="AX860">
        <v>979</v>
      </c>
      <c r="AY860">
        <v>707</v>
      </c>
      <c r="AZ860">
        <v>733</v>
      </c>
      <c r="BA860">
        <v>969</v>
      </c>
      <c r="BB860">
        <v>322</v>
      </c>
      <c r="BC860">
        <v>658</v>
      </c>
      <c r="BD860">
        <v>269</v>
      </c>
      <c r="BE860">
        <v>935</v>
      </c>
      <c r="BF860">
        <v>899</v>
      </c>
      <c r="BG860">
        <v>445</v>
      </c>
      <c r="BH860">
        <v>816</v>
      </c>
      <c r="BI860">
        <v>967</v>
      </c>
      <c r="BJ860">
        <v>359</v>
      </c>
      <c r="BK860">
        <v>898</v>
      </c>
      <c r="BL860">
        <v>371</v>
      </c>
      <c r="BM860">
        <v>349</v>
      </c>
      <c r="BN860">
        <v>599</v>
      </c>
      <c r="BO860">
        <v>284</v>
      </c>
      <c r="BP860">
        <v>595</v>
      </c>
      <c r="BQ860">
        <v>891</v>
      </c>
      <c r="BR860">
        <v>707</v>
      </c>
      <c r="BS860">
        <v>928</v>
      </c>
      <c r="BT860">
        <v>107</v>
      </c>
      <c r="BU860">
        <v>136</v>
      </c>
      <c r="BV860">
        <v>594</v>
      </c>
      <c r="BW860">
        <v>230</v>
      </c>
      <c r="BX860">
        <v>617</v>
      </c>
      <c r="BY860">
        <v>921</v>
      </c>
      <c r="BZ860">
        <v>176</v>
      </c>
      <c r="CA860">
        <v>346</v>
      </c>
      <c r="CB860">
        <v>399</v>
      </c>
      <c r="CC860">
        <v>679</v>
      </c>
      <c r="CD860">
        <v>346</v>
      </c>
      <c r="CE860">
        <v>432</v>
      </c>
      <c r="CF860">
        <v>939</v>
      </c>
      <c r="CG860">
        <v>127</v>
      </c>
      <c r="CH860">
        <v>672</v>
      </c>
      <c r="CI860">
        <v>952</v>
      </c>
      <c r="CJ860">
        <v>823</v>
      </c>
      <c r="CK860">
        <v>470</v>
      </c>
      <c r="CL860">
        <v>723</v>
      </c>
      <c r="CM860">
        <v>808</v>
      </c>
      <c r="CN860">
        <v>904</v>
      </c>
      <c r="CO860">
        <v>132</v>
      </c>
      <c r="CP860">
        <v>870</v>
      </c>
      <c r="CQ860">
        <v>344</v>
      </c>
      <c r="CR860">
        <v>576</v>
      </c>
      <c r="CS860">
        <v>841</v>
      </c>
      <c r="CT860">
        <v>259</v>
      </c>
      <c r="CU860">
        <v>492</v>
      </c>
      <c r="CV860">
        <v>238</v>
      </c>
      <c r="CW860">
        <v>541</v>
      </c>
      <c r="CX860">
        <v>836</v>
      </c>
      <c r="CY860">
        <v>484</v>
      </c>
      <c r="CZ860">
        <v>715</v>
      </c>
      <c r="DA860">
        <v>276</v>
      </c>
      <c r="DB860">
        <v>743</v>
      </c>
      <c r="DC860">
        <v>566</v>
      </c>
      <c r="DD860">
        <v>387</v>
      </c>
      <c r="DE860">
        <v>110</v>
      </c>
      <c r="DF860">
        <v>183</v>
      </c>
      <c r="DG860">
        <v>913</v>
      </c>
      <c r="DH860">
        <v>854</v>
      </c>
      <c r="DI860">
        <v>165</v>
      </c>
      <c r="DJ860">
        <v>348</v>
      </c>
      <c r="DK860">
        <v>239</v>
      </c>
    </row>
    <row r="861" spans="1:115">
      <c r="A861" s="173">
        <f>Calculations[[#This Row],[Sum t eCO2]]*IF(Calculations[[#This Row],[GHG Scope]]="BIOGENIC",0,1)</f>
        <v>280.97872788292273</v>
      </c>
      <c r="O861">
        <f t="shared" si="19"/>
        <v>13</v>
      </c>
      <c r="P861">
        <v>727</v>
      </c>
      <c r="Q861">
        <v>961</v>
      </c>
      <c r="R861">
        <v>408</v>
      </c>
      <c r="S861">
        <v>699</v>
      </c>
      <c r="T861">
        <v>368</v>
      </c>
      <c r="U861">
        <v>221</v>
      </c>
      <c r="V861">
        <v>861</v>
      </c>
      <c r="W861">
        <v>896</v>
      </c>
      <c r="X861">
        <v>304</v>
      </c>
      <c r="Y861">
        <v>544</v>
      </c>
      <c r="Z861">
        <v>690</v>
      </c>
      <c r="AA861">
        <v>157</v>
      </c>
      <c r="AB861">
        <v>876</v>
      </c>
      <c r="AC861">
        <v>698</v>
      </c>
      <c r="AD861">
        <v>526</v>
      </c>
      <c r="AE861">
        <v>615</v>
      </c>
      <c r="AF861">
        <v>661</v>
      </c>
      <c r="AG861">
        <v>636</v>
      </c>
      <c r="AH861">
        <v>917</v>
      </c>
      <c r="AI861">
        <v>151</v>
      </c>
      <c r="AJ861">
        <v>449</v>
      </c>
      <c r="AK861">
        <v>100</v>
      </c>
      <c r="AL861">
        <v>350</v>
      </c>
      <c r="AM861">
        <v>817</v>
      </c>
      <c r="AN861">
        <v>280</v>
      </c>
      <c r="AO861">
        <v>155</v>
      </c>
      <c r="AP861">
        <v>390</v>
      </c>
      <c r="AQ861">
        <v>450</v>
      </c>
      <c r="AR861">
        <v>921</v>
      </c>
      <c r="AS861">
        <v>783</v>
      </c>
      <c r="AT861">
        <v>785</v>
      </c>
      <c r="AU861">
        <v>669</v>
      </c>
      <c r="AV861">
        <v>353</v>
      </c>
      <c r="AW861">
        <v>298</v>
      </c>
      <c r="AX861">
        <v>659</v>
      </c>
      <c r="AY861">
        <v>437</v>
      </c>
      <c r="AZ861">
        <v>595</v>
      </c>
      <c r="BA861">
        <v>840</v>
      </c>
      <c r="BB861">
        <v>148</v>
      </c>
      <c r="BC861">
        <v>463</v>
      </c>
      <c r="BD861">
        <v>353</v>
      </c>
      <c r="BE861">
        <v>612</v>
      </c>
      <c r="BF861">
        <v>836</v>
      </c>
      <c r="BG861">
        <v>832</v>
      </c>
      <c r="BH861">
        <v>933</v>
      </c>
      <c r="BI861">
        <v>339</v>
      </c>
      <c r="BJ861">
        <v>724</v>
      </c>
      <c r="BK861">
        <v>828</v>
      </c>
      <c r="BL861">
        <v>832</v>
      </c>
      <c r="BM861">
        <v>563</v>
      </c>
      <c r="BN861">
        <v>177</v>
      </c>
      <c r="BO861">
        <v>403</v>
      </c>
      <c r="BP861">
        <v>308</v>
      </c>
      <c r="BQ861">
        <v>946</v>
      </c>
      <c r="BR861">
        <v>222</v>
      </c>
      <c r="BS861">
        <v>995</v>
      </c>
      <c r="BT861">
        <v>954</v>
      </c>
      <c r="BU861">
        <v>348</v>
      </c>
      <c r="BV861">
        <v>290</v>
      </c>
      <c r="BW861">
        <v>688</v>
      </c>
      <c r="BX861">
        <v>286</v>
      </c>
      <c r="BY861">
        <v>171</v>
      </c>
      <c r="BZ861">
        <v>845</v>
      </c>
      <c r="CA861">
        <v>216</v>
      </c>
      <c r="CB861">
        <v>370</v>
      </c>
      <c r="CC861">
        <v>710</v>
      </c>
      <c r="CD861">
        <v>630</v>
      </c>
      <c r="CE861">
        <v>504</v>
      </c>
      <c r="CF861">
        <v>191</v>
      </c>
      <c r="CG861">
        <v>642</v>
      </c>
      <c r="CH861">
        <v>710</v>
      </c>
      <c r="CI861">
        <v>972</v>
      </c>
      <c r="CJ861">
        <v>813</v>
      </c>
      <c r="CK861">
        <v>908</v>
      </c>
      <c r="CL861">
        <v>469</v>
      </c>
      <c r="CM861">
        <v>722</v>
      </c>
      <c r="CN861">
        <v>143</v>
      </c>
      <c r="CO861">
        <v>276</v>
      </c>
      <c r="CP861">
        <v>462</v>
      </c>
      <c r="CQ861">
        <v>836</v>
      </c>
      <c r="CR861">
        <v>836</v>
      </c>
      <c r="CS861">
        <v>484</v>
      </c>
      <c r="CT861">
        <v>383</v>
      </c>
      <c r="CU861">
        <v>133</v>
      </c>
      <c r="CV861">
        <v>102</v>
      </c>
      <c r="CW861">
        <v>198</v>
      </c>
      <c r="CX861">
        <v>499</v>
      </c>
      <c r="CY861">
        <v>726</v>
      </c>
      <c r="CZ861">
        <v>983</v>
      </c>
      <c r="DA861">
        <v>975</v>
      </c>
      <c r="DB861">
        <v>300</v>
      </c>
      <c r="DC861">
        <v>237</v>
      </c>
      <c r="DD861">
        <v>915</v>
      </c>
      <c r="DE861">
        <v>935</v>
      </c>
      <c r="DF861">
        <v>350</v>
      </c>
      <c r="DG861">
        <v>302</v>
      </c>
      <c r="DH861">
        <v>828</v>
      </c>
      <c r="DI861">
        <v>524</v>
      </c>
      <c r="DJ861">
        <v>141</v>
      </c>
      <c r="DK861">
        <v>974</v>
      </c>
    </row>
    <row r="862" spans="1:115">
      <c r="A862" s="173">
        <f>Calculations[[#This Row],[Sum t eCO2]]*IF(Calculations[[#This Row],[GHG Scope]]="BIOGENIC",0,1)</f>
        <v>5.1135502063858621E-3</v>
      </c>
      <c r="O862">
        <f t="shared" si="19"/>
        <v>14</v>
      </c>
      <c r="P862">
        <v>855</v>
      </c>
      <c r="Q862">
        <v>648</v>
      </c>
      <c r="R862">
        <v>744</v>
      </c>
      <c r="S862">
        <v>336</v>
      </c>
      <c r="T862">
        <v>972</v>
      </c>
      <c r="U862">
        <v>100</v>
      </c>
      <c r="V862">
        <v>677</v>
      </c>
      <c r="W862">
        <v>136</v>
      </c>
      <c r="X862">
        <v>142</v>
      </c>
      <c r="Y862">
        <v>612</v>
      </c>
      <c r="Z862">
        <v>671</v>
      </c>
      <c r="AA862">
        <v>114</v>
      </c>
      <c r="AB862">
        <v>491</v>
      </c>
      <c r="AC862">
        <v>388</v>
      </c>
      <c r="AD862">
        <v>620</v>
      </c>
      <c r="AE862">
        <v>315</v>
      </c>
      <c r="AF862">
        <v>204</v>
      </c>
      <c r="AG862">
        <v>303</v>
      </c>
      <c r="AH862">
        <v>583</v>
      </c>
      <c r="AI862">
        <v>448</v>
      </c>
      <c r="AJ862">
        <v>161</v>
      </c>
      <c r="AK862">
        <v>917</v>
      </c>
      <c r="AL862">
        <v>975</v>
      </c>
      <c r="AM862">
        <v>912</v>
      </c>
      <c r="AN862">
        <v>710</v>
      </c>
      <c r="AO862">
        <v>921</v>
      </c>
      <c r="AP862">
        <v>834</v>
      </c>
      <c r="AQ862">
        <v>862</v>
      </c>
      <c r="AR862">
        <v>749</v>
      </c>
      <c r="AS862">
        <v>860</v>
      </c>
      <c r="AT862">
        <v>505</v>
      </c>
      <c r="AU862">
        <v>155</v>
      </c>
      <c r="AV862">
        <v>408</v>
      </c>
      <c r="AW862">
        <v>671</v>
      </c>
      <c r="AX862">
        <v>282</v>
      </c>
      <c r="AY862">
        <v>449</v>
      </c>
      <c r="AZ862">
        <v>792</v>
      </c>
      <c r="BA862">
        <v>380</v>
      </c>
      <c r="BB862">
        <v>929</v>
      </c>
      <c r="BC862">
        <v>785</v>
      </c>
      <c r="BD862">
        <v>298</v>
      </c>
      <c r="BE862">
        <v>911</v>
      </c>
      <c r="BF862">
        <v>907</v>
      </c>
      <c r="BG862">
        <v>342</v>
      </c>
      <c r="BH862">
        <v>341</v>
      </c>
      <c r="BI862">
        <v>383</v>
      </c>
      <c r="BJ862">
        <v>376</v>
      </c>
      <c r="BK862">
        <v>707</v>
      </c>
      <c r="BL862">
        <v>308</v>
      </c>
      <c r="BM862">
        <v>895</v>
      </c>
      <c r="BN862">
        <v>575</v>
      </c>
      <c r="BO862">
        <v>283</v>
      </c>
      <c r="BP862">
        <v>455</v>
      </c>
      <c r="BQ862">
        <v>405</v>
      </c>
      <c r="BR862">
        <v>479</v>
      </c>
      <c r="BS862">
        <v>942</v>
      </c>
      <c r="BT862">
        <v>983</v>
      </c>
      <c r="BU862">
        <v>264</v>
      </c>
      <c r="BV862">
        <v>227</v>
      </c>
      <c r="BW862">
        <v>601</v>
      </c>
      <c r="BX862">
        <v>985</v>
      </c>
      <c r="BY862">
        <v>662</v>
      </c>
      <c r="BZ862">
        <v>334</v>
      </c>
      <c r="CA862">
        <v>776</v>
      </c>
      <c r="CB862">
        <v>409</v>
      </c>
      <c r="CC862">
        <v>622</v>
      </c>
      <c r="CD862">
        <v>570</v>
      </c>
      <c r="CE862">
        <v>664</v>
      </c>
      <c r="CF862">
        <v>310</v>
      </c>
      <c r="CG862">
        <v>135</v>
      </c>
      <c r="CH862">
        <v>823</v>
      </c>
      <c r="CI862">
        <v>697</v>
      </c>
      <c r="CJ862">
        <v>716</v>
      </c>
      <c r="CK862">
        <v>737</v>
      </c>
      <c r="CL862">
        <v>919</v>
      </c>
      <c r="CM862">
        <v>252</v>
      </c>
      <c r="CN862">
        <v>544</v>
      </c>
      <c r="CO862">
        <v>920</v>
      </c>
      <c r="CP862">
        <v>801</v>
      </c>
      <c r="CQ862">
        <v>980</v>
      </c>
      <c r="CR862">
        <v>585</v>
      </c>
      <c r="CS862">
        <v>343</v>
      </c>
      <c r="CT862">
        <v>536</v>
      </c>
      <c r="CU862">
        <v>151</v>
      </c>
      <c r="CV862">
        <v>357</v>
      </c>
      <c r="CW862">
        <v>409</v>
      </c>
      <c r="CX862">
        <v>179</v>
      </c>
      <c r="CY862">
        <v>413</v>
      </c>
      <c r="CZ862">
        <v>282</v>
      </c>
      <c r="DA862">
        <v>384</v>
      </c>
      <c r="DB862">
        <v>360</v>
      </c>
      <c r="DC862">
        <v>467</v>
      </c>
      <c r="DD862">
        <v>972</v>
      </c>
      <c r="DE862">
        <v>930</v>
      </c>
      <c r="DF862">
        <v>531</v>
      </c>
      <c r="DG862">
        <v>634</v>
      </c>
      <c r="DH862">
        <v>199</v>
      </c>
      <c r="DI862">
        <v>404</v>
      </c>
      <c r="DJ862">
        <v>546</v>
      </c>
      <c r="DK862">
        <v>898</v>
      </c>
    </row>
    <row r="863" spans="1:115">
      <c r="A863" s="173">
        <f>Calculations[[#This Row],[Sum t eCO2]]*IF(Calculations[[#This Row],[GHG Scope]]="BIOGENIC",0,1)</f>
        <v>28.025733260464939</v>
      </c>
      <c r="O863">
        <f t="shared" si="19"/>
        <v>15</v>
      </c>
      <c r="P863">
        <v>776</v>
      </c>
      <c r="Q863">
        <v>212</v>
      </c>
      <c r="R863">
        <v>881</v>
      </c>
      <c r="S863">
        <v>398</v>
      </c>
      <c r="T863">
        <v>881</v>
      </c>
      <c r="U863">
        <v>986</v>
      </c>
      <c r="V863">
        <v>771</v>
      </c>
      <c r="W863">
        <v>983</v>
      </c>
      <c r="X863">
        <v>912</v>
      </c>
      <c r="Y863">
        <v>387</v>
      </c>
      <c r="Z863">
        <v>244</v>
      </c>
      <c r="AA863">
        <v>879</v>
      </c>
      <c r="AB863">
        <v>199</v>
      </c>
      <c r="AC863">
        <v>876</v>
      </c>
      <c r="AD863">
        <v>381</v>
      </c>
      <c r="AE863">
        <v>172</v>
      </c>
      <c r="AF863">
        <v>148</v>
      </c>
      <c r="AG863">
        <v>212</v>
      </c>
      <c r="AH863">
        <v>352</v>
      </c>
      <c r="AI863">
        <v>849</v>
      </c>
      <c r="AJ863">
        <v>463</v>
      </c>
      <c r="AK863">
        <v>638</v>
      </c>
      <c r="AL863">
        <v>886</v>
      </c>
      <c r="AM863">
        <v>128</v>
      </c>
      <c r="AN863">
        <v>650</v>
      </c>
      <c r="AO863">
        <v>966</v>
      </c>
      <c r="AP863">
        <v>217</v>
      </c>
      <c r="AQ863">
        <v>973</v>
      </c>
      <c r="AR863">
        <v>613</v>
      </c>
      <c r="AS863">
        <v>877</v>
      </c>
      <c r="AT863">
        <v>751</v>
      </c>
      <c r="AU863">
        <v>163</v>
      </c>
      <c r="AV863">
        <v>278</v>
      </c>
      <c r="AW863">
        <v>596</v>
      </c>
      <c r="AX863">
        <v>897</v>
      </c>
      <c r="AY863">
        <v>161</v>
      </c>
      <c r="AZ863">
        <v>485</v>
      </c>
      <c r="BA863">
        <v>518</v>
      </c>
      <c r="BB863">
        <v>491</v>
      </c>
      <c r="BC863">
        <v>600</v>
      </c>
      <c r="BD863">
        <v>572</v>
      </c>
      <c r="BE863">
        <v>527</v>
      </c>
      <c r="BF863">
        <v>369</v>
      </c>
      <c r="BG863">
        <v>114</v>
      </c>
      <c r="BH863">
        <v>829</v>
      </c>
      <c r="BI863">
        <v>958</v>
      </c>
      <c r="BJ863">
        <v>894</v>
      </c>
      <c r="BK863">
        <v>949</v>
      </c>
      <c r="BL863">
        <v>369</v>
      </c>
      <c r="BM863">
        <v>522</v>
      </c>
      <c r="BN863">
        <v>337</v>
      </c>
      <c r="BO863">
        <v>797</v>
      </c>
      <c r="BP863">
        <v>581</v>
      </c>
      <c r="BQ863">
        <v>204</v>
      </c>
      <c r="BR863">
        <v>127</v>
      </c>
      <c r="BS863">
        <v>423</v>
      </c>
      <c r="BT863">
        <v>994</v>
      </c>
      <c r="BU863">
        <v>759</v>
      </c>
      <c r="BV863">
        <v>361</v>
      </c>
      <c r="BW863">
        <v>168</v>
      </c>
      <c r="BX863">
        <v>286</v>
      </c>
      <c r="BY863">
        <v>965</v>
      </c>
      <c r="BZ863">
        <v>466</v>
      </c>
      <c r="CA863">
        <v>875</v>
      </c>
      <c r="CB863">
        <v>699</v>
      </c>
      <c r="CC863">
        <v>371</v>
      </c>
      <c r="CD863">
        <v>221</v>
      </c>
      <c r="CE863">
        <v>464</v>
      </c>
      <c r="CF863">
        <v>151</v>
      </c>
      <c r="CG863">
        <v>364</v>
      </c>
      <c r="CH863">
        <v>898</v>
      </c>
      <c r="CI863">
        <v>377</v>
      </c>
      <c r="CJ863">
        <v>118</v>
      </c>
      <c r="CK863">
        <v>329</v>
      </c>
      <c r="CL863">
        <v>855</v>
      </c>
      <c r="CM863">
        <v>104</v>
      </c>
      <c r="CN863">
        <v>840</v>
      </c>
      <c r="CO863">
        <v>933</v>
      </c>
      <c r="CP863">
        <v>194</v>
      </c>
      <c r="CQ863">
        <v>863</v>
      </c>
      <c r="CR863">
        <v>315</v>
      </c>
      <c r="CS863">
        <v>794</v>
      </c>
      <c r="CT863">
        <v>930</v>
      </c>
      <c r="CU863">
        <v>125</v>
      </c>
      <c r="CV863">
        <v>128</v>
      </c>
      <c r="CW863">
        <v>726</v>
      </c>
      <c r="CX863">
        <v>862</v>
      </c>
      <c r="CY863">
        <v>111</v>
      </c>
      <c r="CZ863">
        <v>432</v>
      </c>
      <c r="DA863">
        <v>977</v>
      </c>
      <c r="DB863">
        <v>135</v>
      </c>
      <c r="DC863">
        <v>521</v>
      </c>
      <c r="DD863">
        <v>269</v>
      </c>
      <c r="DE863">
        <v>165</v>
      </c>
      <c r="DF863">
        <v>767</v>
      </c>
      <c r="DG863">
        <v>758</v>
      </c>
      <c r="DH863">
        <v>216</v>
      </c>
      <c r="DI863">
        <v>808</v>
      </c>
      <c r="DJ863">
        <v>444</v>
      </c>
      <c r="DK863">
        <v>471</v>
      </c>
    </row>
    <row r="864" spans="1:115">
      <c r="A864" s="173">
        <f>Calculations[[#This Row],[Sum t eCO2]]*IF(Calculations[[#This Row],[GHG Scope]]="BIOGENIC",0,1)</f>
        <v>4.5290116490273161E-2</v>
      </c>
      <c r="O864">
        <f t="shared" si="19"/>
        <v>16</v>
      </c>
      <c r="P864">
        <v>867</v>
      </c>
      <c r="Q864">
        <v>185</v>
      </c>
      <c r="R864">
        <v>723</v>
      </c>
      <c r="S864">
        <v>651</v>
      </c>
      <c r="T864">
        <v>661</v>
      </c>
      <c r="U864">
        <v>340</v>
      </c>
      <c r="V864">
        <v>754</v>
      </c>
      <c r="W864">
        <v>724</v>
      </c>
      <c r="X864">
        <v>415</v>
      </c>
      <c r="Y864">
        <v>885</v>
      </c>
      <c r="Z864">
        <v>924</v>
      </c>
      <c r="AA864">
        <v>119</v>
      </c>
      <c r="AB864">
        <v>539</v>
      </c>
      <c r="AC864">
        <v>913</v>
      </c>
      <c r="AD864">
        <v>952</v>
      </c>
      <c r="AE864">
        <v>702</v>
      </c>
      <c r="AF864">
        <v>544</v>
      </c>
      <c r="AG864">
        <v>784</v>
      </c>
      <c r="AH864">
        <v>174</v>
      </c>
      <c r="AI864">
        <v>972</v>
      </c>
      <c r="AJ864">
        <v>673</v>
      </c>
      <c r="AK864">
        <v>749</v>
      </c>
      <c r="AL864">
        <v>521</v>
      </c>
      <c r="AM864">
        <v>660</v>
      </c>
      <c r="AN864">
        <v>179</v>
      </c>
      <c r="AO864">
        <v>710</v>
      </c>
      <c r="AP864">
        <v>461</v>
      </c>
      <c r="AQ864">
        <v>591</v>
      </c>
      <c r="AR864">
        <v>671</v>
      </c>
      <c r="AS864">
        <v>779</v>
      </c>
      <c r="AT864">
        <v>647</v>
      </c>
      <c r="AU864">
        <v>841</v>
      </c>
      <c r="AV864">
        <v>129</v>
      </c>
      <c r="AW864">
        <v>316</v>
      </c>
      <c r="AX864">
        <v>995</v>
      </c>
      <c r="AY864">
        <v>642</v>
      </c>
      <c r="AZ864">
        <v>383</v>
      </c>
      <c r="BA864">
        <v>314</v>
      </c>
      <c r="BB864">
        <v>904</v>
      </c>
      <c r="BC864">
        <v>900</v>
      </c>
      <c r="BD864">
        <v>486</v>
      </c>
      <c r="BE864">
        <v>963</v>
      </c>
      <c r="BF864">
        <v>419</v>
      </c>
      <c r="BG864">
        <v>829</v>
      </c>
      <c r="BH864">
        <v>321</v>
      </c>
      <c r="BI864">
        <v>641</v>
      </c>
      <c r="BJ864">
        <v>705</v>
      </c>
      <c r="BK864">
        <v>625</v>
      </c>
      <c r="BL864">
        <v>517</v>
      </c>
      <c r="BM864">
        <v>467</v>
      </c>
      <c r="BN864">
        <v>425</v>
      </c>
      <c r="BO864">
        <v>122</v>
      </c>
      <c r="BP864">
        <v>273</v>
      </c>
      <c r="BQ864">
        <v>786</v>
      </c>
      <c r="BR864">
        <v>423</v>
      </c>
      <c r="BS864">
        <v>314</v>
      </c>
      <c r="BT864">
        <v>758</v>
      </c>
      <c r="BU864">
        <v>202</v>
      </c>
      <c r="BV864">
        <v>650</v>
      </c>
      <c r="BW864">
        <v>768</v>
      </c>
      <c r="BX864">
        <v>199</v>
      </c>
      <c r="BY864">
        <v>493</v>
      </c>
      <c r="BZ864">
        <v>616</v>
      </c>
      <c r="CA864">
        <v>840</v>
      </c>
      <c r="CB864">
        <v>139</v>
      </c>
      <c r="CC864">
        <v>666</v>
      </c>
      <c r="CD864">
        <v>594</v>
      </c>
      <c r="CE864">
        <v>437</v>
      </c>
      <c r="CF864">
        <v>751</v>
      </c>
      <c r="CG864">
        <v>746</v>
      </c>
      <c r="CH864">
        <v>954</v>
      </c>
      <c r="CI864">
        <v>890</v>
      </c>
      <c r="CJ864">
        <v>298</v>
      </c>
      <c r="CK864">
        <v>767</v>
      </c>
      <c r="CL864">
        <v>785</v>
      </c>
      <c r="CM864">
        <v>781</v>
      </c>
      <c r="CN864">
        <v>669</v>
      </c>
      <c r="CO864">
        <v>749</v>
      </c>
      <c r="CP864">
        <v>304</v>
      </c>
      <c r="CQ864">
        <v>353</v>
      </c>
      <c r="CR864">
        <v>884</v>
      </c>
      <c r="CS864">
        <v>704</v>
      </c>
      <c r="CT864">
        <v>589</v>
      </c>
      <c r="CU864">
        <v>521</v>
      </c>
      <c r="CV864">
        <v>777</v>
      </c>
      <c r="CW864">
        <v>861</v>
      </c>
      <c r="CX864">
        <v>479</v>
      </c>
      <c r="CY864">
        <v>993</v>
      </c>
      <c r="CZ864">
        <v>101</v>
      </c>
      <c r="DA864">
        <v>605</v>
      </c>
      <c r="DB864">
        <v>782</v>
      </c>
      <c r="DC864">
        <v>322</v>
      </c>
      <c r="DD864">
        <v>273</v>
      </c>
      <c r="DE864">
        <v>292</v>
      </c>
      <c r="DF864">
        <v>522</v>
      </c>
      <c r="DG864">
        <v>803</v>
      </c>
      <c r="DH864">
        <v>199</v>
      </c>
      <c r="DI864">
        <v>393</v>
      </c>
      <c r="DJ864">
        <v>797</v>
      </c>
      <c r="DK864">
        <v>633</v>
      </c>
    </row>
    <row r="865" spans="1:115">
      <c r="A865" s="173">
        <f>Calculations[[#This Row],[Sum t eCO2]]*IF(Calculations[[#This Row],[GHG Scope]]="BIOGENIC",0,1)</f>
        <v>4.6250382398974388</v>
      </c>
      <c r="O865">
        <f t="shared" si="19"/>
        <v>17</v>
      </c>
      <c r="P865">
        <v>898</v>
      </c>
      <c r="Q865">
        <v>981</v>
      </c>
      <c r="R865">
        <v>798</v>
      </c>
      <c r="S865">
        <v>376</v>
      </c>
      <c r="T865">
        <v>837</v>
      </c>
      <c r="U865">
        <v>926</v>
      </c>
      <c r="V865">
        <v>483</v>
      </c>
      <c r="W865">
        <v>311</v>
      </c>
      <c r="X865">
        <v>965</v>
      </c>
      <c r="Y865">
        <v>842</v>
      </c>
      <c r="Z865">
        <v>558</v>
      </c>
      <c r="AA865">
        <v>732</v>
      </c>
      <c r="AB865">
        <v>439</v>
      </c>
      <c r="AC865">
        <v>653</v>
      </c>
      <c r="AD865">
        <v>145</v>
      </c>
      <c r="AE865">
        <v>209</v>
      </c>
      <c r="AF865">
        <v>123</v>
      </c>
      <c r="AG865">
        <v>189</v>
      </c>
      <c r="AH865">
        <v>175</v>
      </c>
      <c r="AI865">
        <v>105</v>
      </c>
      <c r="AJ865">
        <v>531</v>
      </c>
      <c r="AK865">
        <v>210</v>
      </c>
      <c r="AL865">
        <v>858</v>
      </c>
      <c r="AM865">
        <v>221</v>
      </c>
      <c r="AN865">
        <v>346</v>
      </c>
      <c r="AO865">
        <v>550</v>
      </c>
      <c r="AP865">
        <v>805</v>
      </c>
      <c r="AQ865">
        <v>217</v>
      </c>
      <c r="AR865">
        <v>719</v>
      </c>
      <c r="AS865">
        <v>345</v>
      </c>
      <c r="AT865">
        <v>691</v>
      </c>
      <c r="AU865">
        <v>121</v>
      </c>
      <c r="AV865">
        <v>962</v>
      </c>
      <c r="AW865">
        <v>333</v>
      </c>
      <c r="AX865">
        <v>550</v>
      </c>
      <c r="AY865">
        <v>339</v>
      </c>
      <c r="AZ865">
        <v>665</v>
      </c>
      <c r="BA865">
        <v>239</v>
      </c>
      <c r="BB865">
        <v>873</v>
      </c>
      <c r="BC865">
        <v>777</v>
      </c>
      <c r="BD865">
        <v>813</v>
      </c>
      <c r="BE865">
        <v>453</v>
      </c>
      <c r="BF865">
        <v>410</v>
      </c>
      <c r="BG865">
        <v>599</v>
      </c>
      <c r="BH865">
        <v>520</v>
      </c>
      <c r="BI865">
        <v>978</v>
      </c>
      <c r="BJ865">
        <v>938</v>
      </c>
      <c r="BK865">
        <v>842</v>
      </c>
      <c r="BL865">
        <v>208</v>
      </c>
      <c r="BM865">
        <v>806</v>
      </c>
      <c r="BN865">
        <v>644</v>
      </c>
      <c r="BO865">
        <v>959</v>
      </c>
      <c r="BP865">
        <v>544</v>
      </c>
      <c r="BQ865">
        <v>691</v>
      </c>
      <c r="BR865">
        <v>256</v>
      </c>
      <c r="BS865">
        <v>135</v>
      </c>
      <c r="BT865">
        <v>535</v>
      </c>
      <c r="BU865">
        <v>726</v>
      </c>
      <c r="BV865">
        <v>870</v>
      </c>
      <c r="BW865">
        <v>116</v>
      </c>
      <c r="BX865">
        <v>922</v>
      </c>
      <c r="BY865">
        <v>246</v>
      </c>
      <c r="BZ865">
        <v>283</v>
      </c>
      <c r="CA865">
        <v>983</v>
      </c>
      <c r="CB865">
        <v>591</v>
      </c>
      <c r="CC865">
        <v>153</v>
      </c>
      <c r="CD865">
        <v>405</v>
      </c>
      <c r="CE865">
        <v>227</v>
      </c>
      <c r="CF865">
        <v>720</v>
      </c>
      <c r="CG865">
        <v>638</v>
      </c>
      <c r="CH865">
        <v>785</v>
      </c>
      <c r="CI865">
        <v>380</v>
      </c>
      <c r="CJ865">
        <v>888</v>
      </c>
      <c r="CK865">
        <v>311</v>
      </c>
      <c r="CL865">
        <v>934</v>
      </c>
      <c r="CM865">
        <v>269</v>
      </c>
      <c r="CN865">
        <v>651</v>
      </c>
      <c r="CO865">
        <v>113</v>
      </c>
      <c r="CP865">
        <v>401</v>
      </c>
      <c r="CQ865">
        <v>222</v>
      </c>
      <c r="CR865">
        <v>772</v>
      </c>
      <c r="CS865">
        <v>319</v>
      </c>
      <c r="CT865">
        <v>613</v>
      </c>
      <c r="CU865">
        <v>335</v>
      </c>
      <c r="CV865">
        <v>158</v>
      </c>
      <c r="CW865">
        <v>983</v>
      </c>
      <c r="CX865">
        <v>819</v>
      </c>
      <c r="CY865">
        <v>859</v>
      </c>
      <c r="CZ865">
        <v>487</v>
      </c>
      <c r="DA865">
        <v>929</v>
      </c>
      <c r="DB865">
        <v>886</v>
      </c>
      <c r="DC865">
        <v>729</v>
      </c>
      <c r="DD865">
        <v>330</v>
      </c>
      <c r="DE865">
        <v>230</v>
      </c>
      <c r="DF865">
        <v>840</v>
      </c>
      <c r="DG865">
        <v>204</v>
      </c>
      <c r="DH865">
        <v>367</v>
      </c>
      <c r="DI865">
        <v>534</v>
      </c>
      <c r="DJ865">
        <v>721</v>
      </c>
      <c r="DK865">
        <v>440</v>
      </c>
    </row>
    <row r="866" spans="1:115">
      <c r="A866" s="173">
        <f>Calculations[[#This Row],[Sum t eCO2]]*IF(Calculations[[#This Row],[GHG Scope]]="BIOGENIC",0,1)</f>
        <v>1.3857499693495905E-2</v>
      </c>
      <c r="O866">
        <f t="shared" si="19"/>
        <v>18</v>
      </c>
      <c r="P866">
        <v>859</v>
      </c>
      <c r="Q866">
        <v>364</v>
      </c>
      <c r="R866">
        <v>505</v>
      </c>
      <c r="S866">
        <v>721</v>
      </c>
      <c r="T866">
        <v>257</v>
      </c>
      <c r="U866">
        <v>161</v>
      </c>
      <c r="V866">
        <v>856</v>
      </c>
      <c r="W866">
        <v>796</v>
      </c>
      <c r="X866">
        <v>943</v>
      </c>
      <c r="Y866">
        <v>892</v>
      </c>
      <c r="Z866">
        <v>687</v>
      </c>
      <c r="AA866">
        <v>724</v>
      </c>
      <c r="AB866">
        <v>732</v>
      </c>
      <c r="AC866">
        <v>504</v>
      </c>
      <c r="AD866">
        <v>791</v>
      </c>
      <c r="AE866">
        <v>709</v>
      </c>
      <c r="AF866">
        <v>369</v>
      </c>
      <c r="AG866">
        <v>269</v>
      </c>
      <c r="AH866">
        <v>465</v>
      </c>
      <c r="AI866">
        <v>691</v>
      </c>
      <c r="AJ866">
        <v>907</v>
      </c>
      <c r="AK866">
        <v>476</v>
      </c>
      <c r="AL866">
        <v>851</v>
      </c>
      <c r="AM866">
        <v>358</v>
      </c>
      <c r="AN866">
        <v>952</v>
      </c>
      <c r="AO866">
        <v>526</v>
      </c>
      <c r="AP866">
        <v>747</v>
      </c>
      <c r="AQ866">
        <v>567</v>
      </c>
      <c r="AR866">
        <v>778</v>
      </c>
      <c r="AS866">
        <v>524</v>
      </c>
      <c r="AT866">
        <v>315</v>
      </c>
      <c r="AU866">
        <v>161</v>
      </c>
      <c r="AV866">
        <v>202</v>
      </c>
      <c r="AW866">
        <v>780</v>
      </c>
      <c r="AX866">
        <v>316</v>
      </c>
      <c r="AY866">
        <v>167</v>
      </c>
      <c r="AZ866">
        <v>563</v>
      </c>
      <c r="BA866">
        <v>627</v>
      </c>
      <c r="BB866">
        <v>973</v>
      </c>
      <c r="BC866">
        <v>508</v>
      </c>
      <c r="BD866">
        <v>965</v>
      </c>
      <c r="BE866">
        <v>251</v>
      </c>
      <c r="BF866">
        <v>633</v>
      </c>
      <c r="BG866">
        <v>798</v>
      </c>
      <c r="BH866">
        <v>229</v>
      </c>
      <c r="BI866">
        <v>710</v>
      </c>
      <c r="BJ866">
        <v>187</v>
      </c>
      <c r="BK866">
        <v>704</v>
      </c>
      <c r="BL866">
        <v>355</v>
      </c>
      <c r="BM866">
        <v>353</v>
      </c>
      <c r="BN866">
        <v>396</v>
      </c>
      <c r="BO866">
        <v>380</v>
      </c>
      <c r="BP866">
        <v>918</v>
      </c>
      <c r="BQ866">
        <v>481</v>
      </c>
      <c r="BR866">
        <v>811</v>
      </c>
      <c r="BS866">
        <v>283</v>
      </c>
      <c r="BT866">
        <v>862</v>
      </c>
      <c r="BU866">
        <v>585</v>
      </c>
      <c r="BV866">
        <v>575</v>
      </c>
      <c r="BW866">
        <v>231</v>
      </c>
      <c r="BX866">
        <v>376</v>
      </c>
      <c r="BY866">
        <v>527</v>
      </c>
      <c r="BZ866">
        <v>365</v>
      </c>
      <c r="CA866">
        <v>524</v>
      </c>
      <c r="CB866">
        <v>642</v>
      </c>
      <c r="CC866">
        <v>815</v>
      </c>
      <c r="CD866">
        <v>209</v>
      </c>
      <c r="CE866">
        <v>763</v>
      </c>
      <c r="CF866">
        <v>589</v>
      </c>
      <c r="CG866">
        <v>924</v>
      </c>
      <c r="CH866">
        <v>657</v>
      </c>
      <c r="CI866">
        <v>188</v>
      </c>
      <c r="CJ866">
        <v>738</v>
      </c>
      <c r="CK866">
        <v>491</v>
      </c>
      <c r="CL866">
        <v>673</v>
      </c>
      <c r="CM866">
        <v>355</v>
      </c>
      <c r="CN866">
        <v>992</v>
      </c>
      <c r="CO866">
        <v>984</v>
      </c>
      <c r="CP866">
        <v>663</v>
      </c>
      <c r="CQ866">
        <v>991</v>
      </c>
      <c r="CR866">
        <v>149</v>
      </c>
      <c r="CS866">
        <v>120</v>
      </c>
      <c r="CT866">
        <v>242</v>
      </c>
      <c r="CU866">
        <v>386</v>
      </c>
      <c r="CV866">
        <v>520</v>
      </c>
      <c r="CW866">
        <v>468</v>
      </c>
      <c r="CX866">
        <v>875</v>
      </c>
      <c r="CY866">
        <v>534</v>
      </c>
      <c r="CZ866">
        <v>154</v>
      </c>
      <c r="DA866">
        <v>576</v>
      </c>
      <c r="DB866">
        <v>950</v>
      </c>
      <c r="DC866">
        <v>396</v>
      </c>
      <c r="DD866">
        <v>404</v>
      </c>
      <c r="DE866">
        <v>209</v>
      </c>
      <c r="DF866">
        <v>687</v>
      </c>
      <c r="DG866">
        <v>148</v>
      </c>
      <c r="DH866">
        <v>267</v>
      </c>
      <c r="DI866">
        <v>547</v>
      </c>
      <c r="DJ866">
        <v>983</v>
      </c>
      <c r="DK866">
        <v>368</v>
      </c>
    </row>
    <row r="867" spans="1:115">
      <c r="A867" s="173">
        <f>Calculations[[#This Row],[Sum t eCO2]]*IF(Calculations[[#This Row],[GHG Scope]]="BIOGENIC",0,1)</f>
        <v>1.3281948588015242E-3</v>
      </c>
      <c r="O867">
        <f t="shared" si="19"/>
        <v>19</v>
      </c>
      <c r="P867">
        <v>899</v>
      </c>
      <c r="Q867">
        <v>671</v>
      </c>
      <c r="R867">
        <v>315</v>
      </c>
      <c r="S867">
        <v>826</v>
      </c>
      <c r="T867">
        <v>492</v>
      </c>
      <c r="U867">
        <v>705</v>
      </c>
      <c r="V867">
        <v>142</v>
      </c>
      <c r="W867">
        <v>253</v>
      </c>
      <c r="X867">
        <v>328</v>
      </c>
      <c r="Y867">
        <v>812</v>
      </c>
      <c r="Z867">
        <v>976</v>
      </c>
      <c r="AA867">
        <v>510</v>
      </c>
      <c r="AB867">
        <v>205</v>
      </c>
      <c r="AC867">
        <v>617</v>
      </c>
      <c r="AD867">
        <v>969</v>
      </c>
      <c r="AE867">
        <v>861</v>
      </c>
      <c r="AF867">
        <v>461</v>
      </c>
      <c r="AG867">
        <v>201</v>
      </c>
      <c r="AH867">
        <v>756</v>
      </c>
      <c r="AI867">
        <v>646</v>
      </c>
      <c r="AJ867">
        <v>711</v>
      </c>
      <c r="AK867">
        <v>644</v>
      </c>
      <c r="AL867">
        <v>450</v>
      </c>
      <c r="AM867">
        <v>138</v>
      </c>
      <c r="AN867">
        <v>727</v>
      </c>
      <c r="AO867">
        <v>722</v>
      </c>
      <c r="AP867">
        <v>964</v>
      </c>
      <c r="AQ867">
        <v>484</v>
      </c>
      <c r="AR867">
        <v>726</v>
      </c>
      <c r="AS867">
        <v>245</v>
      </c>
      <c r="AT867">
        <v>204</v>
      </c>
      <c r="AU867">
        <v>822</v>
      </c>
      <c r="AV867">
        <v>723</v>
      </c>
      <c r="AW867">
        <v>819</v>
      </c>
      <c r="AX867">
        <v>208</v>
      </c>
      <c r="AY867">
        <v>897</v>
      </c>
      <c r="AZ867">
        <v>809</v>
      </c>
      <c r="BA867">
        <v>284</v>
      </c>
      <c r="BB867">
        <v>353</v>
      </c>
      <c r="BC867">
        <v>763</v>
      </c>
      <c r="BD867">
        <v>996</v>
      </c>
      <c r="BE867">
        <v>370</v>
      </c>
      <c r="BF867">
        <v>640</v>
      </c>
      <c r="BG867">
        <v>433</v>
      </c>
      <c r="BH867">
        <v>161</v>
      </c>
      <c r="BI867">
        <v>996</v>
      </c>
      <c r="BJ867">
        <v>815</v>
      </c>
      <c r="BK867">
        <v>626</v>
      </c>
      <c r="BL867">
        <v>148</v>
      </c>
      <c r="BM867">
        <v>636</v>
      </c>
      <c r="BN867">
        <v>640</v>
      </c>
      <c r="BO867">
        <v>954</v>
      </c>
      <c r="BP867">
        <v>173</v>
      </c>
      <c r="BQ867">
        <v>870</v>
      </c>
      <c r="BR867">
        <v>396</v>
      </c>
      <c r="BS867">
        <v>201</v>
      </c>
      <c r="BT867">
        <v>812</v>
      </c>
      <c r="BU867">
        <v>667</v>
      </c>
      <c r="BV867">
        <v>843</v>
      </c>
      <c r="BW867">
        <v>688</v>
      </c>
      <c r="BX867">
        <v>257</v>
      </c>
      <c r="BY867">
        <v>806</v>
      </c>
      <c r="BZ867">
        <v>398</v>
      </c>
      <c r="CA867">
        <v>107</v>
      </c>
      <c r="CB867">
        <v>489</v>
      </c>
      <c r="CC867">
        <v>304</v>
      </c>
      <c r="CD867">
        <v>476</v>
      </c>
      <c r="CE867">
        <v>729</v>
      </c>
      <c r="CF867">
        <v>165</v>
      </c>
      <c r="CG867">
        <v>488</v>
      </c>
      <c r="CH867">
        <v>585</v>
      </c>
      <c r="CI867">
        <v>689</v>
      </c>
      <c r="CJ867">
        <v>284</v>
      </c>
      <c r="CK867">
        <v>992</v>
      </c>
      <c r="CL867">
        <v>430</v>
      </c>
      <c r="CM867">
        <v>518</v>
      </c>
      <c r="CN867">
        <v>594</v>
      </c>
      <c r="CO867">
        <v>153</v>
      </c>
      <c r="CP867">
        <v>524</v>
      </c>
      <c r="CQ867">
        <v>890</v>
      </c>
      <c r="CR867">
        <v>353</v>
      </c>
      <c r="CS867">
        <v>593</v>
      </c>
      <c r="CT867">
        <v>520</v>
      </c>
      <c r="CU867">
        <v>801</v>
      </c>
      <c r="CV867">
        <v>446</v>
      </c>
      <c r="CW867">
        <v>340</v>
      </c>
      <c r="CX867">
        <v>893</v>
      </c>
      <c r="CY867">
        <v>254</v>
      </c>
      <c r="CZ867">
        <v>783</v>
      </c>
      <c r="DA867">
        <v>714</v>
      </c>
      <c r="DB867">
        <v>493</v>
      </c>
      <c r="DC867">
        <v>131</v>
      </c>
      <c r="DD867">
        <v>625</v>
      </c>
      <c r="DE867">
        <v>687</v>
      </c>
      <c r="DF867">
        <v>941</v>
      </c>
      <c r="DG867">
        <v>480</v>
      </c>
      <c r="DH867">
        <v>270</v>
      </c>
      <c r="DI867">
        <v>567</v>
      </c>
      <c r="DJ867">
        <v>696</v>
      </c>
      <c r="DK867">
        <v>475</v>
      </c>
    </row>
    <row r="868" spans="1:115">
      <c r="A868" s="173">
        <f>Calculations[[#This Row],[Sum t eCO2]]*IF(Calculations[[#This Row],[GHG Scope]]="BIOGENIC",0,1)</f>
        <v>68.985871302322067</v>
      </c>
      <c r="O868">
        <f t="shared" si="19"/>
        <v>20</v>
      </c>
      <c r="P868">
        <v>334</v>
      </c>
      <c r="Q868">
        <v>810</v>
      </c>
      <c r="R868">
        <v>171</v>
      </c>
      <c r="S868">
        <v>880</v>
      </c>
      <c r="T868">
        <v>296</v>
      </c>
      <c r="U868">
        <v>118</v>
      </c>
      <c r="V868">
        <v>387</v>
      </c>
      <c r="W868">
        <v>341</v>
      </c>
      <c r="X868">
        <v>486</v>
      </c>
      <c r="Y868">
        <v>196</v>
      </c>
      <c r="Z868">
        <v>930</v>
      </c>
      <c r="AA868">
        <v>175</v>
      </c>
      <c r="AB868">
        <v>111</v>
      </c>
      <c r="AC868">
        <v>591</v>
      </c>
      <c r="AD868">
        <v>270</v>
      </c>
      <c r="AE868">
        <v>529</v>
      </c>
      <c r="AF868">
        <v>696</v>
      </c>
      <c r="AG868">
        <v>588</v>
      </c>
      <c r="AH868">
        <v>818</v>
      </c>
      <c r="AI868">
        <v>245</v>
      </c>
      <c r="AJ868">
        <v>134</v>
      </c>
      <c r="AK868">
        <v>918</v>
      </c>
      <c r="AL868">
        <v>983</v>
      </c>
      <c r="AM868">
        <v>666</v>
      </c>
      <c r="AN868">
        <v>191</v>
      </c>
      <c r="AO868">
        <v>320</v>
      </c>
      <c r="AP868">
        <v>251</v>
      </c>
      <c r="AQ868">
        <v>810</v>
      </c>
      <c r="AR868">
        <v>125</v>
      </c>
      <c r="AS868">
        <v>964</v>
      </c>
      <c r="AT868">
        <v>333</v>
      </c>
      <c r="AU868">
        <v>442</v>
      </c>
      <c r="AV868">
        <v>716</v>
      </c>
      <c r="AW868">
        <v>215</v>
      </c>
      <c r="AX868">
        <v>488</v>
      </c>
      <c r="AY868">
        <v>761</v>
      </c>
      <c r="AZ868">
        <v>856</v>
      </c>
      <c r="BA868">
        <v>489</v>
      </c>
      <c r="BB868">
        <v>400</v>
      </c>
      <c r="BC868">
        <v>466</v>
      </c>
      <c r="BD868">
        <v>927</v>
      </c>
      <c r="BE868">
        <v>967</v>
      </c>
      <c r="BF868">
        <v>782</v>
      </c>
      <c r="BG868">
        <v>312</v>
      </c>
      <c r="BH868">
        <v>533</v>
      </c>
      <c r="BI868">
        <v>640</v>
      </c>
      <c r="BJ868">
        <v>247</v>
      </c>
      <c r="BK868">
        <v>749</v>
      </c>
      <c r="BL868">
        <v>868</v>
      </c>
      <c r="BM868">
        <v>968</v>
      </c>
      <c r="BN868">
        <v>345</v>
      </c>
      <c r="BO868">
        <v>724</v>
      </c>
      <c r="BP868">
        <v>874</v>
      </c>
      <c r="BQ868">
        <v>924</v>
      </c>
      <c r="BR868">
        <v>346</v>
      </c>
      <c r="BS868">
        <v>513</v>
      </c>
      <c r="BT868">
        <v>168</v>
      </c>
      <c r="BU868">
        <v>881</v>
      </c>
      <c r="BV868">
        <v>493</v>
      </c>
      <c r="BW868">
        <v>344</v>
      </c>
      <c r="BX868">
        <v>506</v>
      </c>
      <c r="BY868">
        <v>658</v>
      </c>
      <c r="BZ868">
        <v>933</v>
      </c>
      <c r="CA868">
        <v>130</v>
      </c>
      <c r="CB868">
        <v>997</v>
      </c>
      <c r="CC868">
        <v>699</v>
      </c>
      <c r="CD868">
        <v>278</v>
      </c>
      <c r="CE868">
        <v>698</v>
      </c>
      <c r="CF868">
        <v>423</v>
      </c>
      <c r="CG868">
        <v>555</v>
      </c>
      <c r="CH868">
        <v>349</v>
      </c>
      <c r="CI868">
        <v>216</v>
      </c>
      <c r="CJ868">
        <v>407</v>
      </c>
      <c r="CK868">
        <v>114</v>
      </c>
      <c r="CL868">
        <v>488</v>
      </c>
      <c r="CM868">
        <v>144</v>
      </c>
      <c r="CN868">
        <v>946</v>
      </c>
      <c r="CO868">
        <v>902</v>
      </c>
      <c r="CP868">
        <v>407</v>
      </c>
      <c r="CQ868">
        <v>126</v>
      </c>
      <c r="CR868">
        <v>473</v>
      </c>
      <c r="CS868">
        <v>608</v>
      </c>
      <c r="CT868">
        <v>984</v>
      </c>
      <c r="CU868">
        <v>243</v>
      </c>
      <c r="CV868">
        <v>404</v>
      </c>
      <c r="CW868">
        <v>399</v>
      </c>
      <c r="CX868">
        <v>485</v>
      </c>
      <c r="CY868">
        <v>467</v>
      </c>
      <c r="CZ868">
        <v>730</v>
      </c>
      <c r="DA868">
        <v>426</v>
      </c>
      <c r="DB868">
        <v>202</v>
      </c>
      <c r="DC868">
        <v>458</v>
      </c>
      <c r="DD868">
        <v>733</v>
      </c>
      <c r="DE868">
        <v>951</v>
      </c>
      <c r="DF868">
        <v>696</v>
      </c>
      <c r="DG868">
        <v>517</v>
      </c>
      <c r="DH868">
        <v>838</v>
      </c>
      <c r="DI868">
        <v>772</v>
      </c>
      <c r="DJ868">
        <v>238</v>
      </c>
      <c r="DK868">
        <v>109</v>
      </c>
    </row>
    <row r="869" spans="1:115">
      <c r="A869" s="173">
        <f>Calculations[[#This Row],[Sum t eCO2]]*IF(Calculations[[#This Row],[GHG Scope]]="BIOGENIC",0,1)</f>
        <v>6.2095420813437832</v>
      </c>
      <c r="O869">
        <f t="shared" si="19"/>
        <v>21</v>
      </c>
      <c r="P869">
        <v>291</v>
      </c>
      <c r="Q869">
        <v>367</v>
      </c>
      <c r="R869">
        <v>530</v>
      </c>
      <c r="S869">
        <v>328</v>
      </c>
      <c r="T869">
        <v>648</v>
      </c>
      <c r="U869">
        <v>256</v>
      </c>
      <c r="V869">
        <v>719</v>
      </c>
      <c r="W869">
        <v>767</v>
      </c>
      <c r="X869">
        <v>633</v>
      </c>
      <c r="Y869">
        <v>360</v>
      </c>
      <c r="Z869">
        <v>941</v>
      </c>
      <c r="AA869">
        <v>843</v>
      </c>
      <c r="AB869">
        <v>125</v>
      </c>
      <c r="AC869">
        <v>506</v>
      </c>
      <c r="AD869">
        <v>744</v>
      </c>
      <c r="AE869">
        <v>201</v>
      </c>
      <c r="AF869">
        <v>372</v>
      </c>
      <c r="AG869">
        <v>741</v>
      </c>
      <c r="AH869">
        <v>748</v>
      </c>
      <c r="AI869">
        <v>972</v>
      </c>
      <c r="AJ869">
        <v>895</v>
      </c>
      <c r="AK869">
        <v>770</v>
      </c>
      <c r="AL869">
        <v>907</v>
      </c>
      <c r="AM869">
        <v>968</v>
      </c>
      <c r="AN869">
        <v>434</v>
      </c>
      <c r="AO869">
        <v>463</v>
      </c>
      <c r="AP869">
        <v>450</v>
      </c>
      <c r="AQ869">
        <v>563</v>
      </c>
      <c r="AR869">
        <v>461</v>
      </c>
      <c r="AS869">
        <v>909</v>
      </c>
      <c r="AT869">
        <v>443</v>
      </c>
      <c r="AU869">
        <v>389</v>
      </c>
      <c r="AV869">
        <v>390</v>
      </c>
      <c r="AW869">
        <v>358</v>
      </c>
      <c r="AX869">
        <v>524</v>
      </c>
      <c r="AY869">
        <v>674</v>
      </c>
      <c r="AZ869">
        <v>213</v>
      </c>
      <c r="BA869">
        <v>773</v>
      </c>
      <c r="BB869">
        <v>971</v>
      </c>
      <c r="BC869">
        <v>152</v>
      </c>
      <c r="BD869">
        <v>212</v>
      </c>
      <c r="BE869">
        <v>940</v>
      </c>
      <c r="BF869">
        <v>882</v>
      </c>
      <c r="BG869">
        <v>754</v>
      </c>
      <c r="BH869">
        <v>917</v>
      </c>
      <c r="BI869">
        <v>396</v>
      </c>
      <c r="BJ869">
        <v>649</v>
      </c>
      <c r="BK869">
        <v>439</v>
      </c>
      <c r="BL869">
        <v>208</v>
      </c>
      <c r="BM869">
        <v>269</v>
      </c>
      <c r="BN869">
        <v>708</v>
      </c>
      <c r="BO869">
        <v>234</v>
      </c>
      <c r="BP869">
        <v>103</v>
      </c>
      <c r="BQ869">
        <v>943</v>
      </c>
      <c r="BR869">
        <v>406</v>
      </c>
      <c r="BS869">
        <v>361</v>
      </c>
      <c r="BT869">
        <v>664</v>
      </c>
      <c r="BU869">
        <v>583</v>
      </c>
      <c r="BV869">
        <v>648</v>
      </c>
      <c r="BW869">
        <v>470</v>
      </c>
      <c r="BX869">
        <v>790</v>
      </c>
      <c r="BY869">
        <v>884</v>
      </c>
      <c r="BZ869">
        <v>442</v>
      </c>
      <c r="CA869">
        <v>801</v>
      </c>
      <c r="CB869">
        <v>808</v>
      </c>
      <c r="CC869">
        <v>551</v>
      </c>
      <c r="CD869">
        <v>594</v>
      </c>
      <c r="CE869">
        <v>902</v>
      </c>
      <c r="CF869">
        <v>184</v>
      </c>
      <c r="CG869">
        <v>189</v>
      </c>
      <c r="CH869">
        <v>871</v>
      </c>
      <c r="CI869">
        <v>695</v>
      </c>
      <c r="CJ869">
        <v>278</v>
      </c>
      <c r="CK869">
        <v>409</v>
      </c>
      <c r="CL869">
        <v>879</v>
      </c>
      <c r="CM869">
        <v>517</v>
      </c>
      <c r="CN869">
        <v>993</v>
      </c>
      <c r="CO869">
        <v>295</v>
      </c>
      <c r="CP869">
        <v>801</v>
      </c>
      <c r="CQ869">
        <v>965</v>
      </c>
      <c r="CR869">
        <v>887</v>
      </c>
      <c r="CS869">
        <v>716</v>
      </c>
      <c r="CT869">
        <v>826</v>
      </c>
      <c r="CU869">
        <v>376</v>
      </c>
      <c r="CV869">
        <v>580</v>
      </c>
      <c r="CW869">
        <v>500</v>
      </c>
      <c r="CX869">
        <v>204</v>
      </c>
      <c r="CY869">
        <v>592</v>
      </c>
      <c r="CZ869">
        <v>961</v>
      </c>
      <c r="DA869">
        <v>586</v>
      </c>
      <c r="DB869">
        <v>202</v>
      </c>
      <c r="DC869">
        <v>620</v>
      </c>
      <c r="DD869">
        <v>748</v>
      </c>
      <c r="DE869">
        <v>194</v>
      </c>
      <c r="DF869">
        <v>519</v>
      </c>
      <c r="DG869">
        <v>522</v>
      </c>
      <c r="DH869">
        <v>231</v>
      </c>
      <c r="DI869">
        <v>335</v>
      </c>
      <c r="DJ869">
        <v>146</v>
      </c>
      <c r="DK869">
        <v>969</v>
      </c>
    </row>
    <row r="870" spans="1:115">
      <c r="A870" s="173">
        <f>Calculations[[#This Row],[Sum t eCO2]]*IF(Calculations[[#This Row],[GHG Scope]]="BIOGENIC",0,1)</f>
        <v>11.545465828484717</v>
      </c>
      <c r="O870">
        <f t="shared" si="19"/>
        <v>22</v>
      </c>
      <c r="P870">
        <v>627</v>
      </c>
      <c r="Q870">
        <v>160</v>
      </c>
      <c r="R870">
        <v>386</v>
      </c>
      <c r="S870">
        <v>990</v>
      </c>
      <c r="T870">
        <v>132</v>
      </c>
      <c r="U870">
        <v>232</v>
      </c>
      <c r="V870">
        <v>951</v>
      </c>
      <c r="W870">
        <v>588</v>
      </c>
      <c r="X870">
        <v>940</v>
      </c>
      <c r="Y870">
        <v>448</v>
      </c>
      <c r="Z870">
        <v>751</v>
      </c>
      <c r="AA870">
        <v>204</v>
      </c>
      <c r="AB870">
        <v>122</v>
      </c>
      <c r="AC870">
        <v>193</v>
      </c>
      <c r="AD870">
        <v>338</v>
      </c>
      <c r="AE870">
        <v>694</v>
      </c>
      <c r="AF870">
        <v>671</v>
      </c>
      <c r="AG870">
        <v>330</v>
      </c>
      <c r="AH870">
        <v>770</v>
      </c>
      <c r="AI870">
        <v>668</v>
      </c>
      <c r="AJ870">
        <v>559</v>
      </c>
      <c r="AK870">
        <v>859</v>
      </c>
      <c r="AL870">
        <v>562</v>
      </c>
      <c r="AM870">
        <v>418</v>
      </c>
      <c r="AN870">
        <v>376</v>
      </c>
      <c r="AO870">
        <v>644</v>
      </c>
      <c r="AP870">
        <v>746</v>
      </c>
      <c r="AQ870">
        <v>472</v>
      </c>
      <c r="AR870">
        <v>377</v>
      </c>
      <c r="AS870">
        <v>671</v>
      </c>
      <c r="AT870">
        <v>863</v>
      </c>
      <c r="AU870">
        <v>839</v>
      </c>
      <c r="AV870">
        <v>635</v>
      </c>
      <c r="AW870">
        <v>839</v>
      </c>
      <c r="AX870">
        <v>474</v>
      </c>
      <c r="AY870">
        <v>188</v>
      </c>
      <c r="AZ870">
        <v>127</v>
      </c>
      <c r="BA870">
        <v>517</v>
      </c>
      <c r="BB870">
        <v>645</v>
      </c>
      <c r="BC870">
        <v>612</v>
      </c>
      <c r="BD870">
        <v>364</v>
      </c>
      <c r="BE870">
        <v>842</v>
      </c>
      <c r="BF870">
        <v>265</v>
      </c>
      <c r="BG870">
        <v>591</v>
      </c>
      <c r="BH870">
        <v>588</v>
      </c>
      <c r="BI870">
        <v>239</v>
      </c>
      <c r="BJ870">
        <v>676</v>
      </c>
      <c r="BK870">
        <v>785</v>
      </c>
      <c r="BL870">
        <v>272</v>
      </c>
      <c r="BM870">
        <v>612</v>
      </c>
      <c r="BN870">
        <v>156</v>
      </c>
      <c r="BO870">
        <v>290</v>
      </c>
      <c r="BP870">
        <v>327</v>
      </c>
      <c r="BQ870">
        <v>771</v>
      </c>
      <c r="BR870">
        <v>947</v>
      </c>
      <c r="BS870">
        <v>611</v>
      </c>
      <c r="BT870">
        <v>355</v>
      </c>
      <c r="BU870">
        <v>789</v>
      </c>
      <c r="BV870">
        <v>234</v>
      </c>
      <c r="BW870">
        <v>565</v>
      </c>
      <c r="BX870">
        <v>801</v>
      </c>
      <c r="BY870">
        <v>634</v>
      </c>
      <c r="BZ870">
        <v>598</v>
      </c>
      <c r="CA870">
        <v>516</v>
      </c>
      <c r="CB870">
        <v>869</v>
      </c>
      <c r="CC870">
        <v>114</v>
      </c>
      <c r="CD870">
        <v>847</v>
      </c>
      <c r="CE870">
        <v>122</v>
      </c>
      <c r="CF870">
        <v>180</v>
      </c>
      <c r="CG870">
        <v>404</v>
      </c>
      <c r="CH870">
        <v>125</v>
      </c>
      <c r="CI870">
        <v>241</v>
      </c>
      <c r="CJ870">
        <v>793</v>
      </c>
      <c r="CK870">
        <v>995</v>
      </c>
      <c r="CL870">
        <v>383</v>
      </c>
      <c r="CM870">
        <v>822</v>
      </c>
      <c r="CN870">
        <v>316</v>
      </c>
      <c r="CO870">
        <v>565</v>
      </c>
      <c r="CP870">
        <v>539</v>
      </c>
      <c r="CQ870">
        <v>334</v>
      </c>
      <c r="CR870">
        <v>787</v>
      </c>
      <c r="CS870">
        <v>223</v>
      </c>
      <c r="CT870">
        <v>732</v>
      </c>
      <c r="CU870">
        <v>394</v>
      </c>
      <c r="CV870">
        <v>424</v>
      </c>
      <c r="CW870">
        <v>239</v>
      </c>
      <c r="CX870">
        <v>205</v>
      </c>
      <c r="CY870">
        <v>675</v>
      </c>
      <c r="CZ870">
        <v>271</v>
      </c>
      <c r="DA870">
        <v>245</v>
      </c>
      <c r="DB870">
        <v>827</v>
      </c>
      <c r="DC870">
        <v>319</v>
      </c>
      <c r="DD870">
        <v>525</v>
      </c>
      <c r="DE870">
        <v>394</v>
      </c>
      <c r="DF870">
        <v>124</v>
      </c>
      <c r="DG870">
        <v>766</v>
      </c>
      <c r="DH870">
        <v>795</v>
      </c>
      <c r="DI870">
        <v>153</v>
      </c>
      <c r="DJ870">
        <v>711</v>
      </c>
      <c r="DK870">
        <v>744</v>
      </c>
    </row>
    <row r="871" spans="1:115">
      <c r="A871" s="173">
        <f>Calculations[[#This Row],[Sum t eCO2]]*IF(Calculations[[#This Row],[GHG Scope]]="BIOGENIC",0,1)</f>
        <v>200.95660680596612</v>
      </c>
      <c r="O871">
        <f t="shared" si="19"/>
        <v>23</v>
      </c>
      <c r="P871">
        <v>104</v>
      </c>
      <c r="Q871">
        <v>618</v>
      </c>
      <c r="R871">
        <v>687</v>
      </c>
      <c r="S871">
        <v>193</v>
      </c>
      <c r="T871">
        <v>331</v>
      </c>
      <c r="U871">
        <v>879</v>
      </c>
      <c r="V871">
        <v>832</v>
      </c>
      <c r="W871">
        <v>566</v>
      </c>
      <c r="X871">
        <v>134</v>
      </c>
      <c r="Y871">
        <v>139</v>
      </c>
      <c r="Z871">
        <v>219</v>
      </c>
      <c r="AA871">
        <v>441</v>
      </c>
      <c r="AB871">
        <v>321</v>
      </c>
      <c r="AC871">
        <v>138</v>
      </c>
      <c r="AD871">
        <v>589</v>
      </c>
      <c r="AE871">
        <v>909</v>
      </c>
      <c r="AF871">
        <v>776</v>
      </c>
      <c r="AG871">
        <v>614</v>
      </c>
      <c r="AH871">
        <v>768</v>
      </c>
      <c r="AI871">
        <v>702</v>
      </c>
      <c r="AJ871">
        <v>891</v>
      </c>
      <c r="AK871">
        <v>668</v>
      </c>
      <c r="AL871">
        <v>505</v>
      </c>
      <c r="AM871">
        <v>955</v>
      </c>
      <c r="AN871">
        <v>912</v>
      </c>
      <c r="AO871">
        <v>890</v>
      </c>
      <c r="AP871">
        <v>899</v>
      </c>
      <c r="AQ871">
        <v>342</v>
      </c>
      <c r="AR871">
        <v>970</v>
      </c>
      <c r="AS871">
        <v>522</v>
      </c>
      <c r="AT871">
        <v>201</v>
      </c>
      <c r="AU871">
        <v>162</v>
      </c>
      <c r="AV871">
        <v>612</v>
      </c>
      <c r="AW871">
        <v>494</v>
      </c>
      <c r="AX871">
        <v>915</v>
      </c>
      <c r="AY871">
        <v>423</v>
      </c>
      <c r="AZ871">
        <v>345</v>
      </c>
      <c r="BA871">
        <v>374</v>
      </c>
      <c r="BB871">
        <v>338</v>
      </c>
      <c r="BC871">
        <v>167</v>
      </c>
      <c r="BD871">
        <v>849</v>
      </c>
      <c r="BE871">
        <v>948</v>
      </c>
      <c r="BF871">
        <v>454</v>
      </c>
      <c r="BG871">
        <v>532</v>
      </c>
      <c r="BH871">
        <v>564</v>
      </c>
      <c r="BI871">
        <v>965</v>
      </c>
      <c r="BJ871">
        <v>707</v>
      </c>
      <c r="BK871">
        <v>567</v>
      </c>
      <c r="BL871">
        <v>720</v>
      </c>
      <c r="BM871">
        <v>380</v>
      </c>
      <c r="BN871">
        <v>712</v>
      </c>
      <c r="BO871">
        <v>900</v>
      </c>
      <c r="BP871">
        <v>390</v>
      </c>
      <c r="BQ871">
        <v>940</v>
      </c>
      <c r="BR871">
        <v>411</v>
      </c>
      <c r="BS871">
        <v>617</v>
      </c>
      <c r="BT871">
        <v>120</v>
      </c>
      <c r="BU871">
        <v>322</v>
      </c>
      <c r="BV871">
        <v>522</v>
      </c>
      <c r="BW871">
        <v>907</v>
      </c>
      <c r="BX871">
        <v>718</v>
      </c>
      <c r="BY871">
        <v>917</v>
      </c>
      <c r="BZ871">
        <v>720</v>
      </c>
      <c r="CA871">
        <v>650</v>
      </c>
      <c r="CB871">
        <v>894</v>
      </c>
      <c r="CC871">
        <v>128</v>
      </c>
      <c r="CD871">
        <v>965</v>
      </c>
      <c r="CE871">
        <v>190</v>
      </c>
      <c r="CF871">
        <v>527</v>
      </c>
      <c r="CG871">
        <v>301</v>
      </c>
      <c r="CH871">
        <v>943</v>
      </c>
      <c r="CI871">
        <v>691</v>
      </c>
      <c r="CJ871">
        <v>381</v>
      </c>
      <c r="CK871">
        <v>476</v>
      </c>
      <c r="CL871">
        <v>772</v>
      </c>
      <c r="CM871">
        <v>410</v>
      </c>
      <c r="CN871">
        <v>516</v>
      </c>
      <c r="CO871">
        <v>947</v>
      </c>
      <c r="CP871">
        <v>952</v>
      </c>
      <c r="CQ871">
        <v>257</v>
      </c>
      <c r="CR871">
        <v>345</v>
      </c>
      <c r="CS871">
        <v>547</v>
      </c>
      <c r="CT871">
        <v>939</v>
      </c>
      <c r="CU871">
        <v>180</v>
      </c>
      <c r="CV871">
        <v>774</v>
      </c>
      <c r="CW871">
        <v>394</v>
      </c>
      <c r="CX871">
        <v>559</v>
      </c>
      <c r="CY871">
        <v>425</v>
      </c>
      <c r="CZ871">
        <v>311</v>
      </c>
      <c r="DA871">
        <v>512</v>
      </c>
      <c r="DB871">
        <v>608</v>
      </c>
      <c r="DC871">
        <v>177</v>
      </c>
      <c r="DD871">
        <v>157</v>
      </c>
      <c r="DE871">
        <v>138</v>
      </c>
      <c r="DF871">
        <v>537</v>
      </c>
      <c r="DG871">
        <v>757</v>
      </c>
      <c r="DH871">
        <v>797</v>
      </c>
      <c r="DI871">
        <v>630</v>
      </c>
      <c r="DJ871">
        <v>566</v>
      </c>
      <c r="DK871">
        <v>436</v>
      </c>
    </row>
    <row r="872" spans="1:115">
      <c r="A872" s="173">
        <f>Calculations[[#This Row],[Sum t eCO2]]*IF(Calculations[[#This Row],[GHG Scope]]="BIOGENIC",0,1)</f>
        <v>2704.6380872764685</v>
      </c>
      <c r="O872">
        <f t="shared" si="19"/>
        <v>24</v>
      </c>
      <c r="P872">
        <v>150</v>
      </c>
      <c r="Q872">
        <v>996</v>
      </c>
      <c r="R872">
        <v>220</v>
      </c>
      <c r="S872">
        <v>431</v>
      </c>
      <c r="T872">
        <v>664</v>
      </c>
      <c r="U872">
        <v>216</v>
      </c>
      <c r="V872">
        <v>889</v>
      </c>
      <c r="W872">
        <v>336</v>
      </c>
      <c r="X872">
        <v>754</v>
      </c>
      <c r="Y872">
        <v>940</v>
      </c>
      <c r="Z872">
        <v>396</v>
      </c>
      <c r="AA872">
        <v>384</v>
      </c>
      <c r="AB872">
        <v>354</v>
      </c>
      <c r="AC872">
        <v>971</v>
      </c>
      <c r="AD872">
        <v>575</v>
      </c>
      <c r="AE872">
        <v>796</v>
      </c>
      <c r="AF872">
        <v>779</v>
      </c>
      <c r="AG872">
        <v>434</v>
      </c>
      <c r="AH872">
        <v>738</v>
      </c>
      <c r="AI872">
        <v>314</v>
      </c>
      <c r="AJ872">
        <v>869</v>
      </c>
      <c r="AK872">
        <v>723</v>
      </c>
      <c r="AL872">
        <v>409</v>
      </c>
      <c r="AM872">
        <v>207</v>
      </c>
      <c r="AN872">
        <v>313</v>
      </c>
      <c r="AO872">
        <v>846</v>
      </c>
      <c r="AP872">
        <v>272</v>
      </c>
      <c r="AQ872">
        <v>772</v>
      </c>
      <c r="AR872">
        <v>280</v>
      </c>
      <c r="AS872">
        <v>333</v>
      </c>
      <c r="AT872">
        <v>696</v>
      </c>
      <c r="AU872">
        <v>824</v>
      </c>
      <c r="AV872">
        <v>485</v>
      </c>
      <c r="AW872">
        <v>377</v>
      </c>
      <c r="AX872">
        <v>301</v>
      </c>
      <c r="AY872">
        <v>834</v>
      </c>
      <c r="AZ872">
        <v>734</v>
      </c>
      <c r="BA872">
        <v>162</v>
      </c>
      <c r="BB872">
        <v>221</v>
      </c>
      <c r="BC872">
        <v>844</v>
      </c>
      <c r="BD872">
        <v>788</v>
      </c>
      <c r="BE872">
        <v>578</v>
      </c>
      <c r="BF872">
        <v>820</v>
      </c>
      <c r="BG872">
        <v>892</v>
      </c>
      <c r="BH872">
        <v>145</v>
      </c>
      <c r="BI872">
        <v>441</v>
      </c>
      <c r="BJ872">
        <v>365</v>
      </c>
      <c r="BK872">
        <v>865</v>
      </c>
      <c r="BL872">
        <v>996</v>
      </c>
      <c r="BM872">
        <v>467</v>
      </c>
      <c r="BN872">
        <v>327</v>
      </c>
      <c r="BO872">
        <v>304</v>
      </c>
      <c r="BP872">
        <v>232</v>
      </c>
      <c r="BQ872">
        <v>924</v>
      </c>
      <c r="BR872">
        <v>333</v>
      </c>
      <c r="BS872">
        <v>232</v>
      </c>
      <c r="BT872">
        <v>921</v>
      </c>
      <c r="BU872">
        <v>420</v>
      </c>
      <c r="BV872">
        <v>272</v>
      </c>
      <c r="BW872">
        <v>837</v>
      </c>
      <c r="BX872">
        <v>672</v>
      </c>
      <c r="BY872">
        <v>987</v>
      </c>
      <c r="BZ872">
        <v>955</v>
      </c>
      <c r="CA872">
        <v>905</v>
      </c>
      <c r="CB872">
        <v>353</v>
      </c>
      <c r="CC872">
        <v>832</v>
      </c>
      <c r="CD872">
        <v>507</v>
      </c>
      <c r="CE872">
        <v>602</v>
      </c>
      <c r="CF872">
        <v>854</v>
      </c>
      <c r="CG872">
        <v>581</v>
      </c>
      <c r="CH872">
        <v>942</v>
      </c>
      <c r="CI872">
        <v>317</v>
      </c>
      <c r="CJ872">
        <v>640</v>
      </c>
      <c r="CK872">
        <v>441</v>
      </c>
      <c r="CL872">
        <v>458</v>
      </c>
      <c r="CM872">
        <v>576</v>
      </c>
      <c r="CN872">
        <v>314</v>
      </c>
      <c r="CO872">
        <v>215</v>
      </c>
      <c r="CP872">
        <v>462</v>
      </c>
      <c r="CQ872">
        <v>843</v>
      </c>
      <c r="CR872">
        <v>766</v>
      </c>
      <c r="CS872">
        <v>868</v>
      </c>
      <c r="CT872">
        <v>389</v>
      </c>
      <c r="CU872">
        <v>648</v>
      </c>
      <c r="CV872">
        <v>451</v>
      </c>
      <c r="CW872">
        <v>561</v>
      </c>
      <c r="CX872">
        <v>284</v>
      </c>
      <c r="CY872">
        <v>355</v>
      </c>
      <c r="CZ872">
        <v>506</v>
      </c>
      <c r="DA872">
        <v>730</v>
      </c>
      <c r="DB872">
        <v>370</v>
      </c>
      <c r="DC872">
        <v>189</v>
      </c>
      <c r="DD872">
        <v>256</v>
      </c>
      <c r="DE872">
        <v>952</v>
      </c>
      <c r="DF872">
        <v>743</v>
      </c>
      <c r="DG872">
        <v>856</v>
      </c>
      <c r="DH872">
        <v>678</v>
      </c>
      <c r="DI872">
        <v>163</v>
      </c>
      <c r="DJ872">
        <v>199</v>
      </c>
      <c r="DK872">
        <v>223</v>
      </c>
    </row>
    <row r="873" spans="1:115">
      <c r="A873" s="173">
        <f>Calculations[[#This Row],[Sum t eCO2]]*IF(Calculations[[#This Row],[GHG Scope]]="BIOGENIC",0,1)</f>
        <v>23.148537529412145</v>
      </c>
      <c r="O873">
        <f t="shared" si="19"/>
        <v>25</v>
      </c>
      <c r="P873">
        <v>208</v>
      </c>
      <c r="Q873">
        <v>357</v>
      </c>
      <c r="R873">
        <v>199</v>
      </c>
      <c r="S873">
        <v>993</v>
      </c>
      <c r="T873">
        <v>285</v>
      </c>
      <c r="U873">
        <v>641</v>
      </c>
      <c r="V873">
        <v>897</v>
      </c>
      <c r="W873">
        <v>109</v>
      </c>
      <c r="X873">
        <v>284</v>
      </c>
      <c r="Y873">
        <v>568</v>
      </c>
      <c r="Z873">
        <v>165</v>
      </c>
      <c r="AA873">
        <v>432</v>
      </c>
      <c r="AB873">
        <v>291</v>
      </c>
      <c r="AC873">
        <v>645</v>
      </c>
      <c r="AD873">
        <v>366</v>
      </c>
      <c r="AE873">
        <v>952</v>
      </c>
      <c r="AF873">
        <v>305</v>
      </c>
      <c r="AG873">
        <v>527</v>
      </c>
      <c r="AH873">
        <v>745</v>
      </c>
      <c r="AI873">
        <v>910</v>
      </c>
      <c r="AJ873">
        <v>934</v>
      </c>
      <c r="AK873">
        <v>250</v>
      </c>
      <c r="AL873">
        <v>103</v>
      </c>
      <c r="AM873">
        <v>390</v>
      </c>
      <c r="AN873">
        <v>907</v>
      </c>
      <c r="AO873">
        <v>566</v>
      </c>
      <c r="AP873">
        <v>997</v>
      </c>
      <c r="AQ873">
        <v>208</v>
      </c>
      <c r="AR873">
        <v>732</v>
      </c>
      <c r="AS873">
        <v>199</v>
      </c>
      <c r="AT873">
        <v>831</v>
      </c>
      <c r="AU873">
        <v>390</v>
      </c>
      <c r="AV873">
        <v>116</v>
      </c>
      <c r="AW873">
        <v>479</v>
      </c>
      <c r="AX873">
        <v>237</v>
      </c>
      <c r="AY873">
        <v>366</v>
      </c>
      <c r="AZ873">
        <v>718</v>
      </c>
      <c r="BA873">
        <v>598</v>
      </c>
      <c r="BB873">
        <v>285</v>
      </c>
      <c r="BC873">
        <v>285</v>
      </c>
      <c r="BD873">
        <v>753</v>
      </c>
      <c r="BE873">
        <v>662</v>
      </c>
      <c r="BF873">
        <v>113</v>
      </c>
      <c r="BG873">
        <v>428</v>
      </c>
      <c r="BH873">
        <v>849</v>
      </c>
      <c r="BI873">
        <v>190</v>
      </c>
      <c r="BJ873">
        <v>362</v>
      </c>
      <c r="BK873">
        <v>490</v>
      </c>
      <c r="BL873">
        <v>101</v>
      </c>
      <c r="BM873">
        <v>1000</v>
      </c>
      <c r="BN873">
        <v>305</v>
      </c>
      <c r="BO873">
        <v>215</v>
      </c>
      <c r="BP873">
        <v>830</v>
      </c>
      <c r="BQ873">
        <v>476</v>
      </c>
      <c r="BR873">
        <v>492</v>
      </c>
      <c r="BS873">
        <v>208</v>
      </c>
      <c r="BT873">
        <v>754</v>
      </c>
      <c r="BU873">
        <v>187</v>
      </c>
      <c r="BV873">
        <v>224</v>
      </c>
      <c r="BW873">
        <v>917</v>
      </c>
      <c r="BX873">
        <v>918</v>
      </c>
      <c r="BY873">
        <v>680</v>
      </c>
      <c r="BZ873">
        <v>812</v>
      </c>
      <c r="CA873">
        <v>616</v>
      </c>
      <c r="CB873">
        <v>972</v>
      </c>
      <c r="CC873">
        <v>439</v>
      </c>
      <c r="CD873">
        <v>149</v>
      </c>
      <c r="CE873">
        <v>226</v>
      </c>
      <c r="CF873">
        <v>923</v>
      </c>
      <c r="CG873">
        <v>414</v>
      </c>
      <c r="CH873">
        <v>568</v>
      </c>
      <c r="CI873">
        <v>513</v>
      </c>
      <c r="CJ873">
        <v>890</v>
      </c>
      <c r="CK873">
        <v>756</v>
      </c>
      <c r="CL873">
        <v>855</v>
      </c>
      <c r="CM873">
        <v>610</v>
      </c>
      <c r="CN873">
        <v>956</v>
      </c>
      <c r="CO873">
        <v>829</v>
      </c>
      <c r="CP873">
        <v>783</v>
      </c>
      <c r="CQ873">
        <v>211</v>
      </c>
      <c r="CR873">
        <v>886</v>
      </c>
      <c r="CS873">
        <v>646</v>
      </c>
      <c r="CT873">
        <v>858</v>
      </c>
      <c r="CU873">
        <v>764</v>
      </c>
      <c r="CV873">
        <v>741</v>
      </c>
      <c r="CW873">
        <v>714</v>
      </c>
      <c r="CX873">
        <v>772</v>
      </c>
      <c r="CY873">
        <v>125</v>
      </c>
      <c r="CZ873">
        <v>963</v>
      </c>
      <c r="DA873">
        <v>575</v>
      </c>
      <c r="DB873">
        <v>704</v>
      </c>
      <c r="DC873">
        <v>459</v>
      </c>
      <c r="DD873">
        <v>102</v>
      </c>
      <c r="DE873">
        <v>799</v>
      </c>
      <c r="DF873">
        <v>384</v>
      </c>
      <c r="DG873">
        <v>381</v>
      </c>
      <c r="DH873">
        <v>557</v>
      </c>
      <c r="DI873">
        <v>280</v>
      </c>
      <c r="DJ873">
        <v>199</v>
      </c>
      <c r="DK873">
        <v>916</v>
      </c>
    </row>
    <row r="874" spans="1:115">
      <c r="A874" s="173">
        <f>Calculations[[#This Row],[Sum t eCO2]]*IF(Calculations[[#This Row],[GHG Scope]]="BIOGENIC",0,1)</f>
        <v>45.556321857883098</v>
      </c>
      <c r="O874">
        <f t="shared" si="19"/>
        <v>26</v>
      </c>
      <c r="P874">
        <v>354</v>
      </c>
      <c r="Q874">
        <v>361</v>
      </c>
      <c r="R874">
        <v>310</v>
      </c>
      <c r="S874">
        <v>236</v>
      </c>
      <c r="T874">
        <v>195</v>
      </c>
      <c r="U874">
        <v>316</v>
      </c>
      <c r="V874">
        <v>351</v>
      </c>
      <c r="W874">
        <v>667</v>
      </c>
      <c r="X874">
        <v>681</v>
      </c>
      <c r="Y874">
        <v>380</v>
      </c>
      <c r="Z874">
        <v>359</v>
      </c>
      <c r="AA874">
        <v>188</v>
      </c>
      <c r="AB874">
        <v>523</v>
      </c>
      <c r="AC874">
        <v>204</v>
      </c>
      <c r="AD874">
        <v>137</v>
      </c>
      <c r="AE874">
        <v>805</v>
      </c>
      <c r="AF874">
        <v>890</v>
      </c>
      <c r="AG874">
        <v>896</v>
      </c>
      <c r="AH874">
        <v>334</v>
      </c>
      <c r="AI874">
        <v>835</v>
      </c>
      <c r="AJ874">
        <v>858</v>
      </c>
      <c r="AK874">
        <v>422</v>
      </c>
      <c r="AL874">
        <v>529</v>
      </c>
      <c r="AM874">
        <v>144</v>
      </c>
      <c r="AN874">
        <v>911</v>
      </c>
      <c r="AO874">
        <v>740</v>
      </c>
      <c r="AP874">
        <v>651</v>
      </c>
      <c r="AQ874">
        <v>882</v>
      </c>
      <c r="AR874">
        <v>880</v>
      </c>
      <c r="AS874">
        <v>635</v>
      </c>
      <c r="AT874">
        <v>290</v>
      </c>
      <c r="AU874">
        <v>777</v>
      </c>
      <c r="AV874">
        <v>325</v>
      </c>
      <c r="AW874">
        <v>504</v>
      </c>
      <c r="AX874">
        <v>981</v>
      </c>
      <c r="AY874">
        <v>630</v>
      </c>
      <c r="AZ874">
        <v>583</v>
      </c>
      <c r="BA874">
        <v>646</v>
      </c>
      <c r="BB874">
        <v>798</v>
      </c>
      <c r="BC874">
        <v>803</v>
      </c>
      <c r="BD874">
        <v>489</v>
      </c>
      <c r="BE874">
        <v>364</v>
      </c>
      <c r="BF874">
        <v>585</v>
      </c>
      <c r="BG874">
        <v>977</v>
      </c>
      <c r="BH874">
        <v>118</v>
      </c>
      <c r="BI874">
        <v>594</v>
      </c>
      <c r="BJ874">
        <v>872</v>
      </c>
      <c r="BK874">
        <v>784</v>
      </c>
      <c r="BL874">
        <v>880</v>
      </c>
      <c r="BM874">
        <v>703</v>
      </c>
      <c r="BN874">
        <v>424</v>
      </c>
      <c r="BO874">
        <v>448</v>
      </c>
      <c r="BP874">
        <v>504</v>
      </c>
      <c r="BQ874">
        <v>836</v>
      </c>
      <c r="BR874">
        <v>943</v>
      </c>
      <c r="BS874">
        <v>357</v>
      </c>
      <c r="BT874">
        <v>314</v>
      </c>
      <c r="BU874">
        <v>238</v>
      </c>
      <c r="BV874">
        <v>434</v>
      </c>
      <c r="BW874">
        <v>365</v>
      </c>
      <c r="BX874">
        <v>427</v>
      </c>
      <c r="BY874">
        <v>613</v>
      </c>
      <c r="BZ874">
        <v>814</v>
      </c>
      <c r="CA874">
        <v>948</v>
      </c>
      <c r="CB874">
        <v>161</v>
      </c>
      <c r="CC874">
        <v>862</v>
      </c>
      <c r="CD874">
        <v>851</v>
      </c>
      <c r="CE874">
        <v>641</v>
      </c>
      <c r="CF874">
        <v>759</v>
      </c>
      <c r="CG874">
        <v>777</v>
      </c>
      <c r="CH874">
        <v>305</v>
      </c>
      <c r="CI874">
        <v>146</v>
      </c>
      <c r="CJ874">
        <v>110</v>
      </c>
      <c r="CK874">
        <v>603</v>
      </c>
      <c r="CL874">
        <v>201</v>
      </c>
      <c r="CM874">
        <v>407</v>
      </c>
      <c r="CN874">
        <v>257</v>
      </c>
      <c r="CO874">
        <v>263</v>
      </c>
      <c r="CP874">
        <v>939</v>
      </c>
      <c r="CQ874">
        <v>758</v>
      </c>
      <c r="CR874">
        <v>869</v>
      </c>
      <c r="CS874">
        <v>498</v>
      </c>
      <c r="CT874">
        <v>107</v>
      </c>
      <c r="CU874">
        <v>574</v>
      </c>
      <c r="CV874">
        <v>123</v>
      </c>
      <c r="CW874">
        <v>487</v>
      </c>
      <c r="CX874">
        <v>802</v>
      </c>
      <c r="CY874">
        <v>685</v>
      </c>
      <c r="CZ874">
        <v>978</v>
      </c>
      <c r="DA874">
        <v>708</v>
      </c>
      <c r="DB874">
        <v>924</v>
      </c>
      <c r="DC874">
        <v>717</v>
      </c>
      <c r="DD874">
        <v>422</v>
      </c>
      <c r="DE874">
        <v>959</v>
      </c>
      <c r="DF874">
        <v>815</v>
      </c>
      <c r="DG874">
        <v>325</v>
      </c>
      <c r="DH874">
        <v>709</v>
      </c>
      <c r="DI874">
        <v>570</v>
      </c>
      <c r="DJ874">
        <v>196</v>
      </c>
      <c r="DK874">
        <v>446</v>
      </c>
    </row>
    <row r="875" spans="1:115">
      <c r="A875" s="173">
        <f>Calculations[[#This Row],[Sum t eCO2]]*IF(Calculations[[#This Row],[GHG Scope]]="BIOGENIC",0,1)</f>
        <v>703.68357386611251</v>
      </c>
      <c r="O875">
        <f t="shared" si="19"/>
        <v>27</v>
      </c>
      <c r="P875">
        <v>713</v>
      </c>
      <c r="Q875">
        <v>368</v>
      </c>
      <c r="R875">
        <v>679</v>
      </c>
      <c r="S875">
        <v>554</v>
      </c>
      <c r="T875">
        <v>986</v>
      </c>
      <c r="U875">
        <v>411</v>
      </c>
      <c r="V875">
        <v>397</v>
      </c>
      <c r="W875">
        <v>416</v>
      </c>
      <c r="X875">
        <v>115</v>
      </c>
      <c r="Y875">
        <v>416</v>
      </c>
      <c r="Z875">
        <v>800</v>
      </c>
      <c r="AA875">
        <v>491</v>
      </c>
      <c r="AB875">
        <v>899</v>
      </c>
      <c r="AC875">
        <v>810</v>
      </c>
      <c r="AD875">
        <v>968</v>
      </c>
      <c r="AE875">
        <v>446</v>
      </c>
      <c r="AF875">
        <v>902</v>
      </c>
      <c r="AG875">
        <v>279</v>
      </c>
      <c r="AH875">
        <v>879</v>
      </c>
      <c r="AI875">
        <v>621</v>
      </c>
      <c r="AJ875">
        <v>658</v>
      </c>
      <c r="AK875">
        <v>253</v>
      </c>
      <c r="AL875">
        <v>239</v>
      </c>
      <c r="AM875">
        <v>795</v>
      </c>
      <c r="AN875">
        <v>391</v>
      </c>
      <c r="AO875">
        <v>296</v>
      </c>
      <c r="AP875">
        <v>322</v>
      </c>
      <c r="AQ875">
        <v>696</v>
      </c>
      <c r="AR875">
        <v>527</v>
      </c>
      <c r="AS875">
        <v>991</v>
      </c>
      <c r="AT875">
        <v>750</v>
      </c>
      <c r="AU875">
        <v>134</v>
      </c>
      <c r="AV875">
        <v>806</v>
      </c>
      <c r="AW875">
        <v>333</v>
      </c>
      <c r="AX875">
        <v>973</v>
      </c>
      <c r="AY875">
        <v>164</v>
      </c>
      <c r="AZ875">
        <v>917</v>
      </c>
      <c r="BA875">
        <v>307</v>
      </c>
      <c r="BB875">
        <v>906</v>
      </c>
      <c r="BC875">
        <v>574</v>
      </c>
      <c r="BD875">
        <v>756</v>
      </c>
      <c r="BE875">
        <v>350</v>
      </c>
      <c r="BF875">
        <v>712</v>
      </c>
      <c r="BG875">
        <v>579</v>
      </c>
      <c r="BH875">
        <v>722</v>
      </c>
      <c r="BI875">
        <v>860</v>
      </c>
      <c r="BJ875">
        <v>278</v>
      </c>
      <c r="BK875">
        <v>743</v>
      </c>
      <c r="BL875">
        <v>159</v>
      </c>
      <c r="BM875">
        <v>506</v>
      </c>
      <c r="BN875">
        <v>390</v>
      </c>
      <c r="BO875">
        <v>528</v>
      </c>
      <c r="BP875">
        <v>503</v>
      </c>
      <c r="BQ875">
        <v>371</v>
      </c>
      <c r="BR875">
        <v>604</v>
      </c>
      <c r="BS875">
        <v>164</v>
      </c>
      <c r="BT875">
        <v>884</v>
      </c>
      <c r="BU875">
        <v>820</v>
      </c>
      <c r="BV875">
        <v>879</v>
      </c>
      <c r="BW875">
        <v>836</v>
      </c>
      <c r="BX875">
        <v>927</v>
      </c>
      <c r="BY875">
        <v>139</v>
      </c>
      <c r="BZ875">
        <v>748</v>
      </c>
      <c r="CA875">
        <v>877</v>
      </c>
      <c r="CB875">
        <v>502</v>
      </c>
      <c r="CC875">
        <v>227</v>
      </c>
      <c r="CD875">
        <v>201</v>
      </c>
      <c r="CE875">
        <v>272</v>
      </c>
      <c r="CF875">
        <v>773</v>
      </c>
      <c r="CG875">
        <v>659</v>
      </c>
      <c r="CH875">
        <v>819</v>
      </c>
      <c r="CI875">
        <v>315</v>
      </c>
      <c r="CJ875">
        <v>320</v>
      </c>
      <c r="CK875">
        <v>335</v>
      </c>
      <c r="CL875">
        <v>723</v>
      </c>
      <c r="CM875">
        <v>125</v>
      </c>
      <c r="CN875">
        <v>223</v>
      </c>
      <c r="CO875">
        <v>210</v>
      </c>
      <c r="CP875">
        <v>922</v>
      </c>
      <c r="CQ875">
        <v>880</v>
      </c>
      <c r="CR875">
        <v>879</v>
      </c>
      <c r="CS875">
        <v>898</v>
      </c>
      <c r="CT875">
        <v>934</v>
      </c>
      <c r="CU875">
        <v>471</v>
      </c>
      <c r="CV875">
        <v>767</v>
      </c>
      <c r="CW875">
        <v>891</v>
      </c>
      <c r="CX875">
        <v>915</v>
      </c>
      <c r="CY875">
        <v>628</v>
      </c>
      <c r="CZ875">
        <v>699</v>
      </c>
      <c r="DA875">
        <v>422</v>
      </c>
      <c r="DB875">
        <v>522</v>
      </c>
      <c r="DC875">
        <v>860</v>
      </c>
      <c r="DD875">
        <v>794</v>
      </c>
      <c r="DE875">
        <v>828</v>
      </c>
      <c r="DF875">
        <v>824</v>
      </c>
      <c r="DG875">
        <v>208</v>
      </c>
      <c r="DH875">
        <v>794</v>
      </c>
      <c r="DI875">
        <v>646</v>
      </c>
      <c r="DJ875">
        <v>286</v>
      </c>
      <c r="DK875">
        <v>180</v>
      </c>
    </row>
    <row r="876" spans="1:115">
      <c r="A876" s="173">
        <f>Calculations[[#This Row],[Sum t eCO2]]*IF(Calculations[[#This Row],[GHG Scope]]="BIOGENIC",0,1)</f>
        <v>3.8580895882353576E-2</v>
      </c>
      <c r="O876">
        <f t="shared" si="19"/>
        <v>28</v>
      </c>
      <c r="P876">
        <v>420</v>
      </c>
      <c r="Q876">
        <v>228</v>
      </c>
      <c r="R876">
        <v>702</v>
      </c>
      <c r="S876">
        <v>290</v>
      </c>
      <c r="T876">
        <v>902</v>
      </c>
      <c r="U876">
        <v>492</v>
      </c>
      <c r="V876">
        <v>297</v>
      </c>
      <c r="W876">
        <v>877</v>
      </c>
      <c r="X876">
        <v>771</v>
      </c>
      <c r="Y876">
        <v>984</v>
      </c>
      <c r="Z876">
        <v>471</v>
      </c>
      <c r="AA876">
        <v>858</v>
      </c>
      <c r="AB876">
        <v>779</v>
      </c>
      <c r="AC876">
        <v>704</v>
      </c>
      <c r="AD876">
        <v>104</v>
      </c>
      <c r="AE876">
        <v>758</v>
      </c>
      <c r="AF876">
        <v>769</v>
      </c>
      <c r="AG876">
        <v>709</v>
      </c>
      <c r="AH876">
        <v>316</v>
      </c>
      <c r="AI876">
        <v>652</v>
      </c>
      <c r="AJ876">
        <v>784</v>
      </c>
      <c r="AK876">
        <v>963</v>
      </c>
      <c r="AL876">
        <v>380</v>
      </c>
      <c r="AM876">
        <v>719</v>
      </c>
      <c r="AN876">
        <v>234</v>
      </c>
      <c r="AO876">
        <v>720</v>
      </c>
      <c r="AP876">
        <v>758</v>
      </c>
      <c r="AQ876">
        <v>137</v>
      </c>
      <c r="AR876">
        <v>700</v>
      </c>
      <c r="AS876">
        <v>878</v>
      </c>
      <c r="AT876">
        <v>408</v>
      </c>
      <c r="AU876">
        <v>515</v>
      </c>
      <c r="AV876">
        <v>509</v>
      </c>
      <c r="AW876">
        <v>946</v>
      </c>
      <c r="AX876">
        <v>931</v>
      </c>
      <c r="AY876">
        <v>827</v>
      </c>
      <c r="AZ876">
        <v>885</v>
      </c>
      <c r="BA876">
        <v>229</v>
      </c>
      <c r="BB876">
        <v>827</v>
      </c>
      <c r="BC876">
        <v>703</v>
      </c>
      <c r="BD876">
        <v>270</v>
      </c>
      <c r="BE876">
        <v>907</v>
      </c>
      <c r="BF876">
        <v>668</v>
      </c>
      <c r="BG876">
        <v>810</v>
      </c>
      <c r="BH876">
        <v>735</v>
      </c>
      <c r="BI876">
        <v>268</v>
      </c>
      <c r="BJ876">
        <v>423</v>
      </c>
      <c r="BK876">
        <v>802</v>
      </c>
      <c r="BL876">
        <v>774</v>
      </c>
      <c r="BM876">
        <v>683</v>
      </c>
      <c r="BN876">
        <v>470</v>
      </c>
      <c r="BO876">
        <v>695</v>
      </c>
      <c r="BP876">
        <v>405</v>
      </c>
      <c r="BQ876">
        <v>950</v>
      </c>
      <c r="BR876">
        <v>553</v>
      </c>
      <c r="BS876">
        <v>325</v>
      </c>
      <c r="BT876">
        <v>960</v>
      </c>
      <c r="BU876">
        <v>962</v>
      </c>
      <c r="BV876">
        <v>721</v>
      </c>
      <c r="BW876">
        <v>953</v>
      </c>
      <c r="BX876">
        <v>511</v>
      </c>
      <c r="BY876">
        <v>789</v>
      </c>
      <c r="BZ876">
        <v>760</v>
      </c>
      <c r="CA876">
        <v>626</v>
      </c>
      <c r="CB876">
        <v>569</v>
      </c>
      <c r="CC876">
        <v>426</v>
      </c>
      <c r="CD876">
        <v>494</v>
      </c>
      <c r="CE876">
        <v>157</v>
      </c>
      <c r="CF876">
        <v>416</v>
      </c>
      <c r="CG876">
        <v>633</v>
      </c>
      <c r="CH876">
        <v>693</v>
      </c>
      <c r="CI876">
        <v>311</v>
      </c>
      <c r="CJ876">
        <v>581</v>
      </c>
      <c r="CK876">
        <v>128</v>
      </c>
      <c r="CL876">
        <v>141</v>
      </c>
      <c r="CM876">
        <v>614</v>
      </c>
      <c r="CN876">
        <v>987</v>
      </c>
      <c r="CO876">
        <v>827</v>
      </c>
      <c r="CP876">
        <v>986</v>
      </c>
      <c r="CQ876">
        <v>496</v>
      </c>
      <c r="CR876">
        <v>946</v>
      </c>
      <c r="CS876">
        <v>375</v>
      </c>
      <c r="CT876">
        <v>684</v>
      </c>
      <c r="CU876">
        <v>445</v>
      </c>
      <c r="CV876">
        <v>764</v>
      </c>
      <c r="CW876">
        <v>838</v>
      </c>
      <c r="CX876">
        <v>779</v>
      </c>
      <c r="CY876">
        <v>828</v>
      </c>
      <c r="CZ876">
        <v>827</v>
      </c>
      <c r="DA876">
        <v>341</v>
      </c>
      <c r="DB876">
        <v>136</v>
      </c>
      <c r="DC876">
        <v>285</v>
      </c>
      <c r="DD876">
        <v>456</v>
      </c>
      <c r="DE876">
        <v>357</v>
      </c>
      <c r="DF876">
        <v>534</v>
      </c>
      <c r="DG876">
        <v>177</v>
      </c>
      <c r="DH876">
        <v>328</v>
      </c>
      <c r="DI876">
        <v>240</v>
      </c>
      <c r="DJ876">
        <v>535</v>
      </c>
      <c r="DK876">
        <v>580</v>
      </c>
    </row>
    <row r="877" spans="1:115">
      <c r="A877" s="173">
        <f>Calculations[[#This Row],[Sum t eCO2]]*IF(Calculations[[#This Row],[GHG Scope]]="BIOGENIC",0,1)</f>
        <v>0</v>
      </c>
      <c r="O877">
        <f t="shared" si="19"/>
        <v>29</v>
      </c>
      <c r="P877">
        <v>683</v>
      </c>
      <c r="Q877">
        <v>993</v>
      </c>
      <c r="R877">
        <v>578</v>
      </c>
      <c r="S877">
        <v>952</v>
      </c>
      <c r="T877">
        <v>731</v>
      </c>
      <c r="U877">
        <v>493</v>
      </c>
      <c r="V877">
        <v>339</v>
      </c>
      <c r="W877">
        <v>945</v>
      </c>
      <c r="X877">
        <v>138</v>
      </c>
      <c r="Y877">
        <v>235</v>
      </c>
      <c r="Z877">
        <v>880</v>
      </c>
      <c r="AA877">
        <v>754</v>
      </c>
      <c r="AB877">
        <v>881</v>
      </c>
      <c r="AC877">
        <v>369</v>
      </c>
      <c r="AD877">
        <v>386</v>
      </c>
      <c r="AE877">
        <v>580</v>
      </c>
      <c r="AF877">
        <v>216</v>
      </c>
      <c r="AG877">
        <v>485</v>
      </c>
      <c r="AH877">
        <v>883</v>
      </c>
      <c r="AI877">
        <v>542</v>
      </c>
      <c r="AJ877">
        <v>922</v>
      </c>
      <c r="AK877">
        <v>302</v>
      </c>
      <c r="AL877">
        <v>869</v>
      </c>
      <c r="AM877">
        <v>175</v>
      </c>
      <c r="AN877">
        <v>485</v>
      </c>
      <c r="AO877">
        <v>338</v>
      </c>
      <c r="AP877">
        <v>605</v>
      </c>
      <c r="AQ877">
        <v>456</v>
      </c>
      <c r="AR877">
        <v>839</v>
      </c>
      <c r="AS877">
        <v>374</v>
      </c>
      <c r="AT877">
        <v>581</v>
      </c>
      <c r="AU877">
        <v>982</v>
      </c>
      <c r="AV877">
        <v>473</v>
      </c>
      <c r="AW877">
        <v>331</v>
      </c>
      <c r="AX877">
        <v>651</v>
      </c>
      <c r="AY877">
        <v>629</v>
      </c>
      <c r="AZ877">
        <v>718</v>
      </c>
      <c r="BA877">
        <v>399</v>
      </c>
      <c r="BB877">
        <v>863</v>
      </c>
      <c r="BC877">
        <v>707</v>
      </c>
      <c r="BD877">
        <v>679</v>
      </c>
      <c r="BE877">
        <v>631</v>
      </c>
      <c r="BF877">
        <v>219</v>
      </c>
      <c r="BG877">
        <v>235</v>
      </c>
      <c r="BH877">
        <v>862</v>
      </c>
      <c r="BI877">
        <v>471</v>
      </c>
      <c r="BJ877">
        <v>447</v>
      </c>
      <c r="BK877">
        <v>996</v>
      </c>
      <c r="BL877">
        <v>211</v>
      </c>
      <c r="BM877">
        <v>930</v>
      </c>
      <c r="BN877">
        <v>156</v>
      </c>
      <c r="BO877">
        <v>455</v>
      </c>
      <c r="BP877">
        <v>791</v>
      </c>
      <c r="BQ877">
        <v>356</v>
      </c>
      <c r="BR877">
        <v>825</v>
      </c>
      <c r="BS877">
        <v>953</v>
      </c>
      <c r="BT877">
        <v>571</v>
      </c>
      <c r="BU877">
        <v>600</v>
      </c>
      <c r="BV877">
        <v>965</v>
      </c>
      <c r="BW877">
        <v>123</v>
      </c>
      <c r="BX877">
        <v>798</v>
      </c>
      <c r="BY877">
        <v>887</v>
      </c>
      <c r="BZ877">
        <v>699</v>
      </c>
      <c r="CA877">
        <v>674</v>
      </c>
      <c r="CB877">
        <v>172</v>
      </c>
      <c r="CC877">
        <v>685</v>
      </c>
      <c r="CD877">
        <v>982</v>
      </c>
      <c r="CE877">
        <v>342</v>
      </c>
      <c r="CF877">
        <v>981</v>
      </c>
      <c r="CG877">
        <v>850</v>
      </c>
      <c r="CH877">
        <v>195</v>
      </c>
      <c r="CI877">
        <v>160</v>
      </c>
      <c r="CJ877">
        <v>365</v>
      </c>
      <c r="CK877">
        <v>286</v>
      </c>
      <c r="CL877">
        <v>162</v>
      </c>
      <c r="CM877">
        <v>611</v>
      </c>
      <c r="CN877">
        <v>591</v>
      </c>
      <c r="CO877">
        <v>473</v>
      </c>
      <c r="CP877">
        <v>930</v>
      </c>
      <c r="CQ877">
        <v>412</v>
      </c>
      <c r="CR877">
        <v>943</v>
      </c>
      <c r="CS877">
        <v>333</v>
      </c>
      <c r="CT877">
        <v>131</v>
      </c>
      <c r="CU877">
        <v>783</v>
      </c>
      <c r="CV877">
        <v>118</v>
      </c>
      <c r="CW877">
        <v>313</v>
      </c>
      <c r="CX877">
        <v>288</v>
      </c>
      <c r="CY877">
        <v>410</v>
      </c>
      <c r="CZ877">
        <v>428</v>
      </c>
      <c r="DA877">
        <v>300</v>
      </c>
      <c r="DB877">
        <v>134</v>
      </c>
      <c r="DC877">
        <v>613</v>
      </c>
      <c r="DD877">
        <v>489</v>
      </c>
      <c r="DE877">
        <v>186</v>
      </c>
      <c r="DF877">
        <v>712</v>
      </c>
      <c r="DG877">
        <v>245</v>
      </c>
      <c r="DH877">
        <v>582</v>
      </c>
      <c r="DI877">
        <v>610</v>
      </c>
      <c r="DJ877">
        <v>343</v>
      </c>
      <c r="DK877">
        <v>913</v>
      </c>
    </row>
    <row r="878" spans="1:115">
      <c r="A878" s="173">
        <f>Calculations[[#This Row],[Sum t eCO2]]*IF(Calculations[[#This Row],[GHG Scope]]="BIOGENIC",0,1)</f>
        <v>2160.4796318200001</v>
      </c>
      <c r="O878">
        <f t="shared" si="19"/>
        <v>30</v>
      </c>
      <c r="P878">
        <v>255</v>
      </c>
      <c r="Q878">
        <v>855</v>
      </c>
      <c r="R878">
        <v>763</v>
      </c>
      <c r="S878">
        <v>394</v>
      </c>
      <c r="T878">
        <v>695</v>
      </c>
      <c r="U878">
        <v>724</v>
      </c>
      <c r="V878">
        <v>849</v>
      </c>
      <c r="W878">
        <v>403</v>
      </c>
      <c r="X878">
        <v>629</v>
      </c>
      <c r="Y878">
        <v>520</v>
      </c>
      <c r="Z878">
        <v>732</v>
      </c>
      <c r="AA878">
        <v>587</v>
      </c>
      <c r="AB878">
        <v>575</v>
      </c>
      <c r="AC878">
        <v>649</v>
      </c>
      <c r="AD878">
        <v>561</v>
      </c>
      <c r="AE878">
        <v>516</v>
      </c>
      <c r="AF878">
        <v>330</v>
      </c>
      <c r="AG878">
        <v>763</v>
      </c>
      <c r="AH878">
        <v>853</v>
      </c>
      <c r="AI878">
        <v>111</v>
      </c>
      <c r="AJ878">
        <v>115</v>
      </c>
      <c r="AK878">
        <v>913</v>
      </c>
      <c r="AL878">
        <v>792</v>
      </c>
      <c r="AM878">
        <v>458</v>
      </c>
      <c r="AN878">
        <v>496</v>
      </c>
      <c r="AO878">
        <v>833</v>
      </c>
      <c r="AP878">
        <v>357</v>
      </c>
      <c r="AQ878">
        <v>160</v>
      </c>
      <c r="AR878">
        <v>882</v>
      </c>
      <c r="AS878">
        <v>800</v>
      </c>
      <c r="AT878">
        <v>896</v>
      </c>
      <c r="AU878">
        <v>570</v>
      </c>
      <c r="AV878">
        <v>529</v>
      </c>
      <c r="AW878">
        <v>711</v>
      </c>
      <c r="AX878">
        <v>745</v>
      </c>
      <c r="AY878">
        <v>959</v>
      </c>
      <c r="AZ878">
        <v>493</v>
      </c>
      <c r="BA878">
        <v>250</v>
      </c>
      <c r="BB878">
        <v>972</v>
      </c>
      <c r="BC878">
        <v>711</v>
      </c>
      <c r="BD878">
        <v>436</v>
      </c>
      <c r="BE878">
        <v>229</v>
      </c>
      <c r="BF878">
        <v>833</v>
      </c>
      <c r="BG878">
        <v>287</v>
      </c>
      <c r="BH878">
        <v>815</v>
      </c>
      <c r="BI878">
        <v>677</v>
      </c>
      <c r="BJ878">
        <v>383</v>
      </c>
      <c r="BK878">
        <v>953</v>
      </c>
      <c r="BL878">
        <v>728</v>
      </c>
      <c r="BM878">
        <v>966</v>
      </c>
      <c r="BN878">
        <v>839</v>
      </c>
      <c r="BO878">
        <v>144</v>
      </c>
      <c r="BP878">
        <v>452</v>
      </c>
      <c r="BQ878">
        <v>352</v>
      </c>
      <c r="BR878">
        <v>422</v>
      </c>
      <c r="BS878">
        <v>542</v>
      </c>
      <c r="BT878">
        <v>579</v>
      </c>
      <c r="BU878">
        <v>183</v>
      </c>
      <c r="BV878">
        <v>711</v>
      </c>
      <c r="BW878">
        <v>653</v>
      </c>
      <c r="BX878">
        <v>165</v>
      </c>
      <c r="BY878">
        <v>453</v>
      </c>
      <c r="BZ878">
        <v>503</v>
      </c>
      <c r="CA878">
        <v>757</v>
      </c>
      <c r="CB878">
        <v>678</v>
      </c>
      <c r="CC878">
        <v>460</v>
      </c>
      <c r="CD878">
        <v>814</v>
      </c>
      <c r="CE878">
        <v>212</v>
      </c>
      <c r="CF878">
        <v>100</v>
      </c>
      <c r="CG878">
        <v>854</v>
      </c>
      <c r="CH878">
        <v>536</v>
      </c>
      <c r="CI878">
        <v>541</v>
      </c>
      <c r="CJ878">
        <v>275</v>
      </c>
      <c r="CK878">
        <v>820</v>
      </c>
      <c r="CL878">
        <v>660</v>
      </c>
      <c r="CM878">
        <v>655</v>
      </c>
      <c r="CN878">
        <v>684</v>
      </c>
      <c r="CO878">
        <v>769</v>
      </c>
      <c r="CP878">
        <v>524</v>
      </c>
      <c r="CQ878">
        <v>881</v>
      </c>
      <c r="CR878">
        <v>329</v>
      </c>
      <c r="CS878">
        <v>966</v>
      </c>
      <c r="CT878">
        <v>719</v>
      </c>
      <c r="CU878">
        <v>263</v>
      </c>
      <c r="CV878">
        <v>620</v>
      </c>
      <c r="CW878">
        <v>110</v>
      </c>
      <c r="CX878">
        <v>743</v>
      </c>
      <c r="CY878">
        <v>383</v>
      </c>
      <c r="CZ878">
        <v>375</v>
      </c>
      <c r="DA878">
        <v>941</v>
      </c>
      <c r="DB878">
        <v>267</v>
      </c>
      <c r="DC878">
        <v>310</v>
      </c>
      <c r="DD878">
        <v>102</v>
      </c>
      <c r="DE878">
        <v>697</v>
      </c>
      <c r="DF878">
        <v>134</v>
      </c>
      <c r="DG878">
        <v>594</v>
      </c>
      <c r="DH878">
        <v>438</v>
      </c>
      <c r="DI878">
        <v>130</v>
      </c>
      <c r="DJ878">
        <v>442</v>
      </c>
      <c r="DK878">
        <v>519</v>
      </c>
    </row>
    <row r="879" spans="1:115">
      <c r="A879" s="173">
        <f>Calculations[[#This Row],[Sum t eCO2]]*IF(Calculations[[#This Row],[GHG Scope]]="BIOGENIC",0,1)</f>
        <v>99.031200790431441</v>
      </c>
      <c r="O879">
        <f t="shared" si="19"/>
        <v>31</v>
      </c>
      <c r="P879">
        <v>363</v>
      </c>
      <c r="Q879">
        <v>107</v>
      </c>
      <c r="R879">
        <v>682</v>
      </c>
      <c r="S879">
        <v>933</v>
      </c>
      <c r="T879">
        <v>422</v>
      </c>
      <c r="U879">
        <v>968</v>
      </c>
      <c r="V879">
        <v>126</v>
      </c>
      <c r="W879">
        <v>550</v>
      </c>
      <c r="X879">
        <v>729</v>
      </c>
      <c r="Y879">
        <v>165</v>
      </c>
      <c r="Z879">
        <v>730</v>
      </c>
      <c r="AA879">
        <v>256</v>
      </c>
      <c r="AB879">
        <v>773</v>
      </c>
      <c r="AC879">
        <v>176</v>
      </c>
      <c r="AD879">
        <v>655</v>
      </c>
      <c r="AE879">
        <v>954</v>
      </c>
      <c r="AF879">
        <v>716</v>
      </c>
      <c r="AG879">
        <v>249</v>
      </c>
      <c r="AH879">
        <v>969</v>
      </c>
      <c r="AI879">
        <v>303</v>
      </c>
      <c r="AJ879">
        <v>822</v>
      </c>
      <c r="AK879">
        <v>590</v>
      </c>
      <c r="AL879">
        <v>583</v>
      </c>
      <c r="AM879">
        <v>173</v>
      </c>
      <c r="AN879">
        <v>607</v>
      </c>
      <c r="AO879">
        <v>970</v>
      </c>
      <c r="AP879">
        <v>210</v>
      </c>
      <c r="AQ879">
        <v>463</v>
      </c>
      <c r="AR879">
        <v>318</v>
      </c>
      <c r="AS879">
        <v>445</v>
      </c>
      <c r="AT879">
        <v>963</v>
      </c>
      <c r="AU879">
        <v>538</v>
      </c>
      <c r="AV879">
        <v>915</v>
      </c>
      <c r="AW879">
        <v>827</v>
      </c>
      <c r="AX879">
        <v>531</v>
      </c>
      <c r="AY879">
        <v>508</v>
      </c>
      <c r="AZ879">
        <v>176</v>
      </c>
      <c r="BA879">
        <v>623</v>
      </c>
      <c r="BB879">
        <v>607</v>
      </c>
      <c r="BC879">
        <v>736</v>
      </c>
      <c r="BD879">
        <v>478</v>
      </c>
      <c r="BE879">
        <v>336</v>
      </c>
      <c r="BF879">
        <v>347</v>
      </c>
      <c r="BG879">
        <v>374</v>
      </c>
      <c r="BH879">
        <v>620</v>
      </c>
      <c r="BI879">
        <v>437</v>
      </c>
      <c r="BJ879">
        <v>619</v>
      </c>
      <c r="BK879">
        <v>274</v>
      </c>
      <c r="BL879">
        <v>211</v>
      </c>
      <c r="BM879">
        <v>630</v>
      </c>
      <c r="BN879">
        <v>614</v>
      </c>
      <c r="BO879">
        <v>582</v>
      </c>
      <c r="BP879">
        <v>829</v>
      </c>
      <c r="BQ879">
        <v>625</v>
      </c>
      <c r="BR879">
        <v>400</v>
      </c>
      <c r="BS879">
        <v>578</v>
      </c>
      <c r="BT879">
        <v>626</v>
      </c>
      <c r="BU879">
        <v>260</v>
      </c>
      <c r="BV879">
        <v>610</v>
      </c>
      <c r="BW879">
        <v>318</v>
      </c>
      <c r="BX879">
        <v>379</v>
      </c>
      <c r="BY879">
        <v>769</v>
      </c>
      <c r="BZ879">
        <v>750</v>
      </c>
      <c r="CA879">
        <v>629</v>
      </c>
      <c r="CB879">
        <v>172</v>
      </c>
      <c r="CC879">
        <v>983</v>
      </c>
      <c r="CD879">
        <v>427</v>
      </c>
      <c r="CE879">
        <v>701</v>
      </c>
      <c r="CF879">
        <v>181</v>
      </c>
      <c r="CG879">
        <v>432</v>
      </c>
      <c r="CH879">
        <v>637</v>
      </c>
      <c r="CI879">
        <v>749</v>
      </c>
      <c r="CJ879">
        <v>140</v>
      </c>
      <c r="CK879">
        <v>381</v>
      </c>
      <c r="CL879">
        <v>997</v>
      </c>
      <c r="CM879">
        <v>880</v>
      </c>
      <c r="CN879">
        <v>336</v>
      </c>
      <c r="CO879">
        <v>718</v>
      </c>
      <c r="CP879">
        <v>865</v>
      </c>
      <c r="CQ879">
        <v>501</v>
      </c>
      <c r="CR879">
        <v>355</v>
      </c>
      <c r="CS879">
        <v>950</v>
      </c>
      <c r="CT879">
        <v>857</v>
      </c>
      <c r="CU879">
        <v>786</v>
      </c>
      <c r="CV879">
        <v>186</v>
      </c>
      <c r="CW879">
        <v>522</v>
      </c>
      <c r="CX879">
        <v>242</v>
      </c>
      <c r="CY879">
        <v>920</v>
      </c>
      <c r="CZ879">
        <v>471</v>
      </c>
      <c r="DA879">
        <v>990</v>
      </c>
      <c r="DB879">
        <v>827</v>
      </c>
      <c r="DC879">
        <v>954</v>
      </c>
      <c r="DD879">
        <v>871</v>
      </c>
      <c r="DE879">
        <v>757</v>
      </c>
      <c r="DF879">
        <v>460</v>
      </c>
      <c r="DG879">
        <v>786</v>
      </c>
      <c r="DH879">
        <v>640</v>
      </c>
      <c r="DI879">
        <v>741</v>
      </c>
      <c r="DJ879">
        <v>214</v>
      </c>
      <c r="DK879">
        <v>936</v>
      </c>
    </row>
    <row r="880" spans="1:115">
      <c r="A880" s="173">
        <f>Calculations[[#This Row],[Sum t eCO2]]*IF(Calculations[[#This Row],[GHG Scope]]="BIOGENIC",0,1)</f>
        <v>5.9512346960040904E-4</v>
      </c>
      <c r="O880">
        <f t="shared" si="19"/>
        <v>32</v>
      </c>
      <c r="P880">
        <v>412</v>
      </c>
      <c r="Q880">
        <v>364</v>
      </c>
      <c r="R880">
        <v>930</v>
      </c>
      <c r="S880">
        <v>153</v>
      </c>
      <c r="T880">
        <v>397</v>
      </c>
      <c r="U880">
        <v>980</v>
      </c>
      <c r="V880">
        <v>549</v>
      </c>
      <c r="W880">
        <v>801</v>
      </c>
      <c r="X880">
        <v>430</v>
      </c>
      <c r="Y880">
        <v>891</v>
      </c>
      <c r="Z880">
        <v>462</v>
      </c>
      <c r="AA880">
        <v>513</v>
      </c>
      <c r="AB880">
        <v>132</v>
      </c>
      <c r="AC880">
        <v>547</v>
      </c>
      <c r="AD880">
        <v>267</v>
      </c>
      <c r="AE880">
        <v>399</v>
      </c>
      <c r="AF880">
        <v>470</v>
      </c>
      <c r="AG880">
        <v>362</v>
      </c>
      <c r="AH880">
        <v>767</v>
      </c>
      <c r="AI880">
        <v>625</v>
      </c>
      <c r="AJ880">
        <v>283</v>
      </c>
      <c r="AK880">
        <v>759</v>
      </c>
      <c r="AL880">
        <v>538</v>
      </c>
      <c r="AM880">
        <v>659</v>
      </c>
      <c r="AN880">
        <v>731</v>
      </c>
      <c r="AO880">
        <v>440</v>
      </c>
      <c r="AP880">
        <v>804</v>
      </c>
      <c r="AQ880">
        <v>252</v>
      </c>
      <c r="AR880">
        <v>989</v>
      </c>
      <c r="AS880">
        <v>992</v>
      </c>
      <c r="AT880">
        <v>240</v>
      </c>
      <c r="AU880">
        <v>723</v>
      </c>
      <c r="AV880">
        <v>578</v>
      </c>
      <c r="AW880">
        <v>612</v>
      </c>
      <c r="AX880">
        <v>688</v>
      </c>
      <c r="AY880">
        <v>544</v>
      </c>
      <c r="AZ880">
        <v>781</v>
      </c>
      <c r="BA880">
        <v>979</v>
      </c>
      <c r="BB880">
        <v>916</v>
      </c>
      <c r="BC880">
        <v>566</v>
      </c>
      <c r="BD880">
        <v>443</v>
      </c>
      <c r="BE880">
        <v>587</v>
      </c>
      <c r="BF880">
        <v>643</v>
      </c>
      <c r="BG880">
        <v>892</v>
      </c>
      <c r="BH880">
        <v>164</v>
      </c>
      <c r="BI880">
        <v>275</v>
      </c>
      <c r="BJ880">
        <v>437</v>
      </c>
      <c r="BK880">
        <v>448</v>
      </c>
      <c r="BL880">
        <v>786</v>
      </c>
      <c r="BM880">
        <v>197</v>
      </c>
      <c r="BN880">
        <v>811</v>
      </c>
      <c r="BO880">
        <v>250</v>
      </c>
      <c r="BP880">
        <v>122</v>
      </c>
      <c r="BQ880">
        <v>366</v>
      </c>
      <c r="BR880">
        <v>267</v>
      </c>
      <c r="BS880">
        <v>422</v>
      </c>
      <c r="BT880">
        <v>471</v>
      </c>
      <c r="BU880">
        <v>578</v>
      </c>
      <c r="BV880">
        <v>672</v>
      </c>
      <c r="BW880">
        <v>109</v>
      </c>
      <c r="BX880">
        <v>287</v>
      </c>
      <c r="BY880">
        <v>740</v>
      </c>
      <c r="BZ880">
        <v>301</v>
      </c>
      <c r="CA880">
        <v>611</v>
      </c>
      <c r="CB880">
        <v>161</v>
      </c>
      <c r="CC880">
        <v>663</v>
      </c>
      <c r="CD880">
        <v>752</v>
      </c>
      <c r="CE880">
        <v>265</v>
      </c>
      <c r="CF880">
        <v>694</v>
      </c>
      <c r="CG880">
        <v>664</v>
      </c>
      <c r="CH880">
        <v>502</v>
      </c>
      <c r="CI880">
        <v>793</v>
      </c>
      <c r="CJ880">
        <v>571</v>
      </c>
      <c r="CK880">
        <v>388</v>
      </c>
      <c r="CL880">
        <v>367</v>
      </c>
      <c r="CM880">
        <v>439</v>
      </c>
      <c r="CN880">
        <v>346</v>
      </c>
      <c r="CO880">
        <v>870</v>
      </c>
      <c r="CP880">
        <v>464</v>
      </c>
      <c r="CQ880">
        <v>537</v>
      </c>
      <c r="CR880">
        <v>163</v>
      </c>
      <c r="CS880">
        <v>617</v>
      </c>
      <c r="CT880">
        <v>307</v>
      </c>
      <c r="CU880">
        <v>285</v>
      </c>
      <c r="CV880">
        <v>761</v>
      </c>
      <c r="CW880">
        <v>668</v>
      </c>
      <c r="CX880">
        <v>635</v>
      </c>
      <c r="CY880">
        <v>103</v>
      </c>
      <c r="CZ880">
        <v>476</v>
      </c>
      <c r="DA880">
        <v>622</v>
      </c>
      <c r="DB880">
        <v>141</v>
      </c>
      <c r="DC880">
        <v>981</v>
      </c>
      <c r="DD880">
        <v>922</v>
      </c>
      <c r="DE880">
        <v>767</v>
      </c>
      <c r="DF880">
        <v>385</v>
      </c>
      <c r="DG880">
        <v>835</v>
      </c>
      <c r="DH880">
        <v>220</v>
      </c>
      <c r="DI880">
        <v>549</v>
      </c>
      <c r="DJ880">
        <v>729</v>
      </c>
      <c r="DK880">
        <v>535</v>
      </c>
    </row>
    <row r="881" spans="1:115">
      <c r="A881" s="173">
        <f>Calculations[[#This Row],[Sum t eCO2]]*IF(Calculations[[#This Row],[GHG Scope]]="BIOGENIC",0,1)</f>
        <v>5.2709390103647686E-3</v>
      </c>
      <c r="O881">
        <f t="shared" si="19"/>
        <v>33</v>
      </c>
      <c r="P881">
        <v>743</v>
      </c>
      <c r="Q881">
        <v>989</v>
      </c>
      <c r="R881">
        <v>920</v>
      </c>
      <c r="S881">
        <v>181</v>
      </c>
      <c r="T881">
        <v>917</v>
      </c>
      <c r="U881">
        <v>688</v>
      </c>
      <c r="V881">
        <v>929</v>
      </c>
      <c r="W881">
        <v>698</v>
      </c>
      <c r="X881">
        <v>233</v>
      </c>
      <c r="Y881">
        <v>504</v>
      </c>
      <c r="Z881">
        <v>550</v>
      </c>
      <c r="AA881">
        <v>295</v>
      </c>
      <c r="AB881">
        <v>604</v>
      </c>
      <c r="AC881">
        <v>453</v>
      </c>
      <c r="AD881">
        <v>287</v>
      </c>
      <c r="AE881">
        <v>920</v>
      </c>
      <c r="AF881">
        <v>976</v>
      </c>
      <c r="AG881">
        <v>806</v>
      </c>
      <c r="AH881">
        <v>236</v>
      </c>
      <c r="AI881">
        <v>615</v>
      </c>
      <c r="AJ881">
        <v>155</v>
      </c>
      <c r="AK881">
        <v>800</v>
      </c>
      <c r="AL881">
        <v>433</v>
      </c>
      <c r="AM881">
        <v>964</v>
      </c>
      <c r="AN881">
        <v>473</v>
      </c>
      <c r="AO881">
        <v>764</v>
      </c>
      <c r="AP881">
        <v>457</v>
      </c>
      <c r="AQ881">
        <v>796</v>
      </c>
      <c r="AR881">
        <v>153</v>
      </c>
      <c r="AS881">
        <v>438</v>
      </c>
      <c r="AT881">
        <v>687</v>
      </c>
      <c r="AU881">
        <v>561</v>
      </c>
      <c r="AV881">
        <v>529</v>
      </c>
      <c r="AW881">
        <v>718</v>
      </c>
      <c r="AX881">
        <v>342</v>
      </c>
      <c r="AY881">
        <v>394</v>
      </c>
      <c r="AZ881">
        <v>387</v>
      </c>
      <c r="BA881">
        <v>143</v>
      </c>
      <c r="BB881">
        <v>197</v>
      </c>
      <c r="BC881">
        <v>299</v>
      </c>
      <c r="BD881">
        <v>210</v>
      </c>
      <c r="BE881">
        <v>786</v>
      </c>
      <c r="BF881">
        <v>201</v>
      </c>
      <c r="BG881">
        <v>739</v>
      </c>
      <c r="BH881">
        <v>595</v>
      </c>
      <c r="BI881">
        <v>103</v>
      </c>
      <c r="BJ881">
        <v>882</v>
      </c>
      <c r="BK881">
        <v>833</v>
      </c>
      <c r="BL881">
        <v>127</v>
      </c>
      <c r="BM881">
        <v>250</v>
      </c>
      <c r="BN881">
        <v>294</v>
      </c>
      <c r="BO881">
        <v>826</v>
      </c>
      <c r="BP881">
        <v>597</v>
      </c>
      <c r="BQ881">
        <v>680</v>
      </c>
      <c r="BR881">
        <v>768</v>
      </c>
      <c r="BS881">
        <v>594</v>
      </c>
      <c r="BT881">
        <v>439</v>
      </c>
      <c r="BU881">
        <v>813</v>
      </c>
      <c r="BV881">
        <v>187</v>
      </c>
      <c r="BW881">
        <v>655</v>
      </c>
      <c r="BX881">
        <v>951</v>
      </c>
      <c r="BY881">
        <v>535</v>
      </c>
      <c r="BZ881">
        <v>368</v>
      </c>
      <c r="CA881">
        <v>134</v>
      </c>
      <c r="CB881">
        <v>433</v>
      </c>
      <c r="CC881">
        <v>601</v>
      </c>
      <c r="CD881">
        <v>708</v>
      </c>
      <c r="CE881">
        <v>620</v>
      </c>
      <c r="CF881">
        <v>316</v>
      </c>
      <c r="CG881">
        <v>777</v>
      </c>
      <c r="CH881">
        <v>767</v>
      </c>
      <c r="CI881">
        <v>740</v>
      </c>
      <c r="CJ881">
        <v>267</v>
      </c>
      <c r="CK881">
        <v>522</v>
      </c>
      <c r="CL881">
        <v>605</v>
      </c>
      <c r="CM881">
        <v>490</v>
      </c>
      <c r="CN881">
        <v>735</v>
      </c>
      <c r="CO881">
        <v>857</v>
      </c>
      <c r="CP881">
        <v>530</v>
      </c>
      <c r="CQ881">
        <v>138</v>
      </c>
      <c r="CR881">
        <v>122</v>
      </c>
      <c r="CS881">
        <v>145</v>
      </c>
      <c r="CT881">
        <v>975</v>
      </c>
      <c r="CU881">
        <v>987</v>
      </c>
      <c r="CV881">
        <v>472</v>
      </c>
      <c r="CW881">
        <v>144</v>
      </c>
      <c r="CX881">
        <v>801</v>
      </c>
      <c r="CY881">
        <v>383</v>
      </c>
      <c r="CZ881">
        <v>693</v>
      </c>
      <c r="DA881">
        <v>247</v>
      </c>
      <c r="DB881">
        <v>955</v>
      </c>
      <c r="DC881">
        <v>468</v>
      </c>
      <c r="DD881">
        <v>767</v>
      </c>
      <c r="DE881">
        <v>590</v>
      </c>
      <c r="DF881">
        <v>475</v>
      </c>
      <c r="DG881">
        <v>651</v>
      </c>
      <c r="DH881">
        <v>568</v>
      </c>
      <c r="DI881">
        <v>313</v>
      </c>
      <c r="DJ881">
        <v>804</v>
      </c>
      <c r="DK881">
        <v>637</v>
      </c>
    </row>
    <row r="882" spans="1:115">
      <c r="A882" s="173">
        <f>Calculations[[#This Row],[Sum t eCO2]]*IF(Calculations[[#This Row],[GHG Scope]]="BIOGENIC",0,1)</f>
        <v>1.6127588396963502E-3</v>
      </c>
      <c r="O882">
        <f t="shared" si="19"/>
        <v>34</v>
      </c>
      <c r="P882">
        <v>170</v>
      </c>
      <c r="Q882">
        <v>317</v>
      </c>
      <c r="R882">
        <v>410</v>
      </c>
      <c r="S882">
        <v>420</v>
      </c>
      <c r="T882">
        <v>857</v>
      </c>
      <c r="U882">
        <v>204</v>
      </c>
      <c r="V882">
        <v>613</v>
      </c>
      <c r="W882">
        <v>157</v>
      </c>
      <c r="X882">
        <v>575</v>
      </c>
      <c r="Y882">
        <v>710</v>
      </c>
      <c r="Z882">
        <v>714</v>
      </c>
      <c r="AA882">
        <v>150</v>
      </c>
      <c r="AB882">
        <v>627</v>
      </c>
      <c r="AC882">
        <v>306</v>
      </c>
      <c r="AD882">
        <v>222</v>
      </c>
      <c r="AE882">
        <v>272</v>
      </c>
      <c r="AF882">
        <v>226</v>
      </c>
      <c r="AG882">
        <v>810</v>
      </c>
      <c r="AH882">
        <v>785</v>
      </c>
      <c r="AI882">
        <v>915</v>
      </c>
      <c r="AJ882">
        <v>144</v>
      </c>
      <c r="AK882">
        <v>657</v>
      </c>
      <c r="AL882">
        <v>348</v>
      </c>
      <c r="AM882">
        <v>629</v>
      </c>
      <c r="AN882">
        <v>107</v>
      </c>
      <c r="AO882">
        <v>462</v>
      </c>
      <c r="AP882">
        <v>682</v>
      </c>
      <c r="AQ882">
        <v>949</v>
      </c>
      <c r="AR882">
        <v>150</v>
      </c>
      <c r="AS882">
        <v>883</v>
      </c>
      <c r="AT882">
        <v>291</v>
      </c>
      <c r="AU882">
        <v>269</v>
      </c>
      <c r="AV882">
        <v>402</v>
      </c>
      <c r="AW882">
        <v>416</v>
      </c>
      <c r="AX882">
        <v>522</v>
      </c>
      <c r="AY882">
        <v>753</v>
      </c>
      <c r="AZ882">
        <v>711</v>
      </c>
      <c r="BA882">
        <v>977</v>
      </c>
      <c r="BB882">
        <v>188</v>
      </c>
      <c r="BC882">
        <v>154</v>
      </c>
      <c r="BD882">
        <v>822</v>
      </c>
      <c r="BE882">
        <v>738</v>
      </c>
      <c r="BF882">
        <v>814</v>
      </c>
      <c r="BG882">
        <v>340</v>
      </c>
      <c r="BH882">
        <v>766</v>
      </c>
      <c r="BI882">
        <v>119</v>
      </c>
      <c r="BJ882">
        <v>577</v>
      </c>
      <c r="BK882">
        <v>523</v>
      </c>
      <c r="BL882">
        <v>646</v>
      </c>
      <c r="BM882">
        <v>692</v>
      </c>
      <c r="BN882">
        <v>576</v>
      </c>
      <c r="BO882">
        <v>884</v>
      </c>
      <c r="BP882">
        <v>740</v>
      </c>
      <c r="BQ882">
        <v>585</v>
      </c>
      <c r="BR882">
        <v>191</v>
      </c>
      <c r="BS882">
        <v>589</v>
      </c>
      <c r="BT882">
        <v>259</v>
      </c>
      <c r="BU882">
        <v>576</v>
      </c>
      <c r="BV882">
        <v>646</v>
      </c>
      <c r="BW882">
        <v>699</v>
      </c>
      <c r="BX882">
        <v>948</v>
      </c>
      <c r="BY882">
        <v>600</v>
      </c>
      <c r="BZ882">
        <v>629</v>
      </c>
      <c r="CA882">
        <v>859</v>
      </c>
      <c r="CB882">
        <v>191</v>
      </c>
      <c r="CC882">
        <v>854</v>
      </c>
      <c r="CD882">
        <v>432</v>
      </c>
      <c r="CE882">
        <v>650</v>
      </c>
      <c r="CF882">
        <v>833</v>
      </c>
      <c r="CG882">
        <v>975</v>
      </c>
      <c r="CH882">
        <v>148</v>
      </c>
      <c r="CI882">
        <v>435</v>
      </c>
      <c r="CJ882">
        <v>319</v>
      </c>
      <c r="CK882">
        <v>367</v>
      </c>
      <c r="CL882">
        <v>806</v>
      </c>
      <c r="CM882">
        <v>931</v>
      </c>
      <c r="CN882">
        <v>794</v>
      </c>
      <c r="CO882">
        <v>506</v>
      </c>
      <c r="CP882">
        <v>351</v>
      </c>
      <c r="CQ882">
        <v>185</v>
      </c>
      <c r="CR882">
        <v>818</v>
      </c>
      <c r="CS882">
        <v>965</v>
      </c>
      <c r="CT882">
        <v>516</v>
      </c>
      <c r="CU882">
        <v>920</v>
      </c>
      <c r="CV882">
        <v>851</v>
      </c>
      <c r="CW882">
        <v>469</v>
      </c>
      <c r="CX882">
        <v>578</v>
      </c>
      <c r="CY882">
        <v>344</v>
      </c>
      <c r="CZ882">
        <v>963</v>
      </c>
      <c r="DA882">
        <v>441</v>
      </c>
      <c r="DB882">
        <v>751</v>
      </c>
      <c r="DC882">
        <v>638</v>
      </c>
      <c r="DD882">
        <v>577</v>
      </c>
      <c r="DE882">
        <v>891</v>
      </c>
      <c r="DF882">
        <v>905</v>
      </c>
      <c r="DG882">
        <v>922</v>
      </c>
      <c r="DH882">
        <v>674</v>
      </c>
      <c r="DI882">
        <v>500</v>
      </c>
      <c r="DJ882">
        <v>184</v>
      </c>
      <c r="DK882">
        <v>905</v>
      </c>
    </row>
    <row r="883" spans="1:115">
      <c r="A883" s="173">
        <f>Calculations[[#This Row],[Sum t eCO2]]*IF(Calculations[[#This Row],[GHG Scope]]="BIOGENIC",0,1)</f>
        <v>1.545775245715349E-4</v>
      </c>
      <c r="O883">
        <f t="shared" si="19"/>
        <v>35</v>
      </c>
      <c r="P883">
        <v>338</v>
      </c>
      <c r="Q883">
        <v>276</v>
      </c>
      <c r="R883">
        <v>779</v>
      </c>
      <c r="S883">
        <v>656</v>
      </c>
      <c r="T883">
        <v>261</v>
      </c>
      <c r="U883">
        <v>960</v>
      </c>
      <c r="V883">
        <v>869</v>
      </c>
      <c r="W883">
        <v>364</v>
      </c>
      <c r="X883">
        <v>713</v>
      </c>
      <c r="Y883">
        <v>284</v>
      </c>
      <c r="Z883">
        <v>502</v>
      </c>
      <c r="AA883">
        <v>212</v>
      </c>
      <c r="AB883">
        <v>703</v>
      </c>
      <c r="AC883">
        <v>898</v>
      </c>
      <c r="AD883">
        <v>981</v>
      </c>
      <c r="AE883">
        <v>661</v>
      </c>
      <c r="AF883">
        <v>702</v>
      </c>
      <c r="AG883">
        <v>235</v>
      </c>
      <c r="AH883">
        <v>153</v>
      </c>
      <c r="AI883">
        <v>244</v>
      </c>
      <c r="AJ883">
        <v>525</v>
      </c>
      <c r="AK883">
        <v>870</v>
      </c>
      <c r="AL883">
        <v>965</v>
      </c>
      <c r="AM883">
        <v>682</v>
      </c>
      <c r="AN883">
        <v>756</v>
      </c>
      <c r="AO883">
        <v>464</v>
      </c>
      <c r="AP883">
        <v>330</v>
      </c>
      <c r="AQ883">
        <v>914</v>
      </c>
      <c r="AR883">
        <v>726</v>
      </c>
      <c r="AS883">
        <v>600</v>
      </c>
      <c r="AT883">
        <v>328</v>
      </c>
      <c r="AU883">
        <v>324</v>
      </c>
      <c r="AV883">
        <v>530</v>
      </c>
      <c r="AW883">
        <v>656</v>
      </c>
      <c r="AX883">
        <v>522</v>
      </c>
      <c r="AY883">
        <v>793</v>
      </c>
      <c r="AZ883">
        <v>771</v>
      </c>
      <c r="BA883">
        <v>270</v>
      </c>
      <c r="BB883">
        <v>143</v>
      </c>
      <c r="BC883">
        <v>589</v>
      </c>
      <c r="BD883">
        <v>960</v>
      </c>
      <c r="BE883">
        <v>497</v>
      </c>
      <c r="BF883">
        <v>112</v>
      </c>
      <c r="BG883">
        <v>363</v>
      </c>
      <c r="BH883">
        <v>843</v>
      </c>
      <c r="BI883">
        <v>417</v>
      </c>
      <c r="BJ883">
        <v>557</v>
      </c>
      <c r="BK883">
        <v>723</v>
      </c>
      <c r="BL883">
        <v>690</v>
      </c>
      <c r="BM883">
        <v>748</v>
      </c>
      <c r="BN883">
        <v>227</v>
      </c>
      <c r="BO883">
        <v>625</v>
      </c>
      <c r="BP883">
        <v>794</v>
      </c>
      <c r="BQ883">
        <v>881</v>
      </c>
      <c r="BR883">
        <v>917</v>
      </c>
      <c r="BS883">
        <v>488</v>
      </c>
      <c r="BT883">
        <v>219</v>
      </c>
      <c r="BU883">
        <v>556</v>
      </c>
      <c r="BV883">
        <v>146</v>
      </c>
      <c r="BW883">
        <v>831</v>
      </c>
      <c r="BX883">
        <v>317</v>
      </c>
      <c r="BY883">
        <v>892</v>
      </c>
      <c r="BZ883">
        <v>287</v>
      </c>
      <c r="CA883">
        <v>677</v>
      </c>
      <c r="CB883">
        <v>393</v>
      </c>
      <c r="CC883">
        <v>804</v>
      </c>
      <c r="CD883">
        <v>876</v>
      </c>
      <c r="CE883">
        <v>775</v>
      </c>
      <c r="CF883">
        <v>787</v>
      </c>
      <c r="CG883">
        <v>147</v>
      </c>
      <c r="CH883">
        <v>353</v>
      </c>
      <c r="CI883">
        <v>477</v>
      </c>
      <c r="CJ883">
        <v>695</v>
      </c>
      <c r="CK883">
        <v>891</v>
      </c>
      <c r="CL883">
        <v>176</v>
      </c>
      <c r="CM883">
        <v>790</v>
      </c>
      <c r="CN883">
        <v>552</v>
      </c>
      <c r="CO883">
        <v>181</v>
      </c>
      <c r="CP883">
        <v>447</v>
      </c>
      <c r="CQ883">
        <v>109</v>
      </c>
      <c r="CR883">
        <v>472</v>
      </c>
      <c r="CS883">
        <v>871</v>
      </c>
      <c r="CT883">
        <v>713</v>
      </c>
      <c r="CU883">
        <v>334</v>
      </c>
      <c r="CV883">
        <v>643</v>
      </c>
      <c r="CW883">
        <v>380</v>
      </c>
      <c r="CX883">
        <v>940</v>
      </c>
      <c r="CY883">
        <v>817</v>
      </c>
      <c r="CZ883">
        <v>444</v>
      </c>
      <c r="DA883">
        <v>629</v>
      </c>
      <c r="DB883">
        <v>989</v>
      </c>
      <c r="DC883">
        <v>861</v>
      </c>
      <c r="DD883">
        <v>920</v>
      </c>
      <c r="DE883">
        <v>115</v>
      </c>
      <c r="DF883">
        <v>717</v>
      </c>
      <c r="DG883">
        <v>645</v>
      </c>
      <c r="DH883">
        <v>998</v>
      </c>
      <c r="DI883">
        <v>911</v>
      </c>
      <c r="DJ883">
        <v>386</v>
      </c>
      <c r="DK883">
        <v>842</v>
      </c>
    </row>
    <row r="884" spans="1:115">
      <c r="A884" s="173">
        <f>Calculations[[#This Row],[Sum t eCO2]]*IF(Calculations[[#This Row],[GHG Scope]]="BIOGENIC",0,1)</f>
        <v>2.838451625630299E-3</v>
      </c>
      <c r="O884">
        <f t="shared" si="19"/>
        <v>36</v>
      </c>
      <c r="P884">
        <v>140</v>
      </c>
      <c r="Q884">
        <v>601</v>
      </c>
      <c r="R884">
        <v>214</v>
      </c>
      <c r="S884">
        <v>941</v>
      </c>
      <c r="T884">
        <v>706</v>
      </c>
      <c r="U884">
        <v>219</v>
      </c>
      <c r="V884">
        <v>698</v>
      </c>
      <c r="W884">
        <v>481</v>
      </c>
      <c r="X884">
        <v>962</v>
      </c>
      <c r="Y884">
        <v>276</v>
      </c>
      <c r="Z884">
        <v>189</v>
      </c>
      <c r="AA884">
        <v>384</v>
      </c>
      <c r="AB884">
        <v>776</v>
      </c>
      <c r="AC884">
        <v>572</v>
      </c>
      <c r="AD884">
        <v>913</v>
      </c>
      <c r="AE884">
        <v>177</v>
      </c>
      <c r="AF884">
        <v>856</v>
      </c>
      <c r="AG884">
        <v>233</v>
      </c>
      <c r="AH884">
        <v>869</v>
      </c>
      <c r="AI884">
        <v>372</v>
      </c>
      <c r="AJ884">
        <v>667</v>
      </c>
      <c r="AK884">
        <v>733</v>
      </c>
      <c r="AL884">
        <v>211</v>
      </c>
      <c r="AM884">
        <v>128</v>
      </c>
      <c r="AN884">
        <v>741</v>
      </c>
      <c r="AO884">
        <v>142</v>
      </c>
      <c r="AP884">
        <v>533</v>
      </c>
      <c r="AQ884">
        <v>769</v>
      </c>
      <c r="AR884">
        <v>321</v>
      </c>
      <c r="AS884">
        <v>144</v>
      </c>
      <c r="AT884">
        <v>355</v>
      </c>
      <c r="AU884">
        <v>457</v>
      </c>
      <c r="AV884">
        <v>214</v>
      </c>
      <c r="AW884">
        <v>218</v>
      </c>
      <c r="AX884">
        <v>732</v>
      </c>
      <c r="AY884">
        <v>261</v>
      </c>
      <c r="AZ884">
        <v>238</v>
      </c>
      <c r="BA884">
        <v>643</v>
      </c>
      <c r="BB884">
        <v>734</v>
      </c>
      <c r="BC884">
        <v>318</v>
      </c>
      <c r="BD884">
        <v>216</v>
      </c>
      <c r="BE884">
        <v>235</v>
      </c>
      <c r="BF884">
        <v>489</v>
      </c>
      <c r="BG884">
        <v>257</v>
      </c>
      <c r="BH884">
        <v>857</v>
      </c>
      <c r="BI884">
        <v>923</v>
      </c>
      <c r="BJ884">
        <v>445</v>
      </c>
      <c r="BK884">
        <v>983</v>
      </c>
      <c r="BL884">
        <v>232</v>
      </c>
      <c r="BM884">
        <v>617</v>
      </c>
      <c r="BN884">
        <v>398</v>
      </c>
      <c r="BO884">
        <v>947</v>
      </c>
      <c r="BP884">
        <v>163</v>
      </c>
      <c r="BQ884">
        <v>330</v>
      </c>
      <c r="BR884">
        <v>991</v>
      </c>
      <c r="BS884">
        <v>768</v>
      </c>
      <c r="BT884">
        <v>886</v>
      </c>
      <c r="BU884">
        <v>399</v>
      </c>
      <c r="BV884">
        <v>528</v>
      </c>
      <c r="BW884">
        <v>567</v>
      </c>
      <c r="BX884">
        <v>948</v>
      </c>
      <c r="BY884">
        <v>717</v>
      </c>
      <c r="BZ884">
        <v>550</v>
      </c>
      <c r="CA884">
        <v>251</v>
      </c>
      <c r="CB884">
        <v>470</v>
      </c>
      <c r="CC884">
        <v>565</v>
      </c>
      <c r="CD884">
        <v>153</v>
      </c>
      <c r="CE884">
        <v>290</v>
      </c>
      <c r="CF884">
        <v>239</v>
      </c>
      <c r="CG884">
        <v>846</v>
      </c>
      <c r="CH884">
        <v>243</v>
      </c>
      <c r="CI884">
        <v>522</v>
      </c>
      <c r="CJ884">
        <v>759</v>
      </c>
      <c r="CK884">
        <v>405</v>
      </c>
      <c r="CL884">
        <v>699</v>
      </c>
      <c r="CM884">
        <v>899</v>
      </c>
      <c r="CN884">
        <v>340</v>
      </c>
      <c r="CO884">
        <v>777</v>
      </c>
      <c r="CP884">
        <v>239</v>
      </c>
      <c r="CQ884">
        <v>978</v>
      </c>
      <c r="CR884">
        <v>826</v>
      </c>
      <c r="CS884">
        <v>223</v>
      </c>
      <c r="CT884">
        <v>799</v>
      </c>
      <c r="CU884">
        <v>991</v>
      </c>
      <c r="CV884">
        <v>249</v>
      </c>
      <c r="CW884">
        <v>931</v>
      </c>
      <c r="CX884">
        <v>897</v>
      </c>
      <c r="CY884">
        <v>912</v>
      </c>
      <c r="CZ884">
        <v>242</v>
      </c>
      <c r="DA884">
        <v>825</v>
      </c>
      <c r="DB884">
        <v>783</v>
      </c>
      <c r="DC884">
        <v>276</v>
      </c>
      <c r="DD884">
        <v>121</v>
      </c>
      <c r="DE884">
        <v>163</v>
      </c>
      <c r="DF884">
        <v>883</v>
      </c>
      <c r="DG884">
        <v>787</v>
      </c>
      <c r="DH884">
        <v>532</v>
      </c>
      <c r="DI884">
        <v>700</v>
      </c>
      <c r="DJ884">
        <v>446</v>
      </c>
      <c r="DK884">
        <v>497</v>
      </c>
    </row>
    <row r="885" spans="1:115">
      <c r="A885" s="173">
        <f>Calculations[[#This Row],[Sum t eCO2]]*IF(Calculations[[#This Row],[GHG Scope]]="BIOGENIC",0,1)</f>
        <v>3.1629720755664388</v>
      </c>
      <c r="O885">
        <f t="shared" si="19"/>
        <v>37</v>
      </c>
      <c r="P885">
        <v>533</v>
      </c>
      <c r="Q885">
        <v>819</v>
      </c>
      <c r="R885">
        <v>746</v>
      </c>
      <c r="S885">
        <v>939</v>
      </c>
      <c r="T885">
        <v>934</v>
      </c>
      <c r="U885">
        <v>721</v>
      </c>
      <c r="V885">
        <v>548</v>
      </c>
      <c r="W885">
        <v>468</v>
      </c>
      <c r="X885">
        <v>111</v>
      </c>
      <c r="Y885">
        <v>450</v>
      </c>
      <c r="Z885">
        <v>884</v>
      </c>
      <c r="AA885">
        <v>533</v>
      </c>
      <c r="AB885">
        <v>889</v>
      </c>
      <c r="AC885">
        <v>541</v>
      </c>
      <c r="AD885">
        <v>749</v>
      </c>
      <c r="AE885">
        <v>702</v>
      </c>
      <c r="AF885">
        <v>904</v>
      </c>
      <c r="AG885">
        <v>385</v>
      </c>
      <c r="AH885">
        <v>340</v>
      </c>
      <c r="AI885">
        <v>642</v>
      </c>
      <c r="AJ885">
        <v>102</v>
      </c>
      <c r="AK885">
        <v>197</v>
      </c>
      <c r="AL885">
        <v>533</v>
      </c>
      <c r="AM885">
        <v>802</v>
      </c>
      <c r="AN885">
        <v>700</v>
      </c>
      <c r="AO885">
        <v>482</v>
      </c>
      <c r="AP885">
        <v>791</v>
      </c>
      <c r="AQ885">
        <v>590</v>
      </c>
      <c r="AR885">
        <v>624</v>
      </c>
      <c r="AS885">
        <v>318</v>
      </c>
      <c r="AT885">
        <v>990</v>
      </c>
      <c r="AU885">
        <v>321</v>
      </c>
      <c r="AV885">
        <v>685</v>
      </c>
      <c r="AW885">
        <v>469</v>
      </c>
      <c r="AX885">
        <v>832</v>
      </c>
      <c r="AY885">
        <v>805</v>
      </c>
      <c r="AZ885">
        <v>839</v>
      </c>
      <c r="BA885">
        <v>878</v>
      </c>
      <c r="BB885">
        <v>578</v>
      </c>
      <c r="BC885">
        <v>552</v>
      </c>
      <c r="BD885">
        <v>600</v>
      </c>
      <c r="BE885">
        <v>544</v>
      </c>
      <c r="BF885">
        <v>854</v>
      </c>
      <c r="BG885">
        <v>308</v>
      </c>
      <c r="BH885">
        <v>775</v>
      </c>
      <c r="BI885">
        <v>961</v>
      </c>
      <c r="BJ885">
        <v>517</v>
      </c>
      <c r="BK885">
        <v>386</v>
      </c>
      <c r="BL885">
        <v>835</v>
      </c>
      <c r="BM885">
        <v>876</v>
      </c>
      <c r="BN885">
        <v>977</v>
      </c>
      <c r="BO885">
        <v>313</v>
      </c>
      <c r="BP885">
        <v>772</v>
      </c>
      <c r="BQ885">
        <v>214</v>
      </c>
      <c r="BR885">
        <v>264</v>
      </c>
      <c r="BS885">
        <v>152</v>
      </c>
      <c r="BT885">
        <v>635</v>
      </c>
      <c r="BU885">
        <v>703</v>
      </c>
      <c r="BV885">
        <v>136</v>
      </c>
      <c r="BW885">
        <v>777</v>
      </c>
      <c r="BX885">
        <v>104</v>
      </c>
      <c r="BY885">
        <v>618</v>
      </c>
      <c r="BZ885">
        <v>434</v>
      </c>
      <c r="CA885">
        <v>829</v>
      </c>
      <c r="CB885">
        <v>954</v>
      </c>
      <c r="CC885">
        <v>771</v>
      </c>
      <c r="CD885">
        <v>192</v>
      </c>
      <c r="CE885">
        <v>913</v>
      </c>
      <c r="CF885">
        <v>633</v>
      </c>
      <c r="CG885">
        <v>415</v>
      </c>
      <c r="CH885">
        <v>447</v>
      </c>
      <c r="CI885">
        <v>952</v>
      </c>
      <c r="CJ885">
        <v>472</v>
      </c>
      <c r="CK885">
        <v>912</v>
      </c>
      <c r="CL885">
        <v>552</v>
      </c>
      <c r="CM885">
        <v>571</v>
      </c>
      <c r="CN885">
        <v>176</v>
      </c>
      <c r="CO885">
        <v>811</v>
      </c>
      <c r="CP885">
        <v>758</v>
      </c>
      <c r="CQ885">
        <v>748</v>
      </c>
      <c r="CR885">
        <v>121</v>
      </c>
      <c r="CS885">
        <v>919</v>
      </c>
      <c r="CT885">
        <v>229</v>
      </c>
      <c r="CU885">
        <v>655</v>
      </c>
      <c r="CV885">
        <v>320</v>
      </c>
      <c r="CW885">
        <v>259</v>
      </c>
      <c r="CX885">
        <v>916</v>
      </c>
      <c r="CY885">
        <v>763</v>
      </c>
      <c r="CZ885">
        <v>249</v>
      </c>
      <c r="DA885">
        <v>164</v>
      </c>
      <c r="DB885">
        <v>328</v>
      </c>
      <c r="DC885">
        <v>617</v>
      </c>
      <c r="DD885">
        <v>802</v>
      </c>
      <c r="DE885">
        <v>984</v>
      </c>
      <c r="DF885">
        <v>823</v>
      </c>
      <c r="DG885">
        <v>611</v>
      </c>
      <c r="DH885">
        <v>296</v>
      </c>
      <c r="DI885">
        <v>732</v>
      </c>
      <c r="DJ885">
        <v>166</v>
      </c>
      <c r="DK885">
        <v>889</v>
      </c>
    </row>
    <row r="886" spans="1:115">
      <c r="A886" s="173">
        <f>Calculations[[#This Row],[Sum t eCO2]]*IF(Calculations[[#This Row],[GHG Scope]]="BIOGENIC",0,1)</f>
        <v>1.3757947471647285</v>
      </c>
      <c r="O886">
        <f t="shared" si="19"/>
        <v>38</v>
      </c>
      <c r="P886">
        <v>338</v>
      </c>
      <c r="Q886">
        <v>918</v>
      </c>
      <c r="R886">
        <v>308</v>
      </c>
      <c r="S886">
        <v>779</v>
      </c>
      <c r="T886">
        <v>286</v>
      </c>
      <c r="U886">
        <v>679</v>
      </c>
      <c r="V886">
        <v>409</v>
      </c>
      <c r="W886">
        <v>833</v>
      </c>
      <c r="X886">
        <v>502</v>
      </c>
      <c r="Y886">
        <v>707</v>
      </c>
      <c r="Z886">
        <v>204</v>
      </c>
      <c r="AA886">
        <v>485</v>
      </c>
      <c r="AB886">
        <v>619</v>
      </c>
      <c r="AC886">
        <v>395</v>
      </c>
      <c r="AD886">
        <v>912</v>
      </c>
      <c r="AE886">
        <v>960</v>
      </c>
      <c r="AF886">
        <v>446</v>
      </c>
      <c r="AG886">
        <v>684</v>
      </c>
      <c r="AH886">
        <v>668</v>
      </c>
      <c r="AI886">
        <v>625</v>
      </c>
      <c r="AJ886">
        <v>707</v>
      </c>
      <c r="AK886">
        <v>864</v>
      </c>
      <c r="AL886">
        <v>214</v>
      </c>
      <c r="AM886">
        <v>922</v>
      </c>
      <c r="AN886">
        <v>876</v>
      </c>
      <c r="AO886">
        <v>371</v>
      </c>
      <c r="AP886">
        <v>329</v>
      </c>
      <c r="AQ886">
        <v>651</v>
      </c>
      <c r="AR886">
        <v>218</v>
      </c>
      <c r="AS886">
        <v>394</v>
      </c>
      <c r="AT886">
        <v>711</v>
      </c>
      <c r="AU886">
        <v>585</v>
      </c>
      <c r="AV886">
        <v>535</v>
      </c>
      <c r="AW886">
        <v>620</v>
      </c>
      <c r="AX886">
        <v>197</v>
      </c>
      <c r="AY886">
        <v>416</v>
      </c>
      <c r="AZ886">
        <v>549</v>
      </c>
      <c r="BA886">
        <v>518</v>
      </c>
      <c r="BB886">
        <v>470</v>
      </c>
      <c r="BC886">
        <v>289</v>
      </c>
      <c r="BD886">
        <v>591</v>
      </c>
      <c r="BE886">
        <v>678</v>
      </c>
      <c r="BF886">
        <v>424</v>
      </c>
      <c r="BG886">
        <v>978</v>
      </c>
      <c r="BH886">
        <v>671</v>
      </c>
      <c r="BI886">
        <v>219</v>
      </c>
      <c r="BJ886">
        <v>268</v>
      </c>
      <c r="BK886">
        <v>548</v>
      </c>
      <c r="BL886">
        <v>118</v>
      </c>
      <c r="BM886">
        <v>866</v>
      </c>
      <c r="BN886">
        <v>992</v>
      </c>
      <c r="BO886">
        <v>382</v>
      </c>
      <c r="BP886">
        <v>992</v>
      </c>
      <c r="BQ886">
        <v>286</v>
      </c>
      <c r="BR886">
        <v>700</v>
      </c>
      <c r="BS886">
        <v>979</v>
      </c>
      <c r="BT886">
        <v>106</v>
      </c>
      <c r="BU886">
        <v>733</v>
      </c>
      <c r="BV886">
        <v>418</v>
      </c>
      <c r="BW886">
        <v>961</v>
      </c>
      <c r="BX886">
        <v>134</v>
      </c>
      <c r="BY886">
        <v>216</v>
      </c>
      <c r="BZ886">
        <v>649</v>
      </c>
      <c r="CA886">
        <v>289</v>
      </c>
      <c r="CB886">
        <v>655</v>
      </c>
      <c r="CC886">
        <v>543</v>
      </c>
      <c r="CD886">
        <v>859</v>
      </c>
      <c r="CE886">
        <v>250</v>
      </c>
      <c r="CF886">
        <v>972</v>
      </c>
      <c r="CG886">
        <v>126</v>
      </c>
      <c r="CH886">
        <v>801</v>
      </c>
      <c r="CI886">
        <v>573</v>
      </c>
      <c r="CJ886">
        <v>779</v>
      </c>
      <c r="CK886">
        <v>341</v>
      </c>
      <c r="CL886">
        <v>500</v>
      </c>
      <c r="CM886">
        <v>575</v>
      </c>
      <c r="CN886">
        <v>710</v>
      </c>
      <c r="CO886">
        <v>571</v>
      </c>
      <c r="CP886">
        <v>503</v>
      </c>
      <c r="CQ886">
        <v>702</v>
      </c>
      <c r="CR886">
        <v>105</v>
      </c>
      <c r="CS886">
        <v>678</v>
      </c>
      <c r="CT886">
        <v>842</v>
      </c>
      <c r="CU886">
        <v>221</v>
      </c>
      <c r="CV886">
        <v>878</v>
      </c>
      <c r="CW886">
        <v>887</v>
      </c>
      <c r="CX886">
        <v>528</v>
      </c>
      <c r="CY886">
        <v>128</v>
      </c>
      <c r="CZ886">
        <v>690</v>
      </c>
      <c r="DA886">
        <v>251</v>
      </c>
      <c r="DB886">
        <v>949</v>
      </c>
      <c r="DC886">
        <v>989</v>
      </c>
      <c r="DD886">
        <v>224</v>
      </c>
      <c r="DE886">
        <v>577</v>
      </c>
      <c r="DF886">
        <v>639</v>
      </c>
      <c r="DG886">
        <v>205</v>
      </c>
      <c r="DH886">
        <v>250</v>
      </c>
      <c r="DI886">
        <v>615</v>
      </c>
      <c r="DJ886">
        <v>446</v>
      </c>
      <c r="DK886">
        <v>940</v>
      </c>
    </row>
    <row r="887" spans="1:115">
      <c r="A887" s="173">
        <f>Calculations[[#This Row],[Sum t eCO2]]*IF(Calculations[[#This Row],[GHG Scope]]="BIOGENIC",0,1)</f>
        <v>2.9698471338924861</v>
      </c>
      <c r="O887">
        <f t="shared" si="19"/>
        <v>39</v>
      </c>
      <c r="P887">
        <v>656</v>
      </c>
      <c r="Q887">
        <v>471</v>
      </c>
      <c r="R887">
        <v>806</v>
      </c>
      <c r="S887">
        <v>925</v>
      </c>
      <c r="T887">
        <v>326</v>
      </c>
      <c r="U887">
        <v>500</v>
      </c>
      <c r="V887">
        <v>758</v>
      </c>
      <c r="W887">
        <v>479</v>
      </c>
      <c r="X887">
        <v>550</v>
      </c>
      <c r="Y887">
        <v>265</v>
      </c>
      <c r="Z887">
        <v>435</v>
      </c>
      <c r="AA887">
        <v>599</v>
      </c>
      <c r="AB887">
        <v>150</v>
      </c>
      <c r="AC887">
        <v>898</v>
      </c>
      <c r="AD887">
        <v>761</v>
      </c>
      <c r="AE887">
        <v>218</v>
      </c>
      <c r="AF887">
        <v>331</v>
      </c>
      <c r="AG887">
        <v>413</v>
      </c>
      <c r="AH887">
        <v>101</v>
      </c>
      <c r="AI887">
        <v>551</v>
      </c>
      <c r="AJ887">
        <v>780</v>
      </c>
      <c r="AK887">
        <v>490</v>
      </c>
      <c r="AL887">
        <v>949</v>
      </c>
      <c r="AM887">
        <v>338</v>
      </c>
      <c r="AN887">
        <v>695</v>
      </c>
      <c r="AO887">
        <v>301</v>
      </c>
      <c r="AP887">
        <v>152</v>
      </c>
      <c r="AQ887">
        <v>606</v>
      </c>
      <c r="AR887">
        <v>137</v>
      </c>
      <c r="AS887">
        <v>474</v>
      </c>
      <c r="AT887">
        <v>240</v>
      </c>
      <c r="AU887">
        <v>406</v>
      </c>
      <c r="AV887">
        <v>585</v>
      </c>
      <c r="AW887">
        <v>942</v>
      </c>
      <c r="AX887">
        <v>403</v>
      </c>
      <c r="AY887">
        <v>287</v>
      </c>
      <c r="AZ887">
        <v>273</v>
      </c>
      <c r="BA887">
        <v>441</v>
      </c>
      <c r="BB887">
        <v>813</v>
      </c>
      <c r="BC887">
        <v>364</v>
      </c>
      <c r="BD887">
        <v>361</v>
      </c>
      <c r="BE887">
        <v>454</v>
      </c>
      <c r="BF887">
        <v>364</v>
      </c>
      <c r="BG887">
        <v>742</v>
      </c>
      <c r="BH887">
        <v>842</v>
      </c>
      <c r="BI887">
        <v>107</v>
      </c>
      <c r="BJ887">
        <v>830</v>
      </c>
      <c r="BK887">
        <v>102</v>
      </c>
      <c r="BL887">
        <v>483</v>
      </c>
      <c r="BM887">
        <v>331</v>
      </c>
      <c r="BN887">
        <v>926</v>
      </c>
      <c r="BO887">
        <v>558</v>
      </c>
      <c r="BP887">
        <v>129</v>
      </c>
      <c r="BQ887">
        <v>166</v>
      </c>
      <c r="BR887">
        <v>564</v>
      </c>
      <c r="BS887">
        <v>884</v>
      </c>
      <c r="BT887">
        <v>420</v>
      </c>
      <c r="BU887">
        <v>574</v>
      </c>
      <c r="BV887">
        <v>644</v>
      </c>
      <c r="BW887">
        <v>860</v>
      </c>
      <c r="BX887">
        <v>424</v>
      </c>
      <c r="BY887">
        <v>775</v>
      </c>
      <c r="BZ887">
        <v>396</v>
      </c>
      <c r="CA887">
        <v>226</v>
      </c>
      <c r="CB887">
        <v>327</v>
      </c>
      <c r="CC887">
        <v>119</v>
      </c>
      <c r="CD887">
        <v>550</v>
      </c>
      <c r="CE887">
        <v>743</v>
      </c>
      <c r="CF887">
        <v>251</v>
      </c>
      <c r="CG887">
        <v>821</v>
      </c>
      <c r="CH887">
        <v>920</v>
      </c>
      <c r="CI887">
        <v>767</v>
      </c>
      <c r="CJ887">
        <v>274</v>
      </c>
      <c r="CK887">
        <v>927</v>
      </c>
      <c r="CL887">
        <v>572</v>
      </c>
      <c r="CM887">
        <v>411</v>
      </c>
      <c r="CN887">
        <v>504</v>
      </c>
      <c r="CO887">
        <v>173</v>
      </c>
      <c r="CP887">
        <v>563</v>
      </c>
      <c r="CQ887">
        <v>817</v>
      </c>
      <c r="CR887">
        <v>797</v>
      </c>
      <c r="CS887">
        <v>278</v>
      </c>
      <c r="CT887">
        <v>716</v>
      </c>
      <c r="CU887">
        <v>440</v>
      </c>
      <c r="CV887">
        <v>902</v>
      </c>
      <c r="CW887">
        <v>1000</v>
      </c>
      <c r="CX887">
        <v>604</v>
      </c>
      <c r="CY887">
        <v>182</v>
      </c>
      <c r="CZ887">
        <v>618</v>
      </c>
      <c r="DA887">
        <v>209</v>
      </c>
      <c r="DB887">
        <v>763</v>
      </c>
      <c r="DC887">
        <v>156</v>
      </c>
      <c r="DD887">
        <v>707</v>
      </c>
      <c r="DE887">
        <v>940</v>
      </c>
      <c r="DF887">
        <v>184</v>
      </c>
      <c r="DG887">
        <v>276</v>
      </c>
      <c r="DH887">
        <v>622</v>
      </c>
      <c r="DI887">
        <v>795</v>
      </c>
      <c r="DJ887">
        <v>105</v>
      </c>
      <c r="DK887">
        <v>285</v>
      </c>
    </row>
    <row r="888" spans="1:115">
      <c r="A888" s="173">
        <f>Calculations[[#This Row],[Sum t eCO2]]*IF(Calculations[[#This Row],[GHG Scope]]="BIOGENIC",0,1)</f>
        <v>65.946656025100239</v>
      </c>
      <c r="O888">
        <f t="shared" si="19"/>
        <v>40</v>
      </c>
      <c r="P888">
        <v>169</v>
      </c>
      <c r="Q888">
        <v>973</v>
      </c>
      <c r="R888">
        <v>187</v>
      </c>
      <c r="S888">
        <v>206</v>
      </c>
      <c r="T888">
        <v>571</v>
      </c>
      <c r="U888">
        <v>593</v>
      </c>
      <c r="V888">
        <v>214</v>
      </c>
      <c r="W888">
        <v>400</v>
      </c>
      <c r="X888">
        <v>477</v>
      </c>
      <c r="Y888">
        <v>492</v>
      </c>
      <c r="Z888">
        <v>475</v>
      </c>
      <c r="AA888">
        <v>261</v>
      </c>
      <c r="AB888">
        <v>707</v>
      </c>
      <c r="AC888">
        <v>268</v>
      </c>
      <c r="AD888">
        <v>386</v>
      </c>
      <c r="AE888">
        <v>644</v>
      </c>
      <c r="AF888">
        <v>228</v>
      </c>
      <c r="AG888">
        <v>200</v>
      </c>
      <c r="AH888">
        <v>933</v>
      </c>
      <c r="AI888">
        <v>825</v>
      </c>
      <c r="AJ888">
        <v>257</v>
      </c>
      <c r="AK888">
        <v>105</v>
      </c>
      <c r="AL888">
        <v>943</v>
      </c>
      <c r="AM888">
        <v>703</v>
      </c>
      <c r="AN888">
        <v>106</v>
      </c>
      <c r="AO888">
        <v>197</v>
      </c>
      <c r="AP888">
        <v>377</v>
      </c>
      <c r="AQ888">
        <v>385</v>
      </c>
      <c r="AR888">
        <v>514</v>
      </c>
      <c r="AS888">
        <v>480</v>
      </c>
      <c r="AT888">
        <v>450</v>
      </c>
      <c r="AU888">
        <v>240</v>
      </c>
      <c r="AV888">
        <v>242</v>
      </c>
      <c r="AW888">
        <v>730</v>
      </c>
      <c r="AX888">
        <v>703</v>
      </c>
      <c r="AY888">
        <v>264</v>
      </c>
      <c r="AZ888">
        <v>526</v>
      </c>
      <c r="BA888">
        <v>896</v>
      </c>
      <c r="BB888">
        <v>976</v>
      </c>
      <c r="BC888">
        <v>948</v>
      </c>
      <c r="BD888">
        <v>296</v>
      </c>
      <c r="BE888">
        <v>591</v>
      </c>
      <c r="BF888">
        <v>504</v>
      </c>
      <c r="BG888">
        <v>706</v>
      </c>
      <c r="BH888">
        <v>140</v>
      </c>
      <c r="BI888">
        <v>797</v>
      </c>
      <c r="BJ888">
        <v>357</v>
      </c>
      <c r="BK888">
        <v>709</v>
      </c>
      <c r="BL888">
        <v>150</v>
      </c>
      <c r="BM888">
        <v>201</v>
      </c>
      <c r="BN888">
        <v>912</v>
      </c>
      <c r="BO888">
        <v>573</v>
      </c>
      <c r="BP888">
        <v>694</v>
      </c>
      <c r="BQ888">
        <v>331</v>
      </c>
      <c r="BR888">
        <v>684</v>
      </c>
      <c r="BS888">
        <v>180</v>
      </c>
      <c r="BT888">
        <v>716</v>
      </c>
      <c r="BU888">
        <v>549</v>
      </c>
      <c r="BV888">
        <v>155</v>
      </c>
      <c r="BW888">
        <v>294</v>
      </c>
      <c r="BX888">
        <v>767</v>
      </c>
      <c r="BY888">
        <v>671</v>
      </c>
      <c r="BZ888">
        <v>113</v>
      </c>
      <c r="CA888">
        <v>635</v>
      </c>
      <c r="CB888">
        <v>329</v>
      </c>
      <c r="CC888">
        <v>953</v>
      </c>
      <c r="CD888">
        <v>427</v>
      </c>
      <c r="CE888">
        <v>357</v>
      </c>
      <c r="CF888">
        <v>275</v>
      </c>
      <c r="CG888">
        <v>955</v>
      </c>
      <c r="CH888">
        <v>399</v>
      </c>
      <c r="CI888">
        <v>447</v>
      </c>
      <c r="CJ888">
        <v>583</v>
      </c>
      <c r="CK888">
        <v>826</v>
      </c>
      <c r="CL888">
        <v>223</v>
      </c>
      <c r="CM888">
        <v>567</v>
      </c>
      <c r="CN888">
        <v>926</v>
      </c>
      <c r="CO888">
        <v>861</v>
      </c>
      <c r="CP888">
        <v>304</v>
      </c>
      <c r="CQ888">
        <v>437</v>
      </c>
      <c r="CR888">
        <v>337</v>
      </c>
      <c r="CS888">
        <v>924</v>
      </c>
      <c r="CT888">
        <v>793</v>
      </c>
      <c r="CU888">
        <v>839</v>
      </c>
      <c r="CV888">
        <v>752</v>
      </c>
      <c r="CW888">
        <v>867</v>
      </c>
      <c r="CX888">
        <v>154</v>
      </c>
      <c r="CY888">
        <v>749</v>
      </c>
      <c r="CZ888">
        <v>139</v>
      </c>
      <c r="DA888">
        <v>665</v>
      </c>
      <c r="DB888">
        <v>734</v>
      </c>
      <c r="DC888">
        <v>337</v>
      </c>
      <c r="DD888">
        <v>216</v>
      </c>
      <c r="DE888">
        <v>583</v>
      </c>
      <c r="DF888">
        <v>217</v>
      </c>
      <c r="DG888">
        <v>547</v>
      </c>
      <c r="DH888">
        <v>718</v>
      </c>
      <c r="DI888">
        <v>777</v>
      </c>
      <c r="DJ888">
        <v>151</v>
      </c>
      <c r="DK888">
        <v>357</v>
      </c>
    </row>
    <row r="889" spans="1:115">
      <c r="A889" s="173">
        <f>Calculations[[#This Row],[Sum t eCO2]]*IF(Calculations[[#This Row],[GHG Scope]]="BIOGENIC",0,1)</f>
        <v>290.17353179904683</v>
      </c>
      <c r="O889">
        <f t="shared" si="19"/>
        <v>41</v>
      </c>
      <c r="P889">
        <v>325</v>
      </c>
      <c r="Q889">
        <v>679</v>
      </c>
      <c r="R889">
        <v>236</v>
      </c>
      <c r="S889">
        <v>305</v>
      </c>
      <c r="T889">
        <v>649</v>
      </c>
      <c r="U889">
        <v>496</v>
      </c>
      <c r="V889">
        <v>552</v>
      </c>
      <c r="W889">
        <v>785</v>
      </c>
      <c r="X889">
        <v>160</v>
      </c>
      <c r="Y889">
        <v>176</v>
      </c>
      <c r="Z889">
        <v>195</v>
      </c>
      <c r="AA889">
        <v>551</v>
      </c>
      <c r="AB889">
        <v>991</v>
      </c>
      <c r="AC889">
        <v>770</v>
      </c>
      <c r="AD889">
        <v>135</v>
      </c>
      <c r="AE889">
        <v>686</v>
      </c>
      <c r="AF889">
        <v>287</v>
      </c>
      <c r="AG889">
        <v>831</v>
      </c>
      <c r="AH889">
        <v>269</v>
      </c>
      <c r="AI889">
        <v>940</v>
      </c>
      <c r="AJ889">
        <v>348</v>
      </c>
      <c r="AK889">
        <v>119</v>
      </c>
      <c r="AL889">
        <v>269</v>
      </c>
      <c r="AM889">
        <v>903</v>
      </c>
      <c r="AN889">
        <v>215</v>
      </c>
      <c r="AO889">
        <v>163</v>
      </c>
      <c r="AP889">
        <v>709</v>
      </c>
      <c r="AQ889">
        <v>407</v>
      </c>
      <c r="AR889">
        <v>726</v>
      </c>
      <c r="AS889">
        <v>328</v>
      </c>
      <c r="AT889">
        <v>375</v>
      </c>
      <c r="AU889">
        <v>552</v>
      </c>
      <c r="AV889">
        <v>244</v>
      </c>
      <c r="AW889">
        <v>469</v>
      </c>
      <c r="AX889">
        <v>208</v>
      </c>
      <c r="AY889">
        <v>795</v>
      </c>
      <c r="AZ889">
        <v>588</v>
      </c>
      <c r="BA889">
        <v>799</v>
      </c>
      <c r="BB889">
        <v>327</v>
      </c>
      <c r="BC889">
        <v>284</v>
      </c>
      <c r="BD889">
        <v>562</v>
      </c>
      <c r="BE889">
        <v>394</v>
      </c>
      <c r="BF889">
        <v>305</v>
      </c>
      <c r="BG889">
        <v>966</v>
      </c>
      <c r="BH889">
        <v>391</v>
      </c>
      <c r="BI889">
        <v>119</v>
      </c>
      <c r="BJ889">
        <v>608</v>
      </c>
      <c r="BK889">
        <v>742</v>
      </c>
      <c r="BL889">
        <v>603</v>
      </c>
      <c r="BM889">
        <v>857</v>
      </c>
      <c r="BN889">
        <v>999</v>
      </c>
      <c r="BO889">
        <v>753</v>
      </c>
      <c r="BP889">
        <v>828</v>
      </c>
      <c r="BQ889">
        <v>763</v>
      </c>
      <c r="BR889">
        <v>690</v>
      </c>
      <c r="BS889">
        <v>575</v>
      </c>
      <c r="BT889">
        <v>505</v>
      </c>
      <c r="BU889">
        <v>215</v>
      </c>
      <c r="BV889">
        <v>155</v>
      </c>
      <c r="BW889">
        <v>206</v>
      </c>
      <c r="BX889">
        <v>633</v>
      </c>
      <c r="BY889">
        <v>544</v>
      </c>
      <c r="BZ889">
        <v>527</v>
      </c>
      <c r="CA889">
        <v>492</v>
      </c>
      <c r="CB889">
        <v>850</v>
      </c>
      <c r="CC889">
        <v>136</v>
      </c>
      <c r="CD889">
        <v>538</v>
      </c>
      <c r="CE889">
        <v>418</v>
      </c>
      <c r="CF889">
        <v>550</v>
      </c>
      <c r="CG889">
        <v>568</v>
      </c>
      <c r="CH889">
        <v>898</v>
      </c>
      <c r="CI889">
        <v>954</v>
      </c>
      <c r="CJ889">
        <v>486</v>
      </c>
      <c r="CK889">
        <v>653</v>
      </c>
      <c r="CL889">
        <v>275</v>
      </c>
      <c r="CM889">
        <v>393</v>
      </c>
      <c r="CN889">
        <v>691</v>
      </c>
      <c r="CO889">
        <v>477</v>
      </c>
      <c r="CP889">
        <v>992</v>
      </c>
      <c r="CQ889">
        <v>183</v>
      </c>
      <c r="CR889">
        <v>675</v>
      </c>
      <c r="CS889">
        <v>928</v>
      </c>
      <c r="CT889">
        <v>306</v>
      </c>
      <c r="CU889">
        <v>850</v>
      </c>
      <c r="CV889">
        <v>364</v>
      </c>
      <c r="CW889">
        <v>570</v>
      </c>
      <c r="CX889">
        <v>332</v>
      </c>
      <c r="CY889">
        <v>754</v>
      </c>
      <c r="CZ889">
        <v>919</v>
      </c>
      <c r="DA889">
        <v>909</v>
      </c>
      <c r="DB889">
        <v>593</v>
      </c>
      <c r="DC889">
        <v>635</v>
      </c>
      <c r="DD889">
        <v>229</v>
      </c>
      <c r="DE889">
        <v>853</v>
      </c>
      <c r="DF889">
        <v>741</v>
      </c>
      <c r="DG889">
        <v>778</v>
      </c>
      <c r="DH889">
        <v>267</v>
      </c>
      <c r="DI889">
        <v>134</v>
      </c>
      <c r="DJ889">
        <v>591</v>
      </c>
      <c r="DK889">
        <v>808</v>
      </c>
    </row>
    <row r="890" spans="1:115">
      <c r="A890" s="173">
        <f>Calculations[[#This Row],[Sum t eCO2]]*IF(Calculations[[#This Row],[GHG Scope]]="BIOGENIC",0,1)</f>
        <v>1324.8937862424802</v>
      </c>
      <c r="O890">
        <f t="shared" si="19"/>
        <v>42</v>
      </c>
      <c r="P890">
        <v>808</v>
      </c>
      <c r="Q890">
        <v>924</v>
      </c>
      <c r="R890">
        <v>949</v>
      </c>
      <c r="S890">
        <v>380</v>
      </c>
      <c r="T890">
        <v>350</v>
      </c>
      <c r="U890">
        <v>907</v>
      </c>
      <c r="V890">
        <v>298</v>
      </c>
      <c r="W890">
        <v>982</v>
      </c>
      <c r="X890">
        <v>871</v>
      </c>
      <c r="Y890">
        <v>586</v>
      </c>
      <c r="Z890">
        <v>883</v>
      </c>
      <c r="AA890">
        <v>578</v>
      </c>
      <c r="AB890">
        <v>127</v>
      </c>
      <c r="AC890">
        <v>838</v>
      </c>
      <c r="AD890">
        <v>655</v>
      </c>
      <c r="AE890">
        <v>626</v>
      </c>
      <c r="AF890">
        <v>215</v>
      </c>
      <c r="AG890">
        <v>578</v>
      </c>
      <c r="AH890">
        <v>331</v>
      </c>
      <c r="AI890">
        <v>313</v>
      </c>
      <c r="AJ890">
        <v>253</v>
      </c>
      <c r="AK890">
        <v>620</v>
      </c>
      <c r="AL890">
        <v>182</v>
      </c>
      <c r="AM890">
        <v>437</v>
      </c>
      <c r="AN890">
        <v>135</v>
      </c>
      <c r="AO890">
        <v>191</v>
      </c>
      <c r="AP890">
        <v>296</v>
      </c>
      <c r="AQ890">
        <v>317</v>
      </c>
      <c r="AR890">
        <v>956</v>
      </c>
      <c r="AS890">
        <v>507</v>
      </c>
      <c r="AT890">
        <v>175</v>
      </c>
      <c r="AU890">
        <v>441</v>
      </c>
      <c r="AV890">
        <v>654</v>
      </c>
      <c r="AW890">
        <v>552</v>
      </c>
      <c r="AX890">
        <v>797</v>
      </c>
      <c r="AY890">
        <v>687</v>
      </c>
      <c r="AZ890">
        <v>916</v>
      </c>
      <c r="BA890">
        <v>803</v>
      </c>
      <c r="BB890">
        <v>301</v>
      </c>
      <c r="BC890">
        <v>939</v>
      </c>
      <c r="BD890">
        <v>742</v>
      </c>
      <c r="BE890">
        <v>720</v>
      </c>
      <c r="BF890">
        <v>482</v>
      </c>
      <c r="BG890">
        <v>128</v>
      </c>
      <c r="BH890">
        <v>885</v>
      </c>
      <c r="BI890">
        <v>520</v>
      </c>
      <c r="BJ890">
        <v>244</v>
      </c>
      <c r="BK890">
        <v>568</v>
      </c>
      <c r="BL890">
        <v>494</v>
      </c>
      <c r="BM890">
        <v>246</v>
      </c>
      <c r="BN890">
        <v>169</v>
      </c>
      <c r="BO890">
        <v>747</v>
      </c>
      <c r="BP890">
        <v>138</v>
      </c>
      <c r="BQ890">
        <v>304</v>
      </c>
      <c r="BR890">
        <v>627</v>
      </c>
      <c r="BS890">
        <v>309</v>
      </c>
      <c r="BT890">
        <v>719</v>
      </c>
      <c r="BU890">
        <v>599</v>
      </c>
      <c r="BV890">
        <v>273</v>
      </c>
      <c r="BW890">
        <v>259</v>
      </c>
      <c r="BX890">
        <v>188</v>
      </c>
      <c r="BY890">
        <v>233</v>
      </c>
      <c r="BZ890">
        <v>264</v>
      </c>
      <c r="CA890">
        <v>546</v>
      </c>
      <c r="CB890">
        <v>200</v>
      </c>
      <c r="CC890">
        <v>325</v>
      </c>
      <c r="CD890">
        <v>658</v>
      </c>
      <c r="CE890">
        <v>128</v>
      </c>
      <c r="CF890">
        <v>898</v>
      </c>
      <c r="CG890">
        <v>571</v>
      </c>
      <c r="CH890">
        <v>799</v>
      </c>
      <c r="CI890">
        <v>257</v>
      </c>
      <c r="CJ890">
        <v>756</v>
      </c>
      <c r="CK890">
        <v>377</v>
      </c>
      <c r="CL890">
        <v>808</v>
      </c>
      <c r="CM890">
        <v>265</v>
      </c>
      <c r="CN890">
        <v>497</v>
      </c>
      <c r="CO890">
        <v>318</v>
      </c>
      <c r="CP890">
        <v>186</v>
      </c>
      <c r="CQ890">
        <v>355</v>
      </c>
      <c r="CR890">
        <v>314</v>
      </c>
      <c r="CS890">
        <v>778</v>
      </c>
      <c r="CT890">
        <v>682</v>
      </c>
      <c r="CU890">
        <v>327</v>
      </c>
      <c r="CV890">
        <v>826</v>
      </c>
      <c r="CW890">
        <v>110</v>
      </c>
      <c r="CX890">
        <v>645</v>
      </c>
      <c r="CY890">
        <v>161</v>
      </c>
      <c r="CZ890">
        <v>290</v>
      </c>
      <c r="DA890">
        <v>430</v>
      </c>
      <c r="DB890">
        <v>410</v>
      </c>
      <c r="DC890">
        <v>762</v>
      </c>
      <c r="DD890">
        <v>794</v>
      </c>
      <c r="DE890">
        <v>219</v>
      </c>
      <c r="DF890">
        <v>166</v>
      </c>
      <c r="DG890">
        <v>737</v>
      </c>
      <c r="DH890">
        <v>274</v>
      </c>
      <c r="DI890">
        <v>492</v>
      </c>
      <c r="DJ890">
        <v>852</v>
      </c>
      <c r="DK890">
        <v>911</v>
      </c>
    </row>
    <row r="891" spans="1:115">
      <c r="A891" s="173">
        <f>Calculations[[#This Row],[Sum t eCO2]]*IF(Calculations[[#This Row],[GHG Scope]]="BIOGENIC",0,1)</f>
        <v>83.779081921</v>
      </c>
      <c r="O891">
        <f t="shared" si="19"/>
        <v>43</v>
      </c>
      <c r="P891">
        <v>528</v>
      </c>
      <c r="Q891">
        <v>700</v>
      </c>
      <c r="R891">
        <v>174</v>
      </c>
      <c r="S891">
        <v>127</v>
      </c>
      <c r="T891">
        <v>516</v>
      </c>
      <c r="U891">
        <v>874</v>
      </c>
      <c r="V891">
        <v>278</v>
      </c>
      <c r="W891">
        <v>697</v>
      </c>
      <c r="X891">
        <v>866</v>
      </c>
      <c r="Y891">
        <v>503</v>
      </c>
      <c r="Z891">
        <v>526</v>
      </c>
      <c r="AA891">
        <v>125</v>
      </c>
      <c r="AB891">
        <v>804</v>
      </c>
      <c r="AC891">
        <v>907</v>
      </c>
      <c r="AD891">
        <v>265</v>
      </c>
      <c r="AE891">
        <v>962</v>
      </c>
      <c r="AF891">
        <v>836</v>
      </c>
      <c r="AG891">
        <v>553</v>
      </c>
      <c r="AH891">
        <v>808</v>
      </c>
      <c r="AI891">
        <v>412</v>
      </c>
      <c r="AJ891">
        <v>924</v>
      </c>
      <c r="AK891">
        <v>607</v>
      </c>
      <c r="AL891">
        <v>619</v>
      </c>
      <c r="AM891">
        <v>757</v>
      </c>
      <c r="AN891">
        <v>577</v>
      </c>
      <c r="AO891">
        <v>737</v>
      </c>
      <c r="AP891">
        <v>519</v>
      </c>
      <c r="AQ891">
        <v>286</v>
      </c>
      <c r="AR891">
        <v>471</v>
      </c>
      <c r="AS891">
        <v>374</v>
      </c>
      <c r="AT891">
        <v>178</v>
      </c>
      <c r="AU891">
        <v>631</v>
      </c>
      <c r="AV891">
        <v>814</v>
      </c>
      <c r="AW891">
        <v>762</v>
      </c>
      <c r="AX891">
        <v>510</v>
      </c>
      <c r="AY891">
        <v>268</v>
      </c>
      <c r="AZ891">
        <v>417</v>
      </c>
      <c r="BA891">
        <v>900</v>
      </c>
      <c r="BB891">
        <v>355</v>
      </c>
      <c r="BC891">
        <v>152</v>
      </c>
      <c r="BD891">
        <v>827</v>
      </c>
      <c r="BE891">
        <v>130</v>
      </c>
      <c r="BF891">
        <v>213</v>
      </c>
      <c r="BG891">
        <v>398</v>
      </c>
      <c r="BH891">
        <v>726</v>
      </c>
      <c r="BI891">
        <v>472</v>
      </c>
      <c r="BJ891">
        <v>545</v>
      </c>
      <c r="BK891">
        <v>181</v>
      </c>
      <c r="BL891">
        <v>893</v>
      </c>
      <c r="BM891">
        <v>244</v>
      </c>
      <c r="BN891">
        <v>361</v>
      </c>
      <c r="BO891">
        <v>723</v>
      </c>
      <c r="BP891">
        <v>928</v>
      </c>
      <c r="BQ891">
        <v>974</v>
      </c>
      <c r="BR891">
        <v>526</v>
      </c>
      <c r="BS891">
        <v>707</v>
      </c>
      <c r="BT891">
        <v>521</v>
      </c>
      <c r="BU891">
        <v>124</v>
      </c>
      <c r="BV891">
        <v>404</v>
      </c>
      <c r="BW891">
        <v>386</v>
      </c>
      <c r="BX891">
        <v>369</v>
      </c>
      <c r="BY891">
        <v>180</v>
      </c>
      <c r="BZ891">
        <v>317</v>
      </c>
      <c r="CA891">
        <v>281</v>
      </c>
      <c r="CB891">
        <v>424</v>
      </c>
      <c r="CC891">
        <v>101</v>
      </c>
      <c r="CD891">
        <v>775</v>
      </c>
      <c r="CE891">
        <v>882</v>
      </c>
      <c r="CF891">
        <v>685</v>
      </c>
      <c r="CG891">
        <v>145</v>
      </c>
      <c r="CH891">
        <v>898</v>
      </c>
      <c r="CI891">
        <v>200</v>
      </c>
      <c r="CJ891">
        <v>478</v>
      </c>
      <c r="CK891">
        <v>648</v>
      </c>
      <c r="CL891">
        <v>845</v>
      </c>
      <c r="CM891">
        <v>884</v>
      </c>
      <c r="CN891">
        <v>300</v>
      </c>
      <c r="CO891">
        <v>372</v>
      </c>
      <c r="CP891">
        <v>606</v>
      </c>
      <c r="CQ891">
        <v>652</v>
      </c>
      <c r="CR891">
        <v>691</v>
      </c>
      <c r="CS891">
        <v>402</v>
      </c>
      <c r="CT891">
        <v>834</v>
      </c>
      <c r="CU891">
        <v>638</v>
      </c>
      <c r="CV891">
        <v>587</v>
      </c>
      <c r="CW891">
        <v>127</v>
      </c>
      <c r="CX891">
        <v>604</v>
      </c>
      <c r="CY891">
        <v>297</v>
      </c>
      <c r="CZ891">
        <v>338</v>
      </c>
      <c r="DA891">
        <v>160</v>
      </c>
      <c r="DB891">
        <v>946</v>
      </c>
      <c r="DC891">
        <v>424</v>
      </c>
      <c r="DD891">
        <v>952</v>
      </c>
      <c r="DE891">
        <v>540</v>
      </c>
      <c r="DF891">
        <v>577</v>
      </c>
      <c r="DG891">
        <v>513</v>
      </c>
      <c r="DH891">
        <v>504</v>
      </c>
      <c r="DI891">
        <v>288</v>
      </c>
      <c r="DJ891">
        <v>625</v>
      </c>
      <c r="DK891">
        <v>885</v>
      </c>
    </row>
    <row r="892" spans="1:115">
      <c r="A892" s="173">
        <f>Calculations[[#This Row],[Sum t eCO2]]*IF(Calculations[[#This Row],[GHG Scope]]="BIOGENIC",0,1)</f>
        <v>78.787999999999997</v>
      </c>
      <c r="O892">
        <f t="shared" si="19"/>
        <v>44</v>
      </c>
      <c r="P892">
        <v>429</v>
      </c>
      <c r="Q892">
        <v>874</v>
      </c>
      <c r="R892">
        <v>852</v>
      </c>
      <c r="S892">
        <v>930</v>
      </c>
      <c r="T892">
        <v>407</v>
      </c>
      <c r="U892">
        <v>177</v>
      </c>
      <c r="V892">
        <v>792</v>
      </c>
      <c r="W892">
        <v>231</v>
      </c>
      <c r="X892">
        <v>649</v>
      </c>
      <c r="Y892">
        <v>853</v>
      </c>
      <c r="Z892">
        <v>235</v>
      </c>
      <c r="AA892">
        <v>435</v>
      </c>
      <c r="AB892">
        <v>227</v>
      </c>
      <c r="AC892">
        <v>429</v>
      </c>
      <c r="AD892">
        <v>675</v>
      </c>
      <c r="AE892">
        <v>995</v>
      </c>
      <c r="AF892">
        <v>210</v>
      </c>
      <c r="AG892">
        <v>153</v>
      </c>
      <c r="AH892">
        <v>475</v>
      </c>
      <c r="AI892">
        <v>701</v>
      </c>
      <c r="AJ892">
        <v>712</v>
      </c>
      <c r="AK892">
        <v>547</v>
      </c>
      <c r="AL892">
        <v>856</v>
      </c>
      <c r="AM892">
        <v>239</v>
      </c>
      <c r="AN892">
        <v>269</v>
      </c>
      <c r="AO892">
        <v>287</v>
      </c>
      <c r="AP892">
        <v>969</v>
      </c>
      <c r="AQ892">
        <v>967</v>
      </c>
      <c r="AR892">
        <v>453</v>
      </c>
      <c r="AS892">
        <v>670</v>
      </c>
      <c r="AT892">
        <v>919</v>
      </c>
      <c r="AU892">
        <v>501</v>
      </c>
      <c r="AV892">
        <v>877</v>
      </c>
      <c r="AW892">
        <v>724</v>
      </c>
      <c r="AX892">
        <v>653</v>
      </c>
      <c r="AY892">
        <v>347</v>
      </c>
      <c r="AZ892">
        <v>144</v>
      </c>
      <c r="BA892">
        <v>596</v>
      </c>
      <c r="BB892">
        <v>159</v>
      </c>
      <c r="BC892">
        <v>283</v>
      </c>
      <c r="BD892">
        <v>810</v>
      </c>
      <c r="BE892">
        <v>404</v>
      </c>
      <c r="BF892">
        <v>870</v>
      </c>
      <c r="BG892">
        <v>764</v>
      </c>
      <c r="BH892">
        <v>563</v>
      </c>
      <c r="BI892">
        <v>252</v>
      </c>
      <c r="BJ892">
        <v>765</v>
      </c>
      <c r="BK892">
        <v>298</v>
      </c>
      <c r="BL892">
        <v>933</v>
      </c>
      <c r="BM892">
        <v>205</v>
      </c>
      <c r="BN892">
        <v>810</v>
      </c>
      <c r="BO892">
        <v>442</v>
      </c>
      <c r="BP892">
        <v>986</v>
      </c>
      <c r="BQ892">
        <v>189</v>
      </c>
      <c r="BR892">
        <v>808</v>
      </c>
      <c r="BS892">
        <v>521</v>
      </c>
      <c r="BT892">
        <v>116</v>
      </c>
      <c r="BU892">
        <v>494</v>
      </c>
      <c r="BV892">
        <v>596</v>
      </c>
      <c r="BW892">
        <v>482</v>
      </c>
      <c r="BX892">
        <v>737</v>
      </c>
      <c r="BY892">
        <v>583</v>
      </c>
      <c r="BZ892">
        <v>466</v>
      </c>
      <c r="CA892">
        <v>401</v>
      </c>
      <c r="CB892">
        <v>607</v>
      </c>
      <c r="CC892">
        <v>253</v>
      </c>
      <c r="CD892">
        <v>223</v>
      </c>
      <c r="CE892">
        <v>514</v>
      </c>
      <c r="CF892">
        <v>321</v>
      </c>
      <c r="CG892">
        <v>462</v>
      </c>
      <c r="CH892">
        <v>750</v>
      </c>
      <c r="CI892">
        <v>116</v>
      </c>
      <c r="CJ892">
        <v>643</v>
      </c>
      <c r="CK892">
        <v>397</v>
      </c>
      <c r="CL892">
        <v>470</v>
      </c>
      <c r="CM892">
        <v>408</v>
      </c>
      <c r="CN892">
        <v>507</v>
      </c>
      <c r="CO892">
        <v>129</v>
      </c>
      <c r="CP892">
        <v>252</v>
      </c>
      <c r="CQ892">
        <v>238</v>
      </c>
      <c r="CR892">
        <v>293</v>
      </c>
      <c r="CS892">
        <v>289</v>
      </c>
      <c r="CT892">
        <v>542</v>
      </c>
      <c r="CU892">
        <v>927</v>
      </c>
      <c r="CV892">
        <v>389</v>
      </c>
      <c r="CW892">
        <v>128</v>
      </c>
      <c r="CX892">
        <v>524</v>
      </c>
      <c r="CY892">
        <v>628</v>
      </c>
      <c r="CZ892">
        <v>280</v>
      </c>
      <c r="DA892">
        <v>759</v>
      </c>
      <c r="DB892">
        <v>976</v>
      </c>
      <c r="DC892">
        <v>927</v>
      </c>
      <c r="DD892">
        <v>701</v>
      </c>
      <c r="DE892">
        <v>936</v>
      </c>
      <c r="DF892">
        <v>576</v>
      </c>
      <c r="DG892">
        <v>753</v>
      </c>
      <c r="DH892">
        <v>688</v>
      </c>
      <c r="DI892">
        <v>175</v>
      </c>
      <c r="DJ892">
        <v>892</v>
      </c>
      <c r="DK892">
        <v>823</v>
      </c>
    </row>
    <row r="893" spans="1:115">
      <c r="A893" s="173">
        <f>Calculations[[#This Row],[Sum t eCO2]]*IF(Calculations[[#This Row],[GHG Scope]]="BIOGENIC",0,1)</f>
        <v>0</v>
      </c>
      <c r="O893">
        <f t="shared" si="19"/>
        <v>45</v>
      </c>
      <c r="P893">
        <v>186</v>
      </c>
      <c r="Q893">
        <v>780</v>
      </c>
      <c r="R893">
        <v>466</v>
      </c>
      <c r="S893">
        <v>255</v>
      </c>
      <c r="T893">
        <v>215</v>
      </c>
      <c r="U893">
        <v>583</v>
      </c>
      <c r="V893">
        <v>943</v>
      </c>
      <c r="W893">
        <v>394</v>
      </c>
      <c r="X893">
        <v>736</v>
      </c>
      <c r="Y893">
        <v>367</v>
      </c>
      <c r="Z893">
        <v>587</v>
      </c>
      <c r="AA893">
        <v>317</v>
      </c>
      <c r="AB893">
        <v>882</v>
      </c>
      <c r="AC893">
        <v>932</v>
      </c>
      <c r="AD893">
        <v>787</v>
      </c>
      <c r="AE893">
        <v>492</v>
      </c>
      <c r="AF893">
        <v>916</v>
      </c>
      <c r="AG893">
        <v>631</v>
      </c>
      <c r="AH893">
        <v>1000</v>
      </c>
      <c r="AI893">
        <v>580</v>
      </c>
      <c r="AJ893">
        <v>919</v>
      </c>
      <c r="AK893">
        <v>886</v>
      </c>
      <c r="AL893">
        <v>676</v>
      </c>
      <c r="AM893">
        <v>846</v>
      </c>
      <c r="AN893">
        <v>639</v>
      </c>
      <c r="AO893">
        <v>754</v>
      </c>
      <c r="AP893">
        <v>833</v>
      </c>
      <c r="AQ893">
        <v>795</v>
      </c>
      <c r="AR893">
        <v>794</v>
      </c>
      <c r="AS893">
        <v>442</v>
      </c>
      <c r="AT893">
        <v>305</v>
      </c>
      <c r="AU893">
        <v>318</v>
      </c>
      <c r="AV893">
        <v>489</v>
      </c>
      <c r="AW893">
        <v>532</v>
      </c>
      <c r="AX893">
        <v>671</v>
      </c>
      <c r="AY893">
        <v>616</v>
      </c>
      <c r="AZ893">
        <v>665</v>
      </c>
      <c r="BA893">
        <v>104</v>
      </c>
      <c r="BB893">
        <v>350</v>
      </c>
      <c r="BC893">
        <v>866</v>
      </c>
      <c r="BD893">
        <v>565</v>
      </c>
      <c r="BE893">
        <v>357</v>
      </c>
      <c r="BF893">
        <v>488</v>
      </c>
      <c r="BG893">
        <v>414</v>
      </c>
      <c r="BH893">
        <v>187</v>
      </c>
      <c r="BI893">
        <v>605</v>
      </c>
      <c r="BJ893">
        <v>595</v>
      </c>
      <c r="BK893">
        <v>918</v>
      </c>
      <c r="BL893">
        <v>909</v>
      </c>
      <c r="BM893">
        <v>578</v>
      </c>
      <c r="BN893">
        <v>444</v>
      </c>
      <c r="BO893">
        <v>713</v>
      </c>
      <c r="BP893">
        <v>452</v>
      </c>
      <c r="BQ893">
        <v>244</v>
      </c>
      <c r="BR893">
        <v>433</v>
      </c>
      <c r="BS893">
        <v>663</v>
      </c>
      <c r="BT893">
        <v>562</v>
      </c>
      <c r="BU893">
        <v>274</v>
      </c>
      <c r="BV893">
        <v>718</v>
      </c>
      <c r="BW893">
        <v>286</v>
      </c>
      <c r="BX893">
        <v>577</v>
      </c>
      <c r="BY893">
        <v>974</v>
      </c>
      <c r="BZ893">
        <v>232</v>
      </c>
      <c r="CA893">
        <v>848</v>
      </c>
      <c r="CB893">
        <v>696</v>
      </c>
      <c r="CC893">
        <v>632</v>
      </c>
      <c r="CD893">
        <v>981</v>
      </c>
      <c r="CE893">
        <v>979</v>
      </c>
      <c r="CF893">
        <v>194</v>
      </c>
      <c r="CG893">
        <v>647</v>
      </c>
      <c r="CH893">
        <v>612</v>
      </c>
      <c r="CI893">
        <v>974</v>
      </c>
      <c r="CJ893">
        <v>935</v>
      </c>
      <c r="CK893">
        <v>387</v>
      </c>
      <c r="CL893">
        <v>430</v>
      </c>
      <c r="CM893">
        <v>978</v>
      </c>
      <c r="CN893">
        <v>753</v>
      </c>
      <c r="CO893">
        <v>982</v>
      </c>
      <c r="CP893">
        <v>156</v>
      </c>
      <c r="CQ893">
        <v>966</v>
      </c>
      <c r="CR893">
        <v>299</v>
      </c>
      <c r="CS893">
        <v>413</v>
      </c>
      <c r="CT893">
        <v>469</v>
      </c>
      <c r="CU893">
        <v>920</v>
      </c>
      <c r="CV893">
        <v>367</v>
      </c>
      <c r="CW893">
        <v>513</v>
      </c>
      <c r="CX893">
        <v>519</v>
      </c>
      <c r="CY893">
        <v>799</v>
      </c>
      <c r="CZ893">
        <v>615</v>
      </c>
      <c r="DA893">
        <v>891</v>
      </c>
      <c r="DB893">
        <v>954</v>
      </c>
      <c r="DC893">
        <v>545</v>
      </c>
      <c r="DD893">
        <v>721</v>
      </c>
      <c r="DE893">
        <v>117</v>
      </c>
      <c r="DF893">
        <v>377</v>
      </c>
      <c r="DG893">
        <v>726</v>
      </c>
      <c r="DH893">
        <v>270</v>
      </c>
      <c r="DI893">
        <v>945</v>
      </c>
      <c r="DJ893">
        <v>398</v>
      </c>
      <c r="DK893">
        <v>568</v>
      </c>
    </row>
    <row r="894" spans="1:115">
      <c r="A894" s="173">
        <f>Calculations[[#This Row],[Sum t eCO2]]*IF(Calculations[[#This Row],[GHG Scope]]="BIOGENIC",0,1)</f>
        <v>2.5264975246386969</v>
      </c>
      <c r="O894">
        <f t="shared" si="19"/>
        <v>46</v>
      </c>
      <c r="P894">
        <v>761</v>
      </c>
      <c r="Q894">
        <v>978</v>
      </c>
      <c r="R894">
        <v>834</v>
      </c>
      <c r="S894">
        <v>964</v>
      </c>
      <c r="T894">
        <v>383</v>
      </c>
      <c r="U894">
        <v>998</v>
      </c>
      <c r="V894">
        <v>779</v>
      </c>
      <c r="W894">
        <v>505</v>
      </c>
      <c r="X894">
        <v>103</v>
      </c>
      <c r="Y894">
        <v>474</v>
      </c>
      <c r="Z894">
        <v>503</v>
      </c>
      <c r="AA894">
        <v>181</v>
      </c>
      <c r="AB894">
        <v>195</v>
      </c>
      <c r="AC894">
        <v>708</v>
      </c>
      <c r="AD894">
        <v>642</v>
      </c>
      <c r="AE894">
        <v>173</v>
      </c>
      <c r="AF894">
        <v>144</v>
      </c>
      <c r="AG894">
        <v>828</v>
      </c>
      <c r="AH894">
        <v>218</v>
      </c>
      <c r="AI894">
        <v>993</v>
      </c>
      <c r="AJ894">
        <v>273</v>
      </c>
      <c r="AK894">
        <v>745</v>
      </c>
      <c r="AL894">
        <v>981</v>
      </c>
      <c r="AM894">
        <v>159</v>
      </c>
      <c r="AN894">
        <v>430</v>
      </c>
      <c r="AO894">
        <v>960</v>
      </c>
      <c r="AP894">
        <v>756</v>
      </c>
      <c r="AQ894">
        <v>695</v>
      </c>
      <c r="AR894">
        <v>727</v>
      </c>
      <c r="AS894">
        <v>745</v>
      </c>
      <c r="AT894">
        <v>859</v>
      </c>
      <c r="AU894">
        <v>442</v>
      </c>
      <c r="AV894">
        <v>411</v>
      </c>
      <c r="AW894">
        <v>215</v>
      </c>
      <c r="AX894">
        <v>968</v>
      </c>
      <c r="AY894">
        <v>314</v>
      </c>
      <c r="AZ894">
        <v>711</v>
      </c>
      <c r="BA894">
        <v>725</v>
      </c>
      <c r="BB894">
        <v>544</v>
      </c>
      <c r="BC894">
        <v>661</v>
      </c>
      <c r="BD894">
        <v>109</v>
      </c>
      <c r="BE894">
        <v>636</v>
      </c>
      <c r="BF894">
        <v>548</v>
      </c>
      <c r="BG894">
        <v>916</v>
      </c>
      <c r="BH894">
        <v>238</v>
      </c>
      <c r="BI894">
        <v>137</v>
      </c>
      <c r="BJ894">
        <v>691</v>
      </c>
      <c r="BK894">
        <v>898</v>
      </c>
      <c r="BL894">
        <v>254</v>
      </c>
      <c r="BM894">
        <v>636</v>
      </c>
      <c r="BN894">
        <v>706</v>
      </c>
      <c r="BO894">
        <v>495</v>
      </c>
      <c r="BP894">
        <v>485</v>
      </c>
      <c r="BQ894">
        <v>831</v>
      </c>
      <c r="BR894">
        <v>911</v>
      </c>
      <c r="BS894">
        <v>488</v>
      </c>
      <c r="BT894">
        <v>914</v>
      </c>
      <c r="BU894">
        <v>590</v>
      </c>
      <c r="BV894">
        <v>813</v>
      </c>
      <c r="BW894">
        <v>770</v>
      </c>
      <c r="BX894">
        <v>526</v>
      </c>
      <c r="BY894">
        <v>962</v>
      </c>
      <c r="BZ894">
        <v>423</v>
      </c>
      <c r="CA894">
        <v>727</v>
      </c>
      <c r="CB894">
        <v>533</v>
      </c>
      <c r="CC894">
        <v>245</v>
      </c>
      <c r="CD894">
        <v>913</v>
      </c>
      <c r="CE894">
        <v>551</v>
      </c>
      <c r="CF894">
        <v>571</v>
      </c>
      <c r="CG894">
        <v>924</v>
      </c>
      <c r="CH894">
        <v>747</v>
      </c>
      <c r="CI894">
        <v>669</v>
      </c>
      <c r="CJ894">
        <v>759</v>
      </c>
      <c r="CK894">
        <v>975</v>
      </c>
      <c r="CL894">
        <v>479</v>
      </c>
      <c r="CM894">
        <v>676</v>
      </c>
      <c r="CN894">
        <v>602</v>
      </c>
      <c r="CO894">
        <v>423</v>
      </c>
      <c r="CP894">
        <v>336</v>
      </c>
      <c r="CQ894">
        <v>157</v>
      </c>
      <c r="CR894">
        <v>575</v>
      </c>
      <c r="CS894">
        <v>572</v>
      </c>
      <c r="CT894">
        <v>816</v>
      </c>
      <c r="CU894">
        <v>572</v>
      </c>
      <c r="CV894">
        <v>494</v>
      </c>
      <c r="CW894">
        <v>708</v>
      </c>
      <c r="CX894">
        <v>417</v>
      </c>
      <c r="CY894">
        <v>789</v>
      </c>
      <c r="CZ894">
        <v>574</v>
      </c>
      <c r="DA894">
        <v>121</v>
      </c>
      <c r="DB894">
        <v>886</v>
      </c>
      <c r="DC894">
        <v>772</v>
      </c>
      <c r="DD894">
        <v>663</v>
      </c>
      <c r="DE894">
        <v>360</v>
      </c>
      <c r="DF894">
        <v>350</v>
      </c>
      <c r="DG894">
        <v>210</v>
      </c>
      <c r="DH894">
        <v>731</v>
      </c>
      <c r="DI894">
        <v>852</v>
      </c>
      <c r="DJ894">
        <v>208</v>
      </c>
      <c r="DK894">
        <v>639</v>
      </c>
    </row>
    <row r="895" spans="1:115">
      <c r="A895" s="173">
        <f>Calculations[[#This Row],[Sum t eCO2]]*IF(Calculations[[#This Row],[GHG Scope]]="BIOGENIC",0,1)</f>
        <v>42.490794102202386</v>
      </c>
      <c r="O895">
        <f t="shared" si="19"/>
        <v>47</v>
      </c>
      <c r="P895">
        <v>169</v>
      </c>
      <c r="Q895">
        <v>624</v>
      </c>
      <c r="R895">
        <v>107</v>
      </c>
      <c r="S895">
        <v>567</v>
      </c>
      <c r="T895">
        <v>872</v>
      </c>
      <c r="U895">
        <v>703</v>
      </c>
      <c r="V895">
        <v>211</v>
      </c>
      <c r="W895">
        <v>838</v>
      </c>
      <c r="X895">
        <v>114</v>
      </c>
      <c r="Y895">
        <v>143</v>
      </c>
      <c r="Z895">
        <v>646</v>
      </c>
      <c r="AA895">
        <v>654</v>
      </c>
      <c r="AB895">
        <v>721</v>
      </c>
      <c r="AC895">
        <v>499</v>
      </c>
      <c r="AD895">
        <v>189</v>
      </c>
      <c r="AE895">
        <v>161</v>
      </c>
      <c r="AF895">
        <v>268</v>
      </c>
      <c r="AG895">
        <v>316</v>
      </c>
      <c r="AH895">
        <v>214</v>
      </c>
      <c r="AI895">
        <v>786</v>
      </c>
      <c r="AJ895">
        <v>904</v>
      </c>
      <c r="AK895">
        <v>934</v>
      </c>
      <c r="AL895">
        <v>993</v>
      </c>
      <c r="AM895">
        <v>319</v>
      </c>
      <c r="AN895">
        <v>959</v>
      </c>
      <c r="AO895">
        <v>892</v>
      </c>
      <c r="AP895">
        <v>884</v>
      </c>
      <c r="AQ895">
        <v>561</v>
      </c>
      <c r="AR895">
        <v>665</v>
      </c>
      <c r="AS895">
        <v>739</v>
      </c>
      <c r="AT895">
        <v>401</v>
      </c>
      <c r="AU895">
        <v>550</v>
      </c>
      <c r="AV895">
        <v>279</v>
      </c>
      <c r="AW895">
        <v>834</v>
      </c>
      <c r="AX895">
        <v>889</v>
      </c>
      <c r="AY895">
        <v>277</v>
      </c>
      <c r="AZ895">
        <v>728</v>
      </c>
      <c r="BA895">
        <v>962</v>
      </c>
      <c r="BB895">
        <v>211</v>
      </c>
      <c r="BC895">
        <v>225</v>
      </c>
      <c r="BD895">
        <v>271</v>
      </c>
      <c r="BE895">
        <v>143</v>
      </c>
      <c r="BF895">
        <v>806</v>
      </c>
      <c r="BG895">
        <v>324</v>
      </c>
      <c r="BH895">
        <v>310</v>
      </c>
      <c r="BI895">
        <v>574</v>
      </c>
      <c r="BJ895">
        <v>226</v>
      </c>
      <c r="BK895">
        <v>696</v>
      </c>
      <c r="BL895">
        <v>331</v>
      </c>
      <c r="BM895">
        <v>676</v>
      </c>
      <c r="BN895">
        <v>507</v>
      </c>
      <c r="BO895">
        <v>825</v>
      </c>
      <c r="BP895">
        <v>478</v>
      </c>
      <c r="BQ895">
        <v>757</v>
      </c>
      <c r="BR895">
        <v>971</v>
      </c>
      <c r="BS895">
        <v>531</v>
      </c>
      <c r="BT895">
        <v>296</v>
      </c>
      <c r="BU895">
        <v>785</v>
      </c>
      <c r="BV895">
        <v>638</v>
      </c>
      <c r="BW895">
        <v>366</v>
      </c>
      <c r="BX895">
        <v>513</v>
      </c>
      <c r="BY895">
        <v>235</v>
      </c>
      <c r="BZ895">
        <v>269</v>
      </c>
      <c r="CA895">
        <v>250</v>
      </c>
      <c r="CB895">
        <v>341</v>
      </c>
      <c r="CC895">
        <v>261</v>
      </c>
      <c r="CD895">
        <v>830</v>
      </c>
      <c r="CE895">
        <v>399</v>
      </c>
      <c r="CF895">
        <v>280</v>
      </c>
      <c r="CG895">
        <v>511</v>
      </c>
      <c r="CH895">
        <v>297</v>
      </c>
      <c r="CI895">
        <v>122</v>
      </c>
      <c r="CJ895">
        <v>110</v>
      </c>
      <c r="CK895">
        <v>568</v>
      </c>
      <c r="CL895">
        <v>231</v>
      </c>
      <c r="CM895">
        <v>214</v>
      </c>
      <c r="CN895">
        <v>114</v>
      </c>
      <c r="CO895">
        <v>421</v>
      </c>
      <c r="CP895">
        <v>199</v>
      </c>
      <c r="CQ895">
        <v>791</v>
      </c>
      <c r="CR895">
        <v>217</v>
      </c>
      <c r="CS895">
        <v>313</v>
      </c>
      <c r="CT895">
        <v>197</v>
      </c>
      <c r="CU895">
        <v>964</v>
      </c>
      <c r="CV895">
        <v>274</v>
      </c>
      <c r="CW895">
        <v>559</v>
      </c>
      <c r="CX895">
        <v>545</v>
      </c>
      <c r="CY895">
        <v>714</v>
      </c>
      <c r="CZ895">
        <v>497</v>
      </c>
      <c r="DA895">
        <v>912</v>
      </c>
      <c r="DB895">
        <v>226</v>
      </c>
      <c r="DC895">
        <v>127</v>
      </c>
      <c r="DD895">
        <v>447</v>
      </c>
      <c r="DE895">
        <v>744</v>
      </c>
      <c r="DF895">
        <v>804</v>
      </c>
      <c r="DG895">
        <v>993</v>
      </c>
      <c r="DH895">
        <v>122</v>
      </c>
      <c r="DI895">
        <v>365</v>
      </c>
      <c r="DJ895">
        <v>470</v>
      </c>
      <c r="DK895">
        <v>891</v>
      </c>
    </row>
    <row r="896" spans="1:115">
      <c r="A896" s="173">
        <f>Calculations[[#This Row],[Sum t eCO2]]*IF(Calculations[[#This Row],[GHG Scope]]="BIOGENIC",0,1)</f>
        <v>3.5665282464958574</v>
      </c>
      <c r="O896">
        <f t="shared" si="19"/>
        <v>48</v>
      </c>
      <c r="P896">
        <v>651</v>
      </c>
      <c r="Q896">
        <v>108</v>
      </c>
      <c r="R896">
        <v>643</v>
      </c>
      <c r="S896">
        <v>221</v>
      </c>
      <c r="T896">
        <v>492</v>
      </c>
      <c r="U896">
        <v>349</v>
      </c>
      <c r="V896">
        <v>658</v>
      </c>
      <c r="W896">
        <v>752</v>
      </c>
      <c r="X896">
        <v>946</v>
      </c>
      <c r="Y896">
        <v>830</v>
      </c>
      <c r="Z896">
        <v>654</v>
      </c>
      <c r="AA896">
        <v>330</v>
      </c>
      <c r="AB896">
        <v>327</v>
      </c>
      <c r="AC896">
        <v>249</v>
      </c>
      <c r="AD896">
        <v>332</v>
      </c>
      <c r="AE896">
        <v>183</v>
      </c>
      <c r="AF896">
        <v>356</v>
      </c>
      <c r="AG896">
        <v>712</v>
      </c>
      <c r="AH896">
        <v>215</v>
      </c>
      <c r="AI896">
        <v>900</v>
      </c>
      <c r="AJ896">
        <v>488</v>
      </c>
      <c r="AK896">
        <v>121</v>
      </c>
      <c r="AL896">
        <v>550</v>
      </c>
      <c r="AM896">
        <v>140</v>
      </c>
      <c r="AN896">
        <v>221</v>
      </c>
      <c r="AO896">
        <v>375</v>
      </c>
      <c r="AP896">
        <v>467</v>
      </c>
      <c r="AQ896">
        <v>991</v>
      </c>
      <c r="AR896">
        <v>508</v>
      </c>
      <c r="AS896">
        <v>922</v>
      </c>
      <c r="AT896">
        <v>753</v>
      </c>
      <c r="AU896">
        <v>563</v>
      </c>
      <c r="AV896">
        <v>802</v>
      </c>
      <c r="AW896">
        <v>926</v>
      </c>
      <c r="AX896">
        <v>115</v>
      </c>
      <c r="AY896">
        <v>436</v>
      </c>
      <c r="AZ896">
        <v>520</v>
      </c>
      <c r="BA896">
        <v>311</v>
      </c>
      <c r="BB896">
        <v>834</v>
      </c>
      <c r="BC896">
        <v>400</v>
      </c>
      <c r="BD896">
        <v>255</v>
      </c>
      <c r="BE896">
        <v>557</v>
      </c>
      <c r="BF896">
        <v>663</v>
      </c>
      <c r="BG896">
        <v>398</v>
      </c>
      <c r="BH896">
        <v>701</v>
      </c>
      <c r="BI896">
        <v>388</v>
      </c>
      <c r="BJ896">
        <v>873</v>
      </c>
      <c r="BK896">
        <v>420</v>
      </c>
      <c r="BL896">
        <v>258</v>
      </c>
      <c r="BM896">
        <v>512</v>
      </c>
      <c r="BN896">
        <v>144</v>
      </c>
      <c r="BO896">
        <v>150</v>
      </c>
      <c r="BP896">
        <v>599</v>
      </c>
      <c r="BQ896">
        <v>914</v>
      </c>
      <c r="BR896">
        <v>469</v>
      </c>
      <c r="BS896">
        <v>739</v>
      </c>
      <c r="BT896">
        <v>155</v>
      </c>
      <c r="BU896">
        <v>134</v>
      </c>
      <c r="BV896">
        <v>107</v>
      </c>
      <c r="BW896">
        <v>648</v>
      </c>
      <c r="BX896">
        <v>342</v>
      </c>
      <c r="BY896">
        <v>113</v>
      </c>
      <c r="BZ896">
        <v>639</v>
      </c>
      <c r="CA896">
        <v>925</v>
      </c>
      <c r="CB896">
        <v>631</v>
      </c>
      <c r="CC896">
        <v>860</v>
      </c>
      <c r="CD896">
        <v>900</v>
      </c>
      <c r="CE896">
        <v>288</v>
      </c>
      <c r="CF896">
        <v>940</v>
      </c>
      <c r="CG896">
        <v>848</v>
      </c>
      <c r="CH896">
        <v>175</v>
      </c>
      <c r="CI896">
        <v>589</v>
      </c>
      <c r="CJ896">
        <v>740</v>
      </c>
      <c r="CK896">
        <v>283</v>
      </c>
      <c r="CL896">
        <v>629</v>
      </c>
      <c r="CM896">
        <v>980</v>
      </c>
      <c r="CN896">
        <v>952</v>
      </c>
      <c r="CO896">
        <v>501</v>
      </c>
      <c r="CP896">
        <v>418</v>
      </c>
      <c r="CQ896">
        <v>331</v>
      </c>
      <c r="CR896">
        <v>243</v>
      </c>
      <c r="CS896">
        <v>799</v>
      </c>
      <c r="CT896">
        <v>911</v>
      </c>
      <c r="CU896">
        <v>151</v>
      </c>
      <c r="CV896">
        <v>286</v>
      </c>
      <c r="CW896">
        <v>424</v>
      </c>
      <c r="CX896">
        <v>577</v>
      </c>
      <c r="CY896">
        <v>719</v>
      </c>
      <c r="CZ896">
        <v>254</v>
      </c>
      <c r="DA896">
        <v>710</v>
      </c>
      <c r="DB896">
        <v>690</v>
      </c>
      <c r="DC896">
        <v>353</v>
      </c>
      <c r="DD896">
        <v>421</v>
      </c>
      <c r="DE896">
        <v>683</v>
      </c>
      <c r="DF896">
        <v>116</v>
      </c>
      <c r="DG896">
        <v>342</v>
      </c>
      <c r="DH896">
        <v>343</v>
      </c>
      <c r="DI896">
        <v>869</v>
      </c>
      <c r="DJ896">
        <v>551</v>
      </c>
      <c r="DK896">
        <v>643</v>
      </c>
    </row>
    <row r="897" spans="1:115">
      <c r="A897" s="173">
        <f>Calculations[[#This Row],[Sum t eCO2]]*IF(Calculations[[#This Row],[GHG Scope]]="BIOGENIC",0,1)</f>
        <v>172.92067765601965</v>
      </c>
      <c r="O897">
        <f t="shared" si="19"/>
        <v>49</v>
      </c>
      <c r="P897">
        <v>985</v>
      </c>
      <c r="Q897">
        <v>962</v>
      </c>
      <c r="R897">
        <v>312</v>
      </c>
      <c r="S897">
        <v>276</v>
      </c>
      <c r="T897">
        <v>433</v>
      </c>
      <c r="U897">
        <v>356</v>
      </c>
      <c r="V897">
        <v>327</v>
      </c>
      <c r="W897">
        <v>836</v>
      </c>
      <c r="X897">
        <v>136</v>
      </c>
      <c r="Y897">
        <v>901</v>
      </c>
      <c r="Z897">
        <v>395</v>
      </c>
      <c r="AA897">
        <v>357</v>
      </c>
      <c r="AB897">
        <v>385</v>
      </c>
      <c r="AC897">
        <v>920</v>
      </c>
      <c r="AD897">
        <v>730</v>
      </c>
      <c r="AE897">
        <v>151</v>
      </c>
      <c r="AF897">
        <v>819</v>
      </c>
      <c r="AG897">
        <v>566</v>
      </c>
      <c r="AH897">
        <v>829</v>
      </c>
      <c r="AI897">
        <v>564</v>
      </c>
      <c r="AJ897">
        <v>886</v>
      </c>
      <c r="AK897">
        <v>658</v>
      </c>
      <c r="AL897">
        <v>812</v>
      </c>
      <c r="AM897">
        <v>836</v>
      </c>
      <c r="AN897">
        <v>615</v>
      </c>
      <c r="AO897">
        <v>228</v>
      </c>
      <c r="AP897">
        <v>434</v>
      </c>
      <c r="AQ897">
        <v>581</v>
      </c>
      <c r="AR897">
        <v>801</v>
      </c>
      <c r="AS897">
        <v>368</v>
      </c>
      <c r="AT897">
        <v>207</v>
      </c>
      <c r="AU897">
        <v>704</v>
      </c>
      <c r="AV897">
        <v>451</v>
      </c>
      <c r="AW897">
        <v>396</v>
      </c>
      <c r="AX897">
        <v>677</v>
      </c>
      <c r="AY897">
        <v>557</v>
      </c>
      <c r="AZ897">
        <v>826</v>
      </c>
      <c r="BA897">
        <v>112</v>
      </c>
      <c r="BB897">
        <v>949</v>
      </c>
      <c r="BC897">
        <v>892</v>
      </c>
      <c r="BD897">
        <v>832</v>
      </c>
      <c r="BE897">
        <v>662</v>
      </c>
      <c r="BF897">
        <v>450</v>
      </c>
      <c r="BG897">
        <v>345</v>
      </c>
      <c r="BH897">
        <v>875</v>
      </c>
      <c r="BI897">
        <v>241</v>
      </c>
      <c r="BJ897">
        <v>644</v>
      </c>
      <c r="BK897">
        <v>327</v>
      </c>
      <c r="BL897">
        <v>917</v>
      </c>
      <c r="BM897">
        <v>339</v>
      </c>
      <c r="BN897">
        <v>741</v>
      </c>
      <c r="BO897">
        <v>371</v>
      </c>
      <c r="BP897">
        <v>222</v>
      </c>
      <c r="BQ897">
        <v>108</v>
      </c>
      <c r="BR897">
        <v>359</v>
      </c>
      <c r="BS897">
        <v>960</v>
      </c>
      <c r="BT897">
        <v>882</v>
      </c>
      <c r="BU897">
        <v>161</v>
      </c>
      <c r="BV897">
        <v>820</v>
      </c>
      <c r="BW897">
        <v>827</v>
      </c>
      <c r="BX897">
        <v>768</v>
      </c>
      <c r="BY897">
        <v>695</v>
      </c>
      <c r="BZ897">
        <v>840</v>
      </c>
      <c r="CA897">
        <v>376</v>
      </c>
      <c r="CB897">
        <v>769</v>
      </c>
      <c r="CC897">
        <v>303</v>
      </c>
      <c r="CD897">
        <v>321</v>
      </c>
      <c r="CE897">
        <v>307</v>
      </c>
      <c r="CF897">
        <v>221</v>
      </c>
      <c r="CG897">
        <v>506</v>
      </c>
      <c r="CH897">
        <v>836</v>
      </c>
      <c r="CI897">
        <v>237</v>
      </c>
      <c r="CJ897">
        <v>195</v>
      </c>
      <c r="CK897">
        <v>740</v>
      </c>
      <c r="CL897">
        <v>947</v>
      </c>
      <c r="CM897">
        <v>516</v>
      </c>
      <c r="CN897">
        <v>343</v>
      </c>
      <c r="CO897">
        <v>406</v>
      </c>
      <c r="CP897">
        <v>553</v>
      </c>
      <c r="CQ897">
        <v>449</v>
      </c>
      <c r="CR897">
        <v>183</v>
      </c>
      <c r="CS897">
        <v>274</v>
      </c>
      <c r="CT897">
        <v>695</v>
      </c>
      <c r="CU897">
        <v>993</v>
      </c>
      <c r="CV897">
        <v>641</v>
      </c>
      <c r="CW897">
        <v>1000</v>
      </c>
      <c r="CX897">
        <v>416</v>
      </c>
      <c r="CY897">
        <v>580</v>
      </c>
      <c r="CZ897">
        <v>452</v>
      </c>
      <c r="DA897">
        <v>372</v>
      </c>
      <c r="DB897">
        <v>458</v>
      </c>
      <c r="DC897">
        <v>870</v>
      </c>
      <c r="DD897">
        <v>889</v>
      </c>
      <c r="DE897">
        <v>949</v>
      </c>
      <c r="DF897">
        <v>447</v>
      </c>
      <c r="DG897">
        <v>267</v>
      </c>
      <c r="DH897">
        <v>760</v>
      </c>
      <c r="DI897">
        <v>651</v>
      </c>
      <c r="DJ897">
        <v>290</v>
      </c>
      <c r="DK897">
        <v>302</v>
      </c>
    </row>
    <row r="898" spans="1:115">
      <c r="A898" s="173">
        <f>Calculations[[#This Row],[Sum t eCO2]]*IF(Calculations[[#This Row],[GHG Scope]]="BIOGENIC",0,1)</f>
        <v>4.7350412199999997E-2</v>
      </c>
      <c r="O898">
        <f t="shared" si="19"/>
        <v>50</v>
      </c>
      <c r="P898">
        <v>330</v>
      </c>
      <c r="Q898">
        <v>669</v>
      </c>
      <c r="R898">
        <v>240</v>
      </c>
      <c r="S898">
        <v>460</v>
      </c>
      <c r="T898">
        <v>241</v>
      </c>
      <c r="U898">
        <v>280</v>
      </c>
      <c r="V898">
        <v>286</v>
      </c>
      <c r="W898">
        <v>154</v>
      </c>
      <c r="X898">
        <v>702</v>
      </c>
      <c r="Y898">
        <v>371</v>
      </c>
      <c r="Z898">
        <v>685</v>
      </c>
      <c r="AA898">
        <v>558</v>
      </c>
      <c r="AB898">
        <v>124</v>
      </c>
      <c r="AC898">
        <v>189</v>
      </c>
      <c r="AD898">
        <v>129</v>
      </c>
      <c r="AE898">
        <v>804</v>
      </c>
      <c r="AF898">
        <v>665</v>
      </c>
      <c r="AG898">
        <v>595</v>
      </c>
      <c r="AH898">
        <v>198</v>
      </c>
      <c r="AI898">
        <v>673</v>
      </c>
      <c r="AJ898">
        <v>310</v>
      </c>
      <c r="AK898">
        <v>479</v>
      </c>
      <c r="AL898">
        <v>132</v>
      </c>
      <c r="AM898">
        <v>145</v>
      </c>
      <c r="AN898">
        <v>725</v>
      </c>
      <c r="AO898">
        <v>618</v>
      </c>
      <c r="AP898">
        <v>487</v>
      </c>
      <c r="AQ898">
        <v>479</v>
      </c>
      <c r="AR898">
        <v>133</v>
      </c>
      <c r="AS898">
        <v>229</v>
      </c>
      <c r="AT898">
        <v>996</v>
      </c>
      <c r="AU898">
        <v>121</v>
      </c>
      <c r="AV898">
        <v>502</v>
      </c>
      <c r="AW898">
        <v>493</v>
      </c>
      <c r="AX898">
        <v>319</v>
      </c>
      <c r="AY898">
        <v>532</v>
      </c>
      <c r="AZ898">
        <v>803</v>
      </c>
      <c r="BA898">
        <v>477</v>
      </c>
      <c r="BB898">
        <v>763</v>
      </c>
      <c r="BC898">
        <v>193</v>
      </c>
      <c r="BD898">
        <v>434</v>
      </c>
      <c r="BE898">
        <v>124</v>
      </c>
      <c r="BF898">
        <v>566</v>
      </c>
      <c r="BG898">
        <v>565</v>
      </c>
      <c r="BH898">
        <v>904</v>
      </c>
      <c r="BI898">
        <v>226</v>
      </c>
      <c r="BJ898">
        <v>274</v>
      </c>
      <c r="BK898">
        <v>732</v>
      </c>
      <c r="BL898">
        <v>610</v>
      </c>
      <c r="BM898">
        <v>445</v>
      </c>
      <c r="BN898">
        <v>296</v>
      </c>
      <c r="BO898">
        <v>999</v>
      </c>
      <c r="BP898">
        <v>423</v>
      </c>
      <c r="BQ898">
        <v>527</v>
      </c>
      <c r="BR898">
        <v>582</v>
      </c>
      <c r="BS898">
        <v>784</v>
      </c>
      <c r="BT898">
        <v>706</v>
      </c>
      <c r="BU898">
        <v>636</v>
      </c>
      <c r="BV898">
        <v>384</v>
      </c>
      <c r="BW898">
        <v>806</v>
      </c>
      <c r="BX898">
        <v>980</v>
      </c>
      <c r="BY898">
        <v>654</v>
      </c>
      <c r="BZ898">
        <v>946</v>
      </c>
      <c r="CA898">
        <v>634</v>
      </c>
      <c r="CB898">
        <v>199</v>
      </c>
      <c r="CC898">
        <v>229</v>
      </c>
      <c r="CD898">
        <v>965</v>
      </c>
      <c r="CE898">
        <v>631</v>
      </c>
      <c r="CF898">
        <v>511</v>
      </c>
      <c r="CG898">
        <v>523</v>
      </c>
      <c r="CH898">
        <v>805</v>
      </c>
      <c r="CI898">
        <v>171</v>
      </c>
      <c r="CJ898">
        <v>687</v>
      </c>
      <c r="CK898">
        <v>252</v>
      </c>
      <c r="CL898">
        <v>420</v>
      </c>
      <c r="CM898">
        <v>945</v>
      </c>
      <c r="CN898">
        <v>279</v>
      </c>
      <c r="CO898">
        <v>839</v>
      </c>
      <c r="CP898">
        <v>324</v>
      </c>
      <c r="CQ898">
        <v>767</v>
      </c>
      <c r="CR898">
        <v>284</v>
      </c>
      <c r="CS898">
        <v>285</v>
      </c>
      <c r="CT898">
        <v>505</v>
      </c>
      <c r="CU898">
        <v>738</v>
      </c>
      <c r="CV898">
        <v>456</v>
      </c>
      <c r="CW898">
        <v>547</v>
      </c>
      <c r="CX898">
        <v>596</v>
      </c>
      <c r="CY898">
        <v>960</v>
      </c>
      <c r="CZ898">
        <v>706</v>
      </c>
      <c r="DA898">
        <v>897</v>
      </c>
      <c r="DB898">
        <v>605</v>
      </c>
      <c r="DC898">
        <v>804</v>
      </c>
      <c r="DD898">
        <v>551</v>
      </c>
      <c r="DE898">
        <v>649</v>
      </c>
      <c r="DF898">
        <v>263</v>
      </c>
      <c r="DG898">
        <v>214</v>
      </c>
      <c r="DH898">
        <v>556</v>
      </c>
      <c r="DI898">
        <v>514</v>
      </c>
      <c r="DJ898">
        <v>915</v>
      </c>
      <c r="DK898">
        <v>446</v>
      </c>
    </row>
    <row r="899" spans="1:115">
      <c r="A899" s="173">
        <f>Calculations[[#This Row],[Sum t eCO2]]*IF(Calculations[[#This Row],[GHG Scope]]="BIOGENIC",0,1)</f>
        <v>1.2921232000000001E-2</v>
      </c>
      <c r="O899">
        <f t="shared" si="19"/>
        <v>51</v>
      </c>
      <c r="P899">
        <v>573</v>
      </c>
      <c r="Q899">
        <v>769</v>
      </c>
      <c r="R899">
        <v>498</v>
      </c>
      <c r="S899">
        <v>423</v>
      </c>
      <c r="T899">
        <v>324</v>
      </c>
      <c r="U899">
        <v>419</v>
      </c>
      <c r="V899">
        <v>412</v>
      </c>
      <c r="W899">
        <v>339</v>
      </c>
      <c r="X899">
        <v>207</v>
      </c>
      <c r="Y899">
        <v>714</v>
      </c>
      <c r="Z899">
        <v>415</v>
      </c>
      <c r="AA899">
        <v>301</v>
      </c>
      <c r="AB899">
        <v>785</v>
      </c>
      <c r="AC899">
        <v>449</v>
      </c>
      <c r="AD899">
        <v>615</v>
      </c>
      <c r="AE899">
        <v>456</v>
      </c>
      <c r="AF899">
        <v>154</v>
      </c>
      <c r="AG899">
        <v>744</v>
      </c>
      <c r="AH899">
        <v>957</v>
      </c>
      <c r="AI899">
        <v>667</v>
      </c>
      <c r="AJ899">
        <v>218</v>
      </c>
      <c r="AK899">
        <v>803</v>
      </c>
      <c r="AL899">
        <v>951</v>
      </c>
      <c r="AM899">
        <v>628</v>
      </c>
      <c r="AN899">
        <v>163</v>
      </c>
      <c r="AO899">
        <v>561</v>
      </c>
      <c r="AP899">
        <v>919</v>
      </c>
      <c r="AQ899">
        <v>653</v>
      </c>
      <c r="AR899">
        <v>158</v>
      </c>
      <c r="AS899">
        <v>363</v>
      </c>
      <c r="AT899">
        <v>701</v>
      </c>
      <c r="AU899">
        <v>340</v>
      </c>
      <c r="AV899">
        <v>546</v>
      </c>
      <c r="AW899">
        <v>717</v>
      </c>
      <c r="AX899">
        <v>735</v>
      </c>
      <c r="AY899">
        <v>982</v>
      </c>
      <c r="AZ899">
        <v>114</v>
      </c>
      <c r="BA899">
        <v>631</v>
      </c>
      <c r="BB899">
        <v>959</v>
      </c>
      <c r="BC899">
        <v>439</v>
      </c>
      <c r="BD899">
        <v>670</v>
      </c>
      <c r="BE899">
        <v>445</v>
      </c>
      <c r="BF899">
        <v>519</v>
      </c>
      <c r="BG899">
        <v>343</v>
      </c>
      <c r="BH899">
        <v>449</v>
      </c>
      <c r="BI899">
        <v>967</v>
      </c>
      <c r="BJ899">
        <v>321</v>
      </c>
      <c r="BK899">
        <v>906</v>
      </c>
      <c r="BL899">
        <v>125</v>
      </c>
      <c r="BM899">
        <v>852</v>
      </c>
      <c r="BN899">
        <v>656</v>
      </c>
      <c r="BO899">
        <v>372</v>
      </c>
      <c r="BP899">
        <v>233</v>
      </c>
      <c r="BQ899">
        <v>889</v>
      </c>
      <c r="BR899">
        <v>373</v>
      </c>
      <c r="BS899">
        <v>643</v>
      </c>
      <c r="BT899">
        <v>149</v>
      </c>
      <c r="BU899">
        <v>283</v>
      </c>
      <c r="BV899">
        <v>217</v>
      </c>
      <c r="BW899">
        <v>314</v>
      </c>
      <c r="BX899">
        <v>663</v>
      </c>
      <c r="BY899">
        <v>742</v>
      </c>
      <c r="BZ899">
        <v>994</v>
      </c>
      <c r="CA899">
        <v>833</v>
      </c>
      <c r="CB899">
        <v>126</v>
      </c>
      <c r="CC899">
        <v>403</v>
      </c>
      <c r="CD899">
        <v>774</v>
      </c>
      <c r="CE899">
        <v>803</v>
      </c>
      <c r="CF899">
        <v>933</v>
      </c>
      <c r="CG899">
        <v>173</v>
      </c>
      <c r="CH899">
        <v>908</v>
      </c>
      <c r="CI899">
        <v>836</v>
      </c>
      <c r="CJ899">
        <v>910</v>
      </c>
      <c r="CK899">
        <v>382</v>
      </c>
      <c r="CL899">
        <v>812</v>
      </c>
      <c r="CM899">
        <v>752</v>
      </c>
      <c r="CN899">
        <v>320</v>
      </c>
      <c r="CO899">
        <v>744</v>
      </c>
      <c r="CP899">
        <v>494</v>
      </c>
      <c r="CQ899">
        <v>690</v>
      </c>
      <c r="CR899">
        <v>116</v>
      </c>
      <c r="CS899">
        <v>959</v>
      </c>
      <c r="CT899">
        <v>347</v>
      </c>
      <c r="CU899">
        <v>608</v>
      </c>
      <c r="CV899">
        <v>975</v>
      </c>
      <c r="CW899">
        <v>875</v>
      </c>
      <c r="CX899">
        <v>306</v>
      </c>
      <c r="CY899">
        <v>820</v>
      </c>
      <c r="CZ899">
        <v>532</v>
      </c>
      <c r="DA899">
        <v>358</v>
      </c>
      <c r="DB899">
        <v>989</v>
      </c>
      <c r="DC899">
        <v>277</v>
      </c>
      <c r="DD899">
        <v>731</v>
      </c>
      <c r="DE899">
        <v>494</v>
      </c>
      <c r="DF899">
        <v>892</v>
      </c>
      <c r="DG899">
        <v>319</v>
      </c>
      <c r="DH899">
        <v>595</v>
      </c>
      <c r="DI899">
        <v>269</v>
      </c>
      <c r="DJ899">
        <v>669</v>
      </c>
      <c r="DK899">
        <v>632</v>
      </c>
    </row>
    <row r="900" spans="1:115">
      <c r="A900" s="173">
        <f>Calculations[[#This Row],[Sum t eCO2]]*IF(Calculations[[#This Row],[GHG Scope]]="BIOGENIC",0,1)</f>
        <v>1.179121447008E-2</v>
      </c>
      <c r="O900">
        <f t="shared" si="19"/>
        <v>52</v>
      </c>
      <c r="P900">
        <v>821</v>
      </c>
      <c r="Q900">
        <v>734</v>
      </c>
      <c r="R900">
        <v>911</v>
      </c>
      <c r="S900">
        <v>669</v>
      </c>
      <c r="T900">
        <v>673</v>
      </c>
      <c r="U900">
        <v>576</v>
      </c>
      <c r="V900">
        <v>879</v>
      </c>
      <c r="W900">
        <v>155</v>
      </c>
      <c r="X900">
        <v>689</v>
      </c>
      <c r="Y900">
        <v>116</v>
      </c>
      <c r="Z900">
        <v>743</v>
      </c>
      <c r="AA900">
        <v>492</v>
      </c>
      <c r="AB900">
        <v>579</v>
      </c>
      <c r="AC900">
        <v>328</v>
      </c>
      <c r="AD900">
        <v>595</v>
      </c>
      <c r="AE900">
        <v>821</v>
      </c>
      <c r="AF900">
        <v>581</v>
      </c>
      <c r="AG900">
        <v>812</v>
      </c>
      <c r="AH900">
        <v>704</v>
      </c>
      <c r="AI900">
        <v>912</v>
      </c>
      <c r="AJ900">
        <v>796</v>
      </c>
      <c r="AK900">
        <v>803</v>
      </c>
      <c r="AL900">
        <v>266</v>
      </c>
      <c r="AM900">
        <v>685</v>
      </c>
      <c r="AN900">
        <v>718</v>
      </c>
      <c r="AO900">
        <v>813</v>
      </c>
      <c r="AP900">
        <v>144</v>
      </c>
      <c r="AQ900">
        <v>472</v>
      </c>
      <c r="AR900">
        <v>974</v>
      </c>
      <c r="AS900">
        <v>119</v>
      </c>
      <c r="AT900">
        <v>973</v>
      </c>
      <c r="AU900">
        <v>291</v>
      </c>
      <c r="AV900">
        <v>238</v>
      </c>
      <c r="AW900">
        <v>177</v>
      </c>
      <c r="AX900">
        <v>131</v>
      </c>
      <c r="AY900">
        <v>397</v>
      </c>
      <c r="AZ900">
        <v>493</v>
      </c>
      <c r="BA900">
        <v>517</v>
      </c>
      <c r="BB900">
        <v>212</v>
      </c>
      <c r="BC900">
        <v>123</v>
      </c>
      <c r="BD900">
        <v>976</v>
      </c>
      <c r="BE900">
        <v>674</v>
      </c>
      <c r="BF900">
        <v>975</v>
      </c>
      <c r="BG900">
        <v>560</v>
      </c>
      <c r="BH900">
        <v>338</v>
      </c>
      <c r="BI900">
        <v>572</v>
      </c>
      <c r="BJ900">
        <v>215</v>
      </c>
      <c r="BK900">
        <v>951</v>
      </c>
      <c r="BL900">
        <v>484</v>
      </c>
      <c r="BM900">
        <v>346</v>
      </c>
      <c r="BN900">
        <v>656</v>
      </c>
      <c r="BO900">
        <v>148</v>
      </c>
      <c r="BP900">
        <v>939</v>
      </c>
      <c r="BQ900">
        <v>794</v>
      </c>
      <c r="BR900">
        <v>455</v>
      </c>
      <c r="BS900">
        <v>113</v>
      </c>
      <c r="BT900">
        <v>680</v>
      </c>
      <c r="BU900">
        <v>622</v>
      </c>
      <c r="BV900">
        <v>452</v>
      </c>
      <c r="BW900">
        <v>208</v>
      </c>
      <c r="BX900">
        <v>926</v>
      </c>
      <c r="BY900">
        <v>259</v>
      </c>
      <c r="BZ900">
        <v>216</v>
      </c>
      <c r="CA900">
        <v>974</v>
      </c>
      <c r="CB900">
        <v>515</v>
      </c>
      <c r="CC900">
        <v>779</v>
      </c>
      <c r="CD900">
        <v>439</v>
      </c>
      <c r="CE900">
        <v>820</v>
      </c>
      <c r="CF900">
        <v>702</v>
      </c>
      <c r="CG900">
        <v>301</v>
      </c>
      <c r="CH900">
        <v>925</v>
      </c>
      <c r="CI900">
        <v>433</v>
      </c>
      <c r="CJ900">
        <v>490</v>
      </c>
      <c r="CK900">
        <v>360</v>
      </c>
      <c r="CL900">
        <v>788</v>
      </c>
      <c r="CM900">
        <v>911</v>
      </c>
      <c r="CN900">
        <v>509</v>
      </c>
      <c r="CO900">
        <v>196</v>
      </c>
      <c r="CP900">
        <v>582</v>
      </c>
      <c r="CQ900">
        <v>246</v>
      </c>
      <c r="CR900">
        <v>924</v>
      </c>
      <c r="CS900">
        <v>794</v>
      </c>
      <c r="CT900">
        <v>542</v>
      </c>
      <c r="CU900">
        <v>815</v>
      </c>
      <c r="CV900">
        <v>626</v>
      </c>
      <c r="CW900">
        <v>312</v>
      </c>
      <c r="CX900">
        <v>593</v>
      </c>
      <c r="CY900">
        <v>449</v>
      </c>
      <c r="CZ900">
        <v>943</v>
      </c>
      <c r="DA900">
        <v>638</v>
      </c>
      <c r="DB900">
        <v>879</v>
      </c>
      <c r="DC900">
        <v>401</v>
      </c>
      <c r="DD900">
        <v>247</v>
      </c>
      <c r="DE900">
        <v>549</v>
      </c>
      <c r="DF900">
        <v>715</v>
      </c>
      <c r="DG900">
        <v>515</v>
      </c>
      <c r="DH900">
        <v>227</v>
      </c>
      <c r="DI900">
        <v>871</v>
      </c>
      <c r="DJ900">
        <v>621</v>
      </c>
      <c r="DK900">
        <v>287</v>
      </c>
    </row>
    <row r="901" spans="1:115">
      <c r="A901" s="173">
        <f>Calculations[[#This Row],[Sum t eCO2]]*IF(Calculations[[#This Row],[GHG Scope]]="BIOGENIC",0,1)</f>
        <v>1.138084568154E-2</v>
      </c>
      <c r="O901">
        <f t="shared" si="19"/>
        <v>53</v>
      </c>
      <c r="P901">
        <v>142</v>
      </c>
      <c r="Q901">
        <v>515</v>
      </c>
      <c r="R901">
        <v>869</v>
      </c>
      <c r="S901">
        <v>557</v>
      </c>
      <c r="T901">
        <v>532</v>
      </c>
      <c r="U901">
        <v>678</v>
      </c>
      <c r="V901">
        <v>537</v>
      </c>
      <c r="W901">
        <v>573</v>
      </c>
      <c r="X901">
        <v>607</v>
      </c>
      <c r="Y901">
        <v>177</v>
      </c>
      <c r="Z901">
        <v>924</v>
      </c>
      <c r="AA901">
        <v>784</v>
      </c>
      <c r="AB901">
        <v>261</v>
      </c>
      <c r="AC901">
        <v>533</v>
      </c>
      <c r="AD901">
        <v>284</v>
      </c>
      <c r="AE901">
        <v>468</v>
      </c>
      <c r="AF901">
        <v>919</v>
      </c>
      <c r="AG901">
        <v>574</v>
      </c>
      <c r="AH901">
        <v>159</v>
      </c>
      <c r="AI901">
        <v>524</v>
      </c>
      <c r="AJ901">
        <v>665</v>
      </c>
      <c r="AK901">
        <v>673</v>
      </c>
      <c r="AL901">
        <v>220</v>
      </c>
      <c r="AM901">
        <v>961</v>
      </c>
      <c r="AN901">
        <v>144</v>
      </c>
      <c r="AO901">
        <v>714</v>
      </c>
      <c r="AP901">
        <v>744</v>
      </c>
      <c r="AQ901">
        <v>553</v>
      </c>
      <c r="AR901">
        <v>579</v>
      </c>
      <c r="AS901">
        <v>768</v>
      </c>
      <c r="AT901">
        <v>806</v>
      </c>
      <c r="AU901">
        <v>627</v>
      </c>
      <c r="AV901">
        <v>976</v>
      </c>
      <c r="AW901">
        <v>415</v>
      </c>
      <c r="AX901">
        <v>978</v>
      </c>
      <c r="AY901">
        <v>139</v>
      </c>
      <c r="AZ901">
        <v>834</v>
      </c>
      <c r="BA901">
        <v>438</v>
      </c>
      <c r="BB901">
        <v>152</v>
      </c>
      <c r="BC901">
        <v>478</v>
      </c>
      <c r="BD901">
        <v>765</v>
      </c>
      <c r="BE901">
        <v>688</v>
      </c>
      <c r="BF901">
        <v>947</v>
      </c>
      <c r="BG901">
        <v>278</v>
      </c>
      <c r="BH901">
        <v>491</v>
      </c>
      <c r="BI901">
        <v>685</v>
      </c>
      <c r="BJ901">
        <v>478</v>
      </c>
      <c r="BK901">
        <v>315</v>
      </c>
      <c r="BL901">
        <v>100</v>
      </c>
      <c r="BM901">
        <v>212</v>
      </c>
      <c r="BN901">
        <v>677</v>
      </c>
      <c r="BO901">
        <v>608</v>
      </c>
      <c r="BP901">
        <v>617</v>
      </c>
      <c r="BQ901">
        <v>519</v>
      </c>
      <c r="BR901">
        <v>686</v>
      </c>
      <c r="BS901">
        <v>455</v>
      </c>
      <c r="BT901">
        <v>413</v>
      </c>
      <c r="BU901">
        <v>858</v>
      </c>
      <c r="BV901">
        <v>499</v>
      </c>
      <c r="BW901">
        <v>553</v>
      </c>
      <c r="BX901">
        <v>229</v>
      </c>
      <c r="BY901">
        <v>341</v>
      </c>
      <c r="BZ901">
        <v>611</v>
      </c>
      <c r="CA901">
        <v>469</v>
      </c>
      <c r="CB901">
        <v>485</v>
      </c>
      <c r="CC901">
        <v>591</v>
      </c>
      <c r="CD901">
        <v>517</v>
      </c>
      <c r="CE901">
        <v>676</v>
      </c>
      <c r="CF901">
        <v>758</v>
      </c>
      <c r="CG901">
        <v>249</v>
      </c>
      <c r="CH901">
        <v>177</v>
      </c>
      <c r="CI901">
        <v>641</v>
      </c>
      <c r="CJ901">
        <v>231</v>
      </c>
      <c r="CK901">
        <v>128</v>
      </c>
      <c r="CL901">
        <v>897</v>
      </c>
      <c r="CM901">
        <v>882</v>
      </c>
      <c r="CN901">
        <v>141</v>
      </c>
      <c r="CO901">
        <v>461</v>
      </c>
      <c r="CP901">
        <v>857</v>
      </c>
      <c r="CQ901">
        <v>992</v>
      </c>
      <c r="CR901">
        <v>825</v>
      </c>
      <c r="CS901">
        <v>298</v>
      </c>
      <c r="CT901">
        <v>358</v>
      </c>
      <c r="CU901">
        <v>645</v>
      </c>
      <c r="CV901">
        <v>571</v>
      </c>
      <c r="CW901">
        <v>199</v>
      </c>
      <c r="CX901">
        <v>350</v>
      </c>
      <c r="CY901">
        <v>978</v>
      </c>
      <c r="CZ901">
        <v>763</v>
      </c>
      <c r="DA901">
        <v>310</v>
      </c>
      <c r="DB901">
        <v>768</v>
      </c>
      <c r="DC901">
        <v>101</v>
      </c>
      <c r="DD901">
        <v>929</v>
      </c>
      <c r="DE901">
        <v>145</v>
      </c>
      <c r="DF901">
        <v>419</v>
      </c>
      <c r="DG901">
        <v>381</v>
      </c>
      <c r="DH901">
        <v>119</v>
      </c>
      <c r="DI901">
        <v>577</v>
      </c>
      <c r="DJ901">
        <v>198</v>
      </c>
      <c r="DK901">
        <v>861</v>
      </c>
    </row>
    <row r="902" spans="1:115">
      <c r="A902" s="173">
        <f>Calculations[[#This Row],[Sum t eCO2]]*IF(Calculations[[#This Row],[GHG Scope]]="BIOGENIC",0,1)</f>
        <v>11428.712980816064</v>
      </c>
      <c r="O902">
        <f t="shared" si="19"/>
        <v>54</v>
      </c>
      <c r="P902">
        <v>152</v>
      </c>
      <c r="Q902">
        <v>152</v>
      </c>
      <c r="R902">
        <v>704</v>
      </c>
      <c r="S902">
        <v>459</v>
      </c>
      <c r="T902">
        <v>976</v>
      </c>
      <c r="U902">
        <v>552</v>
      </c>
      <c r="V902">
        <v>679</v>
      </c>
      <c r="W902">
        <v>534</v>
      </c>
      <c r="X902">
        <v>230</v>
      </c>
      <c r="Y902">
        <v>591</v>
      </c>
      <c r="Z902">
        <v>622</v>
      </c>
      <c r="AA902">
        <v>690</v>
      </c>
      <c r="AB902">
        <v>911</v>
      </c>
      <c r="AC902">
        <v>954</v>
      </c>
      <c r="AD902">
        <v>762</v>
      </c>
      <c r="AE902">
        <v>410</v>
      </c>
      <c r="AF902">
        <v>472</v>
      </c>
      <c r="AG902">
        <v>241</v>
      </c>
      <c r="AH902">
        <v>294</v>
      </c>
      <c r="AI902">
        <v>987</v>
      </c>
      <c r="AJ902">
        <v>393</v>
      </c>
      <c r="AK902">
        <v>411</v>
      </c>
      <c r="AL902">
        <v>498</v>
      </c>
      <c r="AM902">
        <v>839</v>
      </c>
      <c r="AN902">
        <v>207</v>
      </c>
      <c r="AO902">
        <v>500</v>
      </c>
      <c r="AP902">
        <v>414</v>
      </c>
      <c r="AQ902">
        <v>622</v>
      </c>
      <c r="AR902">
        <v>284</v>
      </c>
      <c r="AS902">
        <v>917</v>
      </c>
      <c r="AT902">
        <v>742</v>
      </c>
      <c r="AU902">
        <v>931</v>
      </c>
      <c r="AV902">
        <v>709</v>
      </c>
      <c r="AW902">
        <v>726</v>
      </c>
      <c r="AX902">
        <v>816</v>
      </c>
      <c r="AY902">
        <v>225</v>
      </c>
      <c r="AZ902">
        <v>630</v>
      </c>
      <c r="BA902">
        <v>853</v>
      </c>
      <c r="BB902">
        <v>178</v>
      </c>
      <c r="BC902">
        <v>296</v>
      </c>
      <c r="BD902">
        <v>320</v>
      </c>
      <c r="BE902">
        <v>412</v>
      </c>
      <c r="BF902">
        <v>223</v>
      </c>
      <c r="BG902">
        <v>445</v>
      </c>
      <c r="BH902">
        <v>357</v>
      </c>
      <c r="BI902">
        <v>282</v>
      </c>
      <c r="BJ902">
        <v>461</v>
      </c>
      <c r="BK902">
        <v>691</v>
      </c>
      <c r="BL902">
        <v>894</v>
      </c>
      <c r="BM902">
        <v>175</v>
      </c>
      <c r="BN902">
        <v>903</v>
      </c>
      <c r="BO902">
        <v>952</v>
      </c>
      <c r="BP902">
        <v>118</v>
      </c>
      <c r="BQ902">
        <v>787</v>
      </c>
      <c r="BR902">
        <v>612</v>
      </c>
      <c r="BS902">
        <v>818</v>
      </c>
      <c r="BT902">
        <v>775</v>
      </c>
      <c r="BU902">
        <v>249</v>
      </c>
      <c r="BV902">
        <v>752</v>
      </c>
      <c r="BW902">
        <v>461</v>
      </c>
      <c r="BX902">
        <v>442</v>
      </c>
      <c r="BY902">
        <v>526</v>
      </c>
      <c r="BZ902">
        <v>502</v>
      </c>
      <c r="CA902">
        <v>720</v>
      </c>
      <c r="CB902">
        <v>208</v>
      </c>
      <c r="CC902">
        <v>306</v>
      </c>
      <c r="CD902">
        <v>851</v>
      </c>
      <c r="CE902">
        <v>444</v>
      </c>
      <c r="CF902">
        <v>384</v>
      </c>
      <c r="CG902">
        <v>384</v>
      </c>
      <c r="CH902">
        <v>965</v>
      </c>
      <c r="CI902">
        <v>715</v>
      </c>
      <c r="CJ902">
        <v>228</v>
      </c>
      <c r="CK902">
        <v>616</v>
      </c>
      <c r="CL902">
        <v>815</v>
      </c>
      <c r="CM902">
        <v>957</v>
      </c>
      <c r="CN902">
        <v>631</v>
      </c>
      <c r="CO902">
        <v>363</v>
      </c>
      <c r="CP902">
        <v>393</v>
      </c>
      <c r="CQ902">
        <v>478</v>
      </c>
      <c r="CR902">
        <v>184</v>
      </c>
      <c r="CS902">
        <v>127</v>
      </c>
      <c r="CT902">
        <v>529</v>
      </c>
      <c r="CU902">
        <v>613</v>
      </c>
      <c r="CV902">
        <v>231</v>
      </c>
      <c r="CW902">
        <v>364</v>
      </c>
      <c r="CX902">
        <v>716</v>
      </c>
      <c r="CY902">
        <v>812</v>
      </c>
      <c r="CZ902">
        <v>523</v>
      </c>
      <c r="DA902">
        <v>548</v>
      </c>
      <c r="DB902">
        <v>560</v>
      </c>
      <c r="DC902">
        <v>912</v>
      </c>
      <c r="DD902">
        <v>878</v>
      </c>
      <c r="DE902">
        <v>548</v>
      </c>
      <c r="DF902">
        <v>476</v>
      </c>
      <c r="DG902">
        <v>351</v>
      </c>
      <c r="DH902">
        <v>336</v>
      </c>
      <c r="DI902">
        <v>484</v>
      </c>
      <c r="DJ902">
        <v>506</v>
      </c>
      <c r="DK902">
        <v>215</v>
      </c>
    </row>
    <row r="903" spans="1:115">
      <c r="A903" s="173">
        <f>Calculations[[#This Row],[Sum t eCO2]]*IF(Calculations[[#This Row],[GHG Scope]]="BIOGENIC",0,1)</f>
        <v>9.6375077914119238</v>
      </c>
      <c r="O903">
        <f t="shared" si="19"/>
        <v>55</v>
      </c>
      <c r="P903">
        <v>160</v>
      </c>
      <c r="Q903">
        <v>809</v>
      </c>
      <c r="R903">
        <v>286</v>
      </c>
      <c r="S903">
        <v>178</v>
      </c>
      <c r="T903">
        <v>261</v>
      </c>
      <c r="U903">
        <v>458</v>
      </c>
      <c r="V903">
        <v>868</v>
      </c>
      <c r="W903">
        <v>578</v>
      </c>
      <c r="X903">
        <v>348</v>
      </c>
      <c r="Y903">
        <v>932</v>
      </c>
      <c r="Z903">
        <v>967</v>
      </c>
      <c r="AA903">
        <v>499</v>
      </c>
      <c r="AB903">
        <v>896</v>
      </c>
      <c r="AC903">
        <v>714</v>
      </c>
      <c r="AD903">
        <v>440</v>
      </c>
      <c r="AE903">
        <v>270</v>
      </c>
      <c r="AF903">
        <v>136</v>
      </c>
      <c r="AG903">
        <v>686</v>
      </c>
      <c r="AH903">
        <v>851</v>
      </c>
      <c r="AI903">
        <v>470</v>
      </c>
      <c r="AJ903">
        <v>143</v>
      </c>
      <c r="AK903">
        <v>503</v>
      </c>
      <c r="AL903">
        <v>822</v>
      </c>
      <c r="AM903">
        <v>780</v>
      </c>
      <c r="AN903">
        <v>371</v>
      </c>
      <c r="AO903">
        <v>526</v>
      </c>
      <c r="AP903">
        <v>614</v>
      </c>
      <c r="AQ903">
        <v>825</v>
      </c>
      <c r="AR903">
        <v>738</v>
      </c>
      <c r="AS903">
        <v>855</v>
      </c>
      <c r="AT903">
        <v>611</v>
      </c>
      <c r="AU903">
        <v>700</v>
      </c>
      <c r="AV903">
        <v>142</v>
      </c>
      <c r="AW903">
        <v>439</v>
      </c>
      <c r="AX903">
        <v>540</v>
      </c>
      <c r="AY903">
        <v>762</v>
      </c>
      <c r="AZ903">
        <v>460</v>
      </c>
      <c r="BA903">
        <v>918</v>
      </c>
      <c r="BB903">
        <v>350</v>
      </c>
      <c r="BC903">
        <v>421</v>
      </c>
      <c r="BD903">
        <v>776</v>
      </c>
      <c r="BE903">
        <v>768</v>
      </c>
      <c r="BF903">
        <v>533</v>
      </c>
      <c r="BG903">
        <v>904</v>
      </c>
      <c r="BH903">
        <v>404</v>
      </c>
      <c r="BI903">
        <v>804</v>
      </c>
      <c r="BJ903">
        <v>362</v>
      </c>
      <c r="BK903">
        <v>223</v>
      </c>
      <c r="BL903">
        <v>166</v>
      </c>
      <c r="BM903">
        <v>676</v>
      </c>
      <c r="BN903">
        <v>872</v>
      </c>
      <c r="BO903">
        <v>820</v>
      </c>
      <c r="BP903">
        <v>804</v>
      </c>
      <c r="BQ903">
        <v>154</v>
      </c>
      <c r="BR903">
        <v>724</v>
      </c>
      <c r="BS903">
        <v>654</v>
      </c>
      <c r="BT903">
        <v>519</v>
      </c>
      <c r="BU903">
        <v>872</v>
      </c>
      <c r="BV903">
        <v>393</v>
      </c>
      <c r="BW903">
        <v>577</v>
      </c>
      <c r="BX903">
        <v>211</v>
      </c>
      <c r="BY903">
        <v>636</v>
      </c>
      <c r="BZ903">
        <v>417</v>
      </c>
      <c r="CA903">
        <v>294</v>
      </c>
      <c r="CB903">
        <v>988</v>
      </c>
      <c r="CC903">
        <v>516</v>
      </c>
      <c r="CD903">
        <v>868</v>
      </c>
      <c r="CE903">
        <v>632</v>
      </c>
      <c r="CF903">
        <v>810</v>
      </c>
      <c r="CG903">
        <v>798</v>
      </c>
      <c r="CH903">
        <v>158</v>
      </c>
      <c r="CI903">
        <v>191</v>
      </c>
      <c r="CJ903">
        <v>470</v>
      </c>
      <c r="CK903">
        <v>480</v>
      </c>
      <c r="CL903">
        <v>994</v>
      </c>
      <c r="CM903">
        <v>950</v>
      </c>
      <c r="CN903">
        <v>250</v>
      </c>
      <c r="CO903">
        <v>755</v>
      </c>
      <c r="CP903">
        <v>860</v>
      </c>
      <c r="CQ903">
        <v>739</v>
      </c>
      <c r="CR903">
        <v>408</v>
      </c>
      <c r="CS903">
        <v>358</v>
      </c>
      <c r="CT903">
        <v>454</v>
      </c>
      <c r="CU903">
        <v>283</v>
      </c>
      <c r="CV903">
        <v>428</v>
      </c>
      <c r="CW903">
        <v>764</v>
      </c>
      <c r="CX903">
        <v>105</v>
      </c>
      <c r="CY903">
        <v>627</v>
      </c>
      <c r="CZ903">
        <v>419</v>
      </c>
      <c r="DA903">
        <v>698</v>
      </c>
      <c r="DB903">
        <v>231</v>
      </c>
      <c r="DC903">
        <v>327</v>
      </c>
      <c r="DD903">
        <v>433</v>
      </c>
      <c r="DE903">
        <v>824</v>
      </c>
      <c r="DF903">
        <v>116</v>
      </c>
      <c r="DG903">
        <v>789</v>
      </c>
      <c r="DH903">
        <v>518</v>
      </c>
      <c r="DI903">
        <v>688</v>
      </c>
      <c r="DJ903">
        <v>325</v>
      </c>
      <c r="DK903">
        <v>783</v>
      </c>
    </row>
    <row r="904" spans="1:115">
      <c r="A904" s="173">
        <f>Calculations[[#This Row],[Sum t eCO2]]*IF(Calculations[[#This Row],[GHG Scope]]="BIOGENIC",0,1)</f>
        <v>8.6509391681345962E-4</v>
      </c>
      <c r="O904">
        <f t="shared" si="19"/>
        <v>56</v>
      </c>
      <c r="P904">
        <v>929</v>
      </c>
      <c r="Q904">
        <v>141</v>
      </c>
      <c r="R904">
        <v>895</v>
      </c>
      <c r="S904">
        <v>609</v>
      </c>
      <c r="T904">
        <v>104</v>
      </c>
      <c r="U904">
        <v>509</v>
      </c>
      <c r="V904">
        <v>474</v>
      </c>
      <c r="W904">
        <v>977</v>
      </c>
      <c r="X904">
        <v>379</v>
      </c>
      <c r="Y904">
        <v>705</v>
      </c>
      <c r="Z904">
        <v>221</v>
      </c>
      <c r="AA904">
        <v>430</v>
      </c>
      <c r="AB904">
        <v>466</v>
      </c>
      <c r="AC904">
        <v>746</v>
      </c>
      <c r="AD904">
        <v>922</v>
      </c>
      <c r="AE904">
        <v>345</v>
      </c>
      <c r="AF904">
        <v>199</v>
      </c>
      <c r="AG904">
        <v>277</v>
      </c>
      <c r="AH904">
        <v>707</v>
      </c>
      <c r="AI904">
        <v>804</v>
      </c>
      <c r="AJ904">
        <v>566</v>
      </c>
      <c r="AK904">
        <v>660</v>
      </c>
      <c r="AL904">
        <v>358</v>
      </c>
      <c r="AM904">
        <v>800</v>
      </c>
      <c r="AN904">
        <v>600</v>
      </c>
      <c r="AO904">
        <v>466</v>
      </c>
      <c r="AP904">
        <v>934</v>
      </c>
      <c r="AQ904">
        <v>334</v>
      </c>
      <c r="AR904">
        <v>522</v>
      </c>
      <c r="AS904">
        <v>101</v>
      </c>
      <c r="AT904">
        <v>750</v>
      </c>
      <c r="AU904">
        <v>384</v>
      </c>
      <c r="AV904">
        <v>198</v>
      </c>
      <c r="AW904">
        <v>679</v>
      </c>
      <c r="AX904">
        <v>207</v>
      </c>
      <c r="AY904">
        <v>241</v>
      </c>
      <c r="AZ904">
        <v>507</v>
      </c>
      <c r="BA904">
        <v>331</v>
      </c>
      <c r="BB904">
        <v>592</v>
      </c>
      <c r="BC904">
        <v>101</v>
      </c>
      <c r="BD904">
        <v>185</v>
      </c>
      <c r="BE904">
        <v>812</v>
      </c>
      <c r="BF904">
        <v>986</v>
      </c>
      <c r="BG904">
        <v>858</v>
      </c>
      <c r="BH904">
        <v>230</v>
      </c>
      <c r="BI904">
        <v>504</v>
      </c>
      <c r="BJ904">
        <v>908</v>
      </c>
      <c r="BK904">
        <v>496</v>
      </c>
      <c r="BL904">
        <v>983</v>
      </c>
      <c r="BM904">
        <v>876</v>
      </c>
      <c r="BN904">
        <v>523</v>
      </c>
      <c r="BO904">
        <v>329</v>
      </c>
      <c r="BP904">
        <v>240</v>
      </c>
      <c r="BQ904">
        <v>152</v>
      </c>
      <c r="BR904">
        <v>915</v>
      </c>
      <c r="BS904">
        <v>632</v>
      </c>
      <c r="BT904">
        <v>471</v>
      </c>
      <c r="BU904">
        <v>336</v>
      </c>
      <c r="BV904">
        <v>191</v>
      </c>
      <c r="BW904">
        <v>103</v>
      </c>
      <c r="BX904">
        <v>443</v>
      </c>
      <c r="BY904">
        <v>723</v>
      </c>
      <c r="BZ904">
        <v>895</v>
      </c>
      <c r="CA904">
        <v>913</v>
      </c>
      <c r="CB904">
        <v>218</v>
      </c>
      <c r="CC904">
        <v>387</v>
      </c>
      <c r="CD904">
        <v>890</v>
      </c>
      <c r="CE904">
        <v>783</v>
      </c>
      <c r="CF904">
        <v>770</v>
      </c>
      <c r="CG904">
        <v>234</v>
      </c>
      <c r="CH904">
        <v>534</v>
      </c>
      <c r="CI904">
        <v>563</v>
      </c>
      <c r="CJ904">
        <v>331</v>
      </c>
      <c r="CK904">
        <v>946</v>
      </c>
      <c r="CL904">
        <v>716</v>
      </c>
      <c r="CM904">
        <v>982</v>
      </c>
      <c r="CN904">
        <v>493</v>
      </c>
      <c r="CO904">
        <v>454</v>
      </c>
      <c r="CP904">
        <v>254</v>
      </c>
      <c r="CQ904">
        <v>270</v>
      </c>
      <c r="CR904">
        <v>886</v>
      </c>
      <c r="CS904">
        <v>966</v>
      </c>
      <c r="CT904">
        <v>167</v>
      </c>
      <c r="CU904">
        <v>605</v>
      </c>
      <c r="CV904">
        <v>746</v>
      </c>
      <c r="CW904">
        <v>325</v>
      </c>
      <c r="CX904">
        <v>751</v>
      </c>
      <c r="CY904">
        <v>849</v>
      </c>
      <c r="CZ904">
        <v>247</v>
      </c>
      <c r="DA904">
        <v>465</v>
      </c>
      <c r="DB904">
        <v>881</v>
      </c>
      <c r="DC904">
        <v>180</v>
      </c>
      <c r="DD904">
        <v>507</v>
      </c>
      <c r="DE904">
        <v>978</v>
      </c>
      <c r="DF904">
        <v>928</v>
      </c>
      <c r="DG904">
        <v>779</v>
      </c>
      <c r="DH904">
        <v>259</v>
      </c>
      <c r="DI904">
        <v>683</v>
      </c>
      <c r="DJ904">
        <v>990</v>
      </c>
      <c r="DK904">
        <v>209</v>
      </c>
    </row>
    <row r="905" spans="1:115">
      <c r="A905" s="173">
        <f>Calculations[[#This Row],[Sum t eCO2]]*IF(Calculations[[#This Row],[GHG Scope]]="BIOGENIC",0,1)</f>
        <v>0.17837601633378444</v>
      </c>
      <c r="O905">
        <f t="shared" si="19"/>
        <v>57</v>
      </c>
      <c r="P905">
        <v>849</v>
      </c>
      <c r="Q905">
        <v>473</v>
      </c>
      <c r="R905">
        <v>881</v>
      </c>
      <c r="S905">
        <v>798</v>
      </c>
      <c r="T905">
        <v>907</v>
      </c>
      <c r="U905">
        <v>494</v>
      </c>
      <c r="V905">
        <v>836</v>
      </c>
      <c r="W905">
        <v>585</v>
      </c>
      <c r="X905">
        <v>637</v>
      </c>
      <c r="Y905">
        <v>451</v>
      </c>
      <c r="Z905">
        <v>779</v>
      </c>
      <c r="AA905">
        <v>357</v>
      </c>
      <c r="AB905">
        <v>646</v>
      </c>
      <c r="AC905">
        <v>766</v>
      </c>
      <c r="AD905">
        <v>589</v>
      </c>
      <c r="AE905">
        <v>378</v>
      </c>
      <c r="AF905">
        <v>339</v>
      </c>
      <c r="AG905">
        <v>596</v>
      </c>
      <c r="AH905">
        <v>876</v>
      </c>
      <c r="AI905">
        <v>240</v>
      </c>
      <c r="AJ905">
        <v>680</v>
      </c>
      <c r="AK905">
        <v>606</v>
      </c>
      <c r="AL905">
        <v>981</v>
      </c>
      <c r="AM905">
        <v>341</v>
      </c>
      <c r="AN905">
        <v>731</v>
      </c>
      <c r="AO905">
        <v>791</v>
      </c>
      <c r="AP905">
        <v>161</v>
      </c>
      <c r="AQ905">
        <v>344</v>
      </c>
      <c r="AR905">
        <v>650</v>
      </c>
      <c r="AS905">
        <v>280</v>
      </c>
      <c r="AT905">
        <v>970</v>
      </c>
      <c r="AU905">
        <v>181</v>
      </c>
      <c r="AV905">
        <v>932</v>
      </c>
      <c r="AW905">
        <v>812</v>
      </c>
      <c r="AX905">
        <v>177</v>
      </c>
      <c r="AY905">
        <v>162</v>
      </c>
      <c r="AZ905">
        <v>149</v>
      </c>
      <c r="BA905">
        <v>540</v>
      </c>
      <c r="BB905">
        <v>107</v>
      </c>
      <c r="BC905">
        <v>676</v>
      </c>
      <c r="BD905">
        <v>691</v>
      </c>
      <c r="BE905">
        <v>951</v>
      </c>
      <c r="BF905">
        <v>128</v>
      </c>
      <c r="BG905">
        <v>190</v>
      </c>
      <c r="BH905">
        <v>662</v>
      </c>
      <c r="BI905">
        <v>314</v>
      </c>
      <c r="BJ905">
        <v>947</v>
      </c>
      <c r="BK905">
        <v>278</v>
      </c>
      <c r="BL905">
        <v>201</v>
      </c>
      <c r="BM905">
        <v>578</v>
      </c>
      <c r="BN905">
        <v>897</v>
      </c>
      <c r="BO905">
        <v>611</v>
      </c>
      <c r="BP905">
        <v>334</v>
      </c>
      <c r="BQ905">
        <v>844</v>
      </c>
      <c r="BR905">
        <v>511</v>
      </c>
      <c r="BS905">
        <v>548</v>
      </c>
      <c r="BT905">
        <v>483</v>
      </c>
      <c r="BU905">
        <v>252</v>
      </c>
      <c r="BV905">
        <v>310</v>
      </c>
      <c r="BW905">
        <v>491</v>
      </c>
      <c r="BX905">
        <v>427</v>
      </c>
      <c r="BY905">
        <v>586</v>
      </c>
      <c r="BZ905">
        <v>267</v>
      </c>
      <c r="CA905">
        <v>931</v>
      </c>
      <c r="CB905">
        <v>516</v>
      </c>
      <c r="CC905">
        <v>161</v>
      </c>
      <c r="CD905">
        <v>917</v>
      </c>
      <c r="CE905">
        <v>551</v>
      </c>
      <c r="CF905">
        <v>875</v>
      </c>
      <c r="CG905">
        <v>580</v>
      </c>
      <c r="CH905">
        <v>777</v>
      </c>
      <c r="CI905">
        <v>455</v>
      </c>
      <c r="CJ905">
        <v>435</v>
      </c>
      <c r="CK905">
        <v>783</v>
      </c>
      <c r="CL905">
        <v>799</v>
      </c>
      <c r="CM905">
        <v>680</v>
      </c>
      <c r="CN905">
        <v>986</v>
      </c>
      <c r="CO905">
        <v>960</v>
      </c>
      <c r="CP905">
        <v>469</v>
      </c>
      <c r="CQ905">
        <v>551</v>
      </c>
      <c r="CR905">
        <v>738</v>
      </c>
      <c r="CS905">
        <v>843</v>
      </c>
      <c r="CT905">
        <v>449</v>
      </c>
      <c r="CU905">
        <v>896</v>
      </c>
      <c r="CV905">
        <v>397</v>
      </c>
      <c r="CW905">
        <v>912</v>
      </c>
      <c r="CX905">
        <v>524</v>
      </c>
      <c r="CY905">
        <v>657</v>
      </c>
      <c r="CZ905">
        <v>318</v>
      </c>
      <c r="DA905">
        <v>186</v>
      </c>
      <c r="DB905">
        <v>618</v>
      </c>
      <c r="DC905">
        <v>601</v>
      </c>
      <c r="DD905">
        <v>624</v>
      </c>
      <c r="DE905">
        <v>669</v>
      </c>
      <c r="DF905">
        <v>312</v>
      </c>
      <c r="DG905">
        <v>199</v>
      </c>
      <c r="DH905">
        <v>420</v>
      </c>
      <c r="DI905">
        <v>918</v>
      </c>
      <c r="DJ905">
        <v>544</v>
      </c>
      <c r="DK905">
        <v>565</v>
      </c>
    </row>
    <row r="906" spans="1:115">
      <c r="A906" s="173">
        <f>Calculations[[#This Row],[Sum t eCO2]]*IF(Calculations[[#This Row],[GHG Scope]]="BIOGENIC",0,1)</f>
        <v>3.684585787895859</v>
      </c>
      <c r="O906">
        <f t="shared" si="19"/>
        <v>58</v>
      </c>
      <c r="P906">
        <v>669</v>
      </c>
      <c r="Q906">
        <v>774</v>
      </c>
      <c r="R906">
        <v>187</v>
      </c>
      <c r="S906">
        <v>463</v>
      </c>
      <c r="T906">
        <v>510</v>
      </c>
      <c r="U906">
        <v>336</v>
      </c>
      <c r="V906">
        <v>507</v>
      </c>
      <c r="W906">
        <v>347</v>
      </c>
      <c r="X906">
        <v>540</v>
      </c>
      <c r="Y906">
        <v>730</v>
      </c>
      <c r="Z906">
        <v>824</v>
      </c>
      <c r="AA906">
        <v>985</v>
      </c>
      <c r="AB906">
        <v>812</v>
      </c>
      <c r="AC906">
        <v>618</v>
      </c>
      <c r="AD906">
        <v>235</v>
      </c>
      <c r="AE906">
        <v>169</v>
      </c>
      <c r="AF906">
        <v>123</v>
      </c>
      <c r="AG906">
        <v>931</v>
      </c>
      <c r="AH906">
        <v>902</v>
      </c>
      <c r="AI906">
        <v>419</v>
      </c>
      <c r="AJ906">
        <v>765</v>
      </c>
      <c r="AK906">
        <v>709</v>
      </c>
      <c r="AL906">
        <v>120</v>
      </c>
      <c r="AM906">
        <v>369</v>
      </c>
      <c r="AN906">
        <v>794</v>
      </c>
      <c r="AO906">
        <v>922</v>
      </c>
      <c r="AP906">
        <v>622</v>
      </c>
      <c r="AQ906">
        <v>774</v>
      </c>
      <c r="AR906">
        <v>916</v>
      </c>
      <c r="AS906">
        <v>157</v>
      </c>
      <c r="AT906">
        <v>626</v>
      </c>
      <c r="AU906">
        <v>585</v>
      </c>
      <c r="AV906">
        <v>740</v>
      </c>
      <c r="AW906">
        <v>472</v>
      </c>
      <c r="AX906">
        <v>831</v>
      </c>
      <c r="AY906">
        <v>498</v>
      </c>
      <c r="AZ906">
        <v>264</v>
      </c>
      <c r="BA906">
        <v>943</v>
      </c>
      <c r="BB906">
        <v>484</v>
      </c>
      <c r="BC906">
        <v>940</v>
      </c>
      <c r="BD906">
        <v>713</v>
      </c>
      <c r="BE906">
        <v>338</v>
      </c>
      <c r="BF906">
        <v>926</v>
      </c>
      <c r="BG906">
        <v>943</v>
      </c>
      <c r="BH906">
        <v>588</v>
      </c>
      <c r="BI906">
        <v>487</v>
      </c>
      <c r="BJ906">
        <v>469</v>
      </c>
      <c r="BK906">
        <v>161</v>
      </c>
      <c r="BL906">
        <v>161</v>
      </c>
      <c r="BM906">
        <v>296</v>
      </c>
      <c r="BN906">
        <v>630</v>
      </c>
      <c r="BO906">
        <v>586</v>
      </c>
      <c r="BP906">
        <v>693</v>
      </c>
      <c r="BQ906">
        <v>167</v>
      </c>
      <c r="BR906">
        <v>559</v>
      </c>
      <c r="BS906">
        <v>859</v>
      </c>
      <c r="BT906">
        <v>551</v>
      </c>
      <c r="BU906">
        <v>404</v>
      </c>
      <c r="BV906">
        <v>199</v>
      </c>
      <c r="BW906">
        <v>355</v>
      </c>
      <c r="BX906">
        <v>430</v>
      </c>
      <c r="BY906">
        <v>283</v>
      </c>
      <c r="BZ906">
        <v>540</v>
      </c>
      <c r="CA906">
        <v>868</v>
      </c>
      <c r="CB906">
        <v>357</v>
      </c>
      <c r="CC906">
        <v>788</v>
      </c>
      <c r="CD906">
        <v>700</v>
      </c>
      <c r="CE906">
        <v>845</v>
      </c>
      <c r="CF906">
        <v>386</v>
      </c>
      <c r="CG906">
        <v>413</v>
      </c>
      <c r="CH906">
        <v>265</v>
      </c>
      <c r="CI906">
        <v>520</v>
      </c>
      <c r="CJ906">
        <v>731</v>
      </c>
      <c r="CK906">
        <v>586</v>
      </c>
      <c r="CL906">
        <v>692</v>
      </c>
      <c r="CM906">
        <v>673</v>
      </c>
      <c r="CN906">
        <v>904</v>
      </c>
      <c r="CO906">
        <v>921</v>
      </c>
      <c r="CP906">
        <v>802</v>
      </c>
      <c r="CQ906">
        <v>573</v>
      </c>
      <c r="CR906">
        <v>768</v>
      </c>
      <c r="CS906">
        <v>553</v>
      </c>
      <c r="CT906">
        <v>585</v>
      </c>
      <c r="CU906">
        <v>401</v>
      </c>
      <c r="CV906">
        <v>1000</v>
      </c>
      <c r="CW906">
        <v>137</v>
      </c>
      <c r="CX906">
        <v>919</v>
      </c>
      <c r="CY906">
        <v>794</v>
      </c>
      <c r="CZ906">
        <v>612</v>
      </c>
      <c r="DA906">
        <v>616</v>
      </c>
      <c r="DB906">
        <v>587</v>
      </c>
      <c r="DC906">
        <v>912</v>
      </c>
      <c r="DD906">
        <v>228</v>
      </c>
      <c r="DE906">
        <v>699</v>
      </c>
      <c r="DF906">
        <v>948</v>
      </c>
      <c r="DG906">
        <v>994</v>
      </c>
      <c r="DH906">
        <v>481</v>
      </c>
      <c r="DI906">
        <v>310</v>
      </c>
      <c r="DJ906">
        <v>186</v>
      </c>
      <c r="DK906">
        <v>581</v>
      </c>
    </row>
    <row r="907" spans="1:115">
      <c r="A907" s="173">
        <f>Calculations[[#This Row],[Sum t eCO2]]*IF(Calculations[[#This Row],[GHG Scope]]="BIOGENIC",0,1)</f>
        <v>0.59446530850000001</v>
      </c>
      <c r="O907">
        <f t="shared" si="19"/>
        <v>59</v>
      </c>
      <c r="P907">
        <v>738</v>
      </c>
      <c r="Q907">
        <v>933</v>
      </c>
      <c r="R907">
        <v>575</v>
      </c>
      <c r="S907">
        <v>719</v>
      </c>
      <c r="T907">
        <v>258</v>
      </c>
      <c r="U907">
        <v>699</v>
      </c>
      <c r="V907">
        <v>674</v>
      </c>
      <c r="W907">
        <v>118</v>
      </c>
      <c r="X907">
        <v>284</v>
      </c>
      <c r="Y907">
        <v>551</v>
      </c>
      <c r="Z907">
        <v>489</v>
      </c>
      <c r="AA907">
        <v>472</v>
      </c>
      <c r="AB907">
        <v>111</v>
      </c>
      <c r="AC907">
        <v>492</v>
      </c>
      <c r="AD907">
        <v>639</v>
      </c>
      <c r="AE907">
        <v>522</v>
      </c>
      <c r="AF907">
        <v>895</v>
      </c>
      <c r="AG907">
        <v>740</v>
      </c>
      <c r="AH907">
        <v>928</v>
      </c>
      <c r="AI907">
        <v>772</v>
      </c>
      <c r="AJ907">
        <v>935</v>
      </c>
      <c r="AK907">
        <v>406</v>
      </c>
      <c r="AL907">
        <v>925</v>
      </c>
      <c r="AM907">
        <v>346</v>
      </c>
      <c r="AN907">
        <v>360</v>
      </c>
      <c r="AO907">
        <v>793</v>
      </c>
      <c r="AP907">
        <v>936</v>
      </c>
      <c r="AQ907">
        <v>457</v>
      </c>
      <c r="AR907">
        <v>299</v>
      </c>
      <c r="AS907">
        <v>460</v>
      </c>
      <c r="AT907">
        <v>337</v>
      </c>
      <c r="AU907">
        <v>782</v>
      </c>
      <c r="AV907">
        <v>919</v>
      </c>
      <c r="AW907">
        <v>109</v>
      </c>
      <c r="AX907">
        <v>221</v>
      </c>
      <c r="AY907">
        <v>400</v>
      </c>
      <c r="AZ907">
        <v>336</v>
      </c>
      <c r="BA907">
        <v>492</v>
      </c>
      <c r="BB907">
        <v>500</v>
      </c>
      <c r="BC907">
        <v>162</v>
      </c>
      <c r="BD907">
        <v>161</v>
      </c>
      <c r="BE907">
        <v>483</v>
      </c>
      <c r="BF907">
        <v>271</v>
      </c>
      <c r="BG907">
        <v>708</v>
      </c>
      <c r="BH907">
        <v>575</v>
      </c>
      <c r="BI907">
        <v>741</v>
      </c>
      <c r="BJ907">
        <v>272</v>
      </c>
      <c r="BK907">
        <v>560</v>
      </c>
      <c r="BL907">
        <v>191</v>
      </c>
      <c r="BM907">
        <v>102</v>
      </c>
      <c r="BN907">
        <v>645</v>
      </c>
      <c r="BO907">
        <v>536</v>
      </c>
      <c r="BP907">
        <v>304</v>
      </c>
      <c r="BQ907">
        <v>403</v>
      </c>
      <c r="BR907">
        <v>436</v>
      </c>
      <c r="BS907">
        <v>710</v>
      </c>
      <c r="BT907">
        <v>529</v>
      </c>
      <c r="BU907">
        <v>302</v>
      </c>
      <c r="BV907">
        <v>934</v>
      </c>
      <c r="BW907">
        <v>867</v>
      </c>
      <c r="BX907">
        <v>120</v>
      </c>
      <c r="BY907">
        <v>377</v>
      </c>
      <c r="BZ907">
        <v>923</v>
      </c>
      <c r="CA907">
        <v>767</v>
      </c>
      <c r="CB907">
        <v>576</v>
      </c>
      <c r="CC907">
        <v>426</v>
      </c>
      <c r="CD907">
        <v>654</v>
      </c>
      <c r="CE907">
        <v>189</v>
      </c>
      <c r="CF907">
        <v>420</v>
      </c>
      <c r="CG907">
        <v>796</v>
      </c>
      <c r="CH907">
        <v>395</v>
      </c>
      <c r="CI907">
        <v>567</v>
      </c>
      <c r="CJ907">
        <v>745</v>
      </c>
      <c r="CK907">
        <v>966</v>
      </c>
      <c r="CL907">
        <v>451</v>
      </c>
      <c r="CM907">
        <v>972</v>
      </c>
      <c r="CN907">
        <v>826</v>
      </c>
      <c r="CO907">
        <v>653</v>
      </c>
      <c r="CP907">
        <v>177</v>
      </c>
      <c r="CQ907">
        <v>269</v>
      </c>
      <c r="CR907">
        <v>824</v>
      </c>
      <c r="CS907">
        <v>725</v>
      </c>
      <c r="CT907">
        <v>728</v>
      </c>
      <c r="CU907">
        <v>174</v>
      </c>
      <c r="CV907">
        <v>293</v>
      </c>
      <c r="CW907">
        <v>870</v>
      </c>
      <c r="CX907">
        <v>722</v>
      </c>
      <c r="CY907">
        <v>364</v>
      </c>
      <c r="CZ907">
        <v>272</v>
      </c>
      <c r="DA907">
        <v>437</v>
      </c>
      <c r="DB907">
        <v>934</v>
      </c>
      <c r="DC907">
        <v>854</v>
      </c>
      <c r="DD907">
        <v>896</v>
      </c>
      <c r="DE907">
        <v>900</v>
      </c>
      <c r="DF907">
        <v>510</v>
      </c>
      <c r="DG907">
        <v>300</v>
      </c>
      <c r="DH907">
        <v>276</v>
      </c>
      <c r="DI907">
        <v>403</v>
      </c>
      <c r="DJ907">
        <v>464</v>
      </c>
      <c r="DK907">
        <v>617</v>
      </c>
    </row>
    <row r="908" spans="1:115">
      <c r="A908" s="173">
        <f>Calculations[[#This Row],[Sum t eCO2]]*IF(Calculations[[#This Row],[GHG Scope]]="BIOGENIC",0,1)</f>
        <v>0.32327701250000002</v>
      </c>
      <c r="O908">
        <f t="shared" si="19"/>
        <v>60</v>
      </c>
      <c r="P908">
        <v>203</v>
      </c>
      <c r="Q908">
        <v>329</v>
      </c>
      <c r="R908">
        <v>286</v>
      </c>
      <c r="S908">
        <v>181</v>
      </c>
      <c r="T908">
        <v>559</v>
      </c>
      <c r="U908">
        <v>380</v>
      </c>
      <c r="V908">
        <v>536</v>
      </c>
      <c r="W908">
        <v>467</v>
      </c>
      <c r="X908">
        <v>528</v>
      </c>
      <c r="Y908">
        <v>239</v>
      </c>
      <c r="Z908">
        <v>564</v>
      </c>
      <c r="AA908">
        <v>810</v>
      </c>
      <c r="AB908">
        <v>704</v>
      </c>
      <c r="AC908">
        <v>830</v>
      </c>
      <c r="AD908">
        <v>308</v>
      </c>
      <c r="AE908">
        <v>748</v>
      </c>
      <c r="AF908">
        <v>193</v>
      </c>
      <c r="AG908">
        <v>935</v>
      </c>
      <c r="AH908">
        <v>131</v>
      </c>
      <c r="AI908">
        <v>608</v>
      </c>
      <c r="AJ908">
        <v>117</v>
      </c>
      <c r="AK908">
        <v>415</v>
      </c>
      <c r="AL908">
        <v>888</v>
      </c>
      <c r="AM908">
        <v>287</v>
      </c>
      <c r="AN908">
        <v>692</v>
      </c>
      <c r="AO908">
        <v>885</v>
      </c>
      <c r="AP908">
        <v>231</v>
      </c>
      <c r="AQ908">
        <v>729</v>
      </c>
      <c r="AR908">
        <v>656</v>
      </c>
      <c r="AS908">
        <v>655</v>
      </c>
      <c r="AT908">
        <v>482</v>
      </c>
      <c r="AU908">
        <v>570</v>
      </c>
      <c r="AV908">
        <v>497</v>
      </c>
      <c r="AW908">
        <v>804</v>
      </c>
      <c r="AX908">
        <v>192</v>
      </c>
      <c r="AY908">
        <v>306</v>
      </c>
      <c r="AZ908">
        <v>636</v>
      </c>
      <c r="BA908">
        <v>673</v>
      </c>
      <c r="BB908">
        <v>690</v>
      </c>
      <c r="BC908">
        <v>410</v>
      </c>
      <c r="BD908">
        <v>885</v>
      </c>
      <c r="BE908">
        <v>145</v>
      </c>
      <c r="BF908">
        <v>714</v>
      </c>
      <c r="BG908">
        <v>613</v>
      </c>
      <c r="BH908">
        <v>108</v>
      </c>
      <c r="BI908">
        <v>959</v>
      </c>
      <c r="BJ908">
        <v>831</v>
      </c>
      <c r="BK908">
        <v>548</v>
      </c>
      <c r="BL908">
        <v>807</v>
      </c>
      <c r="BM908">
        <v>499</v>
      </c>
      <c r="BN908">
        <v>649</v>
      </c>
      <c r="BO908">
        <v>180</v>
      </c>
      <c r="BP908">
        <v>780</v>
      </c>
      <c r="BQ908">
        <v>741</v>
      </c>
      <c r="BR908">
        <v>745</v>
      </c>
      <c r="BS908">
        <v>117</v>
      </c>
      <c r="BT908">
        <v>725</v>
      </c>
      <c r="BU908">
        <v>219</v>
      </c>
      <c r="BV908">
        <v>324</v>
      </c>
      <c r="BW908">
        <v>715</v>
      </c>
      <c r="BX908">
        <v>266</v>
      </c>
      <c r="BY908">
        <v>231</v>
      </c>
      <c r="BZ908">
        <v>587</v>
      </c>
      <c r="CA908">
        <v>993</v>
      </c>
      <c r="CB908">
        <v>234</v>
      </c>
      <c r="CC908">
        <v>824</v>
      </c>
      <c r="CD908">
        <v>247</v>
      </c>
      <c r="CE908">
        <v>229</v>
      </c>
      <c r="CF908">
        <v>461</v>
      </c>
      <c r="CG908">
        <v>422</v>
      </c>
      <c r="CH908">
        <v>653</v>
      </c>
      <c r="CI908">
        <v>180</v>
      </c>
      <c r="CJ908">
        <v>477</v>
      </c>
      <c r="CK908">
        <v>586</v>
      </c>
      <c r="CL908">
        <v>989</v>
      </c>
      <c r="CM908">
        <v>904</v>
      </c>
      <c r="CN908">
        <v>734</v>
      </c>
      <c r="CO908">
        <v>776</v>
      </c>
      <c r="CP908">
        <v>168</v>
      </c>
      <c r="CQ908">
        <v>749</v>
      </c>
      <c r="CR908">
        <v>489</v>
      </c>
      <c r="CS908">
        <v>121</v>
      </c>
      <c r="CT908">
        <v>808</v>
      </c>
      <c r="CU908">
        <v>203</v>
      </c>
      <c r="CV908">
        <v>321</v>
      </c>
      <c r="CW908">
        <v>171</v>
      </c>
      <c r="CX908">
        <v>154</v>
      </c>
      <c r="CY908">
        <v>271</v>
      </c>
      <c r="CZ908">
        <v>437</v>
      </c>
      <c r="DA908">
        <v>674</v>
      </c>
      <c r="DB908">
        <v>546</v>
      </c>
      <c r="DC908">
        <v>875</v>
      </c>
      <c r="DD908">
        <v>625</v>
      </c>
      <c r="DE908">
        <v>266</v>
      </c>
      <c r="DF908">
        <v>248</v>
      </c>
      <c r="DG908">
        <v>629</v>
      </c>
      <c r="DH908">
        <v>802</v>
      </c>
      <c r="DI908">
        <v>627</v>
      </c>
      <c r="DJ908">
        <v>606</v>
      </c>
      <c r="DK908">
        <v>413</v>
      </c>
    </row>
    <row r="909" spans="1:115">
      <c r="A909" s="173">
        <f>Calculations[[#This Row],[Sum t eCO2]]*IF(Calculations[[#This Row],[GHG Scope]]="BIOGENIC",0,1)</f>
        <v>12.29679882359056</v>
      </c>
      <c r="O909">
        <f t="shared" si="19"/>
        <v>61</v>
      </c>
      <c r="P909">
        <v>261</v>
      </c>
      <c r="Q909">
        <v>732</v>
      </c>
      <c r="R909">
        <v>863</v>
      </c>
      <c r="S909">
        <v>902</v>
      </c>
      <c r="T909">
        <v>848</v>
      </c>
      <c r="U909">
        <v>915</v>
      </c>
      <c r="V909">
        <v>830</v>
      </c>
      <c r="W909">
        <v>648</v>
      </c>
      <c r="X909">
        <v>739</v>
      </c>
      <c r="Y909">
        <v>234</v>
      </c>
      <c r="Z909">
        <v>811</v>
      </c>
      <c r="AA909">
        <v>642</v>
      </c>
      <c r="AB909">
        <v>360</v>
      </c>
      <c r="AC909">
        <v>173</v>
      </c>
      <c r="AD909">
        <v>445</v>
      </c>
      <c r="AE909">
        <v>657</v>
      </c>
      <c r="AF909">
        <v>958</v>
      </c>
      <c r="AG909">
        <v>845</v>
      </c>
      <c r="AH909">
        <v>417</v>
      </c>
      <c r="AI909">
        <v>896</v>
      </c>
      <c r="AJ909">
        <v>281</v>
      </c>
      <c r="AK909">
        <v>476</v>
      </c>
      <c r="AL909">
        <v>385</v>
      </c>
      <c r="AM909">
        <v>886</v>
      </c>
      <c r="AN909">
        <v>636</v>
      </c>
      <c r="AO909">
        <v>933</v>
      </c>
      <c r="AP909">
        <v>790</v>
      </c>
      <c r="AQ909">
        <v>758</v>
      </c>
      <c r="AR909">
        <v>565</v>
      </c>
      <c r="AS909">
        <v>965</v>
      </c>
      <c r="AT909">
        <v>762</v>
      </c>
      <c r="AU909">
        <v>286</v>
      </c>
      <c r="AV909">
        <v>261</v>
      </c>
      <c r="AW909">
        <v>738</v>
      </c>
      <c r="AX909">
        <v>959</v>
      </c>
      <c r="AY909">
        <v>891</v>
      </c>
      <c r="AZ909">
        <v>318</v>
      </c>
      <c r="BA909">
        <v>307</v>
      </c>
      <c r="BB909">
        <v>708</v>
      </c>
      <c r="BC909">
        <v>687</v>
      </c>
      <c r="BD909">
        <v>964</v>
      </c>
      <c r="BE909">
        <v>366</v>
      </c>
      <c r="BF909">
        <v>645</v>
      </c>
      <c r="BG909">
        <v>968</v>
      </c>
      <c r="BH909">
        <v>867</v>
      </c>
      <c r="BI909">
        <v>200</v>
      </c>
      <c r="BJ909">
        <v>689</v>
      </c>
      <c r="BK909">
        <v>981</v>
      </c>
      <c r="BL909">
        <v>703</v>
      </c>
      <c r="BM909">
        <v>846</v>
      </c>
      <c r="BN909">
        <v>195</v>
      </c>
      <c r="BO909">
        <v>464</v>
      </c>
      <c r="BP909">
        <v>396</v>
      </c>
      <c r="BQ909">
        <v>506</v>
      </c>
      <c r="BR909">
        <v>225</v>
      </c>
      <c r="BS909">
        <v>510</v>
      </c>
      <c r="BT909">
        <v>143</v>
      </c>
      <c r="BU909">
        <v>420</v>
      </c>
      <c r="BV909">
        <v>916</v>
      </c>
      <c r="BW909">
        <v>784</v>
      </c>
      <c r="BX909">
        <v>741</v>
      </c>
      <c r="BY909">
        <v>938</v>
      </c>
      <c r="BZ909">
        <v>324</v>
      </c>
      <c r="CA909">
        <v>477</v>
      </c>
      <c r="CB909">
        <v>216</v>
      </c>
      <c r="CC909">
        <v>172</v>
      </c>
      <c r="CD909">
        <v>559</v>
      </c>
      <c r="CE909">
        <v>416</v>
      </c>
      <c r="CF909">
        <v>962</v>
      </c>
      <c r="CG909">
        <v>179</v>
      </c>
      <c r="CH909">
        <v>352</v>
      </c>
      <c r="CI909">
        <v>722</v>
      </c>
      <c r="CJ909">
        <v>848</v>
      </c>
      <c r="CK909">
        <v>954</v>
      </c>
      <c r="CL909">
        <v>664</v>
      </c>
      <c r="CM909">
        <v>670</v>
      </c>
      <c r="CN909">
        <v>194</v>
      </c>
      <c r="CO909">
        <v>530</v>
      </c>
      <c r="CP909">
        <v>697</v>
      </c>
      <c r="CQ909">
        <v>613</v>
      </c>
      <c r="CR909">
        <v>518</v>
      </c>
      <c r="CS909">
        <v>804</v>
      </c>
      <c r="CT909">
        <v>791</v>
      </c>
      <c r="CU909">
        <v>694</v>
      </c>
      <c r="CV909">
        <v>425</v>
      </c>
      <c r="CW909">
        <v>580</v>
      </c>
      <c r="CX909">
        <v>104</v>
      </c>
      <c r="CY909">
        <v>613</v>
      </c>
      <c r="CZ909">
        <v>396</v>
      </c>
      <c r="DA909">
        <v>147</v>
      </c>
      <c r="DB909">
        <v>381</v>
      </c>
      <c r="DC909">
        <v>293</v>
      </c>
      <c r="DD909">
        <v>451</v>
      </c>
      <c r="DE909">
        <v>256</v>
      </c>
      <c r="DF909">
        <v>431</v>
      </c>
      <c r="DG909">
        <v>884</v>
      </c>
      <c r="DH909">
        <v>429</v>
      </c>
      <c r="DI909">
        <v>206</v>
      </c>
      <c r="DJ909">
        <v>162</v>
      </c>
      <c r="DK909">
        <v>680</v>
      </c>
    </row>
    <row r="910" spans="1:115">
      <c r="A910" s="173">
        <f>Calculations[[#This Row],[Sum t eCO2]]*IF(Calculations[[#This Row],[GHG Scope]]="BIOGENIC",0,1)</f>
        <v>2.21807106E-5</v>
      </c>
      <c r="O910">
        <f t="shared" si="19"/>
        <v>62</v>
      </c>
      <c r="P910">
        <v>540</v>
      </c>
      <c r="Q910">
        <v>284</v>
      </c>
      <c r="R910">
        <v>541</v>
      </c>
      <c r="S910">
        <v>361</v>
      </c>
      <c r="T910">
        <v>891</v>
      </c>
      <c r="U910">
        <v>907</v>
      </c>
      <c r="V910">
        <v>713</v>
      </c>
      <c r="W910">
        <v>631</v>
      </c>
      <c r="X910">
        <v>993</v>
      </c>
      <c r="Y910">
        <v>144</v>
      </c>
      <c r="Z910">
        <v>531</v>
      </c>
      <c r="AA910">
        <v>134</v>
      </c>
      <c r="AB910">
        <v>327</v>
      </c>
      <c r="AC910">
        <v>339</v>
      </c>
      <c r="AD910">
        <v>685</v>
      </c>
      <c r="AE910">
        <v>374</v>
      </c>
      <c r="AF910">
        <v>552</v>
      </c>
      <c r="AG910">
        <v>884</v>
      </c>
      <c r="AH910">
        <v>685</v>
      </c>
      <c r="AI910">
        <v>578</v>
      </c>
      <c r="AJ910">
        <v>596</v>
      </c>
      <c r="AK910">
        <v>833</v>
      </c>
      <c r="AL910">
        <v>168</v>
      </c>
      <c r="AM910">
        <v>846</v>
      </c>
      <c r="AN910">
        <v>329</v>
      </c>
      <c r="AO910">
        <v>719</v>
      </c>
      <c r="AP910">
        <v>658</v>
      </c>
      <c r="AQ910">
        <v>630</v>
      </c>
      <c r="AR910">
        <v>360</v>
      </c>
      <c r="AS910">
        <v>640</v>
      </c>
      <c r="AT910">
        <v>315</v>
      </c>
      <c r="AU910">
        <v>939</v>
      </c>
      <c r="AV910">
        <v>335</v>
      </c>
      <c r="AW910">
        <v>589</v>
      </c>
      <c r="AX910">
        <v>760</v>
      </c>
      <c r="AY910">
        <v>127</v>
      </c>
      <c r="AZ910">
        <v>273</v>
      </c>
      <c r="BA910">
        <v>416</v>
      </c>
      <c r="BB910">
        <v>812</v>
      </c>
      <c r="BC910">
        <v>533</v>
      </c>
      <c r="BD910">
        <v>153</v>
      </c>
      <c r="BE910">
        <v>389</v>
      </c>
      <c r="BF910">
        <v>156</v>
      </c>
      <c r="BG910">
        <v>744</v>
      </c>
      <c r="BH910">
        <v>482</v>
      </c>
      <c r="BI910">
        <v>128</v>
      </c>
      <c r="BJ910">
        <v>270</v>
      </c>
      <c r="BK910">
        <v>165</v>
      </c>
      <c r="BL910">
        <v>361</v>
      </c>
      <c r="BM910">
        <v>538</v>
      </c>
      <c r="BN910">
        <v>300</v>
      </c>
      <c r="BO910">
        <v>915</v>
      </c>
      <c r="BP910">
        <v>921</v>
      </c>
      <c r="BQ910">
        <v>542</v>
      </c>
      <c r="BR910">
        <v>749</v>
      </c>
      <c r="BS910">
        <v>272</v>
      </c>
      <c r="BT910">
        <v>908</v>
      </c>
      <c r="BU910">
        <v>875</v>
      </c>
      <c r="BV910">
        <v>287</v>
      </c>
      <c r="BW910">
        <v>902</v>
      </c>
      <c r="BX910">
        <v>164</v>
      </c>
      <c r="BY910">
        <v>292</v>
      </c>
      <c r="BZ910">
        <v>749</v>
      </c>
      <c r="CA910">
        <v>552</v>
      </c>
      <c r="CB910">
        <v>334</v>
      </c>
      <c r="CC910">
        <v>789</v>
      </c>
      <c r="CD910">
        <v>847</v>
      </c>
      <c r="CE910">
        <v>261</v>
      </c>
      <c r="CF910">
        <v>712</v>
      </c>
      <c r="CG910">
        <v>979</v>
      </c>
      <c r="CH910">
        <v>649</v>
      </c>
      <c r="CI910">
        <v>337</v>
      </c>
      <c r="CJ910">
        <v>153</v>
      </c>
      <c r="CK910">
        <v>584</v>
      </c>
      <c r="CL910">
        <v>365</v>
      </c>
      <c r="CM910">
        <v>497</v>
      </c>
      <c r="CN910">
        <v>771</v>
      </c>
      <c r="CO910">
        <v>114</v>
      </c>
      <c r="CP910">
        <v>385</v>
      </c>
      <c r="CQ910">
        <v>238</v>
      </c>
      <c r="CR910">
        <v>960</v>
      </c>
      <c r="CS910">
        <v>894</v>
      </c>
      <c r="CT910">
        <v>689</v>
      </c>
      <c r="CU910">
        <v>758</v>
      </c>
      <c r="CV910">
        <v>464</v>
      </c>
      <c r="CW910">
        <v>221</v>
      </c>
      <c r="CX910">
        <v>111</v>
      </c>
      <c r="CY910">
        <v>434</v>
      </c>
      <c r="CZ910">
        <v>363</v>
      </c>
      <c r="DA910">
        <v>417</v>
      </c>
      <c r="DB910">
        <v>389</v>
      </c>
      <c r="DC910">
        <v>394</v>
      </c>
      <c r="DD910">
        <v>551</v>
      </c>
      <c r="DE910">
        <v>512</v>
      </c>
      <c r="DF910">
        <v>550</v>
      </c>
      <c r="DG910">
        <v>810</v>
      </c>
      <c r="DH910">
        <v>872</v>
      </c>
      <c r="DI910">
        <v>632</v>
      </c>
      <c r="DJ910">
        <v>287</v>
      </c>
      <c r="DK910">
        <v>182</v>
      </c>
    </row>
    <row r="911" spans="1:115">
      <c r="A911" s="173">
        <f>Calculations[[#This Row],[Sum t eCO2]]*IF(Calculations[[#This Row],[GHG Scope]]="BIOGENIC",0,1)</f>
        <v>2.7565622999999999E-4</v>
      </c>
      <c r="O911">
        <f t="shared" si="19"/>
        <v>63</v>
      </c>
      <c r="P911">
        <v>504</v>
      </c>
      <c r="Q911">
        <v>850</v>
      </c>
      <c r="R911">
        <v>501</v>
      </c>
      <c r="S911">
        <v>211</v>
      </c>
      <c r="T911">
        <v>726</v>
      </c>
      <c r="U911">
        <v>467</v>
      </c>
      <c r="V911">
        <v>550</v>
      </c>
      <c r="W911">
        <v>752</v>
      </c>
      <c r="X911">
        <v>820</v>
      </c>
      <c r="Y911">
        <v>917</v>
      </c>
      <c r="Z911">
        <v>832</v>
      </c>
      <c r="AA911">
        <v>162</v>
      </c>
      <c r="AB911">
        <v>778</v>
      </c>
      <c r="AC911">
        <v>206</v>
      </c>
      <c r="AD911">
        <v>900</v>
      </c>
      <c r="AE911">
        <v>324</v>
      </c>
      <c r="AF911">
        <v>255</v>
      </c>
      <c r="AG911">
        <v>145</v>
      </c>
      <c r="AH911">
        <v>829</v>
      </c>
      <c r="AI911">
        <v>607</v>
      </c>
      <c r="AJ911">
        <v>926</v>
      </c>
      <c r="AK911">
        <v>171</v>
      </c>
      <c r="AL911">
        <v>761</v>
      </c>
      <c r="AM911">
        <v>934</v>
      </c>
      <c r="AN911">
        <v>946</v>
      </c>
      <c r="AO911">
        <v>459</v>
      </c>
      <c r="AP911">
        <v>758</v>
      </c>
      <c r="AQ911">
        <v>508</v>
      </c>
      <c r="AR911">
        <v>544</v>
      </c>
      <c r="AS911">
        <v>565</v>
      </c>
      <c r="AT911">
        <v>361</v>
      </c>
      <c r="AU911">
        <v>790</v>
      </c>
      <c r="AV911">
        <v>561</v>
      </c>
      <c r="AW911">
        <v>822</v>
      </c>
      <c r="AX911">
        <v>250</v>
      </c>
      <c r="AY911">
        <v>271</v>
      </c>
      <c r="AZ911">
        <v>855</v>
      </c>
      <c r="BA911">
        <v>544</v>
      </c>
      <c r="BB911">
        <v>111</v>
      </c>
      <c r="BC911">
        <v>817</v>
      </c>
      <c r="BD911">
        <v>608</v>
      </c>
      <c r="BE911">
        <v>685</v>
      </c>
      <c r="BF911">
        <v>273</v>
      </c>
      <c r="BG911">
        <v>449</v>
      </c>
      <c r="BH911">
        <v>606</v>
      </c>
      <c r="BI911">
        <v>139</v>
      </c>
      <c r="BJ911">
        <v>701</v>
      </c>
      <c r="BK911">
        <v>733</v>
      </c>
      <c r="BL911">
        <v>196</v>
      </c>
      <c r="BM911">
        <v>979</v>
      </c>
      <c r="BN911">
        <v>527</v>
      </c>
      <c r="BO911">
        <v>829</v>
      </c>
      <c r="BP911">
        <v>896</v>
      </c>
      <c r="BQ911">
        <v>173</v>
      </c>
      <c r="BR911">
        <v>983</v>
      </c>
      <c r="BS911">
        <v>160</v>
      </c>
      <c r="BT911">
        <v>159</v>
      </c>
      <c r="BU911">
        <v>839</v>
      </c>
      <c r="BV911">
        <v>173</v>
      </c>
      <c r="BW911">
        <v>464</v>
      </c>
      <c r="BX911">
        <v>726</v>
      </c>
      <c r="BY911">
        <v>394</v>
      </c>
      <c r="BZ911">
        <v>615</v>
      </c>
      <c r="CA911">
        <v>889</v>
      </c>
      <c r="CB911">
        <v>246</v>
      </c>
      <c r="CC911">
        <v>722</v>
      </c>
      <c r="CD911">
        <v>413</v>
      </c>
      <c r="CE911">
        <v>796</v>
      </c>
      <c r="CF911">
        <v>616</v>
      </c>
      <c r="CG911">
        <v>491</v>
      </c>
      <c r="CH911">
        <v>940</v>
      </c>
      <c r="CI911">
        <v>696</v>
      </c>
      <c r="CJ911">
        <v>307</v>
      </c>
      <c r="CK911">
        <v>985</v>
      </c>
      <c r="CL911">
        <v>100</v>
      </c>
      <c r="CM911">
        <v>384</v>
      </c>
      <c r="CN911">
        <v>122</v>
      </c>
      <c r="CO911">
        <v>470</v>
      </c>
      <c r="CP911">
        <v>804</v>
      </c>
      <c r="CQ911">
        <v>985</v>
      </c>
      <c r="CR911">
        <v>597</v>
      </c>
      <c r="CS911">
        <v>498</v>
      </c>
      <c r="CT911">
        <v>482</v>
      </c>
      <c r="CU911">
        <v>506</v>
      </c>
      <c r="CV911">
        <v>811</v>
      </c>
      <c r="CW911">
        <v>737</v>
      </c>
      <c r="CX911">
        <v>858</v>
      </c>
      <c r="CY911">
        <v>310</v>
      </c>
      <c r="CZ911">
        <v>978</v>
      </c>
      <c r="DA911">
        <v>968</v>
      </c>
      <c r="DB911">
        <v>841</v>
      </c>
      <c r="DC911">
        <v>525</v>
      </c>
      <c r="DD911">
        <v>324</v>
      </c>
      <c r="DE911">
        <v>765</v>
      </c>
      <c r="DF911">
        <v>239</v>
      </c>
      <c r="DG911">
        <v>664</v>
      </c>
      <c r="DH911">
        <v>892</v>
      </c>
      <c r="DI911">
        <v>847</v>
      </c>
      <c r="DJ911">
        <v>493</v>
      </c>
      <c r="DK911">
        <v>151</v>
      </c>
    </row>
    <row r="912" spans="1:115">
      <c r="A912" s="173">
        <f>Calculations[[#This Row],[Sum t eCO2]]*IF(Calculations[[#This Row],[GHG Scope]]="BIOGENIC",0,1)</f>
        <v>5.4746609399999993E-5</v>
      </c>
      <c r="O912">
        <f t="shared" si="19"/>
        <v>64</v>
      </c>
      <c r="P912">
        <v>656</v>
      </c>
      <c r="Q912">
        <v>870</v>
      </c>
      <c r="R912">
        <v>999</v>
      </c>
      <c r="S912">
        <v>387</v>
      </c>
      <c r="T912">
        <v>606</v>
      </c>
      <c r="U912">
        <v>450</v>
      </c>
      <c r="V912">
        <v>964</v>
      </c>
      <c r="W912">
        <v>282</v>
      </c>
      <c r="X912">
        <v>122</v>
      </c>
      <c r="Y912">
        <v>690</v>
      </c>
      <c r="Z912">
        <v>164</v>
      </c>
      <c r="AA912">
        <v>231</v>
      </c>
      <c r="AB912">
        <v>569</v>
      </c>
      <c r="AC912">
        <v>662</v>
      </c>
      <c r="AD912">
        <v>907</v>
      </c>
      <c r="AE912">
        <v>627</v>
      </c>
      <c r="AF912">
        <v>208</v>
      </c>
      <c r="AG912">
        <v>383</v>
      </c>
      <c r="AH912">
        <v>206</v>
      </c>
      <c r="AI912">
        <v>911</v>
      </c>
      <c r="AJ912">
        <v>317</v>
      </c>
      <c r="AK912">
        <v>830</v>
      </c>
      <c r="AL912">
        <v>955</v>
      </c>
      <c r="AM912">
        <v>543</v>
      </c>
      <c r="AN912">
        <v>455</v>
      </c>
      <c r="AO912">
        <v>509</v>
      </c>
      <c r="AP912">
        <v>417</v>
      </c>
      <c r="AQ912">
        <v>150</v>
      </c>
      <c r="AR912">
        <v>483</v>
      </c>
      <c r="AS912">
        <v>690</v>
      </c>
      <c r="AT912">
        <v>830</v>
      </c>
      <c r="AU912">
        <v>261</v>
      </c>
      <c r="AV912">
        <v>918</v>
      </c>
      <c r="AW912">
        <v>392</v>
      </c>
      <c r="AX912">
        <v>959</v>
      </c>
      <c r="AY912">
        <v>523</v>
      </c>
      <c r="AZ912">
        <v>741</v>
      </c>
      <c r="BA912">
        <v>362</v>
      </c>
      <c r="BB912">
        <v>117</v>
      </c>
      <c r="BC912">
        <v>995</v>
      </c>
      <c r="BD912">
        <v>857</v>
      </c>
      <c r="BE912">
        <v>329</v>
      </c>
      <c r="BF912">
        <v>328</v>
      </c>
      <c r="BG912">
        <v>787</v>
      </c>
      <c r="BH912">
        <v>153</v>
      </c>
      <c r="BI912">
        <v>169</v>
      </c>
      <c r="BJ912">
        <v>994</v>
      </c>
      <c r="BK912">
        <v>585</v>
      </c>
      <c r="BL912">
        <v>525</v>
      </c>
      <c r="BM912">
        <v>919</v>
      </c>
      <c r="BN912">
        <v>822</v>
      </c>
      <c r="BO912">
        <v>156</v>
      </c>
      <c r="BP912">
        <v>278</v>
      </c>
      <c r="BQ912">
        <v>517</v>
      </c>
      <c r="BR912">
        <v>233</v>
      </c>
      <c r="BS912">
        <v>970</v>
      </c>
      <c r="BT912">
        <v>764</v>
      </c>
      <c r="BU912">
        <v>721</v>
      </c>
      <c r="BV912">
        <v>161</v>
      </c>
      <c r="BW912">
        <v>917</v>
      </c>
      <c r="BX912">
        <v>113</v>
      </c>
      <c r="BY912">
        <v>699</v>
      </c>
      <c r="BZ912">
        <v>819</v>
      </c>
      <c r="CA912">
        <v>768</v>
      </c>
      <c r="CB912">
        <v>220</v>
      </c>
      <c r="CC912">
        <v>255</v>
      </c>
      <c r="CD912">
        <v>177</v>
      </c>
      <c r="CE912">
        <v>246</v>
      </c>
      <c r="CF912">
        <v>327</v>
      </c>
      <c r="CG912">
        <v>656</v>
      </c>
      <c r="CH912">
        <v>551</v>
      </c>
      <c r="CI912">
        <v>276</v>
      </c>
      <c r="CJ912">
        <v>832</v>
      </c>
      <c r="CK912">
        <v>959</v>
      </c>
      <c r="CL912">
        <v>676</v>
      </c>
      <c r="CM912">
        <v>317</v>
      </c>
      <c r="CN912">
        <v>433</v>
      </c>
      <c r="CO912">
        <v>331</v>
      </c>
      <c r="CP912">
        <v>651</v>
      </c>
      <c r="CQ912">
        <v>776</v>
      </c>
      <c r="CR912">
        <v>310</v>
      </c>
      <c r="CS912">
        <v>701</v>
      </c>
      <c r="CT912">
        <v>428</v>
      </c>
      <c r="CU912">
        <v>885</v>
      </c>
      <c r="CV912">
        <v>486</v>
      </c>
      <c r="CW912">
        <v>623</v>
      </c>
      <c r="CX912">
        <v>404</v>
      </c>
      <c r="CY912">
        <v>208</v>
      </c>
      <c r="CZ912">
        <v>470</v>
      </c>
      <c r="DA912">
        <v>735</v>
      </c>
      <c r="DB912">
        <v>244</v>
      </c>
      <c r="DC912">
        <v>793</v>
      </c>
      <c r="DD912">
        <v>679</v>
      </c>
      <c r="DE912">
        <v>838</v>
      </c>
      <c r="DF912">
        <v>699</v>
      </c>
      <c r="DG912">
        <v>875</v>
      </c>
      <c r="DH912">
        <v>601</v>
      </c>
      <c r="DI912">
        <v>633</v>
      </c>
      <c r="DJ912">
        <v>387</v>
      </c>
      <c r="DK912">
        <v>342</v>
      </c>
    </row>
    <row r="913" spans="1:115">
      <c r="A913" s="173">
        <f>Calculations[[#This Row],[Sum t eCO2]]*IF(Calculations[[#This Row],[GHG Scope]]="BIOGENIC",0,1)</f>
        <v>1.9744678799999999E-4</v>
      </c>
      <c r="O913">
        <f t="shared" si="19"/>
        <v>65</v>
      </c>
      <c r="P913">
        <v>636</v>
      </c>
      <c r="Q913">
        <v>859</v>
      </c>
      <c r="R913">
        <v>908</v>
      </c>
      <c r="S913">
        <v>112</v>
      </c>
      <c r="T913">
        <v>782</v>
      </c>
      <c r="U913">
        <v>374</v>
      </c>
      <c r="V913">
        <v>212</v>
      </c>
      <c r="W913">
        <v>828</v>
      </c>
      <c r="X913">
        <v>500</v>
      </c>
      <c r="Y913">
        <v>108</v>
      </c>
      <c r="Z913">
        <v>828</v>
      </c>
      <c r="AA913">
        <v>419</v>
      </c>
      <c r="AB913">
        <v>432</v>
      </c>
      <c r="AC913">
        <v>733</v>
      </c>
      <c r="AD913">
        <v>557</v>
      </c>
      <c r="AE913">
        <v>444</v>
      </c>
      <c r="AF913">
        <v>172</v>
      </c>
      <c r="AG913">
        <v>528</v>
      </c>
      <c r="AH913">
        <v>962</v>
      </c>
      <c r="AI913">
        <v>366</v>
      </c>
      <c r="AJ913">
        <v>116</v>
      </c>
      <c r="AK913">
        <v>264</v>
      </c>
      <c r="AL913">
        <v>423</v>
      </c>
      <c r="AM913">
        <v>482</v>
      </c>
      <c r="AN913">
        <v>202</v>
      </c>
      <c r="AO913">
        <v>642</v>
      </c>
      <c r="AP913">
        <v>468</v>
      </c>
      <c r="AQ913">
        <v>611</v>
      </c>
      <c r="AR913">
        <v>432</v>
      </c>
      <c r="AS913">
        <v>891</v>
      </c>
      <c r="AT913">
        <v>735</v>
      </c>
      <c r="AU913">
        <v>264</v>
      </c>
      <c r="AV913">
        <v>771</v>
      </c>
      <c r="AW913">
        <v>722</v>
      </c>
      <c r="AX913">
        <v>319</v>
      </c>
      <c r="AY913">
        <v>699</v>
      </c>
      <c r="AZ913">
        <v>902</v>
      </c>
      <c r="BA913">
        <v>473</v>
      </c>
      <c r="BB913">
        <v>200</v>
      </c>
      <c r="BC913">
        <v>342</v>
      </c>
      <c r="BD913">
        <v>429</v>
      </c>
      <c r="BE913">
        <v>954</v>
      </c>
      <c r="BF913">
        <v>178</v>
      </c>
      <c r="BG913">
        <v>570</v>
      </c>
      <c r="BH913">
        <v>588</v>
      </c>
      <c r="BI913">
        <v>613</v>
      </c>
      <c r="BJ913">
        <v>889</v>
      </c>
      <c r="BK913">
        <v>785</v>
      </c>
      <c r="BL913">
        <v>225</v>
      </c>
      <c r="BM913">
        <v>569</v>
      </c>
      <c r="BN913">
        <v>251</v>
      </c>
      <c r="BO913">
        <v>108</v>
      </c>
      <c r="BP913">
        <v>637</v>
      </c>
      <c r="BQ913">
        <v>287</v>
      </c>
      <c r="BR913">
        <v>563</v>
      </c>
      <c r="BS913">
        <v>948</v>
      </c>
      <c r="BT913">
        <v>942</v>
      </c>
      <c r="BU913">
        <v>453</v>
      </c>
      <c r="BV913">
        <v>603</v>
      </c>
      <c r="BW913">
        <v>865</v>
      </c>
      <c r="BX913">
        <v>832</v>
      </c>
      <c r="BY913">
        <v>189</v>
      </c>
      <c r="BZ913">
        <v>873</v>
      </c>
      <c r="CA913">
        <v>672</v>
      </c>
      <c r="CB913">
        <v>488</v>
      </c>
      <c r="CC913">
        <v>409</v>
      </c>
      <c r="CD913">
        <v>436</v>
      </c>
      <c r="CE913">
        <v>550</v>
      </c>
      <c r="CF913">
        <v>888</v>
      </c>
      <c r="CG913">
        <v>564</v>
      </c>
      <c r="CH913">
        <v>185</v>
      </c>
      <c r="CI913">
        <v>842</v>
      </c>
      <c r="CJ913">
        <v>960</v>
      </c>
      <c r="CK913">
        <v>117</v>
      </c>
      <c r="CL913">
        <v>340</v>
      </c>
      <c r="CM913">
        <v>258</v>
      </c>
      <c r="CN913">
        <v>720</v>
      </c>
      <c r="CO913">
        <v>789</v>
      </c>
      <c r="CP913">
        <v>157</v>
      </c>
      <c r="CQ913">
        <v>930</v>
      </c>
      <c r="CR913">
        <v>821</v>
      </c>
      <c r="CS913">
        <v>985</v>
      </c>
      <c r="CT913">
        <v>654</v>
      </c>
      <c r="CU913">
        <v>505</v>
      </c>
      <c r="CV913">
        <v>618</v>
      </c>
      <c r="CW913">
        <v>106</v>
      </c>
      <c r="CX913">
        <v>929</v>
      </c>
      <c r="CY913">
        <v>191</v>
      </c>
      <c r="CZ913">
        <v>724</v>
      </c>
      <c r="DA913">
        <v>588</v>
      </c>
      <c r="DB913">
        <v>810</v>
      </c>
      <c r="DC913">
        <v>699</v>
      </c>
      <c r="DD913">
        <v>293</v>
      </c>
      <c r="DE913">
        <v>794</v>
      </c>
      <c r="DF913">
        <v>788</v>
      </c>
      <c r="DG913">
        <v>980</v>
      </c>
      <c r="DH913">
        <v>488</v>
      </c>
      <c r="DI913">
        <v>812</v>
      </c>
      <c r="DJ913">
        <v>523</v>
      </c>
      <c r="DK913">
        <v>411</v>
      </c>
    </row>
    <row r="914" spans="1:115">
      <c r="A914" s="173">
        <f>Calculations[[#This Row],[Sum t eCO2]]*IF(Calculations[[#This Row],[GHG Scope]]="BIOGENIC",0,1)</f>
        <v>1.7050001374749677E-3</v>
      </c>
      <c r="O914">
        <f t="shared" si="19"/>
        <v>66</v>
      </c>
      <c r="P914">
        <v>237</v>
      </c>
      <c r="Q914">
        <v>258</v>
      </c>
      <c r="R914">
        <v>600</v>
      </c>
      <c r="S914">
        <v>621</v>
      </c>
      <c r="T914">
        <v>948</v>
      </c>
      <c r="U914">
        <v>834</v>
      </c>
      <c r="V914">
        <v>162</v>
      </c>
      <c r="W914">
        <v>615</v>
      </c>
      <c r="X914">
        <v>276</v>
      </c>
      <c r="Y914">
        <v>783</v>
      </c>
      <c r="Z914">
        <v>298</v>
      </c>
      <c r="AA914">
        <v>521</v>
      </c>
      <c r="AB914">
        <v>994</v>
      </c>
      <c r="AC914">
        <v>748</v>
      </c>
      <c r="AD914">
        <v>496</v>
      </c>
      <c r="AE914">
        <v>919</v>
      </c>
      <c r="AF914">
        <v>374</v>
      </c>
      <c r="AG914">
        <v>858</v>
      </c>
      <c r="AH914">
        <v>734</v>
      </c>
      <c r="AI914">
        <v>852</v>
      </c>
      <c r="AJ914">
        <v>199</v>
      </c>
      <c r="AK914">
        <v>690</v>
      </c>
      <c r="AL914">
        <v>896</v>
      </c>
      <c r="AM914">
        <v>692</v>
      </c>
      <c r="AN914">
        <v>255</v>
      </c>
      <c r="AO914">
        <v>685</v>
      </c>
      <c r="AP914">
        <v>987</v>
      </c>
      <c r="AQ914">
        <v>259</v>
      </c>
      <c r="AR914">
        <v>405</v>
      </c>
      <c r="AS914">
        <v>177</v>
      </c>
      <c r="AT914">
        <v>764</v>
      </c>
      <c r="AU914">
        <v>384</v>
      </c>
      <c r="AV914">
        <v>353</v>
      </c>
      <c r="AW914">
        <v>445</v>
      </c>
      <c r="AX914">
        <v>496</v>
      </c>
      <c r="AY914">
        <v>271</v>
      </c>
      <c r="AZ914">
        <v>322</v>
      </c>
      <c r="BA914">
        <v>277</v>
      </c>
      <c r="BB914">
        <v>957</v>
      </c>
      <c r="BC914">
        <v>392</v>
      </c>
      <c r="BD914">
        <v>587</v>
      </c>
      <c r="BE914">
        <v>535</v>
      </c>
      <c r="BF914">
        <v>233</v>
      </c>
      <c r="BG914">
        <v>702</v>
      </c>
      <c r="BH914">
        <v>470</v>
      </c>
      <c r="BI914">
        <v>336</v>
      </c>
      <c r="BJ914">
        <v>799</v>
      </c>
      <c r="BK914">
        <v>381</v>
      </c>
      <c r="BL914">
        <v>837</v>
      </c>
      <c r="BM914">
        <v>329</v>
      </c>
      <c r="BN914">
        <v>681</v>
      </c>
      <c r="BO914">
        <v>340</v>
      </c>
      <c r="BP914">
        <v>723</v>
      </c>
      <c r="BQ914">
        <v>234</v>
      </c>
      <c r="BR914">
        <v>522</v>
      </c>
      <c r="BS914">
        <v>112</v>
      </c>
      <c r="BT914">
        <v>744</v>
      </c>
      <c r="BU914">
        <v>847</v>
      </c>
      <c r="BV914">
        <v>618</v>
      </c>
      <c r="BW914">
        <v>845</v>
      </c>
      <c r="BX914">
        <v>949</v>
      </c>
      <c r="BY914">
        <v>305</v>
      </c>
      <c r="BZ914">
        <v>258</v>
      </c>
      <c r="CA914">
        <v>125</v>
      </c>
      <c r="CB914">
        <v>860</v>
      </c>
      <c r="CC914">
        <v>330</v>
      </c>
      <c r="CD914">
        <v>443</v>
      </c>
      <c r="CE914">
        <v>157</v>
      </c>
      <c r="CF914">
        <v>664</v>
      </c>
      <c r="CG914">
        <v>403</v>
      </c>
      <c r="CH914">
        <v>311</v>
      </c>
      <c r="CI914">
        <v>550</v>
      </c>
      <c r="CJ914">
        <v>206</v>
      </c>
      <c r="CK914">
        <v>249</v>
      </c>
      <c r="CL914">
        <v>965</v>
      </c>
      <c r="CM914">
        <v>624</v>
      </c>
      <c r="CN914">
        <v>755</v>
      </c>
      <c r="CO914">
        <v>235</v>
      </c>
      <c r="CP914">
        <v>822</v>
      </c>
      <c r="CQ914">
        <v>112</v>
      </c>
      <c r="CR914">
        <v>942</v>
      </c>
      <c r="CS914">
        <v>471</v>
      </c>
      <c r="CT914">
        <v>186</v>
      </c>
      <c r="CU914">
        <v>852</v>
      </c>
      <c r="CV914">
        <v>206</v>
      </c>
      <c r="CW914">
        <v>301</v>
      </c>
      <c r="CX914">
        <v>285</v>
      </c>
      <c r="CY914">
        <v>503</v>
      </c>
      <c r="CZ914">
        <v>412</v>
      </c>
      <c r="DA914">
        <v>740</v>
      </c>
      <c r="DB914">
        <v>529</v>
      </c>
      <c r="DC914">
        <v>638</v>
      </c>
      <c r="DD914">
        <v>441</v>
      </c>
      <c r="DE914">
        <v>139</v>
      </c>
      <c r="DF914">
        <v>202</v>
      </c>
      <c r="DG914">
        <v>639</v>
      </c>
      <c r="DH914">
        <v>880</v>
      </c>
      <c r="DI914">
        <v>894</v>
      </c>
      <c r="DJ914">
        <v>440</v>
      </c>
      <c r="DK914">
        <v>880</v>
      </c>
    </row>
    <row r="915" spans="1:115">
      <c r="A915" s="173">
        <f>Calculations[[#This Row],[Sum t eCO2]]*IF(Calculations[[#This Row],[GHG Scope]]="BIOGENIC",0,1)</f>
        <v>1.5100986931885432E-2</v>
      </c>
      <c r="O915">
        <f t="shared" ref="O915:O943" si="20">O914+1</f>
        <v>67</v>
      </c>
      <c r="P915">
        <v>142</v>
      </c>
      <c r="Q915">
        <v>869</v>
      </c>
      <c r="R915">
        <v>129</v>
      </c>
      <c r="S915">
        <v>664</v>
      </c>
      <c r="T915">
        <v>677</v>
      </c>
      <c r="U915">
        <v>472</v>
      </c>
      <c r="V915">
        <v>157</v>
      </c>
      <c r="W915">
        <v>140</v>
      </c>
      <c r="X915">
        <v>274</v>
      </c>
      <c r="Y915">
        <v>580</v>
      </c>
      <c r="Z915">
        <v>626</v>
      </c>
      <c r="AA915">
        <v>789</v>
      </c>
      <c r="AB915">
        <v>332</v>
      </c>
      <c r="AC915">
        <v>644</v>
      </c>
      <c r="AD915">
        <v>653</v>
      </c>
      <c r="AE915">
        <v>943</v>
      </c>
      <c r="AF915">
        <v>376</v>
      </c>
      <c r="AG915">
        <v>872</v>
      </c>
      <c r="AH915">
        <v>936</v>
      </c>
      <c r="AI915">
        <v>174</v>
      </c>
      <c r="AJ915">
        <v>156</v>
      </c>
      <c r="AK915">
        <v>759</v>
      </c>
      <c r="AL915">
        <v>509</v>
      </c>
      <c r="AM915">
        <v>768</v>
      </c>
      <c r="AN915">
        <v>299</v>
      </c>
      <c r="AO915">
        <v>818</v>
      </c>
      <c r="AP915">
        <v>181</v>
      </c>
      <c r="AQ915">
        <v>621</v>
      </c>
      <c r="AR915">
        <v>964</v>
      </c>
      <c r="AS915">
        <v>498</v>
      </c>
      <c r="AT915">
        <v>146</v>
      </c>
      <c r="AU915">
        <v>781</v>
      </c>
      <c r="AV915">
        <v>946</v>
      </c>
      <c r="AW915">
        <v>261</v>
      </c>
      <c r="AX915">
        <v>987</v>
      </c>
      <c r="AY915">
        <v>746</v>
      </c>
      <c r="AZ915">
        <v>444</v>
      </c>
      <c r="BA915">
        <v>793</v>
      </c>
      <c r="BB915">
        <v>819</v>
      </c>
      <c r="BC915">
        <v>458</v>
      </c>
      <c r="BD915">
        <v>913</v>
      </c>
      <c r="BE915">
        <v>916</v>
      </c>
      <c r="BF915">
        <v>348</v>
      </c>
      <c r="BG915">
        <v>358</v>
      </c>
      <c r="BH915">
        <v>518</v>
      </c>
      <c r="BI915">
        <v>213</v>
      </c>
      <c r="BJ915">
        <v>895</v>
      </c>
      <c r="BK915">
        <v>669</v>
      </c>
      <c r="BL915">
        <v>526</v>
      </c>
      <c r="BM915">
        <v>809</v>
      </c>
      <c r="BN915">
        <v>472</v>
      </c>
      <c r="BO915">
        <v>977</v>
      </c>
      <c r="BP915">
        <v>922</v>
      </c>
      <c r="BQ915">
        <v>361</v>
      </c>
      <c r="BR915">
        <v>595</v>
      </c>
      <c r="BS915">
        <v>588</v>
      </c>
      <c r="BT915">
        <v>485</v>
      </c>
      <c r="BU915">
        <v>969</v>
      </c>
      <c r="BV915">
        <v>526</v>
      </c>
      <c r="BW915">
        <v>314</v>
      </c>
      <c r="BX915">
        <v>733</v>
      </c>
      <c r="BY915">
        <v>497</v>
      </c>
      <c r="BZ915">
        <v>197</v>
      </c>
      <c r="CA915">
        <v>166</v>
      </c>
      <c r="CB915">
        <v>253</v>
      </c>
      <c r="CC915">
        <v>632</v>
      </c>
      <c r="CD915">
        <v>335</v>
      </c>
      <c r="CE915">
        <v>873</v>
      </c>
      <c r="CF915">
        <v>611</v>
      </c>
      <c r="CG915">
        <v>732</v>
      </c>
      <c r="CH915">
        <v>512</v>
      </c>
      <c r="CI915">
        <v>496</v>
      </c>
      <c r="CJ915">
        <v>286</v>
      </c>
      <c r="CK915">
        <v>572</v>
      </c>
      <c r="CL915">
        <v>699</v>
      </c>
      <c r="CM915">
        <v>184</v>
      </c>
      <c r="CN915">
        <v>727</v>
      </c>
      <c r="CO915">
        <v>163</v>
      </c>
      <c r="CP915">
        <v>888</v>
      </c>
      <c r="CQ915">
        <v>351</v>
      </c>
      <c r="CR915">
        <v>583</v>
      </c>
      <c r="CS915">
        <v>793</v>
      </c>
      <c r="CT915">
        <v>444</v>
      </c>
      <c r="CU915">
        <v>483</v>
      </c>
      <c r="CV915">
        <v>684</v>
      </c>
      <c r="CW915">
        <v>765</v>
      </c>
      <c r="CX915">
        <v>219</v>
      </c>
      <c r="CY915">
        <v>978</v>
      </c>
      <c r="CZ915">
        <v>745</v>
      </c>
      <c r="DA915">
        <v>340</v>
      </c>
      <c r="DB915">
        <v>399</v>
      </c>
      <c r="DC915">
        <v>947</v>
      </c>
      <c r="DD915">
        <v>789</v>
      </c>
      <c r="DE915">
        <v>339</v>
      </c>
      <c r="DF915">
        <v>203</v>
      </c>
      <c r="DG915">
        <v>406</v>
      </c>
      <c r="DH915">
        <v>857</v>
      </c>
      <c r="DI915">
        <v>840</v>
      </c>
      <c r="DJ915">
        <v>730</v>
      </c>
      <c r="DK915">
        <v>516</v>
      </c>
    </row>
    <row r="916" spans="1:115">
      <c r="A916" s="173">
        <f>Calculations[[#This Row],[Sum t eCO2]]*IF(Calculations[[#This Row],[GHG Scope]]="BIOGENIC",0,1)</f>
        <v>4.6204765630274008E-3</v>
      </c>
      <c r="O916">
        <f t="shared" si="20"/>
        <v>68</v>
      </c>
      <c r="P916">
        <v>741</v>
      </c>
      <c r="Q916">
        <v>603</v>
      </c>
      <c r="R916">
        <v>131</v>
      </c>
      <c r="S916">
        <v>278</v>
      </c>
      <c r="T916">
        <v>527</v>
      </c>
      <c r="U916">
        <v>340</v>
      </c>
      <c r="V916">
        <v>746</v>
      </c>
      <c r="W916">
        <v>541</v>
      </c>
      <c r="X916">
        <v>788</v>
      </c>
      <c r="Y916">
        <v>963</v>
      </c>
      <c r="Z916">
        <v>348</v>
      </c>
      <c r="AA916">
        <v>529</v>
      </c>
      <c r="AB916">
        <v>539</v>
      </c>
      <c r="AC916">
        <v>191</v>
      </c>
      <c r="AD916">
        <v>921</v>
      </c>
      <c r="AE916">
        <v>735</v>
      </c>
      <c r="AF916">
        <v>489</v>
      </c>
      <c r="AG916">
        <v>247</v>
      </c>
      <c r="AH916">
        <v>775</v>
      </c>
      <c r="AI916">
        <v>501</v>
      </c>
      <c r="AJ916">
        <v>109</v>
      </c>
      <c r="AK916">
        <v>594</v>
      </c>
      <c r="AL916">
        <v>581</v>
      </c>
      <c r="AM916">
        <v>711</v>
      </c>
      <c r="AN916">
        <v>459</v>
      </c>
      <c r="AO916">
        <v>830</v>
      </c>
      <c r="AP916">
        <v>519</v>
      </c>
      <c r="AQ916">
        <v>670</v>
      </c>
      <c r="AR916">
        <v>281</v>
      </c>
      <c r="AS916">
        <v>220</v>
      </c>
      <c r="AT916">
        <v>670</v>
      </c>
      <c r="AU916">
        <v>281</v>
      </c>
      <c r="AV916">
        <v>568</v>
      </c>
      <c r="AW916">
        <v>141</v>
      </c>
      <c r="AX916">
        <v>306</v>
      </c>
      <c r="AY916">
        <v>719</v>
      </c>
      <c r="AZ916">
        <v>533</v>
      </c>
      <c r="BA916">
        <v>359</v>
      </c>
      <c r="BB916">
        <v>909</v>
      </c>
      <c r="BC916">
        <v>321</v>
      </c>
      <c r="BD916">
        <v>523</v>
      </c>
      <c r="BE916">
        <v>421</v>
      </c>
      <c r="BF916">
        <v>973</v>
      </c>
      <c r="BG916">
        <v>202</v>
      </c>
      <c r="BH916">
        <v>237</v>
      </c>
      <c r="BI916">
        <v>357</v>
      </c>
      <c r="BJ916">
        <v>966</v>
      </c>
      <c r="BK916">
        <v>107</v>
      </c>
      <c r="BL916">
        <v>673</v>
      </c>
      <c r="BM916">
        <v>523</v>
      </c>
      <c r="BN916">
        <v>512</v>
      </c>
      <c r="BO916">
        <v>856</v>
      </c>
      <c r="BP916">
        <v>950</v>
      </c>
      <c r="BQ916">
        <v>182</v>
      </c>
      <c r="BR916">
        <v>563</v>
      </c>
      <c r="BS916">
        <v>297</v>
      </c>
      <c r="BT916">
        <v>417</v>
      </c>
      <c r="BU916">
        <v>554</v>
      </c>
      <c r="BV916">
        <v>303</v>
      </c>
      <c r="BW916">
        <v>868</v>
      </c>
      <c r="BX916">
        <v>296</v>
      </c>
      <c r="BY916">
        <v>507</v>
      </c>
      <c r="BZ916">
        <v>239</v>
      </c>
      <c r="CA916">
        <v>675</v>
      </c>
      <c r="CB916">
        <v>877</v>
      </c>
      <c r="CC916">
        <v>541</v>
      </c>
      <c r="CD916">
        <v>679</v>
      </c>
      <c r="CE916">
        <v>148</v>
      </c>
      <c r="CF916">
        <v>285</v>
      </c>
      <c r="CG916">
        <v>795</v>
      </c>
      <c r="CH916">
        <v>218</v>
      </c>
      <c r="CI916">
        <v>271</v>
      </c>
      <c r="CJ916">
        <v>968</v>
      </c>
      <c r="CK916">
        <v>419</v>
      </c>
      <c r="CL916">
        <v>329</v>
      </c>
      <c r="CM916">
        <v>102</v>
      </c>
      <c r="CN916">
        <v>289</v>
      </c>
      <c r="CO916">
        <v>260</v>
      </c>
      <c r="CP916">
        <v>667</v>
      </c>
      <c r="CQ916">
        <v>558</v>
      </c>
      <c r="CR916">
        <v>416</v>
      </c>
      <c r="CS916">
        <v>154</v>
      </c>
      <c r="CT916">
        <v>259</v>
      </c>
      <c r="CU916">
        <v>874</v>
      </c>
      <c r="CV916">
        <v>137</v>
      </c>
      <c r="CW916">
        <v>666</v>
      </c>
      <c r="CX916">
        <v>541</v>
      </c>
      <c r="CY916">
        <v>535</v>
      </c>
      <c r="CZ916">
        <v>281</v>
      </c>
      <c r="DA916">
        <v>402</v>
      </c>
      <c r="DB916">
        <v>564</v>
      </c>
      <c r="DC916">
        <v>765</v>
      </c>
      <c r="DD916">
        <v>714</v>
      </c>
      <c r="DE916">
        <v>690</v>
      </c>
      <c r="DF916">
        <v>193</v>
      </c>
      <c r="DG916">
        <v>139</v>
      </c>
      <c r="DH916">
        <v>979</v>
      </c>
      <c r="DI916">
        <v>583</v>
      </c>
      <c r="DJ916">
        <v>221</v>
      </c>
      <c r="DK916">
        <v>681</v>
      </c>
    </row>
    <row r="917" spans="1:115">
      <c r="A917" s="173">
        <f>Calculations[[#This Row],[Sum t eCO2]]*IF(Calculations[[#This Row],[GHG Scope]]="BIOGENIC",0,1)</f>
        <v>8.3337930000000008E-3</v>
      </c>
      <c r="O917">
        <f t="shared" si="20"/>
        <v>69</v>
      </c>
      <c r="P917">
        <v>121</v>
      </c>
      <c r="Q917">
        <v>810</v>
      </c>
      <c r="R917">
        <v>277</v>
      </c>
      <c r="S917">
        <v>581</v>
      </c>
      <c r="T917">
        <v>420</v>
      </c>
      <c r="U917">
        <v>586</v>
      </c>
      <c r="V917">
        <v>927</v>
      </c>
      <c r="W917">
        <v>618</v>
      </c>
      <c r="X917">
        <v>662</v>
      </c>
      <c r="Y917">
        <v>443</v>
      </c>
      <c r="Z917">
        <v>391</v>
      </c>
      <c r="AA917">
        <v>369</v>
      </c>
      <c r="AB917">
        <v>350</v>
      </c>
      <c r="AC917">
        <v>317</v>
      </c>
      <c r="AD917">
        <v>829</v>
      </c>
      <c r="AE917">
        <v>985</v>
      </c>
      <c r="AF917">
        <v>742</v>
      </c>
      <c r="AG917">
        <v>335</v>
      </c>
      <c r="AH917">
        <v>528</v>
      </c>
      <c r="AI917">
        <v>224</v>
      </c>
      <c r="AJ917">
        <v>615</v>
      </c>
      <c r="AK917">
        <v>523</v>
      </c>
      <c r="AL917">
        <v>787</v>
      </c>
      <c r="AM917">
        <v>811</v>
      </c>
      <c r="AN917">
        <v>377</v>
      </c>
      <c r="AO917">
        <v>175</v>
      </c>
      <c r="AP917">
        <v>123</v>
      </c>
      <c r="AQ917">
        <v>261</v>
      </c>
      <c r="AR917">
        <v>708</v>
      </c>
      <c r="AS917">
        <v>367</v>
      </c>
      <c r="AT917">
        <v>928</v>
      </c>
      <c r="AU917">
        <v>342</v>
      </c>
      <c r="AV917">
        <v>201</v>
      </c>
      <c r="AW917">
        <v>994</v>
      </c>
      <c r="AX917">
        <v>185</v>
      </c>
      <c r="AY917">
        <v>816</v>
      </c>
      <c r="AZ917">
        <v>731</v>
      </c>
      <c r="BA917">
        <v>113</v>
      </c>
      <c r="BB917">
        <v>503</v>
      </c>
      <c r="BC917">
        <v>852</v>
      </c>
      <c r="BD917">
        <v>336</v>
      </c>
      <c r="BE917">
        <v>783</v>
      </c>
      <c r="BF917">
        <v>127</v>
      </c>
      <c r="BG917">
        <v>800</v>
      </c>
      <c r="BH917">
        <v>975</v>
      </c>
      <c r="BI917">
        <v>280</v>
      </c>
      <c r="BJ917">
        <v>961</v>
      </c>
      <c r="BK917">
        <v>195</v>
      </c>
      <c r="BL917">
        <v>839</v>
      </c>
      <c r="BM917">
        <v>609</v>
      </c>
      <c r="BN917">
        <v>548</v>
      </c>
      <c r="BO917">
        <v>270</v>
      </c>
      <c r="BP917">
        <v>960</v>
      </c>
      <c r="BQ917">
        <v>472</v>
      </c>
      <c r="BR917">
        <v>788</v>
      </c>
      <c r="BS917">
        <v>815</v>
      </c>
      <c r="BT917">
        <v>227</v>
      </c>
      <c r="BU917">
        <v>282</v>
      </c>
      <c r="BV917">
        <v>280</v>
      </c>
      <c r="BW917">
        <v>697</v>
      </c>
      <c r="BX917">
        <v>699</v>
      </c>
      <c r="BY917">
        <v>608</v>
      </c>
      <c r="BZ917">
        <v>643</v>
      </c>
      <c r="CA917">
        <v>583</v>
      </c>
      <c r="CB917">
        <v>108</v>
      </c>
      <c r="CC917">
        <v>668</v>
      </c>
      <c r="CD917">
        <v>399</v>
      </c>
      <c r="CE917">
        <v>648</v>
      </c>
      <c r="CF917">
        <v>233</v>
      </c>
      <c r="CG917">
        <v>954</v>
      </c>
      <c r="CH917">
        <v>228</v>
      </c>
      <c r="CI917">
        <v>843</v>
      </c>
      <c r="CJ917">
        <v>314</v>
      </c>
      <c r="CK917">
        <v>421</v>
      </c>
      <c r="CL917">
        <v>227</v>
      </c>
      <c r="CM917">
        <v>837</v>
      </c>
      <c r="CN917">
        <v>107</v>
      </c>
      <c r="CO917">
        <v>996</v>
      </c>
      <c r="CP917">
        <v>263</v>
      </c>
      <c r="CQ917">
        <v>612</v>
      </c>
      <c r="CR917">
        <v>859</v>
      </c>
      <c r="CS917">
        <v>635</v>
      </c>
      <c r="CT917">
        <v>603</v>
      </c>
      <c r="CU917">
        <v>496</v>
      </c>
      <c r="CV917">
        <v>253</v>
      </c>
      <c r="CW917">
        <v>641</v>
      </c>
      <c r="CX917">
        <v>309</v>
      </c>
      <c r="CY917">
        <v>932</v>
      </c>
      <c r="CZ917">
        <v>277</v>
      </c>
      <c r="DA917">
        <v>416</v>
      </c>
      <c r="DB917">
        <v>261</v>
      </c>
      <c r="DC917">
        <v>478</v>
      </c>
      <c r="DD917">
        <v>725</v>
      </c>
      <c r="DE917">
        <v>753</v>
      </c>
      <c r="DF917">
        <v>918</v>
      </c>
      <c r="DG917">
        <v>255</v>
      </c>
      <c r="DH917">
        <v>561</v>
      </c>
      <c r="DI917">
        <v>519</v>
      </c>
      <c r="DJ917">
        <v>793</v>
      </c>
      <c r="DK917">
        <v>853</v>
      </c>
    </row>
    <row r="918" spans="1:115">
      <c r="A918" s="173">
        <f>Calculations[[#This Row],[Sum t eCO2]]*IF(Calculations[[#This Row],[GHG Scope]]="BIOGENIC",0,1)</f>
        <v>2.2437135000000002E-3</v>
      </c>
      <c r="O918">
        <f t="shared" si="20"/>
        <v>70</v>
      </c>
      <c r="P918">
        <v>975</v>
      </c>
      <c r="Q918">
        <v>239</v>
      </c>
      <c r="R918">
        <v>553</v>
      </c>
      <c r="S918">
        <v>709</v>
      </c>
      <c r="T918">
        <v>936</v>
      </c>
      <c r="U918">
        <v>629</v>
      </c>
      <c r="V918">
        <v>135</v>
      </c>
      <c r="W918">
        <v>244</v>
      </c>
      <c r="X918">
        <v>155</v>
      </c>
      <c r="Y918">
        <v>756</v>
      </c>
      <c r="Z918">
        <v>480</v>
      </c>
      <c r="AA918">
        <v>637</v>
      </c>
      <c r="AB918">
        <v>710</v>
      </c>
      <c r="AC918">
        <v>178</v>
      </c>
      <c r="AD918">
        <v>571</v>
      </c>
      <c r="AE918">
        <v>401</v>
      </c>
      <c r="AF918">
        <v>241</v>
      </c>
      <c r="AG918">
        <v>727</v>
      </c>
      <c r="AH918">
        <v>324</v>
      </c>
      <c r="AI918">
        <v>358</v>
      </c>
      <c r="AJ918">
        <v>826</v>
      </c>
      <c r="AK918">
        <v>816</v>
      </c>
      <c r="AL918">
        <v>631</v>
      </c>
      <c r="AM918">
        <v>534</v>
      </c>
      <c r="AN918">
        <v>947</v>
      </c>
      <c r="AO918">
        <v>530</v>
      </c>
      <c r="AP918">
        <v>463</v>
      </c>
      <c r="AQ918">
        <v>100</v>
      </c>
      <c r="AR918">
        <v>655</v>
      </c>
      <c r="AS918">
        <v>757</v>
      </c>
      <c r="AT918">
        <v>743</v>
      </c>
      <c r="AU918">
        <v>544</v>
      </c>
      <c r="AV918">
        <v>178</v>
      </c>
      <c r="AW918">
        <v>905</v>
      </c>
      <c r="AX918">
        <v>354</v>
      </c>
      <c r="AY918">
        <v>774</v>
      </c>
      <c r="AZ918">
        <v>279</v>
      </c>
      <c r="BA918">
        <v>313</v>
      </c>
      <c r="BB918">
        <v>544</v>
      </c>
      <c r="BC918">
        <v>525</v>
      </c>
      <c r="BD918">
        <v>910</v>
      </c>
      <c r="BE918">
        <v>840</v>
      </c>
      <c r="BF918">
        <v>405</v>
      </c>
      <c r="BG918">
        <v>979</v>
      </c>
      <c r="BH918">
        <v>379</v>
      </c>
      <c r="BI918">
        <v>709</v>
      </c>
      <c r="BJ918">
        <v>642</v>
      </c>
      <c r="BK918">
        <v>895</v>
      </c>
      <c r="BL918">
        <v>551</v>
      </c>
      <c r="BM918">
        <v>391</v>
      </c>
      <c r="BN918">
        <v>902</v>
      </c>
      <c r="BO918">
        <v>202</v>
      </c>
      <c r="BP918">
        <v>979</v>
      </c>
      <c r="BQ918">
        <v>481</v>
      </c>
      <c r="BR918">
        <v>245</v>
      </c>
      <c r="BS918">
        <v>891</v>
      </c>
      <c r="BT918">
        <v>287</v>
      </c>
      <c r="BU918">
        <v>493</v>
      </c>
      <c r="BV918">
        <v>806</v>
      </c>
      <c r="BW918">
        <v>894</v>
      </c>
      <c r="BX918">
        <v>292</v>
      </c>
      <c r="BY918">
        <v>496</v>
      </c>
      <c r="BZ918">
        <v>652</v>
      </c>
      <c r="CA918">
        <v>353</v>
      </c>
      <c r="CB918">
        <v>951</v>
      </c>
      <c r="CC918">
        <v>292</v>
      </c>
      <c r="CD918">
        <v>991</v>
      </c>
      <c r="CE918">
        <v>143</v>
      </c>
      <c r="CF918">
        <v>839</v>
      </c>
      <c r="CG918">
        <v>812</v>
      </c>
      <c r="CH918">
        <v>591</v>
      </c>
      <c r="CI918">
        <v>396</v>
      </c>
      <c r="CJ918">
        <v>625</v>
      </c>
      <c r="CK918">
        <v>695</v>
      </c>
      <c r="CL918">
        <v>645</v>
      </c>
      <c r="CM918">
        <v>161</v>
      </c>
      <c r="CN918">
        <v>531</v>
      </c>
      <c r="CO918">
        <v>619</v>
      </c>
      <c r="CP918">
        <v>619</v>
      </c>
      <c r="CQ918">
        <v>931</v>
      </c>
      <c r="CR918">
        <v>716</v>
      </c>
      <c r="CS918">
        <v>155</v>
      </c>
      <c r="CT918">
        <v>681</v>
      </c>
      <c r="CU918">
        <v>824</v>
      </c>
      <c r="CV918">
        <v>313</v>
      </c>
      <c r="CW918">
        <v>254</v>
      </c>
      <c r="CX918">
        <v>420</v>
      </c>
      <c r="CY918">
        <v>765</v>
      </c>
      <c r="CZ918">
        <v>241</v>
      </c>
      <c r="DA918">
        <v>104</v>
      </c>
      <c r="DB918">
        <v>684</v>
      </c>
      <c r="DC918">
        <v>216</v>
      </c>
      <c r="DD918">
        <v>823</v>
      </c>
      <c r="DE918">
        <v>630</v>
      </c>
      <c r="DF918">
        <v>887</v>
      </c>
      <c r="DG918">
        <v>853</v>
      </c>
      <c r="DH918">
        <v>663</v>
      </c>
      <c r="DI918">
        <v>745</v>
      </c>
      <c r="DJ918">
        <v>438</v>
      </c>
      <c r="DK918">
        <v>708</v>
      </c>
    </row>
    <row r="919" spans="1:115">
      <c r="A919" s="173">
        <f>Calculations[[#This Row],[Sum t eCO2]]*IF(Calculations[[#This Row],[GHG Scope]]="BIOGENIC",0,1)</f>
        <v>4.4285717856492674E-4</v>
      </c>
      <c r="O919">
        <f t="shared" si="20"/>
        <v>71</v>
      </c>
      <c r="P919">
        <v>872</v>
      </c>
      <c r="Q919">
        <v>376</v>
      </c>
      <c r="R919">
        <v>228</v>
      </c>
      <c r="S919">
        <v>225</v>
      </c>
      <c r="T919">
        <v>906</v>
      </c>
      <c r="U919">
        <v>816</v>
      </c>
      <c r="V919">
        <v>664</v>
      </c>
      <c r="W919">
        <v>793</v>
      </c>
      <c r="X919">
        <v>921</v>
      </c>
      <c r="Y919">
        <v>163</v>
      </c>
      <c r="Z919">
        <v>729</v>
      </c>
      <c r="AA919">
        <v>607</v>
      </c>
      <c r="AB919">
        <v>622</v>
      </c>
      <c r="AC919">
        <v>840</v>
      </c>
      <c r="AD919">
        <v>577</v>
      </c>
      <c r="AE919">
        <v>520</v>
      </c>
      <c r="AF919">
        <v>350</v>
      </c>
      <c r="AG919">
        <v>205</v>
      </c>
      <c r="AH919">
        <v>729</v>
      </c>
      <c r="AI919">
        <v>524</v>
      </c>
      <c r="AJ919">
        <v>927</v>
      </c>
      <c r="AK919">
        <v>411</v>
      </c>
      <c r="AL919">
        <v>768</v>
      </c>
      <c r="AM919">
        <v>872</v>
      </c>
      <c r="AN919">
        <v>248</v>
      </c>
      <c r="AO919">
        <v>672</v>
      </c>
      <c r="AP919">
        <v>526</v>
      </c>
      <c r="AQ919">
        <v>240</v>
      </c>
      <c r="AR919">
        <v>872</v>
      </c>
      <c r="AS919">
        <v>716</v>
      </c>
      <c r="AT919">
        <v>630</v>
      </c>
      <c r="AU919">
        <v>854</v>
      </c>
      <c r="AV919">
        <v>493</v>
      </c>
      <c r="AW919">
        <v>849</v>
      </c>
      <c r="AX919">
        <v>374</v>
      </c>
      <c r="AY919">
        <v>271</v>
      </c>
      <c r="AZ919">
        <v>916</v>
      </c>
      <c r="BA919">
        <v>608</v>
      </c>
      <c r="BB919">
        <v>588</v>
      </c>
      <c r="BC919">
        <v>215</v>
      </c>
      <c r="BD919">
        <v>445</v>
      </c>
      <c r="BE919">
        <v>952</v>
      </c>
      <c r="BF919">
        <v>724</v>
      </c>
      <c r="BG919">
        <v>775</v>
      </c>
      <c r="BH919">
        <v>101</v>
      </c>
      <c r="BI919">
        <v>854</v>
      </c>
      <c r="BJ919">
        <v>661</v>
      </c>
      <c r="BK919">
        <v>393</v>
      </c>
      <c r="BL919">
        <v>982</v>
      </c>
      <c r="BM919">
        <v>396</v>
      </c>
      <c r="BN919">
        <v>217</v>
      </c>
      <c r="BO919">
        <v>718</v>
      </c>
      <c r="BP919">
        <v>546</v>
      </c>
      <c r="BQ919">
        <v>549</v>
      </c>
      <c r="BR919">
        <v>351</v>
      </c>
      <c r="BS919">
        <v>590</v>
      </c>
      <c r="BT919">
        <v>880</v>
      </c>
      <c r="BU919">
        <v>684</v>
      </c>
      <c r="BV919">
        <v>228</v>
      </c>
      <c r="BW919">
        <v>322</v>
      </c>
      <c r="BX919">
        <v>801</v>
      </c>
      <c r="BY919">
        <v>220</v>
      </c>
      <c r="BZ919">
        <v>937</v>
      </c>
      <c r="CA919">
        <v>589</v>
      </c>
      <c r="CB919">
        <v>145</v>
      </c>
      <c r="CC919">
        <v>935</v>
      </c>
      <c r="CD919">
        <v>186</v>
      </c>
      <c r="CE919">
        <v>457</v>
      </c>
      <c r="CF919">
        <v>905</v>
      </c>
      <c r="CG919">
        <v>119</v>
      </c>
      <c r="CH919">
        <v>972</v>
      </c>
      <c r="CI919">
        <v>444</v>
      </c>
      <c r="CJ919">
        <v>334</v>
      </c>
      <c r="CK919">
        <v>542</v>
      </c>
      <c r="CL919">
        <v>814</v>
      </c>
      <c r="CM919">
        <v>431</v>
      </c>
      <c r="CN919">
        <v>561</v>
      </c>
      <c r="CO919">
        <v>218</v>
      </c>
      <c r="CP919">
        <v>738</v>
      </c>
      <c r="CQ919">
        <v>503</v>
      </c>
      <c r="CR919">
        <v>520</v>
      </c>
      <c r="CS919">
        <v>109</v>
      </c>
      <c r="CT919">
        <v>560</v>
      </c>
      <c r="CU919">
        <v>327</v>
      </c>
      <c r="CV919">
        <v>194</v>
      </c>
      <c r="CW919">
        <v>231</v>
      </c>
      <c r="CX919">
        <v>134</v>
      </c>
      <c r="CY919">
        <v>305</v>
      </c>
      <c r="CZ919">
        <v>221</v>
      </c>
      <c r="DA919">
        <v>707</v>
      </c>
      <c r="DB919">
        <v>118</v>
      </c>
      <c r="DC919">
        <v>520</v>
      </c>
      <c r="DD919">
        <v>906</v>
      </c>
      <c r="DE919">
        <v>474</v>
      </c>
      <c r="DF919">
        <v>188</v>
      </c>
      <c r="DG919">
        <v>869</v>
      </c>
      <c r="DH919">
        <v>768</v>
      </c>
      <c r="DI919">
        <v>667</v>
      </c>
      <c r="DJ919">
        <v>709</v>
      </c>
      <c r="DK919">
        <v>821</v>
      </c>
    </row>
    <row r="920" spans="1:115">
      <c r="A920" s="173">
        <f>Calculations[[#This Row],[Sum t eCO2]]*IF(Calculations[[#This Row],[GHG Scope]]="BIOGENIC",0,1)</f>
        <v>0.93228584512769996</v>
      </c>
      <c r="O920">
        <f t="shared" si="20"/>
        <v>72</v>
      </c>
      <c r="P920">
        <v>915</v>
      </c>
      <c r="Q920">
        <v>721</v>
      </c>
      <c r="R920">
        <v>321</v>
      </c>
      <c r="S920">
        <v>684</v>
      </c>
      <c r="T920">
        <v>841</v>
      </c>
      <c r="U920">
        <v>674</v>
      </c>
      <c r="V920">
        <v>689</v>
      </c>
      <c r="W920">
        <v>913</v>
      </c>
      <c r="X920">
        <v>310</v>
      </c>
      <c r="Y920">
        <v>201</v>
      </c>
      <c r="Z920">
        <v>411</v>
      </c>
      <c r="AA920">
        <v>233</v>
      </c>
      <c r="AB920">
        <v>743</v>
      </c>
      <c r="AC920">
        <v>840</v>
      </c>
      <c r="AD920">
        <v>982</v>
      </c>
      <c r="AE920">
        <v>616</v>
      </c>
      <c r="AF920">
        <v>223</v>
      </c>
      <c r="AG920">
        <v>321</v>
      </c>
      <c r="AH920">
        <v>583</v>
      </c>
      <c r="AI920">
        <v>619</v>
      </c>
      <c r="AJ920">
        <v>118</v>
      </c>
      <c r="AK920">
        <v>160</v>
      </c>
      <c r="AL920">
        <v>992</v>
      </c>
      <c r="AM920">
        <v>117</v>
      </c>
      <c r="AN920">
        <v>719</v>
      </c>
      <c r="AO920">
        <v>542</v>
      </c>
      <c r="AP920">
        <v>105</v>
      </c>
      <c r="AQ920">
        <v>740</v>
      </c>
      <c r="AR920">
        <v>514</v>
      </c>
      <c r="AS920">
        <v>339</v>
      </c>
      <c r="AT920">
        <v>797</v>
      </c>
      <c r="AU920">
        <v>959</v>
      </c>
      <c r="AV920">
        <v>693</v>
      </c>
      <c r="AW920">
        <v>999</v>
      </c>
      <c r="AX920">
        <v>893</v>
      </c>
      <c r="AY920">
        <v>978</v>
      </c>
      <c r="AZ920">
        <v>877</v>
      </c>
      <c r="BA920">
        <v>989</v>
      </c>
      <c r="BB920">
        <v>933</v>
      </c>
      <c r="BC920">
        <v>975</v>
      </c>
      <c r="BD920">
        <v>741</v>
      </c>
      <c r="BE920">
        <v>715</v>
      </c>
      <c r="BF920">
        <v>431</v>
      </c>
      <c r="BG920">
        <v>165</v>
      </c>
      <c r="BH920">
        <v>876</v>
      </c>
      <c r="BI920">
        <v>546</v>
      </c>
      <c r="BJ920">
        <v>164</v>
      </c>
      <c r="BK920">
        <v>368</v>
      </c>
      <c r="BL920">
        <v>962</v>
      </c>
      <c r="BM920">
        <v>477</v>
      </c>
      <c r="BN920">
        <v>405</v>
      </c>
      <c r="BO920">
        <v>152</v>
      </c>
      <c r="BP920">
        <v>432</v>
      </c>
      <c r="BQ920">
        <v>757</v>
      </c>
      <c r="BR920">
        <v>220</v>
      </c>
      <c r="BS920">
        <v>693</v>
      </c>
      <c r="BT920">
        <v>815</v>
      </c>
      <c r="BU920">
        <v>803</v>
      </c>
      <c r="BV920">
        <v>634</v>
      </c>
      <c r="BW920">
        <v>333</v>
      </c>
      <c r="BX920">
        <v>436</v>
      </c>
      <c r="BY920">
        <v>325</v>
      </c>
      <c r="BZ920">
        <v>741</v>
      </c>
      <c r="CA920">
        <v>939</v>
      </c>
      <c r="CB920">
        <v>243</v>
      </c>
      <c r="CC920">
        <v>204</v>
      </c>
      <c r="CD920">
        <v>251</v>
      </c>
      <c r="CE920">
        <v>165</v>
      </c>
      <c r="CF920">
        <v>527</v>
      </c>
      <c r="CG920">
        <v>769</v>
      </c>
      <c r="CH920">
        <v>925</v>
      </c>
      <c r="CI920">
        <v>236</v>
      </c>
      <c r="CJ920">
        <v>187</v>
      </c>
      <c r="CK920">
        <v>804</v>
      </c>
      <c r="CL920">
        <v>559</v>
      </c>
      <c r="CM920">
        <v>936</v>
      </c>
      <c r="CN920">
        <v>464</v>
      </c>
      <c r="CO920">
        <v>910</v>
      </c>
      <c r="CP920">
        <v>776</v>
      </c>
      <c r="CQ920">
        <v>591</v>
      </c>
      <c r="CR920">
        <v>286</v>
      </c>
      <c r="CS920">
        <v>639</v>
      </c>
      <c r="CT920">
        <v>496</v>
      </c>
      <c r="CU920">
        <v>977</v>
      </c>
      <c r="CV920">
        <v>713</v>
      </c>
      <c r="CW920">
        <v>297</v>
      </c>
      <c r="CX920">
        <v>936</v>
      </c>
      <c r="CY920">
        <v>956</v>
      </c>
      <c r="CZ920">
        <v>304</v>
      </c>
      <c r="DA920">
        <v>978</v>
      </c>
      <c r="DB920">
        <v>611</v>
      </c>
      <c r="DC920">
        <v>217</v>
      </c>
      <c r="DD920">
        <v>389</v>
      </c>
      <c r="DE920">
        <v>635</v>
      </c>
      <c r="DF920">
        <v>874</v>
      </c>
      <c r="DG920">
        <v>168</v>
      </c>
      <c r="DH920">
        <v>187</v>
      </c>
      <c r="DI920">
        <v>691</v>
      </c>
      <c r="DJ920">
        <v>398</v>
      </c>
      <c r="DK920">
        <v>456</v>
      </c>
    </row>
    <row r="921" spans="1:115">
      <c r="A921" s="173">
        <f>Calculations[[#This Row],[Sum t eCO2]]*IF(Calculations[[#This Row],[GHG Scope]]="BIOGENIC",0,1)</f>
        <v>2.531788618931134</v>
      </c>
      <c r="O921">
        <f t="shared" si="20"/>
        <v>73</v>
      </c>
      <c r="P921">
        <v>344</v>
      </c>
      <c r="Q921">
        <v>298</v>
      </c>
      <c r="R921">
        <v>187</v>
      </c>
      <c r="S921">
        <v>675</v>
      </c>
      <c r="T921">
        <v>471</v>
      </c>
      <c r="U921">
        <v>630</v>
      </c>
      <c r="V921">
        <v>776</v>
      </c>
      <c r="W921">
        <v>823</v>
      </c>
      <c r="X921">
        <v>564</v>
      </c>
      <c r="Y921">
        <v>680</v>
      </c>
      <c r="Z921">
        <v>378</v>
      </c>
      <c r="AA921">
        <v>159</v>
      </c>
      <c r="AB921">
        <v>842</v>
      </c>
      <c r="AC921">
        <v>633</v>
      </c>
      <c r="AD921">
        <v>643</v>
      </c>
      <c r="AE921">
        <v>827</v>
      </c>
      <c r="AF921">
        <v>595</v>
      </c>
      <c r="AG921">
        <v>670</v>
      </c>
      <c r="AH921">
        <v>176</v>
      </c>
      <c r="AI921">
        <v>230</v>
      </c>
      <c r="AJ921">
        <v>461</v>
      </c>
      <c r="AK921">
        <v>972</v>
      </c>
      <c r="AL921">
        <v>903</v>
      </c>
      <c r="AM921">
        <v>888</v>
      </c>
      <c r="AN921">
        <v>648</v>
      </c>
      <c r="AO921">
        <v>307</v>
      </c>
      <c r="AP921">
        <v>845</v>
      </c>
      <c r="AQ921">
        <v>938</v>
      </c>
      <c r="AR921">
        <v>555</v>
      </c>
      <c r="AS921">
        <v>369</v>
      </c>
      <c r="AT921">
        <v>857</v>
      </c>
      <c r="AU921">
        <v>700</v>
      </c>
      <c r="AV921">
        <v>528</v>
      </c>
      <c r="AW921">
        <v>698</v>
      </c>
      <c r="AX921">
        <v>360</v>
      </c>
      <c r="AY921">
        <v>735</v>
      </c>
      <c r="AZ921">
        <v>780</v>
      </c>
      <c r="BA921">
        <v>216</v>
      </c>
      <c r="BB921">
        <v>377</v>
      </c>
      <c r="BC921">
        <v>122</v>
      </c>
      <c r="BD921">
        <v>697</v>
      </c>
      <c r="BE921">
        <v>961</v>
      </c>
      <c r="BF921">
        <v>184</v>
      </c>
      <c r="BG921">
        <v>325</v>
      </c>
      <c r="BH921">
        <v>846</v>
      </c>
      <c r="BI921">
        <v>707</v>
      </c>
      <c r="BJ921">
        <v>817</v>
      </c>
      <c r="BK921">
        <v>684</v>
      </c>
      <c r="BL921">
        <v>858</v>
      </c>
      <c r="BM921">
        <v>215</v>
      </c>
      <c r="BN921">
        <v>707</v>
      </c>
      <c r="BO921">
        <v>144</v>
      </c>
      <c r="BP921">
        <v>140</v>
      </c>
      <c r="BQ921">
        <v>701</v>
      </c>
      <c r="BR921">
        <v>581</v>
      </c>
      <c r="BS921">
        <v>885</v>
      </c>
      <c r="BT921">
        <v>303</v>
      </c>
      <c r="BU921">
        <v>714</v>
      </c>
      <c r="BV921">
        <v>457</v>
      </c>
      <c r="BW921">
        <v>739</v>
      </c>
      <c r="BX921">
        <v>384</v>
      </c>
      <c r="BY921">
        <v>145</v>
      </c>
      <c r="BZ921">
        <v>371</v>
      </c>
      <c r="CA921">
        <v>491</v>
      </c>
      <c r="CB921">
        <v>787</v>
      </c>
      <c r="CC921">
        <v>452</v>
      </c>
      <c r="CD921">
        <v>394</v>
      </c>
      <c r="CE921">
        <v>136</v>
      </c>
      <c r="CF921">
        <v>832</v>
      </c>
      <c r="CG921">
        <v>815</v>
      </c>
      <c r="CH921">
        <v>246</v>
      </c>
      <c r="CI921">
        <v>200</v>
      </c>
      <c r="CJ921">
        <v>501</v>
      </c>
      <c r="CK921">
        <v>302</v>
      </c>
      <c r="CL921">
        <v>488</v>
      </c>
      <c r="CM921">
        <v>985</v>
      </c>
      <c r="CN921">
        <v>793</v>
      </c>
      <c r="CO921">
        <v>699</v>
      </c>
      <c r="CP921">
        <v>260</v>
      </c>
      <c r="CQ921">
        <v>229</v>
      </c>
      <c r="CR921">
        <v>561</v>
      </c>
      <c r="CS921">
        <v>572</v>
      </c>
      <c r="CT921">
        <v>850</v>
      </c>
      <c r="CU921">
        <v>524</v>
      </c>
      <c r="CV921">
        <v>302</v>
      </c>
      <c r="CW921">
        <v>854</v>
      </c>
      <c r="CX921">
        <v>665</v>
      </c>
      <c r="CY921">
        <v>260</v>
      </c>
      <c r="CZ921">
        <v>757</v>
      </c>
      <c r="DA921">
        <v>803</v>
      </c>
      <c r="DB921">
        <v>674</v>
      </c>
      <c r="DC921">
        <v>392</v>
      </c>
      <c r="DD921">
        <v>805</v>
      </c>
      <c r="DE921">
        <v>988</v>
      </c>
      <c r="DF921">
        <v>792</v>
      </c>
      <c r="DG921">
        <v>459</v>
      </c>
      <c r="DH921">
        <v>251</v>
      </c>
      <c r="DI921">
        <v>219</v>
      </c>
      <c r="DJ921">
        <v>304</v>
      </c>
      <c r="DK921">
        <v>168</v>
      </c>
    </row>
    <row r="922" spans="1:115">
      <c r="A922" s="173">
        <f>Calculations[[#This Row],[Sum t eCO2]]*IF(Calculations[[#This Row],[GHG Scope]]="BIOGENIC",0,1)</f>
        <v>0.36334725945993079</v>
      </c>
      <c r="O922">
        <f t="shared" si="20"/>
        <v>74</v>
      </c>
      <c r="P922">
        <v>176</v>
      </c>
      <c r="Q922">
        <v>801</v>
      </c>
      <c r="R922">
        <v>818</v>
      </c>
      <c r="S922">
        <v>391</v>
      </c>
      <c r="T922">
        <v>414</v>
      </c>
      <c r="U922">
        <v>213</v>
      </c>
      <c r="V922">
        <v>836</v>
      </c>
      <c r="W922">
        <v>499</v>
      </c>
      <c r="X922">
        <v>802</v>
      </c>
      <c r="Y922">
        <v>128</v>
      </c>
      <c r="Z922">
        <v>479</v>
      </c>
      <c r="AA922">
        <v>637</v>
      </c>
      <c r="AB922">
        <v>478</v>
      </c>
      <c r="AC922">
        <v>207</v>
      </c>
      <c r="AD922">
        <v>790</v>
      </c>
      <c r="AE922">
        <v>145</v>
      </c>
      <c r="AF922">
        <v>638</v>
      </c>
      <c r="AG922">
        <v>301</v>
      </c>
      <c r="AH922">
        <v>946</v>
      </c>
      <c r="AI922">
        <v>857</v>
      </c>
      <c r="AJ922">
        <v>317</v>
      </c>
      <c r="AK922">
        <v>780</v>
      </c>
      <c r="AL922">
        <v>472</v>
      </c>
      <c r="AM922">
        <v>686</v>
      </c>
      <c r="AN922">
        <v>540</v>
      </c>
      <c r="AO922">
        <v>921</v>
      </c>
      <c r="AP922">
        <v>717</v>
      </c>
      <c r="AQ922">
        <v>476</v>
      </c>
      <c r="AR922">
        <v>528</v>
      </c>
      <c r="AS922">
        <v>359</v>
      </c>
      <c r="AT922">
        <v>742</v>
      </c>
      <c r="AU922">
        <v>350</v>
      </c>
      <c r="AV922">
        <v>225</v>
      </c>
      <c r="AW922">
        <v>846</v>
      </c>
      <c r="AX922">
        <v>630</v>
      </c>
      <c r="AY922">
        <v>719</v>
      </c>
      <c r="AZ922">
        <v>239</v>
      </c>
      <c r="BA922">
        <v>445</v>
      </c>
      <c r="BB922">
        <v>435</v>
      </c>
      <c r="BC922">
        <v>184</v>
      </c>
      <c r="BD922">
        <v>622</v>
      </c>
      <c r="BE922">
        <v>446</v>
      </c>
      <c r="BF922">
        <v>407</v>
      </c>
      <c r="BG922">
        <v>465</v>
      </c>
      <c r="BH922">
        <v>173</v>
      </c>
      <c r="BI922">
        <v>350</v>
      </c>
      <c r="BJ922">
        <v>571</v>
      </c>
      <c r="BK922">
        <v>381</v>
      </c>
      <c r="BL922">
        <v>444</v>
      </c>
      <c r="BM922">
        <v>310</v>
      </c>
      <c r="BN922">
        <v>989</v>
      </c>
      <c r="BO922">
        <v>843</v>
      </c>
      <c r="BP922">
        <v>181</v>
      </c>
      <c r="BQ922">
        <v>648</v>
      </c>
      <c r="BR922">
        <v>503</v>
      </c>
      <c r="BS922">
        <v>620</v>
      </c>
      <c r="BT922">
        <v>862</v>
      </c>
      <c r="BU922">
        <v>654</v>
      </c>
      <c r="BV922">
        <v>428</v>
      </c>
      <c r="BW922">
        <v>209</v>
      </c>
      <c r="BX922">
        <v>623</v>
      </c>
      <c r="BY922">
        <v>116</v>
      </c>
      <c r="BZ922">
        <v>367</v>
      </c>
      <c r="CA922">
        <v>675</v>
      </c>
      <c r="CB922">
        <v>225</v>
      </c>
      <c r="CC922">
        <v>275</v>
      </c>
      <c r="CD922">
        <v>518</v>
      </c>
      <c r="CE922">
        <v>706</v>
      </c>
      <c r="CF922">
        <v>777</v>
      </c>
      <c r="CG922">
        <v>271</v>
      </c>
      <c r="CH922">
        <v>226</v>
      </c>
      <c r="CI922">
        <v>974</v>
      </c>
      <c r="CJ922">
        <v>793</v>
      </c>
      <c r="CK922">
        <v>387</v>
      </c>
      <c r="CL922">
        <v>771</v>
      </c>
      <c r="CM922">
        <v>650</v>
      </c>
      <c r="CN922">
        <v>428</v>
      </c>
      <c r="CO922">
        <v>666</v>
      </c>
      <c r="CP922">
        <v>819</v>
      </c>
      <c r="CQ922">
        <v>501</v>
      </c>
      <c r="CR922">
        <v>141</v>
      </c>
      <c r="CS922">
        <v>941</v>
      </c>
      <c r="CT922">
        <v>819</v>
      </c>
      <c r="CU922">
        <v>656</v>
      </c>
      <c r="CV922">
        <v>944</v>
      </c>
      <c r="CW922">
        <v>357</v>
      </c>
      <c r="CX922">
        <v>203</v>
      </c>
      <c r="CY922">
        <v>176</v>
      </c>
      <c r="CZ922">
        <v>516</v>
      </c>
      <c r="DA922">
        <v>967</v>
      </c>
      <c r="DB922">
        <v>736</v>
      </c>
      <c r="DC922">
        <v>997</v>
      </c>
      <c r="DD922">
        <v>181</v>
      </c>
      <c r="DE922">
        <v>977</v>
      </c>
      <c r="DF922">
        <v>228</v>
      </c>
      <c r="DG922">
        <v>802</v>
      </c>
      <c r="DH922">
        <v>683</v>
      </c>
      <c r="DI922">
        <v>136</v>
      </c>
      <c r="DJ922">
        <v>517</v>
      </c>
      <c r="DK922">
        <v>448</v>
      </c>
    </row>
    <row r="923" spans="1:115">
      <c r="A923" s="173">
        <f>Calculations[[#This Row],[Sum t eCO2]]*IF(Calculations[[#This Row],[GHG Scope]]="BIOGENIC",0,1)</f>
        <v>2.2376919611765073E-3</v>
      </c>
      <c r="O923">
        <f t="shared" si="20"/>
        <v>75</v>
      </c>
      <c r="P923">
        <v>550</v>
      </c>
      <c r="Q923">
        <v>287</v>
      </c>
      <c r="R923">
        <v>496</v>
      </c>
      <c r="S923">
        <v>678</v>
      </c>
      <c r="T923">
        <v>988</v>
      </c>
      <c r="U923">
        <v>425</v>
      </c>
      <c r="V923">
        <v>959</v>
      </c>
      <c r="W923">
        <v>986</v>
      </c>
      <c r="X923">
        <v>127</v>
      </c>
      <c r="Y923">
        <v>216</v>
      </c>
      <c r="Z923">
        <v>902</v>
      </c>
      <c r="AA923">
        <v>853</v>
      </c>
      <c r="AB923">
        <v>774</v>
      </c>
      <c r="AC923">
        <v>625</v>
      </c>
      <c r="AD923">
        <v>790</v>
      </c>
      <c r="AE923">
        <v>955</v>
      </c>
      <c r="AF923">
        <v>854</v>
      </c>
      <c r="AG923">
        <v>316</v>
      </c>
      <c r="AH923">
        <v>485</v>
      </c>
      <c r="AI923">
        <v>432</v>
      </c>
      <c r="AJ923">
        <v>669</v>
      </c>
      <c r="AK923">
        <v>535</v>
      </c>
      <c r="AL923">
        <v>740</v>
      </c>
      <c r="AM923">
        <v>925</v>
      </c>
      <c r="AN923">
        <v>372</v>
      </c>
      <c r="AO923">
        <v>849</v>
      </c>
      <c r="AP923">
        <v>219</v>
      </c>
      <c r="AQ923">
        <v>415</v>
      </c>
      <c r="AR923">
        <v>135</v>
      </c>
      <c r="AS923">
        <v>296</v>
      </c>
      <c r="AT923">
        <v>946</v>
      </c>
      <c r="AU923">
        <v>225</v>
      </c>
      <c r="AV923">
        <v>371</v>
      </c>
      <c r="AW923">
        <v>530</v>
      </c>
      <c r="AX923">
        <v>453</v>
      </c>
      <c r="AY923">
        <v>148</v>
      </c>
      <c r="AZ923">
        <v>900</v>
      </c>
      <c r="BA923">
        <v>554</v>
      </c>
      <c r="BB923">
        <v>449</v>
      </c>
      <c r="BC923">
        <v>256</v>
      </c>
      <c r="BD923">
        <v>847</v>
      </c>
      <c r="BE923">
        <v>120</v>
      </c>
      <c r="BF923">
        <v>666</v>
      </c>
      <c r="BG923">
        <v>432</v>
      </c>
      <c r="BH923">
        <v>289</v>
      </c>
      <c r="BI923">
        <v>697</v>
      </c>
      <c r="BJ923">
        <v>448</v>
      </c>
      <c r="BK923">
        <v>506</v>
      </c>
      <c r="BL923">
        <v>247</v>
      </c>
      <c r="BM923">
        <v>372</v>
      </c>
      <c r="BN923">
        <v>117</v>
      </c>
      <c r="BO923">
        <v>606</v>
      </c>
      <c r="BP923">
        <v>966</v>
      </c>
      <c r="BQ923">
        <v>230</v>
      </c>
      <c r="BR923">
        <v>785</v>
      </c>
      <c r="BS923">
        <v>210</v>
      </c>
      <c r="BT923">
        <v>244</v>
      </c>
      <c r="BU923">
        <v>681</v>
      </c>
      <c r="BV923">
        <v>463</v>
      </c>
      <c r="BW923">
        <v>813</v>
      </c>
      <c r="BX923">
        <v>251</v>
      </c>
      <c r="BY923">
        <v>207</v>
      </c>
      <c r="BZ923">
        <v>685</v>
      </c>
      <c r="CA923">
        <v>736</v>
      </c>
      <c r="CB923">
        <v>506</v>
      </c>
      <c r="CC923">
        <v>299</v>
      </c>
      <c r="CD923">
        <v>483</v>
      </c>
      <c r="CE923">
        <v>319</v>
      </c>
      <c r="CF923">
        <v>683</v>
      </c>
      <c r="CG923">
        <v>609</v>
      </c>
      <c r="CH923">
        <v>814</v>
      </c>
      <c r="CI923">
        <v>364</v>
      </c>
      <c r="CJ923">
        <v>109</v>
      </c>
      <c r="CK923">
        <v>254</v>
      </c>
      <c r="CL923">
        <v>365</v>
      </c>
      <c r="CM923">
        <v>437</v>
      </c>
      <c r="CN923">
        <v>399</v>
      </c>
      <c r="CO923">
        <v>620</v>
      </c>
      <c r="CP923">
        <v>448</v>
      </c>
      <c r="CQ923">
        <v>502</v>
      </c>
      <c r="CR923">
        <v>720</v>
      </c>
      <c r="CS923">
        <v>224</v>
      </c>
      <c r="CT923">
        <v>123</v>
      </c>
      <c r="CU923">
        <v>840</v>
      </c>
      <c r="CV923">
        <v>636</v>
      </c>
      <c r="CW923">
        <v>451</v>
      </c>
      <c r="CX923">
        <v>150</v>
      </c>
      <c r="CY923">
        <v>345</v>
      </c>
      <c r="CZ923">
        <v>528</v>
      </c>
      <c r="DA923">
        <v>125</v>
      </c>
      <c r="DB923">
        <v>315</v>
      </c>
      <c r="DC923">
        <v>727</v>
      </c>
      <c r="DD923">
        <v>863</v>
      </c>
      <c r="DE923">
        <v>359</v>
      </c>
      <c r="DF923">
        <v>900</v>
      </c>
      <c r="DG923">
        <v>832</v>
      </c>
      <c r="DH923">
        <v>543</v>
      </c>
      <c r="DI923">
        <v>781</v>
      </c>
      <c r="DJ923">
        <v>522</v>
      </c>
      <c r="DK923">
        <v>607</v>
      </c>
    </row>
    <row r="924" spans="1:115">
      <c r="A924" s="173">
        <f>Calculations[[#This Row],[Sum t eCO2]]*IF(Calculations[[#This Row],[GHG Scope]]="BIOGENIC",0,1)</f>
        <v>3.2181242078764134</v>
      </c>
      <c r="O924">
        <f t="shared" si="20"/>
        <v>76</v>
      </c>
      <c r="P924">
        <v>757</v>
      </c>
      <c r="Q924">
        <v>718</v>
      </c>
      <c r="R924">
        <v>365</v>
      </c>
      <c r="S924">
        <v>761</v>
      </c>
      <c r="T924">
        <v>717</v>
      </c>
      <c r="U924">
        <v>999</v>
      </c>
      <c r="V924">
        <v>543</v>
      </c>
      <c r="W924">
        <v>183</v>
      </c>
      <c r="X924">
        <v>487</v>
      </c>
      <c r="Y924">
        <v>494</v>
      </c>
      <c r="Z924">
        <v>201</v>
      </c>
      <c r="AA924">
        <v>769</v>
      </c>
      <c r="AB924">
        <v>805</v>
      </c>
      <c r="AC924">
        <v>939</v>
      </c>
      <c r="AD924">
        <v>163</v>
      </c>
      <c r="AE924">
        <v>569</v>
      </c>
      <c r="AF924">
        <v>885</v>
      </c>
      <c r="AG924">
        <v>615</v>
      </c>
      <c r="AH924">
        <v>892</v>
      </c>
      <c r="AI924">
        <v>324</v>
      </c>
      <c r="AJ924">
        <v>200</v>
      </c>
      <c r="AK924">
        <v>254</v>
      </c>
      <c r="AL924">
        <v>616</v>
      </c>
      <c r="AM924">
        <v>175</v>
      </c>
      <c r="AN924">
        <v>168</v>
      </c>
      <c r="AO924">
        <v>136</v>
      </c>
      <c r="AP924">
        <v>737</v>
      </c>
      <c r="AQ924">
        <v>882</v>
      </c>
      <c r="AR924">
        <v>774</v>
      </c>
      <c r="AS924">
        <v>243</v>
      </c>
      <c r="AT924">
        <v>965</v>
      </c>
      <c r="AU924">
        <v>772</v>
      </c>
      <c r="AV924">
        <v>579</v>
      </c>
      <c r="AW924">
        <v>124</v>
      </c>
      <c r="AX924">
        <v>168</v>
      </c>
      <c r="AY924">
        <v>457</v>
      </c>
      <c r="AZ924">
        <v>128</v>
      </c>
      <c r="BA924">
        <v>262</v>
      </c>
      <c r="BB924">
        <v>702</v>
      </c>
      <c r="BC924">
        <v>595</v>
      </c>
      <c r="BD924">
        <v>943</v>
      </c>
      <c r="BE924">
        <v>508</v>
      </c>
      <c r="BF924">
        <v>845</v>
      </c>
      <c r="BG924">
        <v>618</v>
      </c>
      <c r="BH924">
        <v>538</v>
      </c>
      <c r="BI924">
        <v>879</v>
      </c>
      <c r="BJ924">
        <v>961</v>
      </c>
      <c r="BK924">
        <v>454</v>
      </c>
      <c r="BL924">
        <v>837</v>
      </c>
      <c r="BM924">
        <v>596</v>
      </c>
      <c r="BN924">
        <v>284</v>
      </c>
      <c r="BO924">
        <v>314</v>
      </c>
      <c r="BP924">
        <v>629</v>
      </c>
      <c r="BQ924">
        <v>411</v>
      </c>
      <c r="BR924">
        <v>114</v>
      </c>
      <c r="BS924">
        <v>415</v>
      </c>
      <c r="BT924">
        <v>517</v>
      </c>
      <c r="BU924">
        <v>543</v>
      </c>
      <c r="BV924">
        <v>685</v>
      </c>
      <c r="BW924">
        <v>989</v>
      </c>
      <c r="BX924">
        <v>581</v>
      </c>
      <c r="BY924">
        <v>923</v>
      </c>
      <c r="BZ924">
        <v>219</v>
      </c>
      <c r="CA924">
        <v>414</v>
      </c>
      <c r="CB924">
        <v>243</v>
      </c>
      <c r="CC924">
        <v>915</v>
      </c>
      <c r="CD924">
        <v>805</v>
      </c>
      <c r="CE924">
        <v>915</v>
      </c>
      <c r="CF924">
        <v>118</v>
      </c>
      <c r="CG924">
        <v>858</v>
      </c>
      <c r="CH924">
        <v>992</v>
      </c>
      <c r="CI924">
        <v>240</v>
      </c>
      <c r="CJ924">
        <v>208</v>
      </c>
      <c r="CK924">
        <v>951</v>
      </c>
      <c r="CL924">
        <v>293</v>
      </c>
      <c r="CM924">
        <v>787</v>
      </c>
      <c r="CN924">
        <v>118</v>
      </c>
      <c r="CO924">
        <v>162</v>
      </c>
      <c r="CP924">
        <v>439</v>
      </c>
      <c r="CQ924">
        <v>979</v>
      </c>
      <c r="CR924">
        <v>478</v>
      </c>
      <c r="CS924">
        <v>896</v>
      </c>
      <c r="CT924">
        <v>405</v>
      </c>
      <c r="CU924">
        <v>309</v>
      </c>
      <c r="CV924">
        <v>628</v>
      </c>
      <c r="CW924">
        <v>539</v>
      </c>
      <c r="CX924">
        <v>389</v>
      </c>
      <c r="CY924">
        <v>584</v>
      </c>
      <c r="CZ924">
        <v>823</v>
      </c>
      <c r="DA924">
        <v>566</v>
      </c>
      <c r="DB924">
        <v>768</v>
      </c>
      <c r="DC924">
        <v>417</v>
      </c>
      <c r="DD924">
        <v>610</v>
      </c>
      <c r="DE924">
        <v>875</v>
      </c>
      <c r="DF924">
        <v>133</v>
      </c>
      <c r="DG924">
        <v>252</v>
      </c>
      <c r="DH924">
        <v>152</v>
      </c>
      <c r="DI924">
        <v>848</v>
      </c>
      <c r="DJ924">
        <v>773</v>
      </c>
      <c r="DK924">
        <v>561</v>
      </c>
    </row>
    <row r="925" spans="1:115">
      <c r="A925" s="173">
        <f>Calculations[[#This Row],[Sum t eCO2]]*IF(Calculations[[#This Row],[GHG Scope]]="BIOGENIC",0,1)</f>
        <v>75.445740853180581</v>
      </c>
      <c r="O925">
        <f t="shared" si="20"/>
        <v>77</v>
      </c>
      <c r="P925">
        <v>503</v>
      </c>
      <c r="Q925">
        <v>191</v>
      </c>
      <c r="R925">
        <v>318</v>
      </c>
      <c r="S925">
        <v>697</v>
      </c>
      <c r="T925">
        <v>685</v>
      </c>
      <c r="U925">
        <v>406</v>
      </c>
      <c r="V925">
        <v>295</v>
      </c>
      <c r="W925">
        <v>178</v>
      </c>
      <c r="X925">
        <v>235</v>
      </c>
      <c r="Y925">
        <v>597</v>
      </c>
      <c r="Z925">
        <v>484</v>
      </c>
      <c r="AA925">
        <v>850</v>
      </c>
      <c r="AB925">
        <v>337</v>
      </c>
      <c r="AC925">
        <v>876</v>
      </c>
      <c r="AD925">
        <v>532</v>
      </c>
      <c r="AE925">
        <v>348</v>
      </c>
      <c r="AF925">
        <v>206</v>
      </c>
      <c r="AG925">
        <v>436</v>
      </c>
      <c r="AH925">
        <v>950</v>
      </c>
      <c r="AI925">
        <v>221</v>
      </c>
      <c r="AJ925">
        <v>684</v>
      </c>
      <c r="AK925">
        <v>545</v>
      </c>
      <c r="AL925">
        <v>866</v>
      </c>
      <c r="AM925">
        <v>472</v>
      </c>
      <c r="AN925">
        <v>358</v>
      </c>
      <c r="AO925">
        <v>216</v>
      </c>
      <c r="AP925">
        <v>641</v>
      </c>
      <c r="AQ925">
        <v>342</v>
      </c>
      <c r="AR925">
        <v>875</v>
      </c>
      <c r="AS925">
        <v>960</v>
      </c>
      <c r="AT925">
        <v>433</v>
      </c>
      <c r="AU925">
        <v>386</v>
      </c>
      <c r="AV925">
        <v>420</v>
      </c>
      <c r="AW925">
        <v>245</v>
      </c>
      <c r="AX925">
        <v>795</v>
      </c>
      <c r="AY925">
        <v>797</v>
      </c>
      <c r="AZ925">
        <v>666</v>
      </c>
      <c r="BA925">
        <v>817</v>
      </c>
      <c r="BB925">
        <v>431</v>
      </c>
      <c r="BC925">
        <v>639</v>
      </c>
      <c r="BD925">
        <v>672</v>
      </c>
      <c r="BE925">
        <v>139</v>
      </c>
      <c r="BF925">
        <v>621</v>
      </c>
      <c r="BG925">
        <v>575</v>
      </c>
      <c r="BH925">
        <v>791</v>
      </c>
      <c r="BI925">
        <v>754</v>
      </c>
      <c r="BJ925">
        <v>250</v>
      </c>
      <c r="BK925">
        <v>484</v>
      </c>
      <c r="BL925">
        <v>935</v>
      </c>
      <c r="BM925">
        <v>326</v>
      </c>
      <c r="BN925">
        <v>354</v>
      </c>
      <c r="BO925">
        <v>490</v>
      </c>
      <c r="BP925">
        <v>728</v>
      </c>
      <c r="BQ925">
        <v>325</v>
      </c>
      <c r="BR925">
        <v>608</v>
      </c>
      <c r="BS925">
        <v>404</v>
      </c>
      <c r="BT925">
        <v>890</v>
      </c>
      <c r="BU925">
        <v>640</v>
      </c>
      <c r="BV925">
        <v>292</v>
      </c>
      <c r="BW925">
        <v>652</v>
      </c>
      <c r="BX925">
        <v>284</v>
      </c>
      <c r="BY925">
        <v>263</v>
      </c>
      <c r="BZ925">
        <v>114</v>
      </c>
      <c r="CA925">
        <v>258</v>
      </c>
      <c r="CB925">
        <v>876</v>
      </c>
      <c r="CC925">
        <v>577</v>
      </c>
      <c r="CD925">
        <v>213</v>
      </c>
      <c r="CE925">
        <v>711</v>
      </c>
      <c r="CF925">
        <v>350</v>
      </c>
      <c r="CG925">
        <v>838</v>
      </c>
      <c r="CH925">
        <v>902</v>
      </c>
      <c r="CI925">
        <v>967</v>
      </c>
      <c r="CJ925">
        <v>594</v>
      </c>
      <c r="CK925">
        <v>833</v>
      </c>
      <c r="CL925">
        <v>593</v>
      </c>
      <c r="CM925">
        <v>465</v>
      </c>
      <c r="CN925">
        <v>545</v>
      </c>
      <c r="CO925">
        <v>854</v>
      </c>
      <c r="CP925">
        <v>310</v>
      </c>
      <c r="CQ925">
        <v>598</v>
      </c>
      <c r="CR925">
        <v>228</v>
      </c>
      <c r="CS925">
        <v>304</v>
      </c>
      <c r="CT925">
        <v>161</v>
      </c>
      <c r="CU925">
        <v>129</v>
      </c>
      <c r="CV925">
        <v>872</v>
      </c>
      <c r="CW925">
        <v>312</v>
      </c>
      <c r="CX925">
        <v>833</v>
      </c>
      <c r="CY925">
        <v>724</v>
      </c>
      <c r="CZ925">
        <v>610</v>
      </c>
      <c r="DA925">
        <v>941</v>
      </c>
      <c r="DB925">
        <v>950</v>
      </c>
      <c r="DC925">
        <v>715</v>
      </c>
      <c r="DD925">
        <v>595</v>
      </c>
      <c r="DE925">
        <v>542</v>
      </c>
      <c r="DF925">
        <v>696</v>
      </c>
      <c r="DG925">
        <v>300</v>
      </c>
      <c r="DH925">
        <v>203</v>
      </c>
      <c r="DI925">
        <v>892</v>
      </c>
      <c r="DJ925">
        <v>191</v>
      </c>
      <c r="DK925">
        <v>290</v>
      </c>
    </row>
    <row r="926" spans="1:115">
      <c r="A926" s="173">
        <f>Calculations[[#This Row],[Sum t eCO2]]*IF(Calculations[[#This Row],[GHG Scope]]="BIOGENIC",0,1)</f>
        <v>5.1477938220168912E-2</v>
      </c>
      <c r="O926">
        <f t="shared" si="20"/>
        <v>78</v>
      </c>
      <c r="P926">
        <v>967</v>
      </c>
      <c r="Q926">
        <v>695</v>
      </c>
      <c r="R926">
        <v>487</v>
      </c>
      <c r="S926">
        <v>325</v>
      </c>
      <c r="T926">
        <v>928</v>
      </c>
      <c r="U926">
        <v>378</v>
      </c>
      <c r="V926">
        <v>199</v>
      </c>
      <c r="W926">
        <v>343</v>
      </c>
      <c r="X926">
        <v>740</v>
      </c>
      <c r="Y926">
        <v>512</v>
      </c>
      <c r="Z926">
        <v>523</v>
      </c>
      <c r="AA926">
        <v>813</v>
      </c>
      <c r="AB926">
        <v>887</v>
      </c>
      <c r="AC926">
        <v>686</v>
      </c>
      <c r="AD926">
        <v>187</v>
      </c>
      <c r="AE926">
        <v>545</v>
      </c>
      <c r="AF926">
        <v>564</v>
      </c>
      <c r="AG926">
        <v>123</v>
      </c>
      <c r="AH926">
        <v>493</v>
      </c>
      <c r="AI926">
        <v>267</v>
      </c>
      <c r="AJ926">
        <v>530</v>
      </c>
      <c r="AK926">
        <v>400</v>
      </c>
      <c r="AL926">
        <v>965</v>
      </c>
      <c r="AM926">
        <v>275</v>
      </c>
      <c r="AN926">
        <v>186</v>
      </c>
      <c r="AO926">
        <v>979</v>
      </c>
      <c r="AP926">
        <v>334</v>
      </c>
      <c r="AQ926">
        <v>915</v>
      </c>
      <c r="AR926">
        <v>387</v>
      </c>
      <c r="AS926">
        <v>900</v>
      </c>
      <c r="AT926">
        <v>498</v>
      </c>
      <c r="AU926">
        <v>578</v>
      </c>
      <c r="AV926">
        <v>447</v>
      </c>
      <c r="AW926">
        <v>445</v>
      </c>
      <c r="AX926">
        <v>331</v>
      </c>
      <c r="AY926">
        <v>885</v>
      </c>
      <c r="AZ926">
        <v>736</v>
      </c>
      <c r="BA926">
        <v>643</v>
      </c>
      <c r="BB926">
        <v>975</v>
      </c>
      <c r="BC926">
        <v>509</v>
      </c>
      <c r="BD926">
        <v>348</v>
      </c>
      <c r="BE926">
        <v>517</v>
      </c>
      <c r="BF926">
        <v>794</v>
      </c>
      <c r="BG926">
        <v>617</v>
      </c>
      <c r="BH926">
        <v>349</v>
      </c>
      <c r="BI926">
        <v>590</v>
      </c>
      <c r="BJ926">
        <v>314</v>
      </c>
      <c r="BK926">
        <v>689</v>
      </c>
      <c r="BL926">
        <v>806</v>
      </c>
      <c r="BM926">
        <v>825</v>
      </c>
      <c r="BN926">
        <v>799</v>
      </c>
      <c r="BO926">
        <v>747</v>
      </c>
      <c r="BP926">
        <v>970</v>
      </c>
      <c r="BQ926">
        <v>570</v>
      </c>
      <c r="BR926">
        <v>212</v>
      </c>
      <c r="BS926">
        <v>643</v>
      </c>
      <c r="BT926">
        <v>536</v>
      </c>
      <c r="BU926">
        <v>566</v>
      </c>
      <c r="BV926">
        <v>288</v>
      </c>
      <c r="BW926">
        <v>970</v>
      </c>
      <c r="BX926">
        <v>670</v>
      </c>
      <c r="BY926">
        <v>291</v>
      </c>
      <c r="BZ926">
        <v>711</v>
      </c>
      <c r="CA926">
        <v>411</v>
      </c>
      <c r="CB926">
        <v>359</v>
      </c>
      <c r="CC926">
        <v>439</v>
      </c>
      <c r="CD926">
        <v>594</v>
      </c>
      <c r="CE926">
        <v>261</v>
      </c>
      <c r="CF926">
        <v>956</v>
      </c>
      <c r="CG926">
        <v>664</v>
      </c>
      <c r="CH926">
        <v>895</v>
      </c>
      <c r="CI926">
        <v>233</v>
      </c>
      <c r="CJ926">
        <v>558</v>
      </c>
      <c r="CK926">
        <v>826</v>
      </c>
      <c r="CL926">
        <v>248</v>
      </c>
      <c r="CM926">
        <v>923</v>
      </c>
      <c r="CN926">
        <v>530</v>
      </c>
      <c r="CO926">
        <v>938</v>
      </c>
      <c r="CP926">
        <v>458</v>
      </c>
      <c r="CQ926">
        <v>419</v>
      </c>
      <c r="CR926">
        <v>830</v>
      </c>
      <c r="CS926">
        <v>304</v>
      </c>
      <c r="CT926">
        <v>218</v>
      </c>
      <c r="CU926">
        <v>733</v>
      </c>
      <c r="CV926">
        <v>372</v>
      </c>
      <c r="CW926">
        <v>180</v>
      </c>
      <c r="CX926">
        <v>602</v>
      </c>
      <c r="CY926">
        <v>527</v>
      </c>
      <c r="CZ926">
        <v>806</v>
      </c>
      <c r="DA926">
        <v>110</v>
      </c>
      <c r="DB926">
        <v>415</v>
      </c>
      <c r="DC926">
        <v>622</v>
      </c>
      <c r="DD926">
        <v>747</v>
      </c>
      <c r="DE926">
        <v>788</v>
      </c>
      <c r="DF926">
        <v>163</v>
      </c>
      <c r="DG926">
        <v>574</v>
      </c>
      <c r="DH926">
        <v>356</v>
      </c>
      <c r="DI926">
        <v>631</v>
      </c>
      <c r="DJ926">
        <v>800</v>
      </c>
      <c r="DK926">
        <v>788</v>
      </c>
    </row>
    <row r="927" spans="1:115">
      <c r="A927" s="173">
        <f>Calculations[[#This Row],[Sum t eCO2]]*IF(Calculations[[#This Row],[GHG Scope]]="BIOGENIC",0,1)</f>
        <v>0.98465534381781994</v>
      </c>
      <c r="O927">
        <f t="shared" si="20"/>
        <v>79</v>
      </c>
      <c r="P927">
        <v>238</v>
      </c>
      <c r="Q927">
        <v>325</v>
      </c>
      <c r="R927">
        <v>766</v>
      </c>
      <c r="S927">
        <v>417</v>
      </c>
      <c r="T927">
        <v>115</v>
      </c>
      <c r="U927">
        <v>515</v>
      </c>
      <c r="V927">
        <v>596</v>
      </c>
      <c r="W927">
        <v>289</v>
      </c>
      <c r="X927">
        <v>631</v>
      </c>
      <c r="Y927">
        <v>325</v>
      </c>
      <c r="Z927">
        <v>593</v>
      </c>
      <c r="AA927">
        <v>346</v>
      </c>
      <c r="AB927">
        <v>686</v>
      </c>
      <c r="AC927">
        <v>508</v>
      </c>
      <c r="AD927">
        <v>523</v>
      </c>
      <c r="AE927">
        <v>324</v>
      </c>
      <c r="AF927">
        <v>673</v>
      </c>
      <c r="AG927">
        <v>956</v>
      </c>
      <c r="AH927">
        <v>721</v>
      </c>
      <c r="AI927">
        <v>560</v>
      </c>
      <c r="AJ927">
        <v>160</v>
      </c>
      <c r="AK927">
        <v>298</v>
      </c>
      <c r="AL927">
        <v>471</v>
      </c>
      <c r="AM927">
        <v>960</v>
      </c>
      <c r="AN927">
        <v>690</v>
      </c>
      <c r="AO927">
        <v>383</v>
      </c>
      <c r="AP927">
        <v>433</v>
      </c>
      <c r="AQ927">
        <v>109</v>
      </c>
      <c r="AR927">
        <v>567</v>
      </c>
      <c r="AS927">
        <v>796</v>
      </c>
      <c r="AT927">
        <v>529</v>
      </c>
      <c r="AU927">
        <v>606</v>
      </c>
      <c r="AV927">
        <v>870</v>
      </c>
      <c r="AW927">
        <v>869</v>
      </c>
      <c r="AX927">
        <v>226</v>
      </c>
      <c r="AY927">
        <v>337</v>
      </c>
      <c r="AZ927">
        <v>505</v>
      </c>
      <c r="BA927">
        <v>870</v>
      </c>
      <c r="BB927">
        <v>539</v>
      </c>
      <c r="BC927">
        <v>875</v>
      </c>
      <c r="BD927">
        <v>540</v>
      </c>
      <c r="BE927">
        <v>358</v>
      </c>
      <c r="BF927">
        <v>256</v>
      </c>
      <c r="BG927">
        <v>378</v>
      </c>
      <c r="BH927">
        <v>430</v>
      </c>
      <c r="BI927">
        <v>517</v>
      </c>
      <c r="BJ927">
        <v>596</v>
      </c>
      <c r="BK927">
        <v>187</v>
      </c>
      <c r="BL927">
        <v>620</v>
      </c>
      <c r="BM927">
        <v>379</v>
      </c>
      <c r="BN927">
        <v>625</v>
      </c>
      <c r="BO927">
        <v>533</v>
      </c>
      <c r="BP927">
        <v>372</v>
      </c>
      <c r="BQ927">
        <v>829</v>
      </c>
      <c r="BR927">
        <v>500</v>
      </c>
      <c r="BS927">
        <v>427</v>
      </c>
      <c r="BT927">
        <v>137</v>
      </c>
      <c r="BU927">
        <v>730</v>
      </c>
      <c r="BV927">
        <v>451</v>
      </c>
      <c r="BW927">
        <v>135</v>
      </c>
      <c r="BX927">
        <v>206</v>
      </c>
      <c r="BY927">
        <v>717</v>
      </c>
      <c r="BZ927">
        <v>163</v>
      </c>
      <c r="CA927">
        <v>707</v>
      </c>
      <c r="CB927">
        <v>771</v>
      </c>
      <c r="CC927">
        <v>677</v>
      </c>
      <c r="CD927">
        <v>916</v>
      </c>
      <c r="CE927">
        <v>136</v>
      </c>
      <c r="CF927">
        <v>705</v>
      </c>
      <c r="CG927">
        <v>157</v>
      </c>
      <c r="CH927">
        <v>116</v>
      </c>
      <c r="CI927">
        <v>657</v>
      </c>
      <c r="CJ927">
        <v>326</v>
      </c>
      <c r="CK927">
        <v>685</v>
      </c>
      <c r="CL927">
        <v>425</v>
      </c>
      <c r="CM927">
        <v>279</v>
      </c>
      <c r="CN927">
        <v>948</v>
      </c>
      <c r="CO927">
        <v>102</v>
      </c>
      <c r="CP927">
        <v>390</v>
      </c>
      <c r="CQ927">
        <v>216</v>
      </c>
      <c r="CR927">
        <v>770</v>
      </c>
      <c r="CS927">
        <v>489</v>
      </c>
      <c r="CT927">
        <v>652</v>
      </c>
      <c r="CU927">
        <v>748</v>
      </c>
      <c r="CV927">
        <v>863</v>
      </c>
      <c r="CW927">
        <v>298</v>
      </c>
      <c r="CX927">
        <v>481</v>
      </c>
      <c r="CY927">
        <v>357</v>
      </c>
      <c r="CZ927">
        <v>809</v>
      </c>
      <c r="DA927">
        <v>282</v>
      </c>
      <c r="DB927">
        <v>608</v>
      </c>
      <c r="DC927">
        <v>760</v>
      </c>
      <c r="DD927">
        <v>429</v>
      </c>
      <c r="DE927">
        <v>273</v>
      </c>
      <c r="DF927">
        <v>825</v>
      </c>
      <c r="DG927">
        <v>541</v>
      </c>
      <c r="DH927">
        <v>706</v>
      </c>
      <c r="DI927">
        <v>802</v>
      </c>
      <c r="DJ927">
        <v>906</v>
      </c>
      <c r="DK927">
        <v>729</v>
      </c>
    </row>
    <row r="928" spans="1:115">
      <c r="A928" s="173">
        <f>Calculations[[#This Row],[Sum t eCO2]]*IF(Calculations[[#This Row],[GHG Scope]]="BIOGENIC",0,1)</f>
        <v>9.4375911548033986E-2</v>
      </c>
      <c r="O928">
        <f t="shared" si="20"/>
        <v>80</v>
      </c>
      <c r="P928">
        <v>676</v>
      </c>
      <c r="Q928">
        <v>942</v>
      </c>
      <c r="R928">
        <v>910</v>
      </c>
      <c r="S928">
        <v>969</v>
      </c>
      <c r="T928">
        <v>805</v>
      </c>
      <c r="U928">
        <v>888</v>
      </c>
      <c r="V928">
        <v>513</v>
      </c>
      <c r="W928">
        <v>269</v>
      </c>
      <c r="X928">
        <v>417</v>
      </c>
      <c r="Y928">
        <v>712</v>
      </c>
      <c r="Z928">
        <v>855</v>
      </c>
      <c r="AA928">
        <v>598</v>
      </c>
      <c r="AB928">
        <v>165</v>
      </c>
      <c r="AC928">
        <v>691</v>
      </c>
      <c r="AD928">
        <v>277</v>
      </c>
      <c r="AE928">
        <v>373</v>
      </c>
      <c r="AF928">
        <v>865</v>
      </c>
      <c r="AG928">
        <v>540</v>
      </c>
      <c r="AH928">
        <v>972</v>
      </c>
      <c r="AI928">
        <v>237</v>
      </c>
      <c r="AJ928">
        <v>405</v>
      </c>
      <c r="AK928">
        <v>682</v>
      </c>
      <c r="AL928">
        <v>836</v>
      </c>
      <c r="AM928">
        <v>388</v>
      </c>
      <c r="AN928">
        <v>469</v>
      </c>
      <c r="AO928">
        <v>565</v>
      </c>
      <c r="AP928">
        <v>112</v>
      </c>
      <c r="AQ928">
        <v>289</v>
      </c>
      <c r="AR928">
        <v>135</v>
      </c>
      <c r="AS928">
        <v>773</v>
      </c>
      <c r="AT928">
        <v>571</v>
      </c>
      <c r="AU928">
        <v>510</v>
      </c>
      <c r="AV928">
        <v>500</v>
      </c>
      <c r="AW928">
        <v>757</v>
      </c>
      <c r="AX928">
        <v>490</v>
      </c>
      <c r="AY928">
        <v>473</v>
      </c>
      <c r="AZ928">
        <v>201</v>
      </c>
      <c r="BA928">
        <v>309</v>
      </c>
      <c r="BB928">
        <v>653</v>
      </c>
      <c r="BC928">
        <v>492</v>
      </c>
      <c r="BD928">
        <v>686</v>
      </c>
      <c r="BE928">
        <v>896</v>
      </c>
      <c r="BF928">
        <v>558</v>
      </c>
      <c r="BG928">
        <v>207</v>
      </c>
      <c r="BH928">
        <v>260</v>
      </c>
      <c r="BI928">
        <v>515</v>
      </c>
      <c r="BJ928">
        <v>769</v>
      </c>
      <c r="BK928">
        <v>472</v>
      </c>
      <c r="BL928">
        <v>166</v>
      </c>
      <c r="BM928">
        <v>687</v>
      </c>
      <c r="BN928">
        <v>894</v>
      </c>
      <c r="BO928">
        <v>968</v>
      </c>
      <c r="BP928">
        <v>481</v>
      </c>
      <c r="BQ928">
        <v>910</v>
      </c>
      <c r="BR928">
        <v>777</v>
      </c>
      <c r="BS928">
        <v>616</v>
      </c>
      <c r="BT928">
        <v>221</v>
      </c>
      <c r="BU928">
        <v>744</v>
      </c>
      <c r="BV928">
        <v>623</v>
      </c>
      <c r="BW928">
        <v>618</v>
      </c>
      <c r="BX928">
        <v>242</v>
      </c>
      <c r="BY928">
        <v>846</v>
      </c>
      <c r="BZ928">
        <v>768</v>
      </c>
      <c r="CA928">
        <v>920</v>
      </c>
      <c r="CB928">
        <v>842</v>
      </c>
      <c r="CC928">
        <v>471</v>
      </c>
      <c r="CD928">
        <v>237</v>
      </c>
      <c r="CE928">
        <v>343</v>
      </c>
      <c r="CF928">
        <v>259</v>
      </c>
      <c r="CG928">
        <v>860</v>
      </c>
      <c r="CH928">
        <v>392</v>
      </c>
      <c r="CI928">
        <v>360</v>
      </c>
      <c r="CJ928">
        <v>181</v>
      </c>
      <c r="CK928">
        <v>126</v>
      </c>
      <c r="CL928">
        <v>900</v>
      </c>
      <c r="CM928">
        <v>403</v>
      </c>
      <c r="CN928">
        <v>573</v>
      </c>
      <c r="CO928">
        <v>445</v>
      </c>
      <c r="CP928">
        <v>954</v>
      </c>
      <c r="CQ928">
        <v>775</v>
      </c>
      <c r="CR928">
        <v>392</v>
      </c>
      <c r="CS928">
        <v>843</v>
      </c>
      <c r="CT928">
        <v>833</v>
      </c>
      <c r="CU928">
        <v>607</v>
      </c>
      <c r="CV928">
        <v>460</v>
      </c>
      <c r="CW928">
        <v>590</v>
      </c>
      <c r="CX928">
        <v>958</v>
      </c>
      <c r="CY928">
        <v>411</v>
      </c>
      <c r="CZ928">
        <v>546</v>
      </c>
      <c r="DA928">
        <v>103</v>
      </c>
      <c r="DB928">
        <v>664</v>
      </c>
      <c r="DC928">
        <v>120</v>
      </c>
      <c r="DD928">
        <v>520</v>
      </c>
      <c r="DE928">
        <v>636</v>
      </c>
      <c r="DF928">
        <v>799</v>
      </c>
      <c r="DG928">
        <v>534</v>
      </c>
      <c r="DH928">
        <v>626</v>
      </c>
      <c r="DI928">
        <v>129</v>
      </c>
      <c r="DJ928">
        <v>152</v>
      </c>
      <c r="DK928">
        <v>591</v>
      </c>
    </row>
    <row r="929" spans="1:115">
      <c r="A929" s="173">
        <f>Calculations[[#This Row],[Sum t eCO2]]*IF(Calculations[[#This Row],[GHG Scope]]="BIOGENIC",0,1)</f>
        <v>5.4343947628572326E-3</v>
      </c>
      <c r="O929">
        <f t="shared" si="20"/>
        <v>81</v>
      </c>
      <c r="P929">
        <v>479</v>
      </c>
      <c r="Q929">
        <v>817</v>
      </c>
      <c r="R929">
        <v>863</v>
      </c>
      <c r="S929">
        <v>929</v>
      </c>
      <c r="T929">
        <v>990</v>
      </c>
      <c r="U929">
        <v>382</v>
      </c>
      <c r="V929">
        <v>760</v>
      </c>
      <c r="W929">
        <v>850</v>
      </c>
      <c r="X929">
        <v>758</v>
      </c>
      <c r="Y929">
        <v>864</v>
      </c>
      <c r="Z929">
        <v>798</v>
      </c>
      <c r="AA929">
        <v>356</v>
      </c>
      <c r="AB929">
        <v>850</v>
      </c>
      <c r="AC929">
        <v>470</v>
      </c>
      <c r="AD929">
        <v>621</v>
      </c>
      <c r="AE929">
        <v>449</v>
      </c>
      <c r="AF929">
        <v>922</v>
      </c>
      <c r="AG929">
        <v>432</v>
      </c>
      <c r="AH929">
        <v>363</v>
      </c>
      <c r="AI929">
        <v>958</v>
      </c>
      <c r="AJ929">
        <v>282</v>
      </c>
      <c r="AK929">
        <v>658</v>
      </c>
      <c r="AL929">
        <v>960</v>
      </c>
      <c r="AM929">
        <v>442</v>
      </c>
      <c r="AN929">
        <v>478</v>
      </c>
      <c r="AO929">
        <v>551</v>
      </c>
      <c r="AP929">
        <v>592</v>
      </c>
      <c r="AQ929">
        <v>224</v>
      </c>
      <c r="AR929">
        <v>458</v>
      </c>
      <c r="AS929">
        <v>241</v>
      </c>
      <c r="AT929">
        <v>486</v>
      </c>
      <c r="AU929">
        <v>596</v>
      </c>
      <c r="AV929">
        <v>385</v>
      </c>
      <c r="AW929">
        <v>992</v>
      </c>
      <c r="AX929">
        <v>953</v>
      </c>
      <c r="AY929">
        <v>465</v>
      </c>
      <c r="AZ929">
        <v>220</v>
      </c>
      <c r="BA929">
        <v>214</v>
      </c>
      <c r="BB929">
        <v>886</v>
      </c>
      <c r="BC929">
        <v>216</v>
      </c>
      <c r="BD929">
        <v>551</v>
      </c>
      <c r="BE929">
        <v>110</v>
      </c>
      <c r="BF929">
        <v>882</v>
      </c>
      <c r="BG929">
        <v>782</v>
      </c>
      <c r="BH929">
        <v>442</v>
      </c>
      <c r="BI929">
        <v>343</v>
      </c>
      <c r="BJ929">
        <v>143</v>
      </c>
      <c r="BK929">
        <v>544</v>
      </c>
      <c r="BL929">
        <v>877</v>
      </c>
      <c r="BM929">
        <v>284</v>
      </c>
      <c r="BN929">
        <v>953</v>
      </c>
      <c r="BO929">
        <v>114</v>
      </c>
      <c r="BP929">
        <v>444</v>
      </c>
      <c r="BQ929">
        <v>355</v>
      </c>
      <c r="BR929">
        <v>894</v>
      </c>
      <c r="BS929">
        <v>451</v>
      </c>
      <c r="BT929">
        <v>329</v>
      </c>
      <c r="BU929">
        <v>655</v>
      </c>
      <c r="BV929">
        <v>199</v>
      </c>
      <c r="BW929">
        <v>486</v>
      </c>
      <c r="BX929">
        <v>472</v>
      </c>
      <c r="BY929">
        <v>709</v>
      </c>
      <c r="BZ929">
        <v>515</v>
      </c>
      <c r="CA929">
        <v>539</v>
      </c>
      <c r="CB929">
        <v>868</v>
      </c>
      <c r="CC929">
        <v>949</v>
      </c>
      <c r="CD929">
        <v>221</v>
      </c>
      <c r="CE929">
        <v>903</v>
      </c>
      <c r="CF929">
        <v>794</v>
      </c>
      <c r="CG929">
        <v>450</v>
      </c>
      <c r="CH929">
        <v>363</v>
      </c>
      <c r="CI929">
        <v>390</v>
      </c>
      <c r="CJ929">
        <v>762</v>
      </c>
      <c r="CK929">
        <v>974</v>
      </c>
      <c r="CL929">
        <v>800</v>
      </c>
      <c r="CM929">
        <v>890</v>
      </c>
      <c r="CN929">
        <v>277</v>
      </c>
      <c r="CO929">
        <v>719</v>
      </c>
      <c r="CP929">
        <v>294</v>
      </c>
      <c r="CQ929">
        <v>1000</v>
      </c>
      <c r="CR929">
        <v>931</v>
      </c>
      <c r="CS929">
        <v>732</v>
      </c>
      <c r="CT929">
        <v>922</v>
      </c>
      <c r="CU929">
        <v>840</v>
      </c>
      <c r="CV929">
        <v>929</v>
      </c>
      <c r="CW929">
        <v>498</v>
      </c>
      <c r="CX929">
        <v>973</v>
      </c>
      <c r="CY929">
        <v>733</v>
      </c>
      <c r="CZ929">
        <v>922</v>
      </c>
      <c r="DA929">
        <v>497</v>
      </c>
      <c r="DB929">
        <v>999</v>
      </c>
      <c r="DC929">
        <v>427</v>
      </c>
      <c r="DD929">
        <v>278</v>
      </c>
      <c r="DE929">
        <v>896</v>
      </c>
      <c r="DF929">
        <v>741</v>
      </c>
      <c r="DG929">
        <v>232</v>
      </c>
      <c r="DH929">
        <v>741</v>
      </c>
      <c r="DI929">
        <v>272</v>
      </c>
      <c r="DJ929">
        <v>140</v>
      </c>
      <c r="DK929">
        <v>930</v>
      </c>
    </row>
    <row r="930" spans="1:115">
      <c r="A930" s="173">
        <f>Calculations[[#This Row],[Sum t eCO2]]*IF(Calculations[[#This Row],[GHG Scope]]="BIOGENIC",0,1)</f>
        <v>11.251754521355815</v>
      </c>
      <c r="O930">
        <f t="shared" si="20"/>
        <v>82</v>
      </c>
      <c r="P930">
        <v>909</v>
      </c>
      <c r="Q930">
        <v>536</v>
      </c>
      <c r="R930">
        <v>837</v>
      </c>
      <c r="S930">
        <v>173</v>
      </c>
      <c r="T930">
        <v>450</v>
      </c>
      <c r="U930">
        <v>192</v>
      </c>
      <c r="V930">
        <v>768</v>
      </c>
      <c r="W930">
        <v>609</v>
      </c>
      <c r="X930">
        <v>520</v>
      </c>
      <c r="Y930">
        <v>135</v>
      </c>
      <c r="Z930">
        <v>186</v>
      </c>
      <c r="AA930">
        <v>296</v>
      </c>
      <c r="AB930">
        <v>494</v>
      </c>
      <c r="AC930">
        <v>149</v>
      </c>
      <c r="AD930">
        <v>775</v>
      </c>
      <c r="AE930">
        <v>348</v>
      </c>
      <c r="AF930">
        <v>403</v>
      </c>
      <c r="AG930">
        <v>615</v>
      </c>
      <c r="AH930">
        <v>575</v>
      </c>
      <c r="AI930">
        <v>421</v>
      </c>
      <c r="AJ930">
        <v>939</v>
      </c>
      <c r="AK930">
        <v>422</v>
      </c>
      <c r="AL930">
        <v>615</v>
      </c>
      <c r="AM930">
        <v>977</v>
      </c>
      <c r="AN930">
        <v>988</v>
      </c>
      <c r="AO930">
        <v>886</v>
      </c>
      <c r="AP930">
        <v>875</v>
      </c>
      <c r="AQ930">
        <v>297</v>
      </c>
      <c r="AR930">
        <v>297</v>
      </c>
      <c r="AS930">
        <v>421</v>
      </c>
      <c r="AT930">
        <v>736</v>
      </c>
      <c r="AU930">
        <v>508</v>
      </c>
      <c r="AV930">
        <v>396</v>
      </c>
      <c r="AW930">
        <v>459</v>
      </c>
      <c r="AX930">
        <v>590</v>
      </c>
      <c r="AY930">
        <v>254</v>
      </c>
      <c r="AZ930">
        <v>228</v>
      </c>
      <c r="BA930">
        <v>807</v>
      </c>
      <c r="BB930">
        <v>749</v>
      </c>
      <c r="BC930">
        <v>155</v>
      </c>
      <c r="BD930">
        <v>163</v>
      </c>
      <c r="BE930">
        <v>800</v>
      </c>
      <c r="BF930">
        <v>426</v>
      </c>
      <c r="BG930">
        <v>851</v>
      </c>
      <c r="BH930">
        <v>240</v>
      </c>
      <c r="BI930">
        <v>529</v>
      </c>
      <c r="BJ930">
        <v>126</v>
      </c>
      <c r="BK930">
        <v>656</v>
      </c>
      <c r="BL930">
        <v>118</v>
      </c>
      <c r="BM930">
        <v>848</v>
      </c>
      <c r="BN930">
        <v>714</v>
      </c>
      <c r="BO930">
        <v>906</v>
      </c>
      <c r="BP930">
        <v>174</v>
      </c>
      <c r="BQ930">
        <v>791</v>
      </c>
      <c r="BR930">
        <v>424</v>
      </c>
      <c r="BS930">
        <v>711</v>
      </c>
      <c r="BT930">
        <v>642</v>
      </c>
      <c r="BU930">
        <v>639</v>
      </c>
      <c r="BV930">
        <v>263</v>
      </c>
      <c r="BW930">
        <v>590</v>
      </c>
      <c r="BX930">
        <v>966</v>
      </c>
      <c r="BY930">
        <v>918</v>
      </c>
      <c r="BZ930">
        <v>128</v>
      </c>
      <c r="CA930">
        <v>451</v>
      </c>
      <c r="CB930">
        <v>764</v>
      </c>
      <c r="CC930">
        <v>888</v>
      </c>
      <c r="CD930">
        <v>537</v>
      </c>
      <c r="CE930">
        <v>355</v>
      </c>
      <c r="CF930">
        <v>531</v>
      </c>
      <c r="CG930">
        <v>453</v>
      </c>
      <c r="CH930">
        <v>602</v>
      </c>
      <c r="CI930">
        <v>418</v>
      </c>
      <c r="CJ930">
        <v>167</v>
      </c>
      <c r="CK930">
        <v>360</v>
      </c>
      <c r="CL930">
        <v>489</v>
      </c>
      <c r="CM930">
        <v>142</v>
      </c>
      <c r="CN930">
        <v>885</v>
      </c>
      <c r="CO930">
        <v>407</v>
      </c>
      <c r="CP930">
        <v>952</v>
      </c>
      <c r="CQ930">
        <v>513</v>
      </c>
      <c r="CR930">
        <v>496</v>
      </c>
      <c r="CS930">
        <v>802</v>
      </c>
      <c r="CT930">
        <v>603</v>
      </c>
      <c r="CU930">
        <v>850</v>
      </c>
      <c r="CV930">
        <v>630</v>
      </c>
      <c r="CW930">
        <v>642</v>
      </c>
      <c r="CX930">
        <v>911</v>
      </c>
      <c r="CY930">
        <v>527</v>
      </c>
      <c r="CZ930">
        <v>103</v>
      </c>
      <c r="DA930">
        <v>362</v>
      </c>
      <c r="DB930">
        <v>970</v>
      </c>
      <c r="DC930">
        <v>567</v>
      </c>
      <c r="DD930">
        <v>784</v>
      </c>
      <c r="DE930">
        <v>608</v>
      </c>
      <c r="DF930">
        <v>370</v>
      </c>
      <c r="DG930">
        <v>208</v>
      </c>
      <c r="DH930">
        <v>556</v>
      </c>
      <c r="DI930">
        <v>772</v>
      </c>
      <c r="DJ930">
        <v>372</v>
      </c>
      <c r="DK930">
        <v>172</v>
      </c>
    </row>
    <row r="931" spans="1:115">
      <c r="A931" s="173">
        <f>Calculations[[#This Row],[Sum t eCO2]]*IF(Calculations[[#This Row],[GHG Scope]]="BIOGENIC",0,1)</f>
        <v>2.6283501000000003E-3</v>
      </c>
      <c r="O931">
        <f t="shared" si="20"/>
        <v>83</v>
      </c>
      <c r="P931">
        <v>185</v>
      </c>
      <c r="Q931">
        <v>543</v>
      </c>
      <c r="R931">
        <v>111</v>
      </c>
      <c r="S931">
        <v>986</v>
      </c>
      <c r="T931">
        <v>246</v>
      </c>
      <c r="U931">
        <v>864</v>
      </c>
      <c r="V931">
        <v>529</v>
      </c>
      <c r="W931">
        <v>296</v>
      </c>
      <c r="X931">
        <v>401</v>
      </c>
      <c r="Y931">
        <v>805</v>
      </c>
      <c r="Z931">
        <v>601</v>
      </c>
      <c r="AA931">
        <v>808</v>
      </c>
      <c r="AB931">
        <v>899</v>
      </c>
      <c r="AC931">
        <v>287</v>
      </c>
      <c r="AD931">
        <v>326</v>
      </c>
      <c r="AE931">
        <v>538</v>
      </c>
      <c r="AF931">
        <v>916</v>
      </c>
      <c r="AG931">
        <v>972</v>
      </c>
      <c r="AH931">
        <v>130</v>
      </c>
      <c r="AI931">
        <v>469</v>
      </c>
      <c r="AJ931">
        <v>208</v>
      </c>
      <c r="AK931">
        <v>572</v>
      </c>
      <c r="AL931">
        <v>339</v>
      </c>
      <c r="AM931">
        <v>718</v>
      </c>
      <c r="AN931">
        <v>996</v>
      </c>
      <c r="AO931">
        <v>234</v>
      </c>
      <c r="AP931">
        <v>264</v>
      </c>
      <c r="AQ931">
        <v>550</v>
      </c>
      <c r="AR931">
        <v>205</v>
      </c>
      <c r="AS931">
        <v>925</v>
      </c>
      <c r="AT931">
        <v>880</v>
      </c>
      <c r="AU931">
        <v>445</v>
      </c>
      <c r="AV931">
        <v>818</v>
      </c>
      <c r="AW931">
        <v>750</v>
      </c>
      <c r="AX931">
        <v>509</v>
      </c>
      <c r="AY931">
        <v>515</v>
      </c>
      <c r="AZ931">
        <v>672</v>
      </c>
      <c r="BA931">
        <v>359</v>
      </c>
      <c r="BB931">
        <v>684</v>
      </c>
      <c r="BC931">
        <v>244</v>
      </c>
      <c r="BD931">
        <v>780</v>
      </c>
      <c r="BE931">
        <v>544</v>
      </c>
      <c r="BF931">
        <v>256</v>
      </c>
      <c r="BG931">
        <v>431</v>
      </c>
      <c r="BH931">
        <v>915</v>
      </c>
      <c r="BI931">
        <v>343</v>
      </c>
      <c r="BJ931">
        <v>533</v>
      </c>
      <c r="BK931">
        <v>117</v>
      </c>
      <c r="BL931">
        <v>196</v>
      </c>
      <c r="BM931">
        <v>557</v>
      </c>
      <c r="BN931">
        <v>704</v>
      </c>
      <c r="BO931">
        <v>219</v>
      </c>
      <c r="BP931">
        <v>355</v>
      </c>
      <c r="BQ931">
        <v>114</v>
      </c>
      <c r="BR931">
        <v>916</v>
      </c>
      <c r="BS931">
        <v>612</v>
      </c>
      <c r="BT931">
        <v>757</v>
      </c>
      <c r="BU931">
        <v>463</v>
      </c>
      <c r="BV931">
        <v>605</v>
      </c>
      <c r="BW931">
        <v>346</v>
      </c>
      <c r="BX931">
        <v>217</v>
      </c>
      <c r="BY931">
        <v>636</v>
      </c>
      <c r="BZ931">
        <v>573</v>
      </c>
      <c r="CA931">
        <v>373</v>
      </c>
      <c r="CB931">
        <v>907</v>
      </c>
      <c r="CC931">
        <v>289</v>
      </c>
      <c r="CD931">
        <v>513</v>
      </c>
      <c r="CE931">
        <v>327</v>
      </c>
      <c r="CF931">
        <v>927</v>
      </c>
      <c r="CG931">
        <v>155</v>
      </c>
      <c r="CH931">
        <v>341</v>
      </c>
      <c r="CI931">
        <v>129</v>
      </c>
      <c r="CJ931">
        <v>838</v>
      </c>
      <c r="CK931">
        <v>656</v>
      </c>
      <c r="CL931">
        <v>195</v>
      </c>
      <c r="CM931">
        <v>188</v>
      </c>
      <c r="CN931">
        <v>447</v>
      </c>
      <c r="CO931">
        <v>697</v>
      </c>
      <c r="CP931">
        <v>325</v>
      </c>
      <c r="CQ931">
        <v>716</v>
      </c>
      <c r="CR931">
        <v>163</v>
      </c>
      <c r="CS931">
        <v>526</v>
      </c>
      <c r="CT931">
        <v>966</v>
      </c>
      <c r="CU931">
        <v>947</v>
      </c>
      <c r="CV931">
        <v>960</v>
      </c>
      <c r="CW931">
        <v>382</v>
      </c>
      <c r="CX931">
        <v>788</v>
      </c>
      <c r="CY931">
        <v>545</v>
      </c>
      <c r="CZ931">
        <v>702</v>
      </c>
      <c r="DA931">
        <v>487</v>
      </c>
      <c r="DB931">
        <v>219</v>
      </c>
      <c r="DC931">
        <v>826</v>
      </c>
      <c r="DD931">
        <v>486</v>
      </c>
      <c r="DE931">
        <v>494</v>
      </c>
      <c r="DF931">
        <v>551</v>
      </c>
      <c r="DG931">
        <v>961</v>
      </c>
      <c r="DH931">
        <v>933</v>
      </c>
      <c r="DI931">
        <v>381</v>
      </c>
      <c r="DJ931">
        <v>282</v>
      </c>
      <c r="DK931">
        <v>755</v>
      </c>
    </row>
    <row r="932" spans="1:115">
      <c r="A932" s="173">
        <f>Calculations[[#This Row],[Sum t eCO2]]*IF(Calculations[[#This Row],[GHG Scope]]="BIOGENIC",0,1)</f>
        <v>2.3719257000000001E-2</v>
      </c>
      <c r="O932">
        <f t="shared" si="20"/>
        <v>84</v>
      </c>
      <c r="P932">
        <v>310</v>
      </c>
      <c r="Q932">
        <v>211</v>
      </c>
      <c r="R932">
        <v>781</v>
      </c>
      <c r="S932">
        <v>926</v>
      </c>
      <c r="T932">
        <v>624</v>
      </c>
      <c r="U932">
        <v>257</v>
      </c>
      <c r="V932">
        <v>869</v>
      </c>
      <c r="W932">
        <v>360</v>
      </c>
      <c r="X932">
        <v>603</v>
      </c>
      <c r="Y932">
        <v>455</v>
      </c>
      <c r="Z932">
        <v>392</v>
      </c>
      <c r="AA932">
        <v>229</v>
      </c>
      <c r="AB932">
        <v>963</v>
      </c>
      <c r="AC932">
        <v>147</v>
      </c>
      <c r="AD932">
        <v>859</v>
      </c>
      <c r="AE932">
        <v>517</v>
      </c>
      <c r="AF932">
        <v>830</v>
      </c>
      <c r="AG932">
        <v>532</v>
      </c>
      <c r="AH932">
        <v>812</v>
      </c>
      <c r="AI932">
        <v>855</v>
      </c>
      <c r="AJ932">
        <v>215</v>
      </c>
      <c r="AK932">
        <v>133</v>
      </c>
      <c r="AL932">
        <v>765</v>
      </c>
      <c r="AM932">
        <v>477</v>
      </c>
      <c r="AN932">
        <v>474</v>
      </c>
      <c r="AO932">
        <v>551</v>
      </c>
      <c r="AP932">
        <v>749</v>
      </c>
      <c r="AQ932">
        <v>482</v>
      </c>
      <c r="AR932">
        <v>719</v>
      </c>
      <c r="AS932">
        <v>981</v>
      </c>
      <c r="AT932">
        <v>499</v>
      </c>
      <c r="AU932">
        <v>999</v>
      </c>
      <c r="AV932">
        <v>366</v>
      </c>
      <c r="AW932">
        <v>991</v>
      </c>
      <c r="AX932">
        <v>145</v>
      </c>
      <c r="AY932">
        <v>338</v>
      </c>
      <c r="AZ932">
        <v>573</v>
      </c>
      <c r="BA932">
        <v>309</v>
      </c>
      <c r="BB932">
        <v>348</v>
      </c>
      <c r="BC932">
        <v>901</v>
      </c>
      <c r="BD932">
        <v>437</v>
      </c>
      <c r="BE932">
        <v>580</v>
      </c>
      <c r="BF932">
        <v>133</v>
      </c>
      <c r="BG932">
        <v>494</v>
      </c>
      <c r="BH932">
        <v>993</v>
      </c>
      <c r="BI932">
        <v>664</v>
      </c>
      <c r="BJ932">
        <v>659</v>
      </c>
      <c r="BK932">
        <v>603</v>
      </c>
      <c r="BL932">
        <v>543</v>
      </c>
      <c r="BM932">
        <v>919</v>
      </c>
      <c r="BN932">
        <v>897</v>
      </c>
      <c r="BO932">
        <v>585</v>
      </c>
      <c r="BP932">
        <v>466</v>
      </c>
      <c r="BQ932">
        <v>984</v>
      </c>
      <c r="BR932">
        <v>599</v>
      </c>
      <c r="BS932">
        <v>220</v>
      </c>
      <c r="BT932">
        <v>350</v>
      </c>
      <c r="BU932">
        <v>164</v>
      </c>
      <c r="BV932">
        <v>860</v>
      </c>
      <c r="BW932">
        <v>359</v>
      </c>
      <c r="BX932">
        <v>581</v>
      </c>
      <c r="BY932">
        <v>268</v>
      </c>
      <c r="BZ932">
        <v>194</v>
      </c>
      <c r="CA932">
        <v>224</v>
      </c>
      <c r="CB932">
        <v>388</v>
      </c>
      <c r="CC932">
        <v>329</v>
      </c>
      <c r="CD932">
        <v>207</v>
      </c>
      <c r="CE932">
        <v>224</v>
      </c>
      <c r="CF932">
        <v>826</v>
      </c>
      <c r="CG932">
        <v>618</v>
      </c>
      <c r="CH932">
        <v>972</v>
      </c>
      <c r="CI932">
        <v>283</v>
      </c>
      <c r="CJ932">
        <v>834</v>
      </c>
      <c r="CK932">
        <v>474</v>
      </c>
      <c r="CL932">
        <v>216</v>
      </c>
      <c r="CM932">
        <v>696</v>
      </c>
      <c r="CN932">
        <v>442</v>
      </c>
      <c r="CO932">
        <v>198</v>
      </c>
      <c r="CP932">
        <v>112</v>
      </c>
      <c r="CQ932">
        <v>856</v>
      </c>
      <c r="CR932">
        <v>439</v>
      </c>
      <c r="CS932">
        <v>818</v>
      </c>
      <c r="CT932">
        <v>710</v>
      </c>
      <c r="CU932">
        <v>381</v>
      </c>
      <c r="CV932">
        <v>844</v>
      </c>
      <c r="CW932">
        <v>195</v>
      </c>
      <c r="CX932">
        <v>882</v>
      </c>
      <c r="CY932">
        <v>799</v>
      </c>
      <c r="CZ932">
        <v>185</v>
      </c>
      <c r="DA932">
        <v>902</v>
      </c>
      <c r="DB932">
        <v>163</v>
      </c>
      <c r="DC932">
        <v>472</v>
      </c>
      <c r="DD932">
        <v>911</v>
      </c>
      <c r="DE932">
        <v>671</v>
      </c>
      <c r="DF932">
        <v>272</v>
      </c>
      <c r="DG932">
        <v>115</v>
      </c>
      <c r="DH932">
        <v>146</v>
      </c>
      <c r="DI932">
        <v>899</v>
      </c>
      <c r="DJ932">
        <v>541</v>
      </c>
      <c r="DK932">
        <v>993</v>
      </c>
    </row>
    <row r="933" spans="1:115">
      <c r="A933" s="173">
        <f>Calculations[[#This Row],[Sum t eCO2]]*IF(Calculations[[#This Row],[GHG Scope]]="BIOGENIC",0,1)</f>
        <v>604.53486023144524</v>
      </c>
      <c r="O933">
        <f t="shared" si="20"/>
        <v>85</v>
      </c>
      <c r="P933">
        <v>231</v>
      </c>
      <c r="Q933">
        <v>231</v>
      </c>
      <c r="R933">
        <v>620</v>
      </c>
      <c r="S933">
        <v>674</v>
      </c>
      <c r="T933">
        <v>987</v>
      </c>
      <c r="U933">
        <v>616</v>
      </c>
      <c r="V933">
        <v>133</v>
      </c>
      <c r="W933">
        <v>405</v>
      </c>
      <c r="X933">
        <v>284</v>
      </c>
      <c r="Y933">
        <v>340</v>
      </c>
      <c r="Z933">
        <v>791</v>
      </c>
      <c r="AA933">
        <v>988</v>
      </c>
      <c r="AB933">
        <v>182</v>
      </c>
      <c r="AC933">
        <v>246</v>
      </c>
      <c r="AD933">
        <v>924</v>
      </c>
      <c r="AE933">
        <v>311</v>
      </c>
      <c r="AF933">
        <v>142</v>
      </c>
      <c r="AG933">
        <v>302</v>
      </c>
      <c r="AH933">
        <v>486</v>
      </c>
      <c r="AI933">
        <v>211</v>
      </c>
      <c r="AJ933">
        <v>801</v>
      </c>
      <c r="AK933">
        <v>257</v>
      </c>
      <c r="AL933">
        <v>660</v>
      </c>
      <c r="AM933">
        <v>600</v>
      </c>
      <c r="AN933">
        <v>297</v>
      </c>
      <c r="AO933">
        <v>914</v>
      </c>
      <c r="AP933">
        <v>566</v>
      </c>
      <c r="AQ933">
        <v>295</v>
      </c>
      <c r="AR933">
        <v>406</v>
      </c>
      <c r="AS933">
        <v>722</v>
      </c>
      <c r="AT933">
        <v>826</v>
      </c>
      <c r="AU933">
        <v>738</v>
      </c>
      <c r="AV933">
        <v>523</v>
      </c>
      <c r="AW933">
        <v>774</v>
      </c>
      <c r="AX933">
        <v>367</v>
      </c>
      <c r="AY933">
        <v>909</v>
      </c>
      <c r="AZ933">
        <v>630</v>
      </c>
      <c r="BA933">
        <v>794</v>
      </c>
      <c r="BB933">
        <v>838</v>
      </c>
      <c r="BC933">
        <v>199</v>
      </c>
      <c r="BD933">
        <v>887</v>
      </c>
      <c r="BE933">
        <v>623</v>
      </c>
      <c r="BF933">
        <v>244</v>
      </c>
      <c r="BG933">
        <v>580</v>
      </c>
      <c r="BH933">
        <v>210</v>
      </c>
      <c r="BI933">
        <v>351</v>
      </c>
      <c r="BJ933">
        <v>901</v>
      </c>
      <c r="BK933">
        <v>106</v>
      </c>
      <c r="BL933">
        <v>534</v>
      </c>
      <c r="BM933">
        <v>221</v>
      </c>
      <c r="BN933">
        <v>694</v>
      </c>
      <c r="BO933">
        <v>183</v>
      </c>
      <c r="BP933">
        <v>142</v>
      </c>
      <c r="BQ933">
        <v>155</v>
      </c>
      <c r="BR933">
        <v>209</v>
      </c>
      <c r="BS933">
        <v>976</v>
      </c>
      <c r="BT933">
        <v>294</v>
      </c>
      <c r="BU933">
        <v>123</v>
      </c>
      <c r="BV933">
        <v>971</v>
      </c>
      <c r="BW933">
        <v>368</v>
      </c>
      <c r="BX933">
        <v>525</v>
      </c>
      <c r="BY933">
        <v>368</v>
      </c>
      <c r="BZ933">
        <v>689</v>
      </c>
      <c r="CA933">
        <v>535</v>
      </c>
      <c r="CB933">
        <v>305</v>
      </c>
      <c r="CC933">
        <v>105</v>
      </c>
      <c r="CD933">
        <v>195</v>
      </c>
      <c r="CE933">
        <v>342</v>
      </c>
      <c r="CF933">
        <v>648</v>
      </c>
      <c r="CG933">
        <v>391</v>
      </c>
      <c r="CH933">
        <v>218</v>
      </c>
      <c r="CI933">
        <v>263</v>
      </c>
      <c r="CJ933">
        <v>425</v>
      </c>
      <c r="CK933">
        <v>418</v>
      </c>
      <c r="CL933">
        <v>159</v>
      </c>
      <c r="CM933">
        <v>429</v>
      </c>
      <c r="CN933">
        <v>854</v>
      </c>
      <c r="CO933">
        <v>351</v>
      </c>
      <c r="CP933">
        <v>767</v>
      </c>
      <c r="CQ933">
        <v>233</v>
      </c>
      <c r="CR933">
        <v>713</v>
      </c>
      <c r="CS933">
        <v>878</v>
      </c>
      <c r="CT933">
        <v>393</v>
      </c>
      <c r="CU933">
        <v>686</v>
      </c>
      <c r="CV933">
        <v>457</v>
      </c>
      <c r="CW933">
        <v>914</v>
      </c>
      <c r="CX933">
        <v>844</v>
      </c>
      <c r="CY933">
        <v>559</v>
      </c>
      <c r="CZ933">
        <v>247</v>
      </c>
      <c r="DA933">
        <v>552</v>
      </c>
      <c r="DB933">
        <v>167</v>
      </c>
      <c r="DC933">
        <v>342</v>
      </c>
      <c r="DD933">
        <v>276</v>
      </c>
      <c r="DE933">
        <v>676</v>
      </c>
      <c r="DF933">
        <v>375</v>
      </c>
      <c r="DG933">
        <v>576</v>
      </c>
      <c r="DH933">
        <v>378</v>
      </c>
      <c r="DI933">
        <v>101</v>
      </c>
      <c r="DJ933">
        <v>216</v>
      </c>
      <c r="DK933">
        <v>648</v>
      </c>
    </row>
    <row r="934" spans="1:115">
      <c r="A934" s="173">
        <f>Calculations[[#This Row],[Sum t eCO2]]*IF(Calculations[[#This Row],[GHG Scope]]="BIOGENIC",0,1)</f>
        <v>1.3781806664430553E-2</v>
      </c>
      <c r="O934">
        <f t="shared" si="20"/>
        <v>86</v>
      </c>
      <c r="P934">
        <v>295</v>
      </c>
      <c r="Q934">
        <v>265</v>
      </c>
      <c r="R934">
        <v>410</v>
      </c>
      <c r="S934">
        <v>252</v>
      </c>
      <c r="T934">
        <v>317</v>
      </c>
      <c r="U934">
        <v>855</v>
      </c>
      <c r="V934">
        <v>516</v>
      </c>
      <c r="W934">
        <v>679</v>
      </c>
      <c r="X934">
        <v>754</v>
      </c>
      <c r="Y934">
        <v>613</v>
      </c>
      <c r="Z934">
        <v>517</v>
      </c>
      <c r="AA934">
        <v>163</v>
      </c>
      <c r="AB934">
        <v>936</v>
      </c>
      <c r="AC934">
        <v>408</v>
      </c>
      <c r="AD934">
        <v>663</v>
      </c>
      <c r="AE934">
        <v>767</v>
      </c>
      <c r="AF934">
        <v>420</v>
      </c>
      <c r="AG934">
        <v>228</v>
      </c>
      <c r="AH934">
        <v>120</v>
      </c>
      <c r="AI934">
        <v>871</v>
      </c>
      <c r="AJ934">
        <v>601</v>
      </c>
      <c r="AK934">
        <v>136</v>
      </c>
      <c r="AL934">
        <v>403</v>
      </c>
      <c r="AM934">
        <v>230</v>
      </c>
      <c r="AN934">
        <v>758</v>
      </c>
      <c r="AO934">
        <v>660</v>
      </c>
      <c r="AP934">
        <v>165</v>
      </c>
      <c r="AQ934">
        <v>279</v>
      </c>
      <c r="AR934">
        <v>865</v>
      </c>
      <c r="AS934">
        <v>195</v>
      </c>
      <c r="AT934">
        <v>115</v>
      </c>
      <c r="AU934">
        <v>642</v>
      </c>
      <c r="AV934">
        <v>222</v>
      </c>
      <c r="AW934">
        <v>625</v>
      </c>
      <c r="AX934">
        <v>498</v>
      </c>
      <c r="AY934">
        <v>931</v>
      </c>
      <c r="AZ934">
        <v>570</v>
      </c>
      <c r="BA934">
        <v>658</v>
      </c>
      <c r="BB934">
        <v>805</v>
      </c>
      <c r="BC934">
        <v>209</v>
      </c>
      <c r="BD934">
        <v>977</v>
      </c>
      <c r="BE934">
        <v>437</v>
      </c>
      <c r="BF934">
        <v>627</v>
      </c>
      <c r="BG934">
        <v>540</v>
      </c>
      <c r="BH934">
        <v>683</v>
      </c>
      <c r="BI934">
        <v>320</v>
      </c>
      <c r="BJ934">
        <v>665</v>
      </c>
      <c r="BK934">
        <v>475</v>
      </c>
      <c r="BL934">
        <v>881</v>
      </c>
      <c r="BM934">
        <v>960</v>
      </c>
      <c r="BN934">
        <v>991</v>
      </c>
      <c r="BO934">
        <v>625</v>
      </c>
      <c r="BP934">
        <v>536</v>
      </c>
      <c r="BQ934">
        <v>916</v>
      </c>
      <c r="BR934">
        <v>420</v>
      </c>
      <c r="BS934">
        <v>233</v>
      </c>
      <c r="BT934">
        <v>408</v>
      </c>
      <c r="BU934">
        <v>116</v>
      </c>
      <c r="BV934">
        <v>152</v>
      </c>
      <c r="BW934">
        <v>995</v>
      </c>
      <c r="BX934">
        <v>131</v>
      </c>
      <c r="BY934">
        <v>767</v>
      </c>
      <c r="BZ934">
        <v>981</v>
      </c>
      <c r="CA934">
        <v>953</v>
      </c>
      <c r="CB934">
        <v>339</v>
      </c>
      <c r="CC934">
        <v>494</v>
      </c>
      <c r="CD934">
        <v>931</v>
      </c>
      <c r="CE934">
        <v>925</v>
      </c>
      <c r="CF934">
        <v>570</v>
      </c>
      <c r="CG934">
        <v>724</v>
      </c>
      <c r="CH934">
        <v>475</v>
      </c>
      <c r="CI934">
        <v>482</v>
      </c>
      <c r="CJ934">
        <v>880</v>
      </c>
      <c r="CK934">
        <v>311</v>
      </c>
      <c r="CL934">
        <v>436</v>
      </c>
      <c r="CM934">
        <v>277</v>
      </c>
      <c r="CN934">
        <v>190</v>
      </c>
      <c r="CO934">
        <v>724</v>
      </c>
      <c r="CP934">
        <v>699</v>
      </c>
      <c r="CQ934">
        <v>778</v>
      </c>
      <c r="CR934">
        <v>910</v>
      </c>
      <c r="CS934">
        <v>182</v>
      </c>
      <c r="CT934">
        <v>595</v>
      </c>
      <c r="CU934">
        <v>167</v>
      </c>
      <c r="CV934">
        <v>555</v>
      </c>
      <c r="CW934">
        <v>224</v>
      </c>
      <c r="CX934">
        <v>324</v>
      </c>
      <c r="CY934">
        <v>374</v>
      </c>
      <c r="CZ934">
        <v>366</v>
      </c>
      <c r="DA934">
        <v>125</v>
      </c>
      <c r="DB934">
        <v>963</v>
      </c>
      <c r="DC934">
        <v>945</v>
      </c>
      <c r="DD934">
        <v>719</v>
      </c>
      <c r="DE934">
        <v>165</v>
      </c>
      <c r="DF934">
        <v>666</v>
      </c>
      <c r="DG934">
        <v>966</v>
      </c>
      <c r="DH934">
        <v>579</v>
      </c>
      <c r="DI934">
        <v>146</v>
      </c>
      <c r="DJ934">
        <v>186</v>
      </c>
      <c r="DK934">
        <v>432</v>
      </c>
    </row>
    <row r="935" spans="1:115">
      <c r="A935" s="173">
        <f>Calculations[[#This Row],[Sum t eCO2]]*IF(Calculations[[#This Row],[GHG Scope]]="BIOGENIC",0,1)</f>
        <v>0.1220638507663421</v>
      </c>
      <c r="O935">
        <f t="shared" si="20"/>
        <v>87</v>
      </c>
      <c r="P935">
        <v>875</v>
      </c>
      <c r="Q935">
        <v>659</v>
      </c>
      <c r="R935">
        <v>158</v>
      </c>
      <c r="S935">
        <v>404</v>
      </c>
      <c r="T935">
        <v>696</v>
      </c>
      <c r="U935">
        <v>309</v>
      </c>
      <c r="V935">
        <v>654</v>
      </c>
      <c r="W935">
        <v>588</v>
      </c>
      <c r="X935">
        <v>295</v>
      </c>
      <c r="Y935">
        <v>186</v>
      </c>
      <c r="Z935">
        <v>762</v>
      </c>
      <c r="AA935">
        <v>416</v>
      </c>
      <c r="AB935">
        <v>386</v>
      </c>
      <c r="AC935">
        <v>955</v>
      </c>
      <c r="AD935">
        <v>789</v>
      </c>
      <c r="AE935">
        <v>305</v>
      </c>
      <c r="AF935">
        <v>860</v>
      </c>
      <c r="AG935">
        <v>434</v>
      </c>
      <c r="AH935">
        <v>412</v>
      </c>
      <c r="AI935">
        <v>722</v>
      </c>
      <c r="AJ935">
        <v>172</v>
      </c>
      <c r="AK935">
        <v>956</v>
      </c>
      <c r="AL935">
        <v>505</v>
      </c>
      <c r="AM935">
        <v>872</v>
      </c>
      <c r="AN935">
        <v>378</v>
      </c>
      <c r="AO935">
        <v>487</v>
      </c>
      <c r="AP935">
        <v>674</v>
      </c>
      <c r="AQ935">
        <v>360</v>
      </c>
      <c r="AR935">
        <v>783</v>
      </c>
      <c r="AS935">
        <v>707</v>
      </c>
      <c r="AT935">
        <v>630</v>
      </c>
      <c r="AU935">
        <v>355</v>
      </c>
      <c r="AV935">
        <v>531</v>
      </c>
      <c r="AW935">
        <v>269</v>
      </c>
      <c r="AX935">
        <v>290</v>
      </c>
      <c r="AY935">
        <v>772</v>
      </c>
      <c r="AZ935">
        <v>212</v>
      </c>
      <c r="BA935">
        <v>600</v>
      </c>
      <c r="BB935">
        <v>514</v>
      </c>
      <c r="BC935">
        <v>265</v>
      </c>
      <c r="BD935">
        <v>428</v>
      </c>
      <c r="BE935">
        <v>773</v>
      </c>
      <c r="BF935">
        <v>931</v>
      </c>
      <c r="BG935">
        <v>416</v>
      </c>
      <c r="BH935">
        <v>709</v>
      </c>
      <c r="BI935">
        <v>573</v>
      </c>
      <c r="BJ935">
        <v>770</v>
      </c>
      <c r="BK935">
        <v>205</v>
      </c>
      <c r="BL935">
        <v>298</v>
      </c>
      <c r="BM935">
        <v>417</v>
      </c>
      <c r="BN935">
        <v>111</v>
      </c>
      <c r="BO935">
        <v>381</v>
      </c>
      <c r="BP935">
        <v>300</v>
      </c>
      <c r="BQ935">
        <v>318</v>
      </c>
      <c r="BR935">
        <v>159</v>
      </c>
      <c r="BS935">
        <v>660</v>
      </c>
      <c r="BT935">
        <v>380</v>
      </c>
      <c r="BU935">
        <v>260</v>
      </c>
      <c r="BV935">
        <v>986</v>
      </c>
      <c r="BW935">
        <v>558</v>
      </c>
      <c r="BX935">
        <v>680</v>
      </c>
      <c r="BY935">
        <v>131</v>
      </c>
      <c r="BZ935">
        <v>610</v>
      </c>
      <c r="CA935">
        <v>544</v>
      </c>
      <c r="CB935">
        <v>813</v>
      </c>
      <c r="CC935">
        <v>767</v>
      </c>
      <c r="CD935">
        <v>143</v>
      </c>
      <c r="CE935">
        <v>864</v>
      </c>
      <c r="CF935">
        <v>137</v>
      </c>
      <c r="CG935">
        <v>1000</v>
      </c>
      <c r="CH935">
        <v>991</v>
      </c>
      <c r="CI935">
        <v>320</v>
      </c>
      <c r="CJ935">
        <v>631</v>
      </c>
      <c r="CK935">
        <v>683</v>
      </c>
      <c r="CL935">
        <v>159</v>
      </c>
      <c r="CM935">
        <v>283</v>
      </c>
      <c r="CN935">
        <v>423</v>
      </c>
      <c r="CO935">
        <v>336</v>
      </c>
      <c r="CP935">
        <v>844</v>
      </c>
      <c r="CQ935">
        <v>999</v>
      </c>
      <c r="CR935">
        <v>109</v>
      </c>
      <c r="CS935">
        <v>635</v>
      </c>
      <c r="CT935">
        <v>245</v>
      </c>
      <c r="CU935">
        <v>729</v>
      </c>
      <c r="CV935">
        <v>260</v>
      </c>
      <c r="CW935">
        <v>445</v>
      </c>
      <c r="CX935">
        <v>539</v>
      </c>
      <c r="CY935">
        <v>678</v>
      </c>
      <c r="CZ935">
        <v>916</v>
      </c>
      <c r="DA935">
        <v>644</v>
      </c>
      <c r="DB935">
        <v>224</v>
      </c>
      <c r="DC935">
        <v>689</v>
      </c>
      <c r="DD935">
        <v>301</v>
      </c>
      <c r="DE935">
        <v>196</v>
      </c>
      <c r="DF935">
        <v>633</v>
      </c>
      <c r="DG935">
        <v>390</v>
      </c>
      <c r="DH935">
        <v>158</v>
      </c>
      <c r="DI935">
        <v>253</v>
      </c>
      <c r="DJ935">
        <v>260</v>
      </c>
      <c r="DK935">
        <v>584</v>
      </c>
    </row>
    <row r="936" spans="1:115">
      <c r="A936" s="173">
        <f>Calculations[[#This Row],[Sum t eCO2]]*IF(Calculations[[#This Row],[GHG Scope]]="BIOGENIC",0,1)</f>
        <v>3.734809944559965E-2</v>
      </c>
      <c r="O936">
        <f t="shared" si="20"/>
        <v>88</v>
      </c>
      <c r="P936">
        <v>244</v>
      </c>
      <c r="Q936">
        <v>279</v>
      </c>
      <c r="R936">
        <v>605</v>
      </c>
      <c r="S936">
        <v>197</v>
      </c>
      <c r="T936">
        <v>836</v>
      </c>
      <c r="U936">
        <v>945</v>
      </c>
      <c r="V936">
        <v>786</v>
      </c>
      <c r="W936">
        <v>438</v>
      </c>
      <c r="X936">
        <v>516</v>
      </c>
      <c r="Y936">
        <v>231</v>
      </c>
      <c r="Z936">
        <v>366</v>
      </c>
      <c r="AA936">
        <v>493</v>
      </c>
      <c r="AB936">
        <v>209</v>
      </c>
      <c r="AC936">
        <v>430</v>
      </c>
      <c r="AD936">
        <v>762</v>
      </c>
      <c r="AE936">
        <v>868</v>
      </c>
      <c r="AF936">
        <v>967</v>
      </c>
      <c r="AG936">
        <v>504</v>
      </c>
      <c r="AH936">
        <v>886</v>
      </c>
      <c r="AI936">
        <v>276</v>
      </c>
      <c r="AJ936">
        <v>851</v>
      </c>
      <c r="AK936">
        <v>997</v>
      </c>
      <c r="AL936">
        <v>206</v>
      </c>
      <c r="AM936">
        <v>247</v>
      </c>
      <c r="AN936">
        <v>172</v>
      </c>
      <c r="AO936">
        <v>334</v>
      </c>
      <c r="AP936">
        <v>111</v>
      </c>
      <c r="AQ936">
        <v>770</v>
      </c>
      <c r="AR936">
        <v>888</v>
      </c>
      <c r="AS936">
        <v>910</v>
      </c>
      <c r="AT936">
        <v>308</v>
      </c>
      <c r="AU936">
        <v>348</v>
      </c>
      <c r="AV936">
        <v>437</v>
      </c>
      <c r="AW936">
        <v>134</v>
      </c>
      <c r="AX936">
        <v>735</v>
      </c>
      <c r="AY936">
        <v>417</v>
      </c>
      <c r="AZ936">
        <v>971</v>
      </c>
      <c r="BA936">
        <v>648</v>
      </c>
      <c r="BB936">
        <v>237</v>
      </c>
      <c r="BC936">
        <v>500</v>
      </c>
      <c r="BD936">
        <v>596</v>
      </c>
      <c r="BE936">
        <v>921</v>
      </c>
      <c r="BF936">
        <v>266</v>
      </c>
      <c r="BG936">
        <v>277</v>
      </c>
      <c r="BH936">
        <v>591</v>
      </c>
      <c r="BI936">
        <v>641</v>
      </c>
      <c r="BJ936">
        <v>964</v>
      </c>
      <c r="BK936">
        <v>385</v>
      </c>
      <c r="BL936">
        <v>782</v>
      </c>
      <c r="BM936">
        <v>820</v>
      </c>
      <c r="BN936">
        <v>150</v>
      </c>
      <c r="BO936">
        <v>490</v>
      </c>
      <c r="BP936">
        <v>570</v>
      </c>
      <c r="BQ936">
        <v>493</v>
      </c>
      <c r="BR936">
        <v>518</v>
      </c>
      <c r="BS936">
        <v>246</v>
      </c>
      <c r="BT936">
        <v>408</v>
      </c>
      <c r="BU936">
        <v>216</v>
      </c>
      <c r="BV936">
        <v>786</v>
      </c>
      <c r="BW936">
        <v>247</v>
      </c>
      <c r="BX936">
        <v>970</v>
      </c>
      <c r="BY936">
        <v>163</v>
      </c>
      <c r="BZ936">
        <v>172</v>
      </c>
      <c r="CA936">
        <v>711</v>
      </c>
      <c r="CB936">
        <v>310</v>
      </c>
      <c r="CC936">
        <v>581</v>
      </c>
      <c r="CD936">
        <v>258</v>
      </c>
      <c r="CE936">
        <v>242</v>
      </c>
      <c r="CF936">
        <v>777</v>
      </c>
      <c r="CG936">
        <v>633</v>
      </c>
      <c r="CH936">
        <v>151</v>
      </c>
      <c r="CI936">
        <v>255</v>
      </c>
      <c r="CJ936">
        <v>849</v>
      </c>
      <c r="CK936">
        <v>167</v>
      </c>
      <c r="CL936">
        <v>765</v>
      </c>
      <c r="CM936">
        <v>721</v>
      </c>
      <c r="CN936">
        <v>811</v>
      </c>
      <c r="CO936">
        <v>747</v>
      </c>
      <c r="CP936">
        <v>114</v>
      </c>
      <c r="CQ936">
        <v>564</v>
      </c>
      <c r="CR936">
        <v>858</v>
      </c>
      <c r="CS936">
        <v>754</v>
      </c>
      <c r="CT936">
        <v>778</v>
      </c>
      <c r="CU936">
        <v>309</v>
      </c>
      <c r="CV936">
        <v>111</v>
      </c>
      <c r="CW936">
        <v>246</v>
      </c>
      <c r="CX936">
        <v>840</v>
      </c>
      <c r="CY936">
        <v>524</v>
      </c>
      <c r="CZ936">
        <v>732</v>
      </c>
      <c r="DA936">
        <v>247</v>
      </c>
      <c r="DB936">
        <v>323</v>
      </c>
      <c r="DC936">
        <v>972</v>
      </c>
      <c r="DD936">
        <v>889</v>
      </c>
      <c r="DE936">
        <v>404</v>
      </c>
      <c r="DF936">
        <v>440</v>
      </c>
      <c r="DG936">
        <v>787</v>
      </c>
      <c r="DH936">
        <v>756</v>
      </c>
      <c r="DI936">
        <v>703</v>
      </c>
      <c r="DJ936">
        <v>713</v>
      </c>
      <c r="DK936">
        <v>162</v>
      </c>
    </row>
    <row r="937" spans="1:115">
      <c r="A937" s="173">
        <f>Calculations[[#This Row],[Sum t eCO2]]*IF(Calculations[[#This Row],[GHG Scope]]="BIOGENIC",0,1)</f>
        <v>1.9861445200235619</v>
      </c>
      <c r="O937">
        <f t="shared" si="20"/>
        <v>89</v>
      </c>
      <c r="P937">
        <v>566</v>
      </c>
      <c r="Q937">
        <v>932</v>
      </c>
      <c r="R937">
        <v>363</v>
      </c>
      <c r="S937">
        <v>733</v>
      </c>
      <c r="T937">
        <v>570</v>
      </c>
      <c r="U937">
        <v>784</v>
      </c>
      <c r="V937">
        <v>326</v>
      </c>
      <c r="W937">
        <v>822</v>
      </c>
      <c r="X937">
        <v>489</v>
      </c>
      <c r="Y937">
        <v>457</v>
      </c>
      <c r="Z937">
        <v>794</v>
      </c>
      <c r="AA937">
        <v>763</v>
      </c>
      <c r="AB937">
        <v>865</v>
      </c>
      <c r="AC937">
        <v>719</v>
      </c>
      <c r="AD937">
        <v>126</v>
      </c>
      <c r="AE937">
        <v>601</v>
      </c>
      <c r="AF937">
        <v>705</v>
      </c>
      <c r="AG937">
        <v>308</v>
      </c>
      <c r="AH937">
        <v>298</v>
      </c>
      <c r="AI937">
        <v>776</v>
      </c>
      <c r="AJ937">
        <v>388</v>
      </c>
      <c r="AK937">
        <v>423</v>
      </c>
      <c r="AL937">
        <v>560</v>
      </c>
      <c r="AM937">
        <v>108</v>
      </c>
      <c r="AN937">
        <v>801</v>
      </c>
      <c r="AO937">
        <v>645</v>
      </c>
      <c r="AP937">
        <v>945</v>
      </c>
      <c r="AQ937">
        <v>413</v>
      </c>
      <c r="AR937">
        <v>227</v>
      </c>
      <c r="AS937">
        <v>465</v>
      </c>
      <c r="AT937">
        <v>126</v>
      </c>
      <c r="AU937">
        <v>312</v>
      </c>
      <c r="AV937">
        <v>478</v>
      </c>
      <c r="AW937">
        <v>154</v>
      </c>
      <c r="AX937">
        <v>604</v>
      </c>
      <c r="AY937">
        <v>832</v>
      </c>
      <c r="AZ937">
        <v>693</v>
      </c>
      <c r="BA937">
        <v>744</v>
      </c>
      <c r="BB937">
        <v>598</v>
      </c>
      <c r="BC937">
        <v>928</v>
      </c>
      <c r="BD937">
        <v>487</v>
      </c>
      <c r="BE937">
        <v>386</v>
      </c>
      <c r="BF937">
        <v>871</v>
      </c>
      <c r="BG937">
        <v>817</v>
      </c>
      <c r="BH937">
        <v>252</v>
      </c>
      <c r="BI937">
        <v>666</v>
      </c>
      <c r="BJ937">
        <v>608</v>
      </c>
      <c r="BK937">
        <v>133</v>
      </c>
      <c r="BL937">
        <v>147</v>
      </c>
      <c r="BM937">
        <v>614</v>
      </c>
      <c r="BN937">
        <v>499</v>
      </c>
      <c r="BO937">
        <v>850</v>
      </c>
      <c r="BP937">
        <v>265</v>
      </c>
      <c r="BQ937">
        <v>817</v>
      </c>
      <c r="BR937">
        <v>991</v>
      </c>
      <c r="BS937">
        <v>469</v>
      </c>
      <c r="BT937">
        <v>884</v>
      </c>
      <c r="BU937">
        <v>827</v>
      </c>
      <c r="BV937">
        <v>349</v>
      </c>
      <c r="BW937">
        <v>984</v>
      </c>
      <c r="BX937">
        <v>249</v>
      </c>
      <c r="BY937">
        <v>192</v>
      </c>
      <c r="BZ937">
        <v>172</v>
      </c>
      <c r="CA937">
        <v>268</v>
      </c>
      <c r="CB937">
        <v>687</v>
      </c>
      <c r="CC937">
        <v>290</v>
      </c>
      <c r="CD937">
        <v>581</v>
      </c>
      <c r="CE937">
        <v>996</v>
      </c>
      <c r="CF937">
        <v>307</v>
      </c>
      <c r="CG937">
        <v>720</v>
      </c>
      <c r="CH937">
        <v>660</v>
      </c>
      <c r="CI937">
        <v>832</v>
      </c>
      <c r="CJ937">
        <v>512</v>
      </c>
      <c r="CK937">
        <v>542</v>
      </c>
      <c r="CL937">
        <v>281</v>
      </c>
      <c r="CM937">
        <v>614</v>
      </c>
      <c r="CN937">
        <v>189</v>
      </c>
      <c r="CO937">
        <v>958</v>
      </c>
      <c r="CP937">
        <v>310</v>
      </c>
      <c r="CQ937">
        <v>512</v>
      </c>
      <c r="CR937">
        <v>936</v>
      </c>
      <c r="CS937">
        <v>330</v>
      </c>
      <c r="CT937">
        <v>130</v>
      </c>
      <c r="CU937">
        <v>712</v>
      </c>
      <c r="CV937">
        <v>656</v>
      </c>
      <c r="CW937">
        <v>763</v>
      </c>
      <c r="CX937">
        <v>202</v>
      </c>
      <c r="CY937">
        <v>356</v>
      </c>
      <c r="CZ937">
        <v>732</v>
      </c>
      <c r="DA937">
        <v>504</v>
      </c>
      <c r="DB937">
        <v>707</v>
      </c>
      <c r="DC937">
        <v>235</v>
      </c>
      <c r="DD937">
        <v>658</v>
      </c>
      <c r="DE937">
        <v>866</v>
      </c>
      <c r="DF937">
        <v>166</v>
      </c>
      <c r="DG937">
        <v>482</v>
      </c>
      <c r="DH937">
        <v>282</v>
      </c>
      <c r="DI937">
        <v>679</v>
      </c>
      <c r="DJ937">
        <v>509</v>
      </c>
      <c r="DK937">
        <v>939</v>
      </c>
    </row>
    <row r="938" spans="1:115">
      <c r="A938" s="173">
        <f>Calculations[[#This Row],[Sum t eCO2]]*IF(Calculations[[#This Row],[GHG Scope]]="BIOGENIC",0,1)</f>
        <v>6.3052206984874987E-2</v>
      </c>
      <c r="O938">
        <f t="shared" si="20"/>
        <v>90</v>
      </c>
      <c r="P938">
        <v>192</v>
      </c>
      <c r="Q938">
        <v>282</v>
      </c>
      <c r="R938">
        <v>573</v>
      </c>
      <c r="S938">
        <v>260</v>
      </c>
      <c r="T938">
        <v>849</v>
      </c>
      <c r="U938">
        <v>227</v>
      </c>
      <c r="V938">
        <v>542</v>
      </c>
      <c r="W938">
        <v>878</v>
      </c>
      <c r="X938">
        <v>440</v>
      </c>
      <c r="Y938">
        <v>351</v>
      </c>
      <c r="Z938">
        <v>708</v>
      </c>
      <c r="AA938">
        <v>623</v>
      </c>
      <c r="AB938">
        <v>638</v>
      </c>
      <c r="AC938">
        <v>957</v>
      </c>
      <c r="AD938">
        <v>252</v>
      </c>
      <c r="AE938">
        <v>307</v>
      </c>
      <c r="AF938">
        <v>180</v>
      </c>
      <c r="AG938">
        <v>839</v>
      </c>
      <c r="AH938">
        <v>799</v>
      </c>
      <c r="AI938">
        <v>645</v>
      </c>
      <c r="AJ938">
        <v>471</v>
      </c>
      <c r="AK938">
        <v>349</v>
      </c>
      <c r="AL938">
        <v>873</v>
      </c>
      <c r="AM938">
        <v>139</v>
      </c>
      <c r="AN938">
        <v>582</v>
      </c>
      <c r="AO938">
        <v>793</v>
      </c>
      <c r="AP938">
        <v>357</v>
      </c>
      <c r="AQ938">
        <v>922</v>
      </c>
      <c r="AR938">
        <v>408</v>
      </c>
      <c r="AS938">
        <v>261</v>
      </c>
      <c r="AT938">
        <v>960</v>
      </c>
      <c r="AU938">
        <v>829</v>
      </c>
      <c r="AV938">
        <v>540</v>
      </c>
      <c r="AW938">
        <v>184</v>
      </c>
      <c r="AX938">
        <v>448</v>
      </c>
      <c r="AY938">
        <v>596</v>
      </c>
      <c r="AZ938">
        <v>531</v>
      </c>
      <c r="BA938">
        <v>169</v>
      </c>
      <c r="BB938">
        <v>445</v>
      </c>
      <c r="BC938">
        <v>846</v>
      </c>
      <c r="BD938">
        <v>241</v>
      </c>
      <c r="BE938">
        <v>904</v>
      </c>
      <c r="BF938">
        <v>736</v>
      </c>
      <c r="BG938">
        <v>377</v>
      </c>
      <c r="BH938">
        <v>922</v>
      </c>
      <c r="BI938">
        <v>830</v>
      </c>
      <c r="BJ938">
        <v>125</v>
      </c>
      <c r="BK938">
        <v>174</v>
      </c>
      <c r="BL938">
        <v>280</v>
      </c>
      <c r="BM938">
        <v>618</v>
      </c>
      <c r="BN938">
        <v>172</v>
      </c>
      <c r="BO938">
        <v>899</v>
      </c>
      <c r="BP938">
        <v>538</v>
      </c>
      <c r="BQ938">
        <v>785</v>
      </c>
      <c r="BR938">
        <v>789</v>
      </c>
      <c r="BS938">
        <v>215</v>
      </c>
      <c r="BT938">
        <v>817</v>
      </c>
      <c r="BU938">
        <v>567</v>
      </c>
      <c r="BV938">
        <v>513</v>
      </c>
      <c r="BW938">
        <v>963</v>
      </c>
      <c r="BX938">
        <v>240</v>
      </c>
      <c r="BY938">
        <v>174</v>
      </c>
      <c r="BZ938">
        <v>175</v>
      </c>
      <c r="CA938">
        <v>190</v>
      </c>
      <c r="CB938">
        <v>978</v>
      </c>
      <c r="CC938">
        <v>178</v>
      </c>
      <c r="CD938">
        <v>352</v>
      </c>
      <c r="CE938">
        <v>141</v>
      </c>
      <c r="CF938">
        <v>547</v>
      </c>
      <c r="CG938">
        <v>297</v>
      </c>
      <c r="CH938">
        <v>369</v>
      </c>
      <c r="CI938">
        <v>730</v>
      </c>
      <c r="CJ938">
        <v>422</v>
      </c>
      <c r="CK938">
        <v>789</v>
      </c>
      <c r="CL938">
        <v>353</v>
      </c>
      <c r="CM938">
        <v>758</v>
      </c>
      <c r="CN938">
        <v>148</v>
      </c>
      <c r="CO938">
        <v>185</v>
      </c>
      <c r="CP938">
        <v>534</v>
      </c>
      <c r="CQ938">
        <v>204</v>
      </c>
      <c r="CR938">
        <v>409</v>
      </c>
      <c r="CS938">
        <v>808</v>
      </c>
      <c r="CT938">
        <v>217</v>
      </c>
      <c r="CU938">
        <v>879</v>
      </c>
      <c r="CV938">
        <v>590</v>
      </c>
      <c r="CW938">
        <v>744</v>
      </c>
      <c r="CX938">
        <v>764</v>
      </c>
      <c r="CY938">
        <v>335</v>
      </c>
      <c r="CZ938">
        <v>779</v>
      </c>
      <c r="DA938">
        <v>519</v>
      </c>
      <c r="DB938">
        <v>348</v>
      </c>
      <c r="DC938">
        <v>103</v>
      </c>
      <c r="DD938">
        <v>299</v>
      </c>
      <c r="DE938">
        <v>662</v>
      </c>
      <c r="DF938">
        <v>115</v>
      </c>
      <c r="DG938">
        <v>639</v>
      </c>
      <c r="DH938">
        <v>415</v>
      </c>
      <c r="DI938">
        <v>554</v>
      </c>
      <c r="DJ938">
        <v>893</v>
      </c>
      <c r="DK938">
        <v>306</v>
      </c>
    </row>
    <row r="939" spans="1:115">
      <c r="A939" s="173">
        <f>Calculations[[#This Row],[Sum t eCO2]]*IF(Calculations[[#This Row],[GHG Scope]]="BIOGENIC",0,1)</f>
        <v>3.5796900427092367E-3</v>
      </c>
      <c r="O939">
        <f t="shared" si="20"/>
        <v>91</v>
      </c>
      <c r="P939">
        <v>978</v>
      </c>
      <c r="Q939">
        <v>355</v>
      </c>
      <c r="R939">
        <v>860</v>
      </c>
      <c r="S939">
        <v>344</v>
      </c>
      <c r="T939">
        <v>521</v>
      </c>
      <c r="U939">
        <v>987</v>
      </c>
      <c r="V939">
        <v>617</v>
      </c>
      <c r="W939">
        <v>907</v>
      </c>
      <c r="X939">
        <v>284</v>
      </c>
      <c r="Y939">
        <v>775</v>
      </c>
      <c r="Z939">
        <v>834</v>
      </c>
      <c r="AA939">
        <v>945</v>
      </c>
      <c r="AB939">
        <v>125</v>
      </c>
      <c r="AC939">
        <v>793</v>
      </c>
      <c r="AD939">
        <v>614</v>
      </c>
      <c r="AE939">
        <v>827</v>
      </c>
      <c r="AF939">
        <v>751</v>
      </c>
      <c r="AG939">
        <v>741</v>
      </c>
      <c r="AH939">
        <v>819</v>
      </c>
      <c r="AI939">
        <v>728</v>
      </c>
      <c r="AJ939">
        <v>222</v>
      </c>
      <c r="AK939">
        <v>310</v>
      </c>
      <c r="AL939">
        <v>403</v>
      </c>
      <c r="AM939">
        <v>713</v>
      </c>
      <c r="AN939">
        <v>917</v>
      </c>
      <c r="AO939">
        <v>197</v>
      </c>
      <c r="AP939">
        <v>516</v>
      </c>
      <c r="AQ939">
        <v>482</v>
      </c>
      <c r="AR939">
        <v>419</v>
      </c>
      <c r="AS939">
        <v>129</v>
      </c>
      <c r="AT939">
        <v>572</v>
      </c>
      <c r="AU939">
        <v>844</v>
      </c>
      <c r="AV939">
        <v>772</v>
      </c>
      <c r="AW939">
        <v>550</v>
      </c>
      <c r="AX939">
        <v>209</v>
      </c>
      <c r="AY939">
        <v>230</v>
      </c>
      <c r="AZ939">
        <v>803</v>
      </c>
      <c r="BA939">
        <v>752</v>
      </c>
      <c r="BB939">
        <v>322</v>
      </c>
      <c r="BC939">
        <v>151</v>
      </c>
      <c r="BD939">
        <v>465</v>
      </c>
      <c r="BE939">
        <v>655</v>
      </c>
      <c r="BF939">
        <v>431</v>
      </c>
      <c r="BG939">
        <v>933</v>
      </c>
      <c r="BH939">
        <v>905</v>
      </c>
      <c r="BI939">
        <v>587</v>
      </c>
      <c r="BJ939">
        <v>951</v>
      </c>
      <c r="BK939">
        <v>886</v>
      </c>
      <c r="BL939">
        <v>168</v>
      </c>
      <c r="BM939">
        <v>658</v>
      </c>
      <c r="BN939">
        <v>745</v>
      </c>
      <c r="BO939">
        <v>392</v>
      </c>
      <c r="BP939">
        <v>799</v>
      </c>
      <c r="BQ939">
        <v>629</v>
      </c>
      <c r="BR939">
        <v>282</v>
      </c>
      <c r="BS939">
        <v>646</v>
      </c>
      <c r="BT939">
        <v>460</v>
      </c>
      <c r="BU939">
        <v>679</v>
      </c>
      <c r="BV939">
        <v>602</v>
      </c>
      <c r="BW939">
        <v>764</v>
      </c>
      <c r="BX939">
        <v>753</v>
      </c>
      <c r="BY939">
        <v>232</v>
      </c>
      <c r="BZ939">
        <v>575</v>
      </c>
      <c r="CA939">
        <v>737</v>
      </c>
      <c r="CB939">
        <v>160</v>
      </c>
      <c r="CC939">
        <v>334</v>
      </c>
      <c r="CD939">
        <v>264</v>
      </c>
      <c r="CE939">
        <v>868</v>
      </c>
      <c r="CF939">
        <v>152</v>
      </c>
      <c r="CG939">
        <v>520</v>
      </c>
      <c r="CH939">
        <v>348</v>
      </c>
      <c r="CI939">
        <v>782</v>
      </c>
      <c r="CJ939">
        <v>128</v>
      </c>
      <c r="CK939">
        <v>303</v>
      </c>
      <c r="CL939">
        <v>964</v>
      </c>
      <c r="CM939">
        <v>284</v>
      </c>
      <c r="CN939">
        <v>735</v>
      </c>
      <c r="CO939">
        <v>927</v>
      </c>
      <c r="CP939">
        <v>602</v>
      </c>
      <c r="CQ939">
        <v>430</v>
      </c>
      <c r="CR939">
        <v>278</v>
      </c>
      <c r="CS939">
        <v>327</v>
      </c>
      <c r="CT939">
        <v>206</v>
      </c>
      <c r="CU939">
        <v>750</v>
      </c>
      <c r="CV939">
        <v>980</v>
      </c>
      <c r="CW939">
        <v>562</v>
      </c>
      <c r="CX939">
        <v>153</v>
      </c>
      <c r="CY939">
        <v>849</v>
      </c>
      <c r="CZ939">
        <v>676</v>
      </c>
      <c r="DA939">
        <v>657</v>
      </c>
      <c r="DB939">
        <v>515</v>
      </c>
      <c r="DC939">
        <v>968</v>
      </c>
      <c r="DD939">
        <v>225</v>
      </c>
      <c r="DE939">
        <v>200</v>
      </c>
      <c r="DF939">
        <v>386</v>
      </c>
      <c r="DG939">
        <v>193</v>
      </c>
      <c r="DH939">
        <v>921</v>
      </c>
      <c r="DI939">
        <v>671</v>
      </c>
      <c r="DJ939">
        <v>550</v>
      </c>
      <c r="DK939">
        <v>947</v>
      </c>
    </row>
    <row r="940" spans="1:115">
      <c r="A940" s="173">
        <f>Calculations[[#This Row],[Sum t eCO2]]*IF(Calculations[[#This Row],[GHG Scope]]="BIOGENIC",0,1)</f>
        <v>141.67371598424376</v>
      </c>
      <c r="O940">
        <f t="shared" si="20"/>
        <v>92</v>
      </c>
      <c r="P940">
        <v>422</v>
      </c>
      <c r="Q940">
        <v>888</v>
      </c>
      <c r="R940">
        <v>605</v>
      </c>
      <c r="S940">
        <v>818</v>
      </c>
      <c r="T940">
        <v>264</v>
      </c>
      <c r="U940">
        <v>893</v>
      </c>
      <c r="V940">
        <v>953</v>
      </c>
      <c r="W940">
        <v>362</v>
      </c>
      <c r="X940">
        <v>716</v>
      </c>
      <c r="Y940">
        <v>410</v>
      </c>
      <c r="Z940">
        <v>182</v>
      </c>
      <c r="AA940">
        <v>491</v>
      </c>
      <c r="AB940">
        <v>287</v>
      </c>
      <c r="AC940">
        <v>636</v>
      </c>
      <c r="AD940">
        <v>493</v>
      </c>
      <c r="AE940">
        <v>989</v>
      </c>
      <c r="AF940">
        <v>139</v>
      </c>
      <c r="AG940">
        <v>272</v>
      </c>
      <c r="AH940">
        <v>368</v>
      </c>
      <c r="AI940">
        <v>798</v>
      </c>
      <c r="AJ940">
        <v>249</v>
      </c>
      <c r="AK940">
        <v>971</v>
      </c>
      <c r="AL940">
        <v>998</v>
      </c>
      <c r="AM940">
        <v>975</v>
      </c>
      <c r="AN940">
        <v>454</v>
      </c>
      <c r="AO940">
        <v>362</v>
      </c>
      <c r="AP940">
        <v>347</v>
      </c>
      <c r="AQ940">
        <v>942</v>
      </c>
      <c r="AR940">
        <v>441</v>
      </c>
      <c r="AS940">
        <v>605</v>
      </c>
      <c r="AT940">
        <v>168</v>
      </c>
      <c r="AU940">
        <v>336</v>
      </c>
      <c r="AV940">
        <v>494</v>
      </c>
      <c r="AW940">
        <v>845</v>
      </c>
      <c r="AX940">
        <v>897</v>
      </c>
      <c r="AY940">
        <v>329</v>
      </c>
      <c r="AZ940">
        <v>687</v>
      </c>
      <c r="BA940">
        <v>726</v>
      </c>
      <c r="BB940">
        <v>872</v>
      </c>
      <c r="BC940">
        <v>105</v>
      </c>
      <c r="BD940">
        <v>155</v>
      </c>
      <c r="BE940">
        <v>269</v>
      </c>
      <c r="BF940">
        <v>992</v>
      </c>
      <c r="BG940">
        <v>644</v>
      </c>
      <c r="BH940">
        <v>404</v>
      </c>
      <c r="BI940">
        <v>707</v>
      </c>
      <c r="BJ940">
        <v>103</v>
      </c>
      <c r="BK940">
        <v>640</v>
      </c>
      <c r="BL940">
        <v>368</v>
      </c>
      <c r="BM940">
        <v>208</v>
      </c>
      <c r="BN940">
        <v>464</v>
      </c>
      <c r="BO940">
        <v>185</v>
      </c>
      <c r="BP940">
        <v>940</v>
      </c>
      <c r="BQ940">
        <v>807</v>
      </c>
      <c r="BR940">
        <v>420</v>
      </c>
      <c r="BS940">
        <v>276</v>
      </c>
      <c r="BT940">
        <v>272</v>
      </c>
      <c r="BU940">
        <v>931</v>
      </c>
      <c r="BV940">
        <v>862</v>
      </c>
      <c r="BW940">
        <v>633</v>
      </c>
      <c r="BX940">
        <v>395</v>
      </c>
      <c r="BY940">
        <v>850</v>
      </c>
      <c r="BZ940">
        <v>812</v>
      </c>
      <c r="CA940">
        <v>721</v>
      </c>
      <c r="CB940">
        <v>925</v>
      </c>
      <c r="CC940">
        <v>720</v>
      </c>
      <c r="CD940">
        <v>530</v>
      </c>
      <c r="CE940">
        <v>750</v>
      </c>
      <c r="CF940">
        <v>864</v>
      </c>
      <c r="CG940">
        <v>761</v>
      </c>
      <c r="CH940">
        <v>137</v>
      </c>
      <c r="CI940">
        <v>695</v>
      </c>
      <c r="CJ940">
        <v>673</v>
      </c>
      <c r="CK940">
        <v>373</v>
      </c>
      <c r="CL940">
        <v>624</v>
      </c>
      <c r="CM940">
        <v>666</v>
      </c>
      <c r="CN940">
        <v>574</v>
      </c>
      <c r="CO940">
        <v>640</v>
      </c>
      <c r="CP940">
        <v>333</v>
      </c>
      <c r="CQ940">
        <v>284</v>
      </c>
      <c r="CR940">
        <v>693</v>
      </c>
      <c r="CS940">
        <v>594</v>
      </c>
      <c r="CT940">
        <v>352</v>
      </c>
      <c r="CU940">
        <v>231</v>
      </c>
      <c r="CV940">
        <v>248</v>
      </c>
      <c r="CW940">
        <v>904</v>
      </c>
      <c r="CX940">
        <v>469</v>
      </c>
      <c r="CY940">
        <v>128</v>
      </c>
      <c r="CZ940">
        <v>438</v>
      </c>
      <c r="DA940">
        <v>577</v>
      </c>
      <c r="DB940">
        <v>868</v>
      </c>
      <c r="DC940">
        <v>663</v>
      </c>
      <c r="DD940">
        <v>943</v>
      </c>
      <c r="DE940">
        <v>349</v>
      </c>
      <c r="DF940">
        <v>575</v>
      </c>
      <c r="DG940">
        <v>654</v>
      </c>
      <c r="DH940">
        <v>199</v>
      </c>
      <c r="DI940">
        <v>496</v>
      </c>
      <c r="DJ940">
        <v>760</v>
      </c>
      <c r="DK940">
        <v>482</v>
      </c>
    </row>
    <row r="941" spans="1:115">
      <c r="A941" s="173">
        <f>Calculations[[#This Row],[Sum t eCO2]]*IF(Calculations[[#This Row],[GHG Scope]]="BIOGENIC",0,1)</f>
        <v>4317.6202456844676</v>
      </c>
      <c r="O941">
        <f t="shared" si="20"/>
        <v>93</v>
      </c>
      <c r="P941">
        <v>107</v>
      </c>
      <c r="Q941">
        <v>300</v>
      </c>
      <c r="R941">
        <v>893</v>
      </c>
      <c r="S941">
        <v>478</v>
      </c>
      <c r="T941">
        <v>874</v>
      </c>
      <c r="U941">
        <v>937</v>
      </c>
      <c r="V941">
        <v>676</v>
      </c>
      <c r="W941">
        <v>336</v>
      </c>
      <c r="X941">
        <v>113</v>
      </c>
      <c r="Y941">
        <v>398</v>
      </c>
      <c r="Z941">
        <v>570</v>
      </c>
      <c r="AA941">
        <v>802</v>
      </c>
      <c r="AB941">
        <v>168</v>
      </c>
      <c r="AC941">
        <v>298</v>
      </c>
      <c r="AD941">
        <v>577</v>
      </c>
      <c r="AE941">
        <v>277</v>
      </c>
      <c r="AF941">
        <v>279</v>
      </c>
      <c r="AG941">
        <v>164</v>
      </c>
      <c r="AH941">
        <v>722</v>
      </c>
      <c r="AI941">
        <v>324</v>
      </c>
      <c r="AJ941">
        <v>181</v>
      </c>
      <c r="AK941">
        <v>274</v>
      </c>
      <c r="AL941">
        <v>829</v>
      </c>
      <c r="AM941">
        <v>777</v>
      </c>
      <c r="AN941">
        <v>525</v>
      </c>
      <c r="AO941">
        <v>269</v>
      </c>
      <c r="AP941">
        <v>885</v>
      </c>
      <c r="AQ941">
        <v>740</v>
      </c>
      <c r="AR941">
        <v>876</v>
      </c>
      <c r="AS941">
        <v>478</v>
      </c>
      <c r="AT941">
        <v>764</v>
      </c>
      <c r="AU941">
        <v>594</v>
      </c>
      <c r="AV941">
        <v>622</v>
      </c>
      <c r="AW941">
        <v>789</v>
      </c>
      <c r="AX941">
        <v>616</v>
      </c>
      <c r="AY941">
        <v>620</v>
      </c>
      <c r="AZ941">
        <v>554</v>
      </c>
      <c r="BA941">
        <v>598</v>
      </c>
      <c r="BB941">
        <v>394</v>
      </c>
      <c r="BC941">
        <v>178</v>
      </c>
      <c r="BD941">
        <v>603</v>
      </c>
      <c r="BE941">
        <v>279</v>
      </c>
      <c r="BF941">
        <v>425</v>
      </c>
      <c r="BG941">
        <v>319</v>
      </c>
      <c r="BH941">
        <v>110</v>
      </c>
      <c r="BI941">
        <v>578</v>
      </c>
      <c r="BJ941">
        <v>284</v>
      </c>
      <c r="BK941">
        <v>356</v>
      </c>
      <c r="BL941">
        <v>751</v>
      </c>
      <c r="BM941">
        <v>545</v>
      </c>
      <c r="BN941">
        <v>796</v>
      </c>
      <c r="BO941">
        <v>174</v>
      </c>
      <c r="BP941">
        <v>953</v>
      </c>
      <c r="BQ941">
        <v>640</v>
      </c>
      <c r="BR941">
        <v>173</v>
      </c>
      <c r="BS941">
        <v>217</v>
      </c>
      <c r="BT941">
        <v>879</v>
      </c>
      <c r="BU941">
        <v>197</v>
      </c>
      <c r="BV941">
        <v>223</v>
      </c>
      <c r="BW941">
        <v>484</v>
      </c>
      <c r="BX941">
        <v>949</v>
      </c>
      <c r="BY941">
        <v>497</v>
      </c>
      <c r="BZ941">
        <v>175</v>
      </c>
      <c r="CA941">
        <v>285</v>
      </c>
      <c r="CB941">
        <v>652</v>
      </c>
      <c r="CC941">
        <v>802</v>
      </c>
      <c r="CD941">
        <v>156</v>
      </c>
      <c r="CE941">
        <v>577</v>
      </c>
      <c r="CF941">
        <v>288</v>
      </c>
      <c r="CG941">
        <v>391</v>
      </c>
      <c r="CH941">
        <v>937</v>
      </c>
      <c r="CI941">
        <v>968</v>
      </c>
      <c r="CJ941">
        <v>920</v>
      </c>
      <c r="CK941">
        <v>178</v>
      </c>
      <c r="CL941">
        <v>534</v>
      </c>
      <c r="CM941">
        <v>619</v>
      </c>
      <c r="CN941">
        <v>793</v>
      </c>
      <c r="CO941">
        <v>338</v>
      </c>
      <c r="CP941">
        <v>292</v>
      </c>
      <c r="CQ941">
        <v>667</v>
      </c>
      <c r="CR941">
        <v>716</v>
      </c>
      <c r="CS941">
        <v>435</v>
      </c>
      <c r="CT941">
        <v>788</v>
      </c>
      <c r="CU941">
        <v>344</v>
      </c>
      <c r="CV941">
        <v>500</v>
      </c>
      <c r="CW941">
        <v>478</v>
      </c>
      <c r="CX941">
        <v>538</v>
      </c>
      <c r="CY941">
        <v>457</v>
      </c>
      <c r="CZ941">
        <v>994</v>
      </c>
      <c r="DA941">
        <v>131</v>
      </c>
      <c r="DB941">
        <v>726</v>
      </c>
      <c r="DC941">
        <v>342</v>
      </c>
      <c r="DD941">
        <v>184</v>
      </c>
      <c r="DE941">
        <v>410</v>
      </c>
      <c r="DF941">
        <v>306</v>
      </c>
      <c r="DG941">
        <v>540</v>
      </c>
      <c r="DH941">
        <v>433</v>
      </c>
      <c r="DI941">
        <v>787</v>
      </c>
      <c r="DJ941">
        <v>554</v>
      </c>
      <c r="DK941">
        <v>310</v>
      </c>
    </row>
    <row r="942" spans="1:115">
      <c r="A942" s="173">
        <f>Calculations[[#This Row],[Sum t eCO2]]*IF(Calculations[[#This Row],[GHG Scope]]="BIOGENIC",0,1)</f>
        <v>22.863324418800001</v>
      </c>
      <c r="O942">
        <f t="shared" si="20"/>
        <v>94</v>
      </c>
      <c r="P942">
        <v>822</v>
      </c>
      <c r="Q942">
        <v>256</v>
      </c>
      <c r="R942">
        <v>591</v>
      </c>
      <c r="S942">
        <v>952</v>
      </c>
      <c r="T942">
        <v>328</v>
      </c>
      <c r="U942">
        <v>127</v>
      </c>
      <c r="V942">
        <v>200</v>
      </c>
      <c r="W942">
        <v>190</v>
      </c>
      <c r="X942">
        <v>544</v>
      </c>
      <c r="Y942">
        <v>291</v>
      </c>
      <c r="Z942">
        <v>793</v>
      </c>
      <c r="AA942">
        <v>180</v>
      </c>
      <c r="AB942">
        <v>608</v>
      </c>
      <c r="AC942">
        <v>441</v>
      </c>
      <c r="AD942">
        <v>599</v>
      </c>
      <c r="AE942">
        <v>383</v>
      </c>
      <c r="AF942">
        <v>237</v>
      </c>
      <c r="AG942">
        <v>152</v>
      </c>
      <c r="AH942">
        <v>848</v>
      </c>
      <c r="AI942">
        <v>210</v>
      </c>
      <c r="AJ942">
        <v>731</v>
      </c>
      <c r="AK942">
        <v>521</v>
      </c>
      <c r="AL942">
        <v>689</v>
      </c>
      <c r="AM942">
        <v>511</v>
      </c>
      <c r="AN942">
        <v>318</v>
      </c>
      <c r="AO942">
        <v>378</v>
      </c>
      <c r="AP942">
        <v>889</v>
      </c>
      <c r="AQ942">
        <v>658</v>
      </c>
      <c r="AR942">
        <v>269</v>
      </c>
      <c r="AS942">
        <v>321</v>
      </c>
      <c r="AT942">
        <v>433</v>
      </c>
      <c r="AU942">
        <v>413</v>
      </c>
      <c r="AV942">
        <v>659</v>
      </c>
      <c r="AW942">
        <v>947</v>
      </c>
      <c r="AX942">
        <v>656</v>
      </c>
      <c r="AY942">
        <v>691</v>
      </c>
      <c r="AZ942">
        <v>729</v>
      </c>
      <c r="BA942">
        <v>301</v>
      </c>
      <c r="BB942">
        <v>661</v>
      </c>
      <c r="BC942">
        <v>660</v>
      </c>
      <c r="BD942">
        <v>781</v>
      </c>
      <c r="BE942">
        <v>566</v>
      </c>
      <c r="BF942">
        <v>858</v>
      </c>
      <c r="BG942">
        <v>650</v>
      </c>
      <c r="BH942">
        <v>947</v>
      </c>
      <c r="BI942">
        <v>968</v>
      </c>
      <c r="BJ942">
        <v>753</v>
      </c>
      <c r="BK942">
        <v>546</v>
      </c>
      <c r="BL942">
        <v>160</v>
      </c>
      <c r="BM942">
        <v>871</v>
      </c>
      <c r="BN942">
        <v>345</v>
      </c>
      <c r="BO942">
        <v>232</v>
      </c>
      <c r="BP942">
        <v>639</v>
      </c>
      <c r="BQ942">
        <v>460</v>
      </c>
      <c r="BR942">
        <v>375</v>
      </c>
      <c r="BS942">
        <v>989</v>
      </c>
      <c r="BT942">
        <v>413</v>
      </c>
      <c r="BU942">
        <v>899</v>
      </c>
      <c r="BV942">
        <v>974</v>
      </c>
      <c r="BW942">
        <v>717</v>
      </c>
      <c r="BX942">
        <v>459</v>
      </c>
      <c r="BY942">
        <v>228</v>
      </c>
      <c r="BZ942">
        <v>482</v>
      </c>
      <c r="CA942">
        <v>624</v>
      </c>
      <c r="CB942">
        <v>378</v>
      </c>
      <c r="CC942">
        <v>963</v>
      </c>
      <c r="CD942">
        <v>372</v>
      </c>
      <c r="CE942">
        <v>291</v>
      </c>
      <c r="CF942">
        <v>757</v>
      </c>
      <c r="CG942">
        <v>487</v>
      </c>
      <c r="CH942">
        <v>322</v>
      </c>
      <c r="CI942">
        <v>284</v>
      </c>
      <c r="CJ942">
        <v>310</v>
      </c>
      <c r="CK942">
        <v>659</v>
      </c>
      <c r="CL942">
        <v>546</v>
      </c>
      <c r="CM942">
        <v>318</v>
      </c>
      <c r="CN942">
        <v>942</v>
      </c>
      <c r="CO942">
        <v>740</v>
      </c>
      <c r="CP942">
        <v>993</v>
      </c>
      <c r="CQ942">
        <v>670</v>
      </c>
      <c r="CR942">
        <v>751</v>
      </c>
      <c r="CS942">
        <v>922</v>
      </c>
      <c r="CT942">
        <v>752</v>
      </c>
      <c r="CU942">
        <v>894</v>
      </c>
      <c r="CV942">
        <v>789</v>
      </c>
      <c r="CW942">
        <v>259</v>
      </c>
      <c r="CX942">
        <v>674</v>
      </c>
      <c r="CY942">
        <v>538</v>
      </c>
      <c r="CZ942">
        <v>619</v>
      </c>
      <c r="DA942">
        <v>102</v>
      </c>
      <c r="DB942">
        <v>151</v>
      </c>
      <c r="DC942">
        <v>697</v>
      </c>
      <c r="DD942">
        <v>755</v>
      </c>
      <c r="DE942">
        <v>722</v>
      </c>
      <c r="DF942">
        <v>685</v>
      </c>
      <c r="DG942">
        <v>185</v>
      </c>
      <c r="DH942">
        <v>680</v>
      </c>
      <c r="DI942">
        <v>419</v>
      </c>
      <c r="DJ942">
        <v>588</v>
      </c>
      <c r="DK942">
        <v>512</v>
      </c>
    </row>
    <row r="943" spans="1:115">
      <c r="A943" s="173">
        <f>Calculations[[#This Row],[Sum t eCO2]]*IF(Calculations[[#This Row],[GHG Scope]]="BIOGENIC",0,1)</f>
        <v>456.18271753557059</v>
      </c>
      <c r="O943">
        <f t="shared" si="20"/>
        <v>95</v>
      </c>
      <c r="P943">
        <v>252</v>
      </c>
      <c r="Q943">
        <v>468</v>
      </c>
      <c r="R943">
        <v>885</v>
      </c>
      <c r="S943">
        <v>254</v>
      </c>
      <c r="T943">
        <v>767</v>
      </c>
      <c r="U943">
        <v>754</v>
      </c>
      <c r="V943">
        <v>992</v>
      </c>
      <c r="W943">
        <v>340</v>
      </c>
      <c r="X943">
        <v>785</v>
      </c>
      <c r="Y943">
        <v>752</v>
      </c>
      <c r="Z943">
        <v>552</v>
      </c>
      <c r="AA943">
        <v>610</v>
      </c>
      <c r="AB943">
        <v>581</v>
      </c>
      <c r="AC943">
        <v>334</v>
      </c>
      <c r="AD943">
        <v>143</v>
      </c>
      <c r="AE943">
        <v>235</v>
      </c>
      <c r="AF943">
        <v>932</v>
      </c>
      <c r="AG943">
        <v>117</v>
      </c>
      <c r="AH943">
        <v>686</v>
      </c>
      <c r="AI943">
        <v>457</v>
      </c>
      <c r="AJ943">
        <v>123</v>
      </c>
      <c r="AK943">
        <v>422</v>
      </c>
      <c r="AL943">
        <v>363</v>
      </c>
      <c r="AM943">
        <v>964</v>
      </c>
      <c r="AN943">
        <v>586</v>
      </c>
      <c r="AO943">
        <v>890</v>
      </c>
      <c r="AP943">
        <v>390</v>
      </c>
      <c r="AQ943">
        <v>245</v>
      </c>
      <c r="AR943">
        <v>382</v>
      </c>
      <c r="AS943">
        <v>765</v>
      </c>
      <c r="AT943">
        <v>201</v>
      </c>
      <c r="AU943">
        <v>169</v>
      </c>
      <c r="AV943">
        <v>953</v>
      </c>
      <c r="AW943">
        <v>356</v>
      </c>
      <c r="AX943">
        <v>436</v>
      </c>
      <c r="AY943">
        <v>253</v>
      </c>
      <c r="AZ943">
        <v>858</v>
      </c>
      <c r="BA943">
        <v>450</v>
      </c>
      <c r="BB943">
        <v>327</v>
      </c>
      <c r="BC943">
        <v>277</v>
      </c>
      <c r="BD943">
        <v>354</v>
      </c>
      <c r="BE943">
        <v>854</v>
      </c>
      <c r="BF943">
        <v>906</v>
      </c>
      <c r="BG943">
        <v>690</v>
      </c>
      <c r="BH943">
        <v>958</v>
      </c>
      <c r="BI943">
        <v>357</v>
      </c>
      <c r="BJ943">
        <v>471</v>
      </c>
      <c r="BK943">
        <v>394</v>
      </c>
      <c r="BL943">
        <v>221</v>
      </c>
      <c r="BM943">
        <v>393</v>
      </c>
      <c r="BN943">
        <v>386</v>
      </c>
      <c r="BO943">
        <v>329</v>
      </c>
      <c r="BP943">
        <v>162</v>
      </c>
      <c r="BQ943">
        <v>786</v>
      </c>
      <c r="BR943">
        <v>120</v>
      </c>
      <c r="BS943">
        <v>136</v>
      </c>
      <c r="BT943">
        <v>139</v>
      </c>
      <c r="BU943">
        <v>247</v>
      </c>
      <c r="BV943">
        <v>118</v>
      </c>
      <c r="BW943">
        <v>843</v>
      </c>
      <c r="BX943">
        <v>848</v>
      </c>
      <c r="BY943">
        <v>536</v>
      </c>
      <c r="BZ943">
        <v>605</v>
      </c>
      <c r="CA943">
        <v>652</v>
      </c>
      <c r="CB943">
        <v>940</v>
      </c>
      <c r="CC943">
        <v>331</v>
      </c>
      <c r="CD943">
        <v>155</v>
      </c>
      <c r="CE943">
        <v>467</v>
      </c>
      <c r="CF943">
        <v>225</v>
      </c>
      <c r="CG943">
        <v>124</v>
      </c>
      <c r="CH943">
        <v>604</v>
      </c>
      <c r="CI943">
        <v>217</v>
      </c>
      <c r="CJ943">
        <v>938</v>
      </c>
      <c r="CK943">
        <v>901</v>
      </c>
      <c r="CL943">
        <v>359</v>
      </c>
      <c r="CM943">
        <v>426</v>
      </c>
      <c r="CN943">
        <v>944</v>
      </c>
      <c r="CO943">
        <v>933</v>
      </c>
      <c r="CP943">
        <v>753</v>
      </c>
      <c r="CQ943">
        <v>757</v>
      </c>
      <c r="CR943">
        <v>680</v>
      </c>
      <c r="CS943">
        <v>824</v>
      </c>
      <c r="CT943">
        <v>340</v>
      </c>
      <c r="CU943">
        <v>597</v>
      </c>
      <c r="CV943">
        <v>491</v>
      </c>
      <c r="CW943">
        <v>708</v>
      </c>
      <c r="CX943">
        <v>592</v>
      </c>
      <c r="CY943">
        <v>556</v>
      </c>
      <c r="CZ943">
        <v>689</v>
      </c>
      <c r="DA943">
        <v>353</v>
      </c>
      <c r="DB943">
        <v>614</v>
      </c>
      <c r="DC943">
        <v>289</v>
      </c>
      <c r="DD943">
        <v>285</v>
      </c>
      <c r="DE943">
        <v>146</v>
      </c>
      <c r="DF943">
        <v>325</v>
      </c>
      <c r="DG943">
        <v>514</v>
      </c>
      <c r="DH943">
        <v>949</v>
      </c>
      <c r="DI943">
        <v>541</v>
      </c>
      <c r="DJ943">
        <v>761</v>
      </c>
      <c r="DK943">
        <v>872</v>
      </c>
    </row>
    <row r="944" spans="1:115">
      <c r="A944" s="173">
        <f>Calculations[[#This Row],[Sum t eCO2]]*IF(Calculations[[#This Row],[GHG Scope]]="BIOGENIC",0,1)</f>
        <v>38.656251179400002</v>
      </c>
      <c r="O944">
        <v>1</v>
      </c>
      <c r="P944">
        <v>4196</v>
      </c>
      <c r="Q944">
        <v>5933</v>
      </c>
      <c r="R944">
        <v>4754</v>
      </c>
      <c r="S944">
        <v>5995</v>
      </c>
      <c r="T944">
        <v>8052</v>
      </c>
      <c r="U944">
        <v>5181</v>
      </c>
      <c r="V944">
        <v>8316</v>
      </c>
      <c r="W944">
        <v>6522</v>
      </c>
      <c r="X944">
        <v>4674</v>
      </c>
      <c r="Y944">
        <v>9737</v>
      </c>
      <c r="Z944">
        <v>4043</v>
      </c>
      <c r="AA944">
        <v>2034</v>
      </c>
      <c r="AB944">
        <v>7222</v>
      </c>
      <c r="AC944">
        <v>7487</v>
      </c>
      <c r="AD944">
        <v>8747</v>
      </c>
      <c r="AE944">
        <v>6460</v>
      </c>
      <c r="AF944">
        <v>3656</v>
      </c>
      <c r="AG944">
        <v>9688</v>
      </c>
      <c r="AH944">
        <v>7883</v>
      </c>
      <c r="AI944">
        <v>9877</v>
      </c>
      <c r="AJ944">
        <v>1427</v>
      </c>
      <c r="AK944">
        <v>8958</v>
      </c>
      <c r="AL944">
        <v>6495</v>
      </c>
      <c r="AM944">
        <v>4515</v>
      </c>
      <c r="AN944">
        <v>1462</v>
      </c>
      <c r="AO944">
        <v>7128</v>
      </c>
      <c r="AP944">
        <v>7040</v>
      </c>
      <c r="AQ944">
        <v>9344</v>
      </c>
      <c r="AR944">
        <v>6950</v>
      </c>
      <c r="AS944">
        <v>2962</v>
      </c>
      <c r="AT944">
        <v>3748</v>
      </c>
      <c r="AU944">
        <v>6326</v>
      </c>
      <c r="AV944">
        <v>1140</v>
      </c>
      <c r="AW944">
        <v>1591</v>
      </c>
      <c r="AX944">
        <v>1708</v>
      </c>
      <c r="AY944">
        <v>8862</v>
      </c>
      <c r="AZ944">
        <v>4278</v>
      </c>
      <c r="BA944">
        <v>7382</v>
      </c>
      <c r="BB944">
        <v>8802</v>
      </c>
      <c r="BC944">
        <v>3907</v>
      </c>
      <c r="BD944">
        <v>5209</v>
      </c>
      <c r="BE944">
        <v>2738</v>
      </c>
      <c r="BF944">
        <v>8893</v>
      </c>
      <c r="BG944">
        <v>6070</v>
      </c>
      <c r="BH944">
        <v>4300</v>
      </c>
      <c r="BI944">
        <v>8970</v>
      </c>
      <c r="BJ944">
        <v>9673</v>
      </c>
      <c r="BK944">
        <v>2911</v>
      </c>
      <c r="BL944">
        <v>1659</v>
      </c>
      <c r="BM944">
        <v>3378</v>
      </c>
      <c r="BN944">
        <v>6786</v>
      </c>
      <c r="BO944">
        <v>9957</v>
      </c>
      <c r="BP944">
        <v>9629</v>
      </c>
      <c r="BQ944">
        <v>9098</v>
      </c>
      <c r="BR944">
        <v>4480</v>
      </c>
      <c r="BS944">
        <v>5452</v>
      </c>
      <c r="BT944">
        <v>3680</v>
      </c>
      <c r="BU944">
        <v>6709</v>
      </c>
      <c r="BV944">
        <v>3237</v>
      </c>
      <c r="BW944">
        <v>2985</v>
      </c>
      <c r="BX944">
        <v>7797</v>
      </c>
      <c r="BY944">
        <v>2232</v>
      </c>
      <c r="BZ944">
        <v>9327</v>
      </c>
      <c r="CA944">
        <v>6290</v>
      </c>
      <c r="CB944">
        <v>5853</v>
      </c>
      <c r="CC944">
        <v>8194</v>
      </c>
      <c r="CD944">
        <v>5160</v>
      </c>
      <c r="CE944">
        <v>7309</v>
      </c>
      <c r="CF944">
        <v>7364</v>
      </c>
      <c r="CG944">
        <v>9430</v>
      </c>
      <c r="CH944">
        <v>3149</v>
      </c>
      <c r="CI944">
        <v>1041</v>
      </c>
      <c r="CJ944">
        <v>5119</v>
      </c>
      <c r="CK944">
        <v>7482</v>
      </c>
      <c r="CL944">
        <v>1253</v>
      </c>
      <c r="CM944">
        <v>4568</v>
      </c>
      <c r="CN944">
        <v>7513</v>
      </c>
      <c r="CO944">
        <v>6571</v>
      </c>
      <c r="CP944">
        <v>7361</v>
      </c>
      <c r="CQ944">
        <v>8063</v>
      </c>
      <c r="CR944">
        <v>7153</v>
      </c>
      <c r="CS944">
        <v>6913</v>
      </c>
      <c r="CT944">
        <v>1752</v>
      </c>
      <c r="CU944">
        <v>9909</v>
      </c>
      <c r="CV944">
        <v>6198</v>
      </c>
      <c r="CW944">
        <v>6850</v>
      </c>
      <c r="CX944">
        <v>2129</v>
      </c>
      <c r="CY944">
        <v>9839</v>
      </c>
      <c r="CZ944">
        <v>8821</v>
      </c>
      <c r="DA944">
        <v>4635</v>
      </c>
      <c r="DB944">
        <v>4144</v>
      </c>
      <c r="DC944">
        <v>4460</v>
      </c>
      <c r="DD944">
        <v>8075</v>
      </c>
      <c r="DE944">
        <v>8285</v>
      </c>
      <c r="DF944">
        <v>9146</v>
      </c>
      <c r="DG944">
        <v>6284</v>
      </c>
      <c r="DH944">
        <v>7071</v>
      </c>
      <c r="DI944">
        <v>4477</v>
      </c>
      <c r="DJ944">
        <v>9857</v>
      </c>
      <c r="DK944">
        <v>2250</v>
      </c>
    </row>
    <row r="945" spans="1:115">
      <c r="A945" s="173">
        <f>Calculations[[#This Row],[Sum t eCO2]]*IF(Calculations[[#This Row],[GHG Scope]]="BIOGENIC",0,1)</f>
        <v>521.93113389451412</v>
      </c>
      <c r="O945">
        <f>O944+1</f>
        <v>2</v>
      </c>
      <c r="P945">
        <v>8340</v>
      </c>
      <c r="Q945">
        <v>3406</v>
      </c>
      <c r="R945">
        <v>5658</v>
      </c>
      <c r="S945">
        <v>5055</v>
      </c>
      <c r="T945">
        <v>7889</v>
      </c>
      <c r="U945">
        <v>5221</v>
      </c>
      <c r="V945">
        <v>5725</v>
      </c>
      <c r="W945">
        <v>5095</v>
      </c>
      <c r="X945">
        <v>9589</v>
      </c>
      <c r="Y945">
        <v>4566</v>
      </c>
      <c r="Z945">
        <v>9110</v>
      </c>
      <c r="AA945">
        <v>9074</v>
      </c>
      <c r="AB945">
        <v>3761</v>
      </c>
      <c r="AC945">
        <v>8661</v>
      </c>
      <c r="AD945">
        <v>7230</v>
      </c>
      <c r="AE945">
        <v>3522</v>
      </c>
      <c r="AF945">
        <v>9376</v>
      </c>
      <c r="AG945">
        <v>7251</v>
      </c>
      <c r="AH945">
        <v>8720</v>
      </c>
      <c r="AI945">
        <v>7305</v>
      </c>
      <c r="AJ945">
        <v>2646</v>
      </c>
      <c r="AK945">
        <v>3052</v>
      </c>
      <c r="AL945">
        <v>2893</v>
      </c>
      <c r="AM945">
        <v>9933</v>
      </c>
      <c r="AN945">
        <v>9048</v>
      </c>
      <c r="AO945">
        <v>7818</v>
      </c>
      <c r="AP945">
        <v>5860</v>
      </c>
      <c r="AQ945">
        <v>2699</v>
      </c>
      <c r="AR945">
        <v>5661</v>
      </c>
      <c r="AS945">
        <v>8704</v>
      </c>
      <c r="AT945">
        <v>5956</v>
      </c>
      <c r="AU945">
        <v>8757</v>
      </c>
      <c r="AV945">
        <v>2112</v>
      </c>
      <c r="AW945">
        <v>5993</v>
      </c>
      <c r="AX945">
        <v>7471</v>
      </c>
      <c r="AY945">
        <v>6645</v>
      </c>
      <c r="AZ945">
        <v>6937</v>
      </c>
      <c r="BA945">
        <v>6350</v>
      </c>
      <c r="BB945">
        <v>1614</v>
      </c>
      <c r="BC945">
        <v>6696</v>
      </c>
      <c r="BD945">
        <v>1686</v>
      </c>
      <c r="BE945">
        <v>6945</v>
      </c>
      <c r="BF945">
        <v>4347</v>
      </c>
      <c r="BG945">
        <v>6004</v>
      </c>
      <c r="BH945">
        <v>2060</v>
      </c>
      <c r="BI945">
        <v>8630</v>
      </c>
      <c r="BJ945">
        <v>9165</v>
      </c>
      <c r="BK945">
        <v>7108</v>
      </c>
      <c r="BL945">
        <v>9998</v>
      </c>
      <c r="BM945">
        <v>1207</v>
      </c>
      <c r="BN945">
        <v>6660</v>
      </c>
      <c r="BO945">
        <v>6621</v>
      </c>
      <c r="BP945">
        <v>6634</v>
      </c>
      <c r="BQ945">
        <v>8245</v>
      </c>
      <c r="BR945">
        <v>5422</v>
      </c>
      <c r="BS945">
        <v>1468</v>
      </c>
      <c r="BT945">
        <v>7609</v>
      </c>
      <c r="BU945">
        <v>4609</v>
      </c>
      <c r="BV945">
        <v>5804</v>
      </c>
      <c r="BW945">
        <v>9189</v>
      </c>
      <c r="BX945">
        <v>8893</v>
      </c>
      <c r="BY945">
        <v>1601</v>
      </c>
      <c r="BZ945">
        <v>6661</v>
      </c>
      <c r="CA945">
        <v>1544</v>
      </c>
      <c r="CB945">
        <v>8573</v>
      </c>
      <c r="CC945">
        <v>4946</v>
      </c>
      <c r="CD945">
        <v>3385</v>
      </c>
      <c r="CE945">
        <v>7238</v>
      </c>
      <c r="CF945">
        <v>9667</v>
      </c>
      <c r="CG945">
        <v>6043</v>
      </c>
      <c r="CH945">
        <v>7498</v>
      </c>
      <c r="CI945">
        <v>7610</v>
      </c>
      <c r="CJ945">
        <v>5403</v>
      </c>
      <c r="CK945">
        <v>2668</v>
      </c>
      <c r="CL945">
        <v>3514</v>
      </c>
      <c r="CM945">
        <v>1927</v>
      </c>
      <c r="CN945">
        <v>4027</v>
      </c>
      <c r="CO945">
        <v>2522</v>
      </c>
      <c r="CP945">
        <v>2961</v>
      </c>
      <c r="CQ945">
        <v>6722</v>
      </c>
      <c r="CR945">
        <v>8663</v>
      </c>
      <c r="CS945">
        <v>3931</v>
      </c>
      <c r="CT945">
        <v>7380</v>
      </c>
      <c r="CU945">
        <v>2841</v>
      </c>
      <c r="CV945">
        <v>5966</v>
      </c>
      <c r="CW945">
        <v>1132</v>
      </c>
      <c r="CX945">
        <v>3352</v>
      </c>
      <c r="CY945">
        <v>2936</v>
      </c>
      <c r="CZ945">
        <v>8232</v>
      </c>
      <c r="DA945">
        <v>7452</v>
      </c>
      <c r="DB945">
        <v>3743</v>
      </c>
      <c r="DC945">
        <v>8876</v>
      </c>
      <c r="DD945">
        <v>6910</v>
      </c>
      <c r="DE945">
        <v>3144</v>
      </c>
      <c r="DF945">
        <v>4518</v>
      </c>
      <c r="DG945">
        <v>1214</v>
      </c>
      <c r="DH945">
        <v>2244</v>
      </c>
      <c r="DI945">
        <v>5790</v>
      </c>
      <c r="DJ945">
        <v>1303</v>
      </c>
      <c r="DK945">
        <v>4041</v>
      </c>
    </row>
    <row r="946" spans="1:115">
      <c r="A946" s="173">
        <f>Calculations[[#This Row],[Sum t eCO2]]*IF(Calculations[[#This Row],[GHG Scope]]="BIOGENIC",0,1)</f>
        <v>136.56560735358048</v>
      </c>
      <c r="O946">
        <f t="shared" ref="O946:O968" si="21">O945+1</f>
        <v>3</v>
      </c>
      <c r="P946">
        <v>5950</v>
      </c>
      <c r="Q946">
        <v>1303</v>
      </c>
      <c r="R946">
        <v>2114</v>
      </c>
      <c r="S946">
        <v>3137</v>
      </c>
      <c r="T946">
        <v>8417</v>
      </c>
      <c r="U946">
        <v>2615</v>
      </c>
      <c r="V946">
        <v>8277</v>
      </c>
      <c r="W946">
        <v>4787</v>
      </c>
      <c r="X946">
        <v>7897</v>
      </c>
      <c r="Y946">
        <v>5896</v>
      </c>
      <c r="Z946">
        <v>9938</v>
      </c>
      <c r="AA946">
        <v>7209</v>
      </c>
      <c r="AB946">
        <v>4943</v>
      </c>
      <c r="AC946">
        <v>1586</v>
      </c>
      <c r="AD946">
        <v>1709</v>
      </c>
      <c r="AE946">
        <v>5710</v>
      </c>
      <c r="AF946">
        <v>7256</v>
      </c>
      <c r="AG946">
        <v>9464</v>
      </c>
      <c r="AH946">
        <v>2507</v>
      </c>
      <c r="AI946">
        <v>3605</v>
      </c>
      <c r="AJ946">
        <v>4137</v>
      </c>
      <c r="AK946">
        <v>7799</v>
      </c>
      <c r="AL946">
        <v>8757</v>
      </c>
      <c r="AM946">
        <v>8478</v>
      </c>
      <c r="AN946">
        <v>5296</v>
      </c>
      <c r="AO946">
        <v>4232</v>
      </c>
      <c r="AP946">
        <v>8189</v>
      </c>
      <c r="AQ946">
        <v>6699</v>
      </c>
      <c r="AR946">
        <v>4384</v>
      </c>
      <c r="AS946">
        <v>7963</v>
      </c>
      <c r="AT946">
        <v>6961</v>
      </c>
      <c r="AU946">
        <v>7560</v>
      </c>
      <c r="AV946">
        <v>5058</v>
      </c>
      <c r="AW946">
        <v>5236</v>
      </c>
      <c r="AX946">
        <v>8671</v>
      </c>
      <c r="AY946">
        <v>1453</v>
      </c>
      <c r="AZ946">
        <v>6365</v>
      </c>
      <c r="BA946">
        <v>1599</v>
      </c>
      <c r="BB946">
        <v>5339</v>
      </c>
      <c r="BC946">
        <v>2975</v>
      </c>
      <c r="BD946">
        <v>3193</v>
      </c>
      <c r="BE946">
        <v>4647</v>
      </c>
      <c r="BF946">
        <v>3831</v>
      </c>
      <c r="BG946">
        <v>8813</v>
      </c>
      <c r="BH946">
        <v>2967</v>
      </c>
      <c r="BI946">
        <v>9951</v>
      </c>
      <c r="BJ946">
        <v>9739</v>
      </c>
      <c r="BK946">
        <v>9665</v>
      </c>
      <c r="BL946">
        <v>6359</v>
      </c>
      <c r="BM946">
        <v>5656</v>
      </c>
      <c r="BN946">
        <v>4173</v>
      </c>
      <c r="BO946">
        <v>6756</v>
      </c>
      <c r="BP946">
        <v>6627</v>
      </c>
      <c r="BQ946">
        <v>1803</v>
      </c>
      <c r="BR946">
        <v>4841</v>
      </c>
      <c r="BS946">
        <v>9540</v>
      </c>
      <c r="BT946">
        <v>4188</v>
      </c>
      <c r="BU946">
        <v>7728</v>
      </c>
      <c r="BV946">
        <v>1168</v>
      </c>
      <c r="BW946">
        <v>5345</v>
      </c>
      <c r="BX946">
        <v>5662</v>
      </c>
      <c r="BY946">
        <v>8011</v>
      </c>
      <c r="BZ946">
        <v>6723</v>
      </c>
      <c r="CA946">
        <v>5202</v>
      </c>
      <c r="CB946">
        <v>9892</v>
      </c>
      <c r="CC946">
        <v>7470</v>
      </c>
      <c r="CD946">
        <v>4090</v>
      </c>
      <c r="CE946">
        <v>1524</v>
      </c>
      <c r="CF946">
        <v>9863</v>
      </c>
      <c r="CG946">
        <v>9461</v>
      </c>
      <c r="CH946">
        <v>5135</v>
      </c>
      <c r="CI946">
        <v>4037</v>
      </c>
      <c r="CJ946">
        <v>7320</v>
      </c>
      <c r="CK946">
        <v>6560</v>
      </c>
      <c r="CL946">
        <v>6456</v>
      </c>
      <c r="CM946">
        <v>2796</v>
      </c>
      <c r="CN946">
        <v>4740</v>
      </c>
      <c r="CO946">
        <v>7360</v>
      </c>
      <c r="CP946">
        <v>1912</v>
      </c>
      <c r="CQ946">
        <v>2117</v>
      </c>
      <c r="CR946">
        <v>1141</v>
      </c>
      <c r="CS946">
        <v>3021</v>
      </c>
      <c r="CT946">
        <v>3782</v>
      </c>
      <c r="CU946">
        <v>3431</v>
      </c>
      <c r="CV946">
        <v>6375</v>
      </c>
      <c r="CW946">
        <v>3498</v>
      </c>
      <c r="CX946">
        <v>7364</v>
      </c>
      <c r="CY946">
        <v>1331</v>
      </c>
      <c r="CZ946">
        <v>7104</v>
      </c>
      <c r="DA946">
        <v>5379</v>
      </c>
      <c r="DB946">
        <v>5332</v>
      </c>
      <c r="DC946">
        <v>6307</v>
      </c>
      <c r="DD946">
        <v>5712</v>
      </c>
      <c r="DE946">
        <v>4701</v>
      </c>
      <c r="DF946">
        <v>1757</v>
      </c>
      <c r="DG946">
        <v>9010</v>
      </c>
      <c r="DH946">
        <v>6825</v>
      </c>
      <c r="DI946">
        <v>9054</v>
      </c>
      <c r="DJ946">
        <v>5710</v>
      </c>
      <c r="DK946">
        <v>8885</v>
      </c>
    </row>
    <row r="947" spans="1:115">
      <c r="A947" s="173">
        <f>Calculations[[#This Row],[Sum t eCO2]]*IF(Calculations[[#This Row],[GHG Scope]]="BIOGENIC",0,1)</f>
        <v>350.0561528404898</v>
      </c>
      <c r="O947">
        <f t="shared" si="21"/>
        <v>4</v>
      </c>
      <c r="P947">
        <v>1998</v>
      </c>
      <c r="Q947">
        <v>2250</v>
      </c>
      <c r="R947">
        <v>5011</v>
      </c>
      <c r="S947">
        <v>7510</v>
      </c>
      <c r="T947">
        <v>1100</v>
      </c>
      <c r="U947">
        <v>3621</v>
      </c>
      <c r="V947">
        <v>8808</v>
      </c>
      <c r="W947">
        <v>4219</v>
      </c>
      <c r="X947">
        <v>2422</v>
      </c>
      <c r="Y947">
        <v>6388</v>
      </c>
      <c r="Z947">
        <v>1776</v>
      </c>
      <c r="AA947">
        <v>2402</v>
      </c>
      <c r="AB947">
        <v>9287</v>
      </c>
      <c r="AC947">
        <v>8695</v>
      </c>
      <c r="AD947">
        <v>5804</v>
      </c>
      <c r="AE947">
        <v>3383</v>
      </c>
      <c r="AF947">
        <v>1744</v>
      </c>
      <c r="AG947">
        <v>2167</v>
      </c>
      <c r="AH947">
        <v>6093</v>
      </c>
      <c r="AI947">
        <v>2091</v>
      </c>
      <c r="AJ947">
        <v>5033</v>
      </c>
      <c r="AK947">
        <v>4245</v>
      </c>
      <c r="AL947">
        <v>8078</v>
      </c>
      <c r="AM947">
        <v>8254</v>
      </c>
      <c r="AN947">
        <v>4667</v>
      </c>
      <c r="AO947">
        <v>5340</v>
      </c>
      <c r="AP947">
        <v>7862</v>
      </c>
      <c r="AQ947">
        <v>4652</v>
      </c>
      <c r="AR947">
        <v>3054</v>
      </c>
      <c r="AS947">
        <v>1017</v>
      </c>
      <c r="AT947">
        <v>8918</v>
      </c>
      <c r="AU947">
        <v>3461</v>
      </c>
      <c r="AV947">
        <v>9694</v>
      </c>
      <c r="AW947">
        <v>1233</v>
      </c>
      <c r="AX947">
        <v>9658</v>
      </c>
      <c r="AY947">
        <v>5905</v>
      </c>
      <c r="AZ947">
        <v>2428</v>
      </c>
      <c r="BA947">
        <v>9499</v>
      </c>
      <c r="BB947">
        <v>6220</v>
      </c>
      <c r="BC947">
        <v>6677</v>
      </c>
      <c r="BD947">
        <v>5114</v>
      </c>
      <c r="BE947">
        <v>8885</v>
      </c>
      <c r="BF947">
        <v>8748</v>
      </c>
      <c r="BG947">
        <v>9827</v>
      </c>
      <c r="BH947">
        <v>8133</v>
      </c>
      <c r="BI947">
        <v>7897</v>
      </c>
      <c r="BJ947">
        <v>1965</v>
      </c>
      <c r="BK947">
        <v>4362</v>
      </c>
      <c r="BL947">
        <v>8173</v>
      </c>
      <c r="BM947">
        <v>3910</v>
      </c>
      <c r="BN947">
        <v>8300</v>
      </c>
      <c r="BO947">
        <v>6269</v>
      </c>
      <c r="BP947">
        <v>6313</v>
      </c>
      <c r="BQ947">
        <v>3204</v>
      </c>
      <c r="BR947">
        <v>9709</v>
      </c>
      <c r="BS947">
        <v>3385</v>
      </c>
      <c r="BT947">
        <v>1252</v>
      </c>
      <c r="BU947">
        <v>4643</v>
      </c>
      <c r="BV947">
        <v>3846</v>
      </c>
      <c r="BW947">
        <v>5527</v>
      </c>
      <c r="BX947">
        <v>5956</v>
      </c>
      <c r="BY947">
        <v>1808</v>
      </c>
      <c r="BZ947">
        <v>2289</v>
      </c>
      <c r="CA947">
        <v>7411</v>
      </c>
      <c r="CB947">
        <v>3668</v>
      </c>
      <c r="CC947">
        <v>5303</v>
      </c>
      <c r="CD947">
        <v>9471</v>
      </c>
      <c r="CE947">
        <v>3614</v>
      </c>
      <c r="CF947">
        <v>3625</v>
      </c>
      <c r="CG947">
        <v>2842</v>
      </c>
      <c r="CH947">
        <v>9061</v>
      </c>
      <c r="CI947">
        <v>1265</v>
      </c>
      <c r="CJ947">
        <v>8735</v>
      </c>
      <c r="CK947">
        <v>4181</v>
      </c>
      <c r="CL947">
        <v>5791</v>
      </c>
      <c r="CM947">
        <v>8794</v>
      </c>
      <c r="CN947">
        <v>4149</v>
      </c>
      <c r="CO947">
        <v>4815</v>
      </c>
      <c r="CP947">
        <v>6158</v>
      </c>
      <c r="CQ947">
        <v>9938</v>
      </c>
      <c r="CR947">
        <v>6233</v>
      </c>
      <c r="CS947">
        <v>1686</v>
      </c>
      <c r="CT947">
        <v>1318</v>
      </c>
      <c r="CU947">
        <v>9567</v>
      </c>
      <c r="CV947">
        <v>8250</v>
      </c>
      <c r="CW947">
        <v>8572</v>
      </c>
      <c r="CX947">
        <v>4176</v>
      </c>
      <c r="CY947">
        <v>1282</v>
      </c>
      <c r="CZ947">
        <v>9019</v>
      </c>
      <c r="DA947">
        <v>4016</v>
      </c>
      <c r="DB947">
        <v>8262</v>
      </c>
      <c r="DC947">
        <v>6567</v>
      </c>
      <c r="DD947">
        <v>1440</v>
      </c>
      <c r="DE947">
        <v>2079</v>
      </c>
      <c r="DF947">
        <v>4213</v>
      </c>
      <c r="DG947">
        <v>1987</v>
      </c>
      <c r="DH947">
        <v>6352</v>
      </c>
      <c r="DI947">
        <v>1816</v>
      </c>
      <c r="DJ947">
        <v>9975</v>
      </c>
      <c r="DK947">
        <v>7078</v>
      </c>
    </row>
    <row r="948" spans="1:115">
      <c r="A948" s="173">
        <f>Calculations[[#This Row],[Sum t eCO2]]*IF(Calculations[[#This Row],[GHG Scope]]="BIOGENIC",0,1)</f>
        <v>830.89404700524403</v>
      </c>
      <c r="O948">
        <f t="shared" si="21"/>
        <v>5</v>
      </c>
      <c r="P948">
        <v>4079</v>
      </c>
      <c r="Q948">
        <v>3134</v>
      </c>
      <c r="R948">
        <v>1618</v>
      </c>
      <c r="S948">
        <v>1693</v>
      </c>
      <c r="T948">
        <v>8731</v>
      </c>
      <c r="U948">
        <v>6717</v>
      </c>
      <c r="V948">
        <v>2897</v>
      </c>
      <c r="W948">
        <v>2776</v>
      </c>
      <c r="X948">
        <v>9914</v>
      </c>
      <c r="Y948">
        <v>8244</v>
      </c>
      <c r="Z948">
        <v>7002</v>
      </c>
      <c r="AA948">
        <v>2440</v>
      </c>
      <c r="AB948">
        <v>3955</v>
      </c>
      <c r="AC948">
        <v>1443</v>
      </c>
      <c r="AD948">
        <v>6416</v>
      </c>
      <c r="AE948">
        <v>3858</v>
      </c>
      <c r="AF948">
        <v>5121</v>
      </c>
      <c r="AG948">
        <v>8183</v>
      </c>
      <c r="AH948">
        <v>5736</v>
      </c>
      <c r="AI948">
        <v>8616</v>
      </c>
      <c r="AJ948">
        <v>4312</v>
      </c>
      <c r="AK948">
        <v>1440</v>
      </c>
      <c r="AL948">
        <v>3175</v>
      </c>
      <c r="AM948">
        <v>5998</v>
      </c>
      <c r="AN948">
        <v>1224</v>
      </c>
      <c r="AO948">
        <v>5673</v>
      </c>
      <c r="AP948">
        <v>2138</v>
      </c>
      <c r="AQ948">
        <v>6509</v>
      </c>
      <c r="AR948">
        <v>4668</v>
      </c>
      <c r="AS948">
        <v>7038</v>
      </c>
      <c r="AT948">
        <v>2455</v>
      </c>
      <c r="AU948">
        <v>2544</v>
      </c>
      <c r="AV948">
        <v>5689</v>
      </c>
      <c r="AW948">
        <v>1284</v>
      </c>
      <c r="AX948">
        <v>4768</v>
      </c>
      <c r="AY948">
        <v>1245</v>
      </c>
      <c r="AZ948">
        <v>7761</v>
      </c>
      <c r="BA948">
        <v>2187</v>
      </c>
      <c r="BB948">
        <v>4826</v>
      </c>
      <c r="BC948">
        <v>3870</v>
      </c>
      <c r="BD948">
        <v>5127</v>
      </c>
      <c r="BE948">
        <v>9845</v>
      </c>
      <c r="BF948">
        <v>3707</v>
      </c>
      <c r="BG948">
        <v>4005</v>
      </c>
      <c r="BH948">
        <v>5316</v>
      </c>
      <c r="BI948">
        <v>7534</v>
      </c>
      <c r="BJ948">
        <v>2438</v>
      </c>
      <c r="BK948">
        <v>8802</v>
      </c>
      <c r="BL948">
        <v>5907</v>
      </c>
      <c r="BM948">
        <v>1439</v>
      </c>
      <c r="BN948">
        <v>6303</v>
      </c>
      <c r="BO948">
        <v>8247</v>
      </c>
      <c r="BP948">
        <v>6421</v>
      </c>
      <c r="BQ948">
        <v>5366</v>
      </c>
      <c r="BR948">
        <v>2590</v>
      </c>
      <c r="BS948">
        <v>4895</v>
      </c>
      <c r="BT948">
        <v>8808</v>
      </c>
      <c r="BU948">
        <v>2383</v>
      </c>
      <c r="BV948">
        <v>9606</v>
      </c>
      <c r="BW948">
        <v>8959</v>
      </c>
      <c r="BX948">
        <v>6911</v>
      </c>
      <c r="BY948">
        <v>7702</v>
      </c>
      <c r="BZ948">
        <v>1156</v>
      </c>
      <c r="CA948">
        <v>1397</v>
      </c>
      <c r="CB948">
        <v>5582</v>
      </c>
      <c r="CC948">
        <v>6392</v>
      </c>
      <c r="CD948">
        <v>2167</v>
      </c>
      <c r="CE948">
        <v>9194</v>
      </c>
      <c r="CF948">
        <v>8157</v>
      </c>
      <c r="CG948">
        <v>9923</v>
      </c>
      <c r="CH948">
        <v>9095</v>
      </c>
      <c r="CI948">
        <v>3517</v>
      </c>
      <c r="CJ948">
        <v>8849</v>
      </c>
      <c r="CK948">
        <v>3877</v>
      </c>
      <c r="CL948">
        <v>7653</v>
      </c>
      <c r="CM948">
        <v>1433</v>
      </c>
      <c r="CN948">
        <v>7219</v>
      </c>
      <c r="CO948">
        <v>9556</v>
      </c>
      <c r="CP948">
        <v>4690</v>
      </c>
      <c r="CQ948">
        <v>8967</v>
      </c>
      <c r="CR948">
        <v>2512</v>
      </c>
      <c r="CS948">
        <v>1113</v>
      </c>
      <c r="CT948">
        <v>5379</v>
      </c>
      <c r="CU948">
        <v>5656</v>
      </c>
      <c r="CV948">
        <v>3600</v>
      </c>
      <c r="CW948">
        <v>6825</v>
      </c>
      <c r="CX948">
        <v>7962</v>
      </c>
      <c r="CY948">
        <v>8472</v>
      </c>
      <c r="CZ948">
        <v>7645</v>
      </c>
      <c r="DA948">
        <v>2823</v>
      </c>
      <c r="DB948">
        <v>4814</v>
      </c>
      <c r="DC948">
        <v>2513</v>
      </c>
      <c r="DD948">
        <v>4535</v>
      </c>
      <c r="DE948">
        <v>6976</v>
      </c>
      <c r="DF948">
        <v>6028</v>
      </c>
      <c r="DG948">
        <v>8481</v>
      </c>
      <c r="DH948">
        <v>3301</v>
      </c>
      <c r="DI948">
        <v>6027</v>
      </c>
      <c r="DJ948">
        <v>1841</v>
      </c>
      <c r="DK948">
        <v>6327</v>
      </c>
    </row>
    <row r="949" spans="1:115">
      <c r="A949" s="173">
        <f>Calculations[[#This Row],[Sum t eCO2]]*IF(Calculations[[#This Row],[GHG Scope]]="BIOGENIC",0,1)</f>
        <v>1829.6054781521127</v>
      </c>
      <c r="O949">
        <f t="shared" si="21"/>
        <v>6</v>
      </c>
      <c r="P949">
        <v>6489</v>
      </c>
      <c r="Q949">
        <v>1487</v>
      </c>
      <c r="R949">
        <v>4507</v>
      </c>
      <c r="S949">
        <v>9546</v>
      </c>
      <c r="T949">
        <v>6666</v>
      </c>
      <c r="U949">
        <v>5850</v>
      </c>
      <c r="V949">
        <v>5968</v>
      </c>
      <c r="W949">
        <v>7917</v>
      </c>
      <c r="X949">
        <v>1585</v>
      </c>
      <c r="Y949">
        <v>5930</v>
      </c>
      <c r="Z949">
        <v>3213</v>
      </c>
      <c r="AA949">
        <v>2438</v>
      </c>
      <c r="AB949">
        <v>5927</v>
      </c>
      <c r="AC949">
        <v>2119</v>
      </c>
      <c r="AD949">
        <v>5077</v>
      </c>
      <c r="AE949">
        <v>9878</v>
      </c>
      <c r="AF949">
        <v>9283</v>
      </c>
      <c r="AG949">
        <v>7674</v>
      </c>
      <c r="AH949">
        <v>1718</v>
      </c>
      <c r="AI949">
        <v>8134</v>
      </c>
      <c r="AJ949">
        <v>2999</v>
      </c>
      <c r="AK949">
        <v>4448</v>
      </c>
      <c r="AL949">
        <v>2156</v>
      </c>
      <c r="AM949">
        <v>4206</v>
      </c>
      <c r="AN949">
        <v>6313</v>
      </c>
      <c r="AO949">
        <v>6130</v>
      </c>
      <c r="AP949">
        <v>7992</v>
      </c>
      <c r="AQ949">
        <v>2046</v>
      </c>
      <c r="AR949">
        <v>9947</v>
      </c>
      <c r="AS949">
        <v>8974</v>
      </c>
      <c r="AT949">
        <v>5676</v>
      </c>
      <c r="AU949">
        <v>2651</v>
      </c>
      <c r="AV949">
        <v>1394</v>
      </c>
      <c r="AW949">
        <v>9148</v>
      </c>
      <c r="AX949">
        <v>9604</v>
      </c>
      <c r="AY949">
        <v>8872</v>
      </c>
      <c r="AZ949">
        <v>2309</v>
      </c>
      <c r="BA949">
        <v>5991</v>
      </c>
      <c r="BB949">
        <v>8112</v>
      </c>
      <c r="BC949">
        <v>9201</v>
      </c>
      <c r="BD949">
        <v>7560</v>
      </c>
      <c r="BE949">
        <v>8573</v>
      </c>
      <c r="BF949">
        <v>2407</v>
      </c>
      <c r="BG949">
        <v>6084</v>
      </c>
      <c r="BH949">
        <v>8315</v>
      </c>
      <c r="BI949">
        <v>8524</v>
      </c>
      <c r="BJ949">
        <v>6255</v>
      </c>
      <c r="BK949">
        <v>1012</v>
      </c>
      <c r="BL949">
        <v>4016</v>
      </c>
      <c r="BM949">
        <v>3127</v>
      </c>
      <c r="BN949">
        <v>6284</v>
      </c>
      <c r="BO949">
        <v>4709</v>
      </c>
      <c r="BP949">
        <v>8867</v>
      </c>
      <c r="BQ949">
        <v>5867</v>
      </c>
      <c r="BR949">
        <v>9912</v>
      </c>
      <c r="BS949">
        <v>1847</v>
      </c>
      <c r="BT949">
        <v>4930</v>
      </c>
      <c r="BU949">
        <v>4095</v>
      </c>
      <c r="BV949">
        <v>8786</v>
      </c>
      <c r="BW949">
        <v>3370</v>
      </c>
      <c r="BX949">
        <v>8469</v>
      </c>
      <c r="BY949">
        <v>5486</v>
      </c>
      <c r="BZ949">
        <v>4100</v>
      </c>
      <c r="CA949">
        <v>4572</v>
      </c>
      <c r="CB949">
        <v>3525</v>
      </c>
      <c r="CC949">
        <v>7639</v>
      </c>
      <c r="CD949">
        <v>6002</v>
      </c>
      <c r="CE949">
        <v>4139</v>
      </c>
      <c r="CF949">
        <v>1444</v>
      </c>
      <c r="CG949">
        <v>7514</v>
      </c>
      <c r="CH949">
        <v>7805</v>
      </c>
      <c r="CI949">
        <v>7753</v>
      </c>
      <c r="CJ949">
        <v>4116</v>
      </c>
      <c r="CK949">
        <v>3315</v>
      </c>
      <c r="CL949">
        <v>5714</v>
      </c>
      <c r="CM949">
        <v>3570</v>
      </c>
      <c r="CN949">
        <v>4518</v>
      </c>
      <c r="CO949">
        <v>5490</v>
      </c>
      <c r="CP949">
        <v>9749</v>
      </c>
      <c r="CQ949">
        <v>8886</v>
      </c>
      <c r="CR949">
        <v>8319</v>
      </c>
      <c r="CS949">
        <v>4106</v>
      </c>
      <c r="CT949">
        <v>3509</v>
      </c>
      <c r="CU949">
        <v>2674</v>
      </c>
      <c r="CV949">
        <v>9144</v>
      </c>
      <c r="CW949">
        <v>5828</v>
      </c>
      <c r="CX949">
        <v>2351</v>
      </c>
      <c r="CY949">
        <v>2821</v>
      </c>
      <c r="CZ949">
        <v>4439</v>
      </c>
      <c r="DA949">
        <v>4305</v>
      </c>
      <c r="DB949">
        <v>6926</v>
      </c>
      <c r="DC949">
        <v>6293</v>
      </c>
      <c r="DD949">
        <v>5093</v>
      </c>
      <c r="DE949">
        <v>1871</v>
      </c>
      <c r="DF949">
        <v>6892</v>
      </c>
      <c r="DG949">
        <v>8023</v>
      </c>
      <c r="DH949">
        <v>7150</v>
      </c>
      <c r="DI949">
        <v>9301</v>
      </c>
      <c r="DJ949">
        <v>5173</v>
      </c>
      <c r="DK949">
        <v>1821</v>
      </c>
    </row>
    <row r="950" spans="1:115">
      <c r="A950" s="173">
        <f>Calculations[[#This Row],[Sum t eCO2]]*IF(Calculations[[#This Row],[GHG Scope]]="BIOGENIC",0,1)</f>
        <v>619.73771736945218</v>
      </c>
      <c r="O950">
        <f t="shared" si="21"/>
        <v>7</v>
      </c>
      <c r="P950">
        <v>5681</v>
      </c>
      <c r="Q950">
        <v>6362</v>
      </c>
      <c r="R950">
        <v>6947</v>
      </c>
      <c r="S950">
        <v>5489</v>
      </c>
      <c r="T950">
        <v>6772</v>
      </c>
      <c r="U950">
        <v>7569</v>
      </c>
      <c r="V950">
        <v>2440</v>
      </c>
      <c r="W950">
        <v>6397</v>
      </c>
      <c r="X950">
        <v>1403</v>
      </c>
      <c r="Y950">
        <v>6097</v>
      </c>
      <c r="Z950">
        <v>8831</v>
      </c>
      <c r="AA950">
        <v>1976</v>
      </c>
      <c r="AB950">
        <v>7302</v>
      </c>
      <c r="AC950">
        <v>8552</v>
      </c>
      <c r="AD950">
        <v>7435</v>
      </c>
      <c r="AE950">
        <v>4561</v>
      </c>
      <c r="AF950">
        <v>6381</v>
      </c>
      <c r="AG950">
        <v>6623</v>
      </c>
      <c r="AH950">
        <v>5878</v>
      </c>
      <c r="AI950">
        <v>5672</v>
      </c>
      <c r="AJ950">
        <v>1132</v>
      </c>
      <c r="AK950">
        <v>7656</v>
      </c>
      <c r="AL950">
        <v>4676</v>
      </c>
      <c r="AM950">
        <v>2562</v>
      </c>
      <c r="AN950">
        <v>9616</v>
      </c>
      <c r="AO950">
        <v>5482</v>
      </c>
      <c r="AP950">
        <v>3623</v>
      </c>
      <c r="AQ950">
        <v>9391</v>
      </c>
      <c r="AR950">
        <v>5209</v>
      </c>
      <c r="AS950">
        <v>9018</v>
      </c>
      <c r="AT950">
        <v>4627</v>
      </c>
      <c r="AU950">
        <v>2738</v>
      </c>
      <c r="AV950">
        <v>6371</v>
      </c>
      <c r="AW950">
        <v>1660</v>
      </c>
      <c r="AX950">
        <v>7081</v>
      </c>
      <c r="AY950">
        <v>1492</v>
      </c>
      <c r="AZ950">
        <v>9751</v>
      </c>
      <c r="BA950">
        <v>6921</v>
      </c>
      <c r="BB950">
        <v>7139</v>
      </c>
      <c r="BC950">
        <v>3539</v>
      </c>
      <c r="BD950">
        <v>3778</v>
      </c>
      <c r="BE950">
        <v>4233</v>
      </c>
      <c r="BF950">
        <v>2558</v>
      </c>
      <c r="BG950">
        <v>3089</v>
      </c>
      <c r="BH950">
        <v>2240</v>
      </c>
      <c r="BI950">
        <v>9564</v>
      </c>
      <c r="BJ950">
        <v>6347</v>
      </c>
      <c r="BK950">
        <v>8720</v>
      </c>
      <c r="BL950">
        <v>9848</v>
      </c>
      <c r="BM950">
        <v>5811</v>
      </c>
      <c r="BN950">
        <v>8097</v>
      </c>
      <c r="BO950">
        <v>2497</v>
      </c>
      <c r="BP950">
        <v>6523</v>
      </c>
      <c r="BQ950">
        <v>6351</v>
      </c>
      <c r="BR950">
        <v>6677</v>
      </c>
      <c r="BS950">
        <v>6662</v>
      </c>
      <c r="BT950">
        <v>3687</v>
      </c>
      <c r="BU950">
        <v>7794</v>
      </c>
      <c r="BV950">
        <v>4106</v>
      </c>
      <c r="BW950">
        <v>5923</v>
      </c>
      <c r="BX950">
        <v>6441</v>
      </c>
      <c r="BY950">
        <v>7779</v>
      </c>
      <c r="BZ950">
        <v>6661</v>
      </c>
      <c r="CA950">
        <v>4824</v>
      </c>
      <c r="CB950">
        <v>8992</v>
      </c>
      <c r="CC950">
        <v>6089</v>
      </c>
      <c r="CD950">
        <v>1882</v>
      </c>
      <c r="CE950">
        <v>4474</v>
      </c>
      <c r="CF950">
        <v>3775</v>
      </c>
      <c r="CG950">
        <v>5822</v>
      </c>
      <c r="CH950">
        <v>9119</v>
      </c>
      <c r="CI950">
        <v>7010</v>
      </c>
      <c r="CJ950">
        <v>1694</v>
      </c>
      <c r="CK950">
        <v>1728</v>
      </c>
      <c r="CL950">
        <v>2325</v>
      </c>
      <c r="CM950">
        <v>6154</v>
      </c>
      <c r="CN950">
        <v>3740</v>
      </c>
      <c r="CO950">
        <v>6135</v>
      </c>
      <c r="CP950">
        <v>1370</v>
      </c>
      <c r="CQ950">
        <v>9715</v>
      </c>
      <c r="CR950">
        <v>5912</v>
      </c>
      <c r="CS950">
        <v>8511</v>
      </c>
      <c r="CT950">
        <v>8359</v>
      </c>
      <c r="CU950">
        <v>9900</v>
      </c>
      <c r="CV950">
        <v>2503</v>
      </c>
      <c r="CW950">
        <v>4717</v>
      </c>
      <c r="CX950">
        <v>4220</v>
      </c>
      <c r="CY950">
        <v>1254</v>
      </c>
      <c r="CZ950">
        <v>4624</v>
      </c>
      <c r="DA950">
        <v>3276</v>
      </c>
      <c r="DB950">
        <v>4813</v>
      </c>
      <c r="DC950">
        <v>8112</v>
      </c>
      <c r="DD950">
        <v>2811</v>
      </c>
      <c r="DE950">
        <v>3114</v>
      </c>
      <c r="DF950">
        <v>2630</v>
      </c>
      <c r="DG950">
        <v>8093</v>
      </c>
      <c r="DH950">
        <v>5906</v>
      </c>
      <c r="DI950">
        <v>6413</v>
      </c>
      <c r="DJ950">
        <v>6302</v>
      </c>
      <c r="DK950">
        <v>6179</v>
      </c>
    </row>
    <row r="951" spans="1:115">
      <c r="A951" s="173">
        <f>Calculations[[#This Row],[Sum t eCO2]]*IF(Calculations[[#This Row],[GHG Scope]]="BIOGENIC",0,1)</f>
        <v>0.49915075897217348</v>
      </c>
      <c r="O951">
        <f t="shared" si="21"/>
        <v>8</v>
      </c>
      <c r="P951">
        <v>4244</v>
      </c>
      <c r="Q951">
        <v>1720</v>
      </c>
      <c r="R951">
        <v>2861</v>
      </c>
      <c r="S951">
        <v>9964</v>
      </c>
      <c r="T951">
        <v>7870</v>
      </c>
      <c r="U951">
        <v>9728</v>
      </c>
      <c r="V951">
        <v>1144</v>
      </c>
      <c r="W951">
        <v>3487</v>
      </c>
      <c r="X951">
        <v>9556</v>
      </c>
      <c r="Y951">
        <v>8040</v>
      </c>
      <c r="Z951">
        <v>3249</v>
      </c>
      <c r="AA951">
        <v>2354</v>
      </c>
      <c r="AB951">
        <v>6051</v>
      </c>
      <c r="AC951">
        <v>4088</v>
      </c>
      <c r="AD951">
        <v>8758</v>
      </c>
      <c r="AE951">
        <v>4405</v>
      </c>
      <c r="AF951">
        <v>9961</v>
      </c>
      <c r="AG951">
        <v>5390</v>
      </c>
      <c r="AH951">
        <v>8429</v>
      </c>
      <c r="AI951">
        <v>3265</v>
      </c>
      <c r="AJ951">
        <v>9735</v>
      </c>
      <c r="AK951">
        <v>7046</v>
      </c>
      <c r="AL951">
        <v>7152</v>
      </c>
      <c r="AM951">
        <v>5208</v>
      </c>
      <c r="AN951">
        <v>9049</v>
      </c>
      <c r="AO951">
        <v>9934</v>
      </c>
      <c r="AP951">
        <v>1895</v>
      </c>
      <c r="AQ951">
        <v>3532</v>
      </c>
      <c r="AR951">
        <v>4437</v>
      </c>
      <c r="AS951">
        <v>7799</v>
      </c>
      <c r="AT951">
        <v>6832</v>
      </c>
      <c r="AU951">
        <v>7809</v>
      </c>
      <c r="AV951">
        <v>5995</v>
      </c>
      <c r="AW951">
        <v>8527</v>
      </c>
      <c r="AX951">
        <v>6290</v>
      </c>
      <c r="AY951">
        <v>3876</v>
      </c>
      <c r="AZ951">
        <v>1398</v>
      </c>
      <c r="BA951">
        <v>2494</v>
      </c>
      <c r="BB951">
        <v>6186</v>
      </c>
      <c r="BC951">
        <v>5855</v>
      </c>
      <c r="BD951">
        <v>3625</v>
      </c>
      <c r="BE951">
        <v>2532</v>
      </c>
      <c r="BF951">
        <v>9561</v>
      </c>
      <c r="BG951">
        <v>1728</v>
      </c>
      <c r="BH951">
        <v>7059</v>
      </c>
      <c r="BI951">
        <v>6533</v>
      </c>
      <c r="BJ951">
        <v>3782</v>
      </c>
      <c r="BK951">
        <v>6347</v>
      </c>
      <c r="BL951">
        <v>9809</v>
      </c>
      <c r="BM951">
        <v>7482</v>
      </c>
      <c r="BN951">
        <v>9727</v>
      </c>
      <c r="BO951">
        <v>8506</v>
      </c>
      <c r="BP951">
        <v>5009</v>
      </c>
      <c r="BQ951">
        <v>9881</v>
      </c>
      <c r="BR951">
        <v>4609</v>
      </c>
      <c r="BS951">
        <v>2512</v>
      </c>
      <c r="BT951">
        <v>9791</v>
      </c>
      <c r="BU951">
        <v>2253</v>
      </c>
      <c r="BV951">
        <v>5928</v>
      </c>
      <c r="BW951">
        <v>5129</v>
      </c>
      <c r="BX951">
        <v>8645</v>
      </c>
      <c r="BY951">
        <v>1024</v>
      </c>
      <c r="BZ951">
        <v>6025</v>
      </c>
      <c r="CA951">
        <v>4334</v>
      </c>
      <c r="CB951">
        <v>8348</v>
      </c>
      <c r="CC951">
        <v>1633</v>
      </c>
      <c r="CD951">
        <v>6464</v>
      </c>
      <c r="CE951">
        <v>8213</v>
      </c>
      <c r="CF951">
        <v>1410</v>
      </c>
      <c r="CG951">
        <v>8195</v>
      </c>
      <c r="CH951">
        <v>6022</v>
      </c>
      <c r="CI951">
        <v>5224</v>
      </c>
      <c r="CJ951">
        <v>3688</v>
      </c>
      <c r="CK951">
        <v>8763</v>
      </c>
      <c r="CL951">
        <v>3832</v>
      </c>
      <c r="CM951">
        <v>2056</v>
      </c>
      <c r="CN951">
        <v>6104</v>
      </c>
      <c r="CO951">
        <v>6715</v>
      </c>
      <c r="CP951">
        <v>9762</v>
      </c>
      <c r="CQ951">
        <v>2628</v>
      </c>
      <c r="CR951">
        <v>7115</v>
      </c>
      <c r="CS951">
        <v>7214</v>
      </c>
      <c r="CT951">
        <v>2168</v>
      </c>
      <c r="CU951">
        <v>6561</v>
      </c>
      <c r="CV951">
        <v>6450</v>
      </c>
      <c r="CW951">
        <v>2590</v>
      </c>
      <c r="CX951">
        <v>9877</v>
      </c>
      <c r="CY951">
        <v>6603</v>
      </c>
      <c r="CZ951">
        <v>4580</v>
      </c>
      <c r="DA951">
        <v>8590</v>
      </c>
      <c r="DB951">
        <v>1444</v>
      </c>
      <c r="DC951">
        <v>4931</v>
      </c>
      <c r="DD951">
        <v>8891</v>
      </c>
      <c r="DE951">
        <v>3607</v>
      </c>
      <c r="DF951">
        <v>7195</v>
      </c>
      <c r="DG951">
        <v>6099</v>
      </c>
      <c r="DH951">
        <v>5716</v>
      </c>
      <c r="DI951">
        <v>7714</v>
      </c>
      <c r="DJ951">
        <v>4916</v>
      </c>
      <c r="DK951">
        <v>3801</v>
      </c>
    </row>
    <row r="952" spans="1:115">
      <c r="A952" s="173">
        <f>Calculations[[#This Row],[Sum t eCO2]]*IF(Calculations[[#This Row],[GHG Scope]]="BIOGENIC",0,1)</f>
        <v>1.2306889159793197</v>
      </c>
      <c r="O952">
        <f t="shared" si="21"/>
        <v>9</v>
      </c>
      <c r="P952">
        <v>1315</v>
      </c>
      <c r="Q952">
        <v>7586</v>
      </c>
      <c r="R952">
        <v>2543</v>
      </c>
      <c r="S952">
        <v>1214</v>
      </c>
      <c r="T952">
        <v>1689</v>
      </c>
      <c r="U952">
        <v>4040</v>
      </c>
      <c r="V952">
        <v>5240</v>
      </c>
      <c r="W952">
        <v>8018</v>
      </c>
      <c r="X952">
        <v>6252</v>
      </c>
      <c r="Y952">
        <v>7977</v>
      </c>
      <c r="Z952">
        <v>7162</v>
      </c>
      <c r="AA952">
        <v>2799</v>
      </c>
      <c r="AB952">
        <v>8736</v>
      </c>
      <c r="AC952">
        <v>2290</v>
      </c>
      <c r="AD952">
        <v>7566</v>
      </c>
      <c r="AE952">
        <v>5080</v>
      </c>
      <c r="AF952">
        <v>8640</v>
      </c>
      <c r="AG952">
        <v>3112</v>
      </c>
      <c r="AH952">
        <v>5324</v>
      </c>
      <c r="AI952">
        <v>4173</v>
      </c>
      <c r="AJ952">
        <v>5645</v>
      </c>
      <c r="AK952">
        <v>9508</v>
      </c>
      <c r="AL952">
        <v>3029</v>
      </c>
      <c r="AM952">
        <v>6409</v>
      </c>
      <c r="AN952">
        <v>6129</v>
      </c>
      <c r="AO952">
        <v>8178</v>
      </c>
      <c r="AP952">
        <v>8431</v>
      </c>
      <c r="AQ952">
        <v>2529</v>
      </c>
      <c r="AR952">
        <v>5717</v>
      </c>
      <c r="AS952">
        <v>2325</v>
      </c>
      <c r="AT952">
        <v>9440</v>
      </c>
      <c r="AU952">
        <v>7232</v>
      </c>
      <c r="AV952">
        <v>8227</v>
      </c>
      <c r="AW952">
        <v>5270</v>
      </c>
      <c r="AX952">
        <v>4879</v>
      </c>
      <c r="AY952">
        <v>4690</v>
      </c>
      <c r="AZ952">
        <v>6376</v>
      </c>
      <c r="BA952">
        <v>2202</v>
      </c>
      <c r="BB952">
        <v>6789</v>
      </c>
      <c r="BC952">
        <v>6094</v>
      </c>
      <c r="BD952">
        <v>1464</v>
      </c>
      <c r="BE952">
        <v>5623</v>
      </c>
      <c r="BF952">
        <v>5990</v>
      </c>
      <c r="BG952">
        <v>4245</v>
      </c>
      <c r="BH952">
        <v>3065</v>
      </c>
      <c r="BI952">
        <v>4600</v>
      </c>
      <c r="BJ952">
        <v>1014</v>
      </c>
      <c r="BK952">
        <v>3213</v>
      </c>
      <c r="BL952">
        <v>9882</v>
      </c>
      <c r="BM952">
        <v>5912</v>
      </c>
      <c r="BN952">
        <v>4335</v>
      </c>
      <c r="BO952">
        <v>9744</v>
      </c>
      <c r="BP952">
        <v>8219</v>
      </c>
      <c r="BQ952">
        <v>8799</v>
      </c>
      <c r="BR952">
        <v>8131</v>
      </c>
      <c r="BS952">
        <v>6584</v>
      </c>
      <c r="BT952">
        <v>2831</v>
      </c>
      <c r="BU952">
        <v>4408</v>
      </c>
      <c r="BV952">
        <v>5120</v>
      </c>
      <c r="BW952">
        <v>7823</v>
      </c>
      <c r="BX952">
        <v>3929</v>
      </c>
      <c r="BY952">
        <v>6043</v>
      </c>
      <c r="BZ952">
        <v>5033</v>
      </c>
      <c r="CA952">
        <v>5451</v>
      </c>
      <c r="CB952">
        <v>3738</v>
      </c>
      <c r="CC952">
        <v>2652</v>
      </c>
      <c r="CD952">
        <v>5475</v>
      </c>
      <c r="CE952">
        <v>5311</v>
      </c>
      <c r="CF952">
        <v>2162</v>
      </c>
      <c r="CG952">
        <v>6422</v>
      </c>
      <c r="CH952">
        <v>9782</v>
      </c>
      <c r="CI952">
        <v>5352</v>
      </c>
      <c r="CJ952">
        <v>9189</v>
      </c>
      <c r="CK952">
        <v>3252</v>
      </c>
      <c r="CL952">
        <v>9954</v>
      </c>
      <c r="CM952">
        <v>2257</v>
      </c>
      <c r="CN952">
        <v>6729</v>
      </c>
      <c r="CO952">
        <v>4138</v>
      </c>
      <c r="CP952">
        <v>3850</v>
      </c>
      <c r="CQ952">
        <v>9529</v>
      </c>
      <c r="CR952">
        <v>8003</v>
      </c>
      <c r="CS952">
        <v>1122</v>
      </c>
      <c r="CT952">
        <v>2189</v>
      </c>
      <c r="CU952">
        <v>4838</v>
      </c>
      <c r="CV952">
        <v>3977</v>
      </c>
      <c r="CW952">
        <v>9514</v>
      </c>
      <c r="CX952">
        <v>9180</v>
      </c>
      <c r="CY952">
        <v>5460</v>
      </c>
      <c r="CZ952">
        <v>9828</v>
      </c>
      <c r="DA952">
        <v>6812</v>
      </c>
      <c r="DB952">
        <v>6802</v>
      </c>
      <c r="DC952">
        <v>1726</v>
      </c>
      <c r="DD952">
        <v>2616</v>
      </c>
      <c r="DE952">
        <v>8796</v>
      </c>
      <c r="DF952">
        <v>9907</v>
      </c>
      <c r="DG952">
        <v>6451</v>
      </c>
      <c r="DH952">
        <v>8233</v>
      </c>
      <c r="DI952">
        <v>4054</v>
      </c>
      <c r="DJ952">
        <v>9027</v>
      </c>
      <c r="DK952">
        <v>3629</v>
      </c>
    </row>
    <row r="953" spans="1:115">
      <c r="A953" s="173">
        <f>Calculations[[#This Row],[Sum t eCO2]]*IF(Calculations[[#This Row],[GHG Scope]]="BIOGENIC",0,1)</f>
        <v>0.23344948804816507</v>
      </c>
      <c r="O953">
        <f t="shared" si="21"/>
        <v>10</v>
      </c>
      <c r="P953">
        <v>8313</v>
      </c>
      <c r="Q953">
        <v>1009</v>
      </c>
      <c r="R953">
        <v>6044</v>
      </c>
      <c r="S953">
        <v>1698</v>
      </c>
      <c r="T953">
        <v>3302</v>
      </c>
      <c r="U953">
        <v>5749</v>
      </c>
      <c r="V953">
        <v>3853</v>
      </c>
      <c r="W953">
        <v>4244</v>
      </c>
      <c r="X953">
        <v>6282</v>
      </c>
      <c r="Y953">
        <v>8169</v>
      </c>
      <c r="Z953">
        <v>2716</v>
      </c>
      <c r="AA953">
        <v>8724</v>
      </c>
      <c r="AB953">
        <v>8022</v>
      </c>
      <c r="AC953">
        <v>1984</v>
      </c>
      <c r="AD953">
        <v>7325</v>
      </c>
      <c r="AE953">
        <v>4425</v>
      </c>
      <c r="AF953">
        <v>7635</v>
      </c>
      <c r="AG953">
        <v>6919</v>
      </c>
      <c r="AH953">
        <v>7780</v>
      </c>
      <c r="AI953">
        <v>9279</v>
      </c>
      <c r="AJ953">
        <v>2012</v>
      </c>
      <c r="AK953">
        <v>9507</v>
      </c>
      <c r="AL953">
        <v>8948</v>
      </c>
      <c r="AM953">
        <v>4152</v>
      </c>
      <c r="AN953">
        <v>2598</v>
      </c>
      <c r="AO953">
        <v>3796</v>
      </c>
      <c r="AP953">
        <v>5782</v>
      </c>
      <c r="AQ953">
        <v>5188</v>
      </c>
      <c r="AR953">
        <v>7638</v>
      </c>
      <c r="AS953">
        <v>3949</v>
      </c>
      <c r="AT953">
        <v>2034</v>
      </c>
      <c r="AU953">
        <v>7600</v>
      </c>
      <c r="AV953">
        <v>9482</v>
      </c>
      <c r="AW953">
        <v>5824</v>
      </c>
      <c r="AX953">
        <v>7959</v>
      </c>
      <c r="AY953">
        <v>9019</v>
      </c>
      <c r="AZ953">
        <v>6694</v>
      </c>
      <c r="BA953">
        <v>3318</v>
      </c>
      <c r="BB953">
        <v>8213</v>
      </c>
      <c r="BC953">
        <v>2239</v>
      </c>
      <c r="BD953">
        <v>8668</v>
      </c>
      <c r="BE953">
        <v>1584</v>
      </c>
      <c r="BF953">
        <v>2178</v>
      </c>
      <c r="BG953">
        <v>1380</v>
      </c>
      <c r="BH953">
        <v>6390</v>
      </c>
      <c r="BI953">
        <v>4704</v>
      </c>
      <c r="BJ953">
        <v>5594</v>
      </c>
      <c r="BK953">
        <v>8117</v>
      </c>
      <c r="BL953">
        <v>2146</v>
      </c>
      <c r="BM953">
        <v>3113</v>
      </c>
      <c r="BN953">
        <v>2684</v>
      </c>
      <c r="BO953">
        <v>3979</v>
      </c>
      <c r="BP953">
        <v>1675</v>
      </c>
      <c r="BQ953">
        <v>5393</v>
      </c>
      <c r="BR953">
        <v>2660</v>
      </c>
      <c r="BS953">
        <v>7614</v>
      </c>
      <c r="BT953">
        <v>9974</v>
      </c>
      <c r="BU953">
        <v>4305</v>
      </c>
      <c r="BV953">
        <v>7144</v>
      </c>
      <c r="BW953">
        <v>3019</v>
      </c>
      <c r="BX953">
        <v>5592</v>
      </c>
      <c r="BY953">
        <v>2556</v>
      </c>
      <c r="BZ953">
        <v>9407</v>
      </c>
      <c r="CA953">
        <v>2667</v>
      </c>
      <c r="CB953">
        <v>9190</v>
      </c>
      <c r="CC953">
        <v>9948</v>
      </c>
      <c r="CD953">
        <v>8306</v>
      </c>
      <c r="CE953">
        <v>2191</v>
      </c>
      <c r="CF953">
        <v>6782</v>
      </c>
      <c r="CG953">
        <v>3345</v>
      </c>
      <c r="CH953">
        <v>8443</v>
      </c>
      <c r="CI953">
        <v>8120</v>
      </c>
      <c r="CJ953">
        <v>2807</v>
      </c>
      <c r="CK953">
        <v>9789</v>
      </c>
      <c r="CL953">
        <v>7869</v>
      </c>
      <c r="CM953">
        <v>6360</v>
      </c>
      <c r="CN953">
        <v>4616</v>
      </c>
      <c r="CO953">
        <v>1779</v>
      </c>
      <c r="CP953">
        <v>2453</v>
      </c>
      <c r="CQ953">
        <v>8592</v>
      </c>
      <c r="CR953">
        <v>7311</v>
      </c>
      <c r="CS953">
        <v>7547</v>
      </c>
      <c r="CT953">
        <v>5067</v>
      </c>
      <c r="CU953">
        <v>5074</v>
      </c>
      <c r="CV953">
        <v>3645</v>
      </c>
      <c r="CW953">
        <v>7420</v>
      </c>
      <c r="CX953">
        <v>2900</v>
      </c>
      <c r="CY953">
        <v>1666</v>
      </c>
      <c r="CZ953">
        <v>5807</v>
      </c>
      <c r="DA953">
        <v>3672</v>
      </c>
      <c r="DB953">
        <v>7947</v>
      </c>
      <c r="DC953">
        <v>1399</v>
      </c>
      <c r="DD953">
        <v>3215</v>
      </c>
      <c r="DE953">
        <v>3521</v>
      </c>
      <c r="DF953">
        <v>1049</v>
      </c>
      <c r="DG953">
        <v>5555</v>
      </c>
      <c r="DH953">
        <v>7303</v>
      </c>
      <c r="DI953">
        <v>6664</v>
      </c>
      <c r="DJ953">
        <v>4428</v>
      </c>
      <c r="DK953">
        <v>4030</v>
      </c>
    </row>
    <row r="954" spans="1:115">
      <c r="A954" s="173">
        <f>Calculations[[#This Row],[Sum t eCO2]]*IF(Calculations[[#This Row],[GHG Scope]]="BIOGENIC",0,1)</f>
        <v>2.4964373181366839</v>
      </c>
      <c r="O954">
        <f t="shared" si="21"/>
        <v>11</v>
      </c>
      <c r="P954">
        <v>8060</v>
      </c>
      <c r="Q954">
        <v>1311</v>
      </c>
      <c r="R954">
        <v>8328</v>
      </c>
      <c r="S954">
        <v>7361</v>
      </c>
      <c r="T954">
        <v>7709</v>
      </c>
      <c r="U954">
        <v>1118</v>
      </c>
      <c r="V954">
        <v>5109</v>
      </c>
      <c r="W954">
        <v>6421</v>
      </c>
      <c r="X954">
        <v>7978</v>
      </c>
      <c r="Y954">
        <v>5330</v>
      </c>
      <c r="Z954">
        <v>9925</v>
      </c>
      <c r="AA954">
        <v>7919</v>
      </c>
      <c r="AB954">
        <v>8293</v>
      </c>
      <c r="AC954">
        <v>5395</v>
      </c>
      <c r="AD954">
        <v>6231</v>
      </c>
      <c r="AE954">
        <v>8452</v>
      </c>
      <c r="AF954">
        <v>3299</v>
      </c>
      <c r="AG954">
        <v>9854</v>
      </c>
      <c r="AH954">
        <v>5357</v>
      </c>
      <c r="AI954">
        <v>9515</v>
      </c>
      <c r="AJ954">
        <v>3340</v>
      </c>
      <c r="AK954">
        <v>9975</v>
      </c>
      <c r="AL954">
        <v>7556</v>
      </c>
      <c r="AM954">
        <v>7294</v>
      </c>
      <c r="AN954">
        <v>9239</v>
      </c>
      <c r="AO954">
        <v>7809</v>
      </c>
      <c r="AP954">
        <v>5136</v>
      </c>
      <c r="AQ954">
        <v>6468</v>
      </c>
      <c r="AR954">
        <v>7392</v>
      </c>
      <c r="AS954">
        <v>4140</v>
      </c>
      <c r="AT954">
        <v>3033</v>
      </c>
      <c r="AU954">
        <v>4445</v>
      </c>
      <c r="AV954">
        <v>5407</v>
      </c>
      <c r="AW954">
        <v>7081</v>
      </c>
      <c r="AX954">
        <v>5331</v>
      </c>
      <c r="AY954">
        <v>8648</v>
      </c>
      <c r="AZ954">
        <v>9612</v>
      </c>
      <c r="BA954">
        <v>9512</v>
      </c>
      <c r="BB954">
        <v>7205</v>
      </c>
      <c r="BC954">
        <v>4091</v>
      </c>
      <c r="BD954">
        <v>8421</v>
      </c>
      <c r="BE954">
        <v>2996</v>
      </c>
      <c r="BF954">
        <v>8645</v>
      </c>
      <c r="BG954">
        <v>2790</v>
      </c>
      <c r="BH954">
        <v>9806</v>
      </c>
      <c r="BI954">
        <v>8210</v>
      </c>
      <c r="BJ954">
        <v>4763</v>
      </c>
      <c r="BK954">
        <v>6264</v>
      </c>
      <c r="BL954">
        <v>7012</v>
      </c>
      <c r="BM954">
        <v>4533</v>
      </c>
      <c r="BN954">
        <v>3489</v>
      </c>
      <c r="BO954">
        <v>3515</v>
      </c>
      <c r="BP954">
        <v>9939</v>
      </c>
      <c r="BQ954">
        <v>3061</v>
      </c>
      <c r="BR954">
        <v>6585</v>
      </c>
      <c r="BS954">
        <v>8243</v>
      </c>
      <c r="BT954">
        <v>2210</v>
      </c>
      <c r="BU954">
        <v>4407</v>
      </c>
      <c r="BV954">
        <v>5090</v>
      </c>
      <c r="BW954">
        <v>6237</v>
      </c>
      <c r="BX954">
        <v>6261</v>
      </c>
      <c r="BY954">
        <v>4469</v>
      </c>
      <c r="BZ954">
        <v>6047</v>
      </c>
      <c r="CA954">
        <v>3408</v>
      </c>
      <c r="CB954">
        <v>9115</v>
      </c>
      <c r="CC954">
        <v>3659</v>
      </c>
      <c r="CD954">
        <v>8110</v>
      </c>
      <c r="CE954">
        <v>9915</v>
      </c>
      <c r="CF954">
        <v>6801</v>
      </c>
      <c r="CG954">
        <v>6092</v>
      </c>
      <c r="CH954">
        <v>6434</v>
      </c>
      <c r="CI954">
        <v>4820</v>
      </c>
      <c r="CJ954">
        <v>3805</v>
      </c>
      <c r="CK954">
        <v>9988</v>
      </c>
      <c r="CL954">
        <v>7894</v>
      </c>
      <c r="CM954">
        <v>5350</v>
      </c>
      <c r="CN954">
        <v>7224</v>
      </c>
      <c r="CO954">
        <v>4088</v>
      </c>
      <c r="CP954">
        <v>9462</v>
      </c>
      <c r="CQ954">
        <v>7265</v>
      </c>
      <c r="CR954">
        <v>8754</v>
      </c>
      <c r="CS954">
        <v>9262</v>
      </c>
      <c r="CT954">
        <v>1294</v>
      </c>
      <c r="CU954">
        <v>3701</v>
      </c>
      <c r="CV954">
        <v>5973</v>
      </c>
      <c r="CW954">
        <v>6581</v>
      </c>
      <c r="CX954">
        <v>7707</v>
      </c>
      <c r="CY954">
        <v>8349</v>
      </c>
      <c r="CZ954">
        <v>7821</v>
      </c>
      <c r="DA954">
        <v>8206</v>
      </c>
      <c r="DB954">
        <v>1867</v>
      </c>
      <c r="DC954">
        <v>1435</v>
      </c>
      <c r="DD954">
        <v>9992</v>
      </c>
      <c r="DE954">
        <v>3784</v>
      </c>
      <c r="DF954">
        <v>9222</v>
      </c>
      <c r="DG954">
        <v>1115</v>
      </c>
      <c r="DH954">
        <v>8343</v>
      </c>
      <c r="DI954">
        <v>8121</v>
      </c>
      <c r="DJ954">
        <v>9883</v>
      </c>
      <c r="DK954">
        <v>6027</v>
      </c>
    </row>
    <row r="955" spans="1:115">
      <c r="A955" s="173">
        <f>Calculations[[#This Row],[Sum t eCO2]]*IF(Calculations[[#This Row],[GHG Scope]]="BIOGENIC",0,1)</f>
        <v>1.4383178447203597E-2</v>
      </c>
      <c r="O955">
        <f t="shared" si="21"/>
        <v>12</v>
      </c>
      <c r="P955">
        <v>5565</v>
      </c>
      <c r="Q955">
        <v>6102</v>
      </c>
      <c r="R955">
        <v>5369</v>
      </c>
      <c r="S955">
        <v>4848</v>
      </c>
      <c r="T955">
        <v>2821</v>
      </c>
      <c r="U955">
        <v>1144</v>
      </c>
      <c r="V955">
        <v>3253</v>
      </c>
      <c r="W955">
        <v>6894</v>
      </c>
      <c r="X955">
        <v>7380</v>
      </c>
      <c r="Y955">
        <v>9446</v>
      </c>
      <c r="Z955">
        <v>3125</v>
      </c>
      <c r="AA955">
        <v>8565</v>
      </c>
      <c r="AB955">
        <v>1002</v>
      </c>
      <c r="AC955">
        <v>1790</v>
      </c>
      <c r="AD955">
        <v>5746</v>
      </c>
      <c r="AE955">
        <v>3357</v>
      </c>
      <c r="AF955">
        <v>5232</v>
      </c>
      <c r="AG955">
        <v>6445</v>
      </c>
      <c r="AH955">
        <v>2091</v>
      </c>
      <c r="AI955">
        <v>9921</v>
      </c>
      <c r="AJ955">
        <v>2868</v>
      </c>
      <c r="AK955">
        <v>6507</v>
      </c>
      <c r="AL955">
        <v>4798</v>
      </c>
      <c r="AM955">
        <v>8733</v>
      </c>
      <c r="AN955">
        <v>7244</v>
      </c>
      <c r="AO955">
        <v>8812</v>
      </c>
      <c r="AP955">
        <v>6233</v>
      </c>
      <c r="AQ955">
        <v>7049</v>
      </c>
      <c r="AR955">
        <v>2151</v>
      </c>
      <c r="AS955">
        <v>3460</v>
      </c>
      <c r="AT955">
        <v>2268</v>
      </c>
      <c r="AU955">
        <v>1857</v>
      </c>
      <c r="AV955">
        <v>3477</v>
      </c>
      <c r="AW955">
        <v>4803</v>
      </c>
      <c r="AX955">
        <v>6911</v>
      </c>
      <c r="AY955">
        <v>8911</v>
      </c>
      <c r="AZ955">
        <v>3990</v>
      </c>
      <c r="BA955">
        <v>5723</v>
      </c>
      <c r="BB955">
        <v>5425</v>
      </c>
      <c r="BC955">
        <v>5711</v>
      </c>
      <c r="BD955">
        <v>6776</v>
      </c>
      <c r="BE955">
        <v>9553</v>
      </c>
      <c r="BF955">
        <v>4142</v>
      </c>
      <c r="BG955">
        <v>6777</v>
      </c>
      <c r="BH955">
        <v>4791</v>
      </c>
      <c r="BI955">
        <v>6217</v>
      </c>
      <c r="BJ955">
        <v>7224</v>
      </c>
      <c r="BK955">
        <v>1914</v>
      </c>
      <c r="BL955">
        <v>1324</v>
      </c>
      <c r="BM955">
        <v>3570</v>
      </c>
      <c r="BN955">
        <v>5537</v>
      </c>
      <c r="BO955">
        <v>6847</v>
      </c>
      <c r="BP955">
        <v>8256</v>
      </c>
      <c r="BQ955">
        <v>7449</v>
      </c>
      <c r="BR955">
        <v>6188</v>
      </c>
      <c r="BS955">
        <v>4602</v>
      </c>
      <c r="BT955">
        <v>4665</v>
      </c>
      <c r="BU955">
        <v>7629</v>
      </c>
      <c r="BV955">
        <v>1410</v>
      </c>
      <c r="BW955">
        <v>9188</v>
      </c>
      <c r="BX955">
        <v>4001</v>
      </c>
      <c r="BY955">
        <v>3169</v>
      </c>
      <c r="BZ955">
        <v>9414</v>
      </c>
      <c r="CA955">
        <v>6780</v>
      </c>
      <c r="CB955">
        <v>9630</v>
      </c>
      <c r="CC955">
        <v>8780</v>
      </c>
      <c r="CD955">
        <v>1963</v>
      </c>
      <c r="CE955">
        <v>8163</v>
      </c>
      <c r="CF955">
        <v>9202</v>
      </c>
      <c r="CG955">
        <v>4898</v>
      </c>
      <c r="CH955">
        <v>9457</v>
      </c>
      <c r="CI955">
        <v>8080</v>
      </c>
      <c r="CJ955">
        <v>8113</v>
      </c>
      <c r="CK955">
        <v>8800</v>
      </c>
      <c r="CL955">
        <v>4859</v>
      </c>
      <c r="CM955">
        <v>1326</v>
      </c>
      <c r="CN955">
        <v>2516</v>
      </c>
      <c r="CO955">
        <v>9915</v>
      </c>
      <c r="CP955">
        <v>4431</v>
      </c>
      <c r="CQ955">
        <v>7212</v>
      </c>
      <c r="CR955">
        <v>1292</v>
      </c>
      <c r="CS955">
        <v>1890</v>
      </c>
      <c r="CT955">
        <v>1617</v>
      </c>
      <c r="CU955">
        <v>1591</v>
      </c>
      <c r="CV955">
        <v>6696</v>
      </c>
      <c r="CW955">
        <v>7607</v>
      </c>
      <c r="CX955">
        <v>1627</v>
      </c>
      <c r="CY955">
        <v>3007</v>
      </c>
      <c r="CZ955">
        <v>8283</v>
      </c>
      <c r="DA955">
        <v>6870</v>
      </c>
      <c r="DB955">
        <v>7590</v>
      </c>
      <c r="DC955">
        <v>7952</v>
      </c>
      <c r="DD955">
        <v>5045</v>
      </c>
      <c r="DE955">
        <v>8312</v>
      </c>
      <c r="DF955">
        <v>5398</v>
      </c>
      <c r="DG955">
        <v>5570</v>
      </c>
      <c r="DH955">
        <v>7514</v>
      </c>
      <c r="DI955">
        <v>5013</v>
      </c>
      <c r="DJ955">
        <v>6444</v>
      </c>
      <c r="DK955">
        <v>6548</v>
      </c>
    </row>
    <row r="956" spans="1:115">
      <c r="A956" s="173">
        <f>Calculations[[#This Row],[Sum t eCO2]]*IF(Calculations[[#This Row],[GHG Scope]]="BIOGENIC",0,1)</f>
        <v>3.5220830544393858E-2</v>
      </c>
      <c r="O956">
        <f t="shared" si="21"/>
        <v>13</v>
      </c>
      <c r="P956">
        <v>1903</v>
      </c>
      <c r="Q956">
        <v>4210</v>
      </c>
      <c r="R956">
        <v>1772</v>
      </c>
      <c r="S956">
        <v>9712</v>
      </c>
      <c r="T956">
        <v>3813</v>
      </c>
      <c r="U956">
        <v>7638</v>
      </c>
      <c r="V956">
        <v>9328</v>
      </c>
      <c r="W956">
        <v>1774</v>
      </c>
      <c r="X956">
        <v>8973</v>
      </c>
      <c r="Y956">
        <v>7141</v>
      </c>
      <c r="Z956">
        <v>7359</v>
      </c>
      <c r="AA956">
        <v>1164</v>
      </c>
      <c r="AB956">
        <v>1058</v>
      </c>
      <c r="AC956">
        <v>1635</v>
      </c>
      <c r="AD956">
        <v>3503</v>
      </c>
      <c r="AE956">
        <v>9200</v>
      </c>
      <c r="AF956">
        <v>2986</v>
      </c>
      <c r="AG956">
        <v>3043</v>
      </c>
      <c r="AH956">
        <v>5817</v>
      </c>
      <c r="AI956">
        <v>3940</v>
      </c>
      <c r="AJ956">
        <v>9838</v>
      </c>
      <c r="AK956">
        <v>1259</v>
      </c>
      <c r="AL956">
        <v>5680</v>
      </c>
      <c r="AM956">
        <v>8053</v>
      </c>
      <c r="AN956">
        <v>1729</v>
      </c>
      <c r="AO956">
        <v>5996</v>
      </c>
      <c r="AP956">
        <v>3929</v>
      </c>
      <c r="AQ956">
        <v>2148</v>
      </c>
      <c r="AR956">
        <v>9034</v>
      </c>
      <c r="AS956">
        <v>5945</v>
      </c>
      <c r="AT956">
        <v>3675</v>
      </c>
      <c r="AU956">
        <v>8679</v>
      </c>
      <c r="AV956">
        <v>3137</v>
      </c>
      <c r="AW956">
        <v>5922</v>
      </c>
      <c r="AX956">
        <v>6873</v>
      </c>
      <c r="AY956">
        <v>5890</v>
      </c>
      <c r="AZ956">
        <v>8891</v>
      </c>
      <c r="BA956">
        <v>6618</v>
      </c>
      <c r="BB956">
        <v>7686</v>
      </c>
      <c r="BC956">
        <v>6647</v>
      </c>
      <c r="BD956">
        <v>2366</v>
      </c>
      <c r="BE956">
        <v>9493</v>
      </c>
      <c r="BF956">
        <v>8957</v>
      </c>
      <c r="BG956">
        <v>9549</v>
      </c>
      <c r="BH956">
        <v>3626</v>
      </c>
      <c r="BI956">
        <v>4574</v>
      </c>
      <c r="BJ956">
        <v>9424</v>
      </c>
      <c r="BK956">
        <v>3534</v>
      </c>
      <c r="BL956">
        <v>9803</v>
      </c>
      <c r="BM956">
        <v>4783</v>
      </c>
      <c r="BN956">
        <v>7168</v>
      </c>
      <c r="BO956">
        <v>9133</v>
      </c>
      <c r="BP956">
        <v>8763</v>
      </c>
      <c r="BQ956">
        <v>6164</v>
      </c>
      <c r="BR956">
        <v>5215</v>
      </c>
      <c r="BS956">
        <v>7828</v>
      </c>
      <c r="BT956">
        <v>5618</v>
      </c>
      <c r="BU956">
        <v>1335</v>
      </c>
      <c r="BV956">
        <v>9806</v>
      </c>
      <c r="BW956">
        <v>2186</v>
      </c>
      <c r="BX956">
        <v>6620</v>
      </c>
      <c r="BY956">
        <v>7670</v>
      </c>
      <c r="BZ956">
        <v>7444</v>
      </c>
      <c r="CA956">
        <v>7383</v>
      </c>
      <c r="CB956">
        <v>5433</v>
      </c>
      <c r="CC956">
        <v>2420</v>
      </c>
      <c r="CD956">
        <v>7197</v>
      </c>
      <c r="CE956">
        <v>1822</v>
      </c>
      <c r="CF956">
        <v>8337</v>
      </c>
      <c r="CG956">
        <v>7380</v>
      </c>
      <c r="CH956">
        <v>6545</v>
      </c>
      <c r="CI956">
        <v>4994</v>
      </c>
      <c r="CJ956">
        <v>6300</v>
      </c>
      <c r="CK956">
        <v>1121</v>
      </c>
      <c r="CL956">
        <v>1195</v>
      </c>
      <c r="CM956">
        <v>3870</v>
      </c>
      <c r="CN956">
        <v>7987</v>
      </c>
      <c r="CO956">
        <v>6896</v>
      </c>
      <c r="CP956">
        <v>4950</v>
      </c>
      <c r="CQ956">
        <v>6718</v>
      </c>
      <c r="CR956">
        <v>4547</v>
      </c>
      <c r="CS956">
        <v>6928</v>
      </c>
      <c r="CT956">
        <v>6965</v>
      </c>
      <c r="CU956">
        <v>5762</v>
      </c>
      <c r="CV956">
        <v>4360</v>
      </c>
      <c r="CW956">
        <v>6886</v>
      </c>
      <c r="CX956">
        <v>6117</v>
      </c>
      <c r="CY956">
        <v>9726</v>
      </c>
      <c r="CZ956">
        <v>7020</v>
      </c>
      <c r="DA956">
        <v>8921</v>
      </c>
      <c r="DB956">
        <v>9837</v>
      </c>
      <c r="DC956">
        <v>3978</v>
      </c>
      <c r="DD956">
        <v>7806</v>
      </c>
      <c r="DE956">
        <v>9915</v>
      </c>
      <c r="DF956">
        <v>2650</v>
      </c>
      <c r="DG956">
        <v>7298</v>
      </c>
      <c r="DH956">
        <v>3665</v>
      </c>
      <c r="DI956">
        <v>6473</v>
      </c>
      <c r="DJ956">
        <v>4110</v>
      </c>
      <c r="DK956">
        <v>2898</v>
      </c>
    </row>
    <row r="957" spans="1:115">
      <c r="A957" s="173">
        <f>Calculations[[#This Row],[Sum t eCO2]]*IF(Calculations[[#This Row],[GHG Scope]]="BIOGENIC",0,1)</f>
        <v>6.4882043761009478E-2</v>
      </c>
      <c r="O957">
        <f t="shared" si="21"/>
        <v>14</v>
      </c>
      <c r="P957">
        <v>5795</v>
      </c>
      <c r="Q957">
        <v>8880</v>
      </c>
      <c r="R957">
        <v>2594</v>
      </c>
      <c r="S957">
        <v>7520</v>
      </c>
      <c r="T957">
        <v>8507</v>
      </c>
      <c r="U957">
        <v>8641</v>
      </c>
      <c r="V957">
        <v>7727</v>
      </c>
      <c r="W957">
        <v>9665</v>
      </c>
      <c r="X957">
        <v>3287</v>
      </c>
      <c r="Y957">
        <v>6609</v>
      </c>
      <c r="Z957">
        <v>8999</v>
      </c>
      <c r="AA957">
        <v>7240</v>
      </c>
      <c r="AB957">
        <v>9043</v>
      </c>
      <c r="AC957">
        <v>6978</v>
      </c>
      <c r="AD957">
        <v>8365</v>
      </c>
      <c r="AE957">
        <v>1529</v>
      </c>
      <c r="AF957">
        <v>3843</v>
      </c>
      <c r="AG957">
        <v>2145</v>
      </c>
      <c r="AH957">
        <v>4742</v>
      </c>
      <c r="AI957">
        <v>9277</v>
      </c>
      <c r="AJ957">
        <v>9375</v>
      </c>
      <c r="AK957">
        <v>3538</v>
      </c>
      <c r="AL957">
        <v>9411</v>
      </c>
      <c r="AM957">
        <v>2664</v>
      </c>
      <c r="AN957">
        <v>3970</v>
      </c>
      <c r="AO957">
        <v>1776</v>
      </c>
      <c r="AP957">
        <v>6767</v>
      </c>
      <c r="AQ957">
        <v>1316</v>
      </c>
      <c r="AR957">
        <v>2960</v>
      </c>
      <c r="AS957">
        <v>9438</v>
      </c>
      <c r="AT957">
        <v>1822</v>
      </c>
      <c r="AU957">
        <v>9530</v>
      </c>
      <c r="AV957">
        <v>9476</v>
      </c>
      <c r="AW957">
        <v>6205</v>
      </c>
      <c r="AX957">
        <v>9958</v>
      </c>
      <c r="AY957">
        <v>2535</v>
      </c>
      <c r="AZ957">
        <v>9950</v>
      </c>
      <c r="BA957">
        <v>6182</v>
      </c>
      <c r="BB957">
        <v>4948</v>
      </c>
      <c r="BC957">
        <v>2975</v>
      </c>
      <c r="BD957">
        <v>3107</v>
      </c>
      <c r="BE957">
        <v>8807</v>
      </c>
      <c r="BF957">
        <v>3436</v>
      </c>
      <c r="BG957">
        <v>3264</v>
      </c>
      <c r="BH957">
        <v>1601</v>
      </c>
      <c r="BI957">
        <v>2441</v>
      </c>
      <c r="BJ957">
        <v>1330</v>
      </c>
      <c r="BK957">
        <v>5767</v>
      </c>
      <c r="BL957">
        <v>8004</v>
      </c>
      <c r="BM957">
        <v>4178</v>
      </c>
      <c r="BN957">
        <v>1955</v>
      </c>
      <c r="BO957">
        <v>1611</v>
      </c>
      <c r="BP957">
        <v>7366</v>
      </c>
      <c r="BQ957">
        <v>3167</v>
      </c>
      <c r="BR957">
        <v>3968</v>
      </c>
      <c r="BS957">
        <v>5542</v>
      </c>
      <c r="BT957">
        <v>1244</v>
      </c>
      <c r="BU957">
        <v>7402</v>
      </c>
      <c r="BV957">
        <v>4694</v>
      </c>
      <c r="BW957">
        <v>8932</v>
      </c>
      <c r="BX957">
        <v>7231</v>
      </c>
      <c r="BY957">
        <v>8589</v>
      </c>
      <c r="BZ957">
        <v>7208</v>
      </c>
      <c r="CA957">
        <v>2133</v>
      </c>
      <c r="CB957">
        <v>8505</v>
      </c>
      <c r="CC957">
        <v>1240</v>
      </c>
      <c r="CD957">
        <v>6575</v>
      </c>
      <c r="CE957">
        <v>6777</v>
      </c>
      <c r="CF957">
        <v>1323</v>
      </c>
      <c r="CG957">
        <v>2893</v>
      </c>
      <c r="CH957">
        <v>7900</v>
      </c>
      <c r="CI957">
        <v>8439</v>
      </c>
      <c r="CJ957">
        <v>4075</v>
      </c>
      <c r="CK957">
        <v>4442</v>
      </c>
      <c r="CL957">
        <v>5802</v>
      </c>
      <c r="CM957">
        <v>8700</v>
      </c>
      <c r="CN957">
        <v>8220</v>
      </c>
      <c r="CO957">
        <v>5799</v>
      </c>
      <c r="CP957">
        <v>7106</v>
      </c>
      <c r="CQ957">
        <v>6129</v>
      </c>
      <c r="CR957">
        <v>3018</v>
      </c>
      <c r="CS957">
        <v>1028</v>
      </c>
      <c r="CT957">
        <v>5746</v>
      </c>
      <c r="CU957">
        <v>4674</v>
      </c>
      <c r="CV957">
        <v>2250</v>
      </c>
      <c r="CW957">
        <v>4188</v>
      </c>
      <c r="CX957">
        <v>9215</v>
      </c>
      <c r="CY957">
        <v>9405</v>
      </c>
      <c r="CZ957">
        <v>4163</v>
      </c>
      <c r="DA957">
        <v>6355</v>
      </c>
      <c r="DB957">
        <v>7124</v>
      </c>
      <c r="DC957">
        <v>9490</v>
      </c>
      <c r="DD957">
        <v>2198</v>
      </c>
      <c r="DE957">
        <v>4442</v>
      </c>
      <c r="DF957">
        <v>1980</v>
      </c>
      <c r="DG957">
        <v>1677</v>
      </c>
      <c r="DH957">
        <v>4790</v>
      </c>
      <c r="DI957">
        <v>1915</v>
      </c>
      <c r="DJ957">
        <v>4896</v>
      </c>
      <c r="DK957">
        <v>7020</v>
      </c>
    </row>
    <row r="958" spans="1:115">
      <c r="A958" s="173">
        <f>Calculations[[#This Row],[Sum t eCO2]]*IF(Calculations[[#This Row],[GHG Scope]]="BIOGENIC",0,1)</f>
        <v>0.54167577818824408</v>
      </c>
      <c r="O958">
        <f t="shared" si="21"/>
        <v>15</v>
      </c>
      <c r="P958">
        <v>1983</v>
      </c>
      <c r="Q958">
        <v>5823</v>
      </c>
      <c r="R958">
        <v>4041</v>
      </c>
      <c r="S958">
        <v>8708</v>
      </c>
      <c r="T958">
        <v>8571</v>
      </c>
      <c r="U958">
        <v>5976</v>
      </c>
      <c r="V958">
        <v>5607</v>
      </c>
      <c r="W958">
        <v>7420</v>
      </c>
      <c r="X958">
        <v>3454</v>
      </c>
      <c r="Y958">
        <v>2208</v>
      </c>
      <c r="Z958">
        <v>7641</v>
      </c>
      <c r="AA958">
        <v>4920</v>
      </c>
      <c r="AB958">
        <v>7679</v>
      </c>
      <c r="AC958">
        <v>3097</v>
      </c>
      <c r="AD958">
        <v>1564</v>
      </c>
      <c r="AE958">
        <v>4971</v>
      </c>
      <c r="AF958">
        <v>5878</v>
      </c>
      <c r="AG958">
        <v>6983</v>
      </c>
      <c r="AH958">
        <v>9104</v>
      </c>
      <c r="AI958">
        <v>3302</v>
      </c>
      <c r="AJ958">
        <v>9024</v>
      </c>
      <c r="AK958">
        <v>6814</v>
      </c>
      <c r="AL958">
        <v>3551</v>
      </c>
      <c r="AM958">
        <v>3751</v>
      </c>
      <c r="AN958">
        <v>6911</v>
      </c>
      <c r="AO958">
        <v>7218</v>
      </c>
      <c r="AP958">
        <v>2970</v>
      </c>
      <c r="AQ958">
        <v>4609</v>
      </c>
      <c r="AR958">
        <v>4678</v>
      </c>
      <c r="AS958">
        <v>5639</v>
      </c>
      <c r="AT958">
        <v>7202</v>
      </c>
      <c r="AU958">
        <v>4304</v>
      </c>
      <c r="AV958">
        <v>6863</v>
      </c>
      <c r="AW958">
        <v>6147</v>
      </c>
      <c r="AX958">
        <v>8451</v>
      </c>
      <c r="AY958">
        <v>1884</v>
      </c>
      <c r="AZ958">
        <v>2933</v>
      </c>
      <c r="BA958">
        <v>1222</v>
      </c>
      <c r="BB958">
        <v>4030</v>
      </c>
      <c r="BC958">
        <v>2545</v>
      </c>
      <c r="BD958">
        <v>2726</v>
      </c>
      <c r="BE958">
        <v>8364</v>
      </c>
      <c r="BF958">
        <v>5798</v>
      </c>
      <c r="BG958">
        <v>8901</v>
      </c>
      <c r="BH958">
        <v>5636</v>
      </c>
      <c r="BI958">
        <v>4114</v>
      </c>
      <c r="BJ958">
        <v>6939</v>
      </c>
      <c r="BK958">
        <v>2071</v>
      </c>
      <c r="BL958">
        <v>4559</v>
      </c>
      <c r="BM958">
        <v>8439</v>
      </c>
      <c r="BN958">
        <v>3073</v>
      </c>
      <c r="BO958">
        <v>3270</v>
      </c>
      <c r="BP958">
        <v>3746</v>
      </c>
      <c r="BQ958">
        <v>1205</v>
      </c>
      <c r="BR958">
        <v>5819</v>
      </c>
      <c r="BS958">
        <v>1321</v>
      </c>
      <c r="BT958">
        <v>3283</v>
      </c>
      <c r="BU958">
        <v>8336</v>
      </c>
      <c r="BV958">
        <v>2094</v>
      </c>
      <c r="BW958">
        <v>6483</v>
      </c>
      <c r="BX958">
        <v>3482</v>
      </c>
      <c r="BY958">
        <v>4713</v>
      </c>
      <c r="BZ958">
        <v>7900</v>
      </c>
      <c r="CA958">
        <v>2186</v>
      </c>
      <c r="CB958">
        <v>5312</v>
      </c>
      <c r="CC958">
        <v>1065</v>
      </c>
      <c r="CD958">
        <v>7271</v>
      </c>
      <c r="CE958">
        <v>3255</v>
      </c>
      <c r="CF958">
        <v>6812</v>
      </c>
      <c r="CG958">
        <v>4641</v>
      </c>
      <c r="CH958">
        <v>5383</v>
      </c>
      <c r="CI958">
        <v>5046</v>
      </c>
      <c r="CJ958">
        <v>1917</v>
      </c>
      <c r="CK958">
        <v>9815</v>
      </c>
      <c r="CL958">
        <v>6823</v>
      </c>
      <c r="CM958">
        <v>3291</v>
      </c>
      <c r="CN958">
        <v>4440</v>
      </c>
      <c r="CO958">
        <v>2676</v>
      </c>
      <c r="CP958">
        <v>2428</v>
      </c>
      <c r="CQ958">
        <v>6298</v>
      </c>
      <c r="CR958">
        <v>8494</v>
      </c>
      <c r="CS958">
        <v>1532</v>
      </c>
      <c r="CT958">
        <v>1067</v>
      </c>
      <c r="CU958">
        <v>9159</v>
      </c>
      <c r="CV958">
        <v>9406</v>
      </c>
      <c r="CW958">
        <v>8652</v>
      </c>
      <c r="CX958">
        <v>7239</v>
      </c>
      <c r="CY958">
        <v>1098</v>
      </c>
      <c r="CZ958">
        <v>4892</v>
      </c>
      <c r="DA958">
        <v>4102</v>
      </c>
      <c r="DB958">
        <v>8469</v>
      </c>
      <c r="DC958">
        <v>1708</v>
      </c>
      <c r="DD958">
        <v>6131</v>
      </c>
      <c r="DE958">
        <v>4467</v>
      </c>
      <c r="DF958">
        <v>4106</v>
      </c>
      <c r="DG958">
        <v>7290</v>
      </c>
      <c r="DH958">
        <v>5416</v>
      </c>
      <c r="DI958">
        <v>4657</v>
      </c>
      <c r="DJ958">
        <v>1304</v>
      </c>
      <c r="DK958">
        <v>9475</v>
      </c>
    </row>
    <row r="959" spans="1:115">
      <c r="A959" s="173">
        <f>Calculations[[#This Row],[Sum t eCO2]]*IF(Calculations[[#This Row],[GHG Scope]]="BIOGENIC",0,1)</f>
        <v>0.623913493077496</v>
      </c>
      <c r="O959">
        <f t="shared" si="21"/>
        <v>16</v>
      </c>
      <c r="P959">
        <v>2756</v>
      </c>
      <c r="Q959">
        <v>1936</v>
      </c>
      <c r="R959">
        <v>5975</v>
      </c>
      <c r="S959">
        <v>6931</v>
      </c>
      <c r="T959">
        <v>3592</v>
      </c>
      <c r="U959">
        <v>2237</v>
      </c>
      <c r="V959">
        <v>3508</v>
      </c>
      <c r="W959">
        <v>3413</v>
      </c>
      <c r="X959">
        <v>5288</v>
      </c>
      <c r="Y959">
        <v>3213</v>
      </c>
      <c r="Z959">
        <v>9718</v>
      </c>
      <c r="AA959">
        <v>2724</v>
      </c>
      <c r="AB959">
        <v>3956</v>
      </c>
      <c r="AC959">
        <v>5449</v>
      </c>
      <c r="AD959">
        <v>9438</v>
      </c>
      <c r="AE959">
        <v>4852</v>
      </c>
      <c r="AF959">
        <v>3821</v>
      </c>
      <c r="AG959">
        <v>9394</v>
      </c>
      <c r="AH959">
        <v>5977</v>
      </c>
      <c r="AI959">
        <v>4399</v>
      </c>
      <c r="AJ959">
        <v>3242</v>
      </c>
      <c r="AK959">
        <v>1646</v>
      </c>
      <c r="AL959">
        <v>3232</v>
      </c>
      <c r="AM959">
        <v>9095</v>
      </c>
      <c r="AN959">
        <v>7890</v>
      </c>
      <c r="AO959">
        <v>8437</v>
      </c>
      <c r="AP959">
        <v>7327</v>
      </c>
      <c r="AQ959">
        <v>3602</v>
      </c>
      <c r="AR959">
        <v>1662</v>
      </c>
      <c r="AS959">
        <v>3716</v>
      </c>
      <c r="AT959">
        <v>8468</v>
      </c>
      <c r="AU959">
        <v>7573</v>
      </c>
      <c r="AV959">
        <v>1839</v>
      </c>
      <c r="AW959">
        <v>3324</v>
      </c>
      <c r="AX959">
        <v>2697</v>
      </c>
      <c r="AY959">
        <v>1269</v>
      </c>
      <c r="AZ959">
        <v>1482</v>
      </c>
      <c r="BA959">
        <v>3318</v>
      </c>
      <c r="BB959">
        <v>8703</v>
      </c>
      <c r="BC959">
        <v>4523</v>
      </c>
      <c r="BD959">
        <v>9863</v>
      </c>
      <c r="BE959">
        <v>2975</v>
      </c>
      <c r="BF959">
        <v>2320</v>
      </c>
      <c r="BG959">
        <v>5993</v>
      </c>
      <c r="BH959">
        <v>6187</v>
      </c>
      <c r="BI959">
        <v>2760</v>
      </c>
      <c r="BJ959">
        <v>3153</v>
      </c>
      <c r="BK959">
        <v>7601</v>
      </c>
      <c r="BL959">
        <v>4634</v>
      </c>
      <c r="BM959">
        <v>2713</v>
      </c>
      <c r="BN959">
        <v>5048</v>
      </c>
      <c r="BO959">
        <v>4246</v>
      </c>
      <c r="BP959">
        <v>4428</v>
      </c>
      <c r="BQ959">
        <v>6564</v>
      </c>
      <c r="BR959">
        <v>1967</v>
      </c>
      <c r="BS959">
        <v>5436</v>
      </c>
      <c r="BT959">
        <v>3155</v>
      </c>
      <c r="BU959">
        <v>4685</v>
      </c>
      <c r="BV959">
        <v>2967</v>
      </c>
      <c r="BW959">
        <v>8423</v>
      </c>
      <c r="BX959">
        <v>7743</v>
      </c>
      <c r="BY959">
        <v>2999</v>
      </c>
      <c r="BZ959">
        <v>2165</v>
      </c>
      <c r="CA959">
        <v>7676</v>
      </c>
      <c r="CB959">
        <v>2435</v>
      </c>
      <c r="CC959">
        <v>1083</v>
      </c>
      <c r="CD959">
        <v>6009</v>
      </c>
      <c r="CE959">
        <v>9992</v>
      </c>
      <c r="CF959">
        <v>1838</v>
      </c>
      <c r="CG959">
        <v>9359</v>
      </c>
      <c r="CH959">
        <v>9036</v>
      </c>
      <c r="CI959">
        <v>2820</v>
      </c>
      <c r="CJ959">
        <v>7749</v>
      </c>
      <c r="CK959">
        <v>6324</v>
      </c>
      <c r="CL959">
        <v>6565</v>
      </c>
      <c r="CM959">
        <v>1595</v>
      </c>
      <c r="CN959">
        <v>7564</v>
      </c>
      <c r="CO959">
        <v>6997</v>
      </c>
      <c r="CP959">
        <v>4758</v>
      </c>
      <c r="CQ959">
        <v>1583</v>
      </c>
      <c r="CR959">
        <v>2541</v>
      </c>
      <c r="CS959">
        <v>3932</v>
      </c>
      <c r="CT959">
        <v>8016</v>
      </c>
      <c r="CU959">
        <v>4427</v>
      </c>
      <c r="CV959">
        <v>6142</v>
      </c>
      <c r="CW959">
        <v>1320</v>
      </c>
      <c r="CX959">
        <v>6278</v>
      </c>
      <c r="CY959">
        <v>3819</v>
      </c>
      <c r="CZ959">
        <v>8754</v>
      </c>
      <c r="DA959">
        <v>6481</v>
      </c>
      <c r="DB959">
        <v>6232</v>
      </c>
      <c r="DC959">
        <v>2399</v>
      </c>
      <c r="DD959">
        <v>8218</v>
      </c>
      <c r="DE959">
        <v>6106</v>
      </c>
      <c r="DF959">
        <v>1465</v>
      </c>
      <c r="DG959">
        <v>7838</v>
      </c>
      <c r="DH959">
        <v>8012</v>
      </c>
      <c r="DI959">
        <v>2680</v>
      </c>
      <c r="DJ959">
        <v>3836</v>
      </c>
      <c r="DK959">
        <v>3086</v>
      </c>
    </row>
    <row r="960" spans="1:115">
      <c r="A960" s="173">
        <f>Calculations[[#This Row],[Sum t eCO2]]*IF(Calculations[[#This Row],[GHG Scope]]="BIOGENIC",0,1)</f>
        <v>0.77610432468253387</v>
      </c>
      <c r="O960">
        <f t="shared" si="21"/>
        <v>17</v>
      </c>
      <c r="P960">
        <v>7871</v>
      </c>
      <c r="Q960">
        <v>6260</v>
      </c>
      <c r="R960">
        <v>7957</v>
      </c>
      <c r="S960">
        <v>3781</v>
      </c>
      <c r="T960">
        <v>8462</v>
      </c>
      <c r="U960">
        <v>8541</v>
      </c>
      <c r="V960">
        <v>2191</v>
      </c>
      <c r="W960">
        <v>8445</v>
      </c>
      <c r="X960">
        <v>1471</v>
      </c>
      <c r="Y960">
        <v>5532</v>
      </c>
      <c r="Z960">
        <v>9660</v>
      </c>
      <c r="AA960">
        <v>8099</v>
      </c>
      <c r="AB960">
        <v>2266</v>
      </c>
      <c r="AC960">
        <v>7748</v>
      </c>
      <c r="AD960">
        <v>3359</v>
      </c>
      <c r="AE960">
        <v>6628</v>
      </c>
      <c r="AF960">
        <v>9009</v>
      </c>
      <c r="AG960">
        <v>6612</v>
      </c>
      <c r="AH960">
        <v>9118</v>
      </c>
      <c r="AI960">
        <v>2551</v>
      </c>
      <c r="AJ960">
        <v>3373</v>
      </c>
      <c r="AK960">
        <v>4757</v>
      </c>
      <c r="AL960">
        <v>3748</v>
      </c>
      <c r="AM960">
        <v>9304</v>
      </c>
      <c r="AN960">
        <v>8593</v>
      </c>
      <c r="AO960">
        <v>9353</v>
      </c>
      <c r="AP960">
        <v>3506</v>
      </c>
      <c r="AQ960">
        <v>1018</v>
      </c>
      <c r="AR960">
        <v>6406</v>
      </c>
      <c r="AS960">
        <v>7715</v>
      </c>
      <c r="AT960">
        <v>6089</v>
      </c>
      <c r="AU960">
        <v>1847</v>
      </c>
      <c r="AV960">
        <v>9013</v>
      </c>
      <c r="AW960">
        <v>7090</v>
      </c>
      <c r="AX960">
        <v>8582</v>
      </c>
      <c r="AY960">
        <v>8992</v>
      </c>
      <c r="AZ960">
        <v>9224</v>
      </c>
      <c r="BA960">
        <v>3707</v>
      </c>
      <c r="BB960">
        <v>3010</v>
      </c>
      <c r="BC960">
        <v>2953</v>
      </c>
      <c r="BD960">
        <v>1665</v>
      </c>
      <c r="BE960">
        <v>5565</v>
      </c>
      <c r="BF960">
        <v>7304</v>
      </c>
      <c r="BG960">
        <v>3592</v>
      </c>
      <c r="BH960">
        <v>9342</v>
      </c>
      <c r="BI960">
        <v>5933</v>
      </c>
      <c r="BJ960">
        <v>6005</v>
      </c>
      <c r="BK960">
        <v>1010</v>
      </c>
      <c r="BL960">
        <v>4448</v>
      </c>
      <c r="BM960">
        <v>3711</v>
      </c>
      <c r="BN960">
        <v>6330</v>
      </c>
      <c r="BO960">
        <v>4429</v>
      </c>
      <c r="BP960">
        <v>9519</v>
      </c>
      <c r="BQ960">
        <v>8106</v>
      </c>
      <c r="BR960">
        <v>6059</v>
      </c>
      <c r="BS960">
        <v>4796</v>
      </c>
      <c r="BT960">
        <v>8130</v>
      </c>
      <c r="BU960">
        <v>3276</v>
      </c>
      <c r="BV960">
        <v>6019</v>
      </c>
      <c r="BW960">
        <v>9287</v>
      </c>
      <c r="BX960">
        <v>9915</v>
      </c>
      <c r="BY960">
        <v>1198</v>
      </c>
      <c r="BZ960">
        <v>5802</v>
      </c>
      <c r="CA960">
        <v>7396</v>
      </c>
      <c r="CB960">
        <v>6808</v>
      </c>
      <c r="CC960">
        <v>8736</v>
      </c>
      <c r="CD960">
        <v>8575</v>
      </c>
      <c r="CE960">
        <v>8948</v>
      </c>
      <c r="CF960">
        <v>3782</v>
      </c>
      <c r="CG960">
        <v>2980</v>
      </c>
      <c r="CH960">
        <v>8600</v>
      </c>
      <c r="CI960">
        <v>6143</v>
      </c>
      <c r="CJ960">
        <v>8208</v>
      </c>
      <c r="CK960">
        <v>1440</v>
      </c>
      <c r="CL960">
        <v>8647</v>
      </c>
      <c r="CM960">
        <v>9744</v>
      </c>
      <c r="CN960">
        <v>8379</v>
      </c>
      <c r="CO960">
        <v>8553</v>
      </c>
      <c r="CP960">
        <v>3520</v>
      </c>
      <c r="CQ960">
        <v>5171</v>
      </c>
      <c r="CR960">
        <v>9183</v>
      </c>
      <c r="CS960">
        <v>3896</v>
      </c>
      <c r="CT960">
        <v>4302</v>
      </c>
      <c r="CU960">
        <v>9646</v>
      </c>
      <c r="CV960">
        <v>1059</v>
      </c>
      <c r="CW960">
        <v>5714</v>
      </c>
      <c r="CX960">
        <v>9534</v>
      </c>
      <c r="CY960">
        <v>6541</v>
      </c>
      <c r="CZ960">
        <v>7858</v>
      </c>
      <c r="DA960">
        <v>3199</v>
      </c>
      <c r="DB960">
        <v>6519</v>
      </c>
      <c r="DC960">
        <v>3968</v>
      </c>
      <c r="DD960">
        <v>3442</v>
      </c>
      <c r="DE960">
        <v>2689</v>
      </c>
      <c r="DF960">
        <v>9908</v>
      </c>
      <c r="DG960">
        <v>4894</v>
      </c>
      <c r="DH960">
        <v>9420</v>
      </c>
      <c r="DI960">
        <v>1116</v>
      </c>
      <c r="DJ960">
        <v>2322</v>
      </c>
      <c r="DK960">
        <v>6520</v>
      </c>
    </row>
    <row r="961" spans="1:115">
      <c r="A961" s="173">
        <f>Calculations[[#This Row],[Sum t eCO2]]*IF(Calculations[[#This Row],[GHG Scope]]="BIOGENIC",0,1)</f>
        <v>5.6826352700774043</v>
      </c>
      <c r="O961">
        <f t="shared" si="21"/>
        <v>18</v>
      </c>
      <c r="P961">
        <v>3366</v>
      </c>
      <c r="Q961">
        <v>3228</v>
      </c>
      <c r="R961">
        <v>3256</v>
      </c>
      <c r="S961">
        <v>3910</v>
      </c>
      <c r="T961">
        <v>7205</v>
      </c>
      <c r="U961">
        <v>7457</v>
      </c>
      <c r="V961">
        <v>5438</v>
      </c>
      <c r="W961">
        <v>6451</v>
      </c>
      <c r="X961">
        <v>2254</v>
      </c>
      <c r="Y961">
        <v>4862</v>
      </c>
      <c r="Z961">
        <v>7125</v>
      </c>
      <c r="AA961">
        <v>6327</v>
      </c>
      <c r="AB961">
        <v>3045</v>
      </c>
      <c r="AC961">
        <v>2720</v>
      </c>
      <c r="AD961">
        <v>2634</v>
      </c>
      <c r="AE961">
        <v>7035</v>
      </c>
      <c r="AF961">
        <v>5719</v>
      </c>
      <c r="AG961">
        <v>9784</v>
      </c>
      <c r="AH961">
        <v>3488</v>
      </c>
      <c r="AI961">
        <v>3401</v>
      </c>
      <c r="AJ961">
        <v>4569</v>
      </c>
      <c r="AK961">
        <v>5030</v>
      </c>
      <c r="AL961">
        <v>6828</v>
      </c>
      <c r="AM961">
        <v>8193</v>
      </c>
      <c r="AN961">
        <v>2124</v>
      </c>
      <c r="AO961">
        <v>3212</v>
      </c>
      <c r="AP961">
        <v>6533</v>
      </c>
      <c r="AQ961">
        <v>7588</v>
      </c>
      <c r="AR961">
        <v>3615</v>
      </c>
      <c r="AS961">
        <v>4672</v>
      </c>
      <c r="AT961">
        <v>3190</v>
      </c>
      <c r="AU961">
        <v>6649</v>
      </c>
      <c r="AV961">
        <v>3774</v>
      </c>
      <c r="AW961">
        <v>2823</v>
      </c>
      <c r="AX961">
        <v>4011</v>
      </c>
      <c r="AY961">
        <v>6242</v>
      </c>
      <c r="AZ961">
        <v>3539</v>
      </c>
      <c r="BA961">
        <v>8718</v>
      </c>
      <c r="BB961">
        <v>1455</v>
      </c>
      <c r="BC961">
        <v>5096</v>
      </c>
      <c r="BD961">
        <v>7516</v>
      </c>
      <c r="BE961">
        <v>9038</v>
      </c>
      <c r="BF961">
        <v>6756</v>
      </c>
      <c r="BG961">
        <v>7510</v>
      </c>
      <c r="BH961">
        <v>1056</v>
      </c>
      <c r="BI961">
        <v>1914</v>
      </c>
      <c r="BJ961">
        <v>2293</v>
      </c>
      <c r="BK961">
        <v>5156</v>
      </c>
      <c r="BL961">
        <v>6636</v>
      </c>
      <c r="BM961">
        <v>6144</v>
      </c>
      <c r="BN961">
        <v>4856</v>
      </c>
      <c r="BO961">
        <v>7261</v>
      </c>
      <c r="BP961">
        <v>8181</v>
      </c>
      <c r="BQ961">
        <v>4414</v>
      </c>
      <c r="BR961">
        <v>4277</v>
      </c>
      <c r="BS961">
        <v>3815</v>
      </c>
      <c r="BT961">
        <v>3395</v>
      </c>
      <c r="BU961">
        <v>1045</v>
      </c>
      <c r="BV961">
        <v>2602</v>
      </c>
      <c r="BW961">
        <v>9306</v>
      </c>
      <c r="BX961">
        <v>6591</v>
      </c>
      <c r="BY961">
        <v>5221</v>
      </c>
      <c r="BZ961">
        <v>8823</v>
      </c>
      <c r="CA961">
        <v>1362</v>
      </c>
      <c r="CB961">
        <v>5692</v>
      </c>
      <c r="CC961">
        <v>1315</v>
      </c>
      <c r="CD961">
        <v>7384</v>
      </c>
      <c r="CE961">
        <v>6482</v>
      </c>
      <c r="CF961">
        <v>9130</v>
      </c>
      <c r="CG961">
        <v>8445</v>
      </c>
      <c r="CH961">
        <v>5871</v>
      </c>
      <c r="CI961">
        <v>2039</v>
      </c>
      <c r="CJ961">
        <v>6423</v>
      </c>
      <c r="CK961">
        <v>1461</v>
      </c>
      <c r="CL961">
        <v>1437</v>
      </c>
      <c r="CM961">
        <v>9751</v>
      </c>
      <c r="CN961">
        <v>1957</v>
      </c>
      <c r="CO961">
        <v>9231</v>
      </c>
      <c r="CP961">
        <v>4093</v>
      </c>
      <c r="CQ961">
        <v>4078</v>
      </c>
      <c r="CR961">
        <v>9249</v>
      </c>
      <c r="CS961">
        <v>1351</v>
      </c>
      <c r="CT961">
        <v>5054</v>
      </c>
      <c r="CU961">
        <v>1828</v>
      </c>
      <c r="CV961">
        <v>8778</v>
      </c>
      <c r="CW961">
        <v>2421</v>
      </c>
      <c r="CX961">
        <v>1334</v>
      </c>
      <c r="CY961">
        <v>7176</v>
      </c>
      <c r="CZ961">
        <v>1049</v>
      </c>
      <c r="DA961">
        <v>3958</v>
      </c>
      <c r="DB961">
        <v>5886</v>
      </c>
      <c r="DC961">
        <v>4763</v>
      </c>
      <c r="DD961">
        <v>6662</v>
      </c>
      <c r="DE961">
        <v>2573</v>
      </c>
      <c r="DF961">
        <v>8168</v>
      </c>
      <c r="DG961">
        <v>3283</v>
      </c>
      <c r="DH961">
        <v>9508</v>
      </c>
      <c r="DI961">
        <v>3042</v>
      </c>
      <c r="DJ961">
        <v>4016</v>
      </c>
      <c r="DK961">
        <v>8375</v>
      </c>
    </row>
    <row r="962" spans="1:115">
      <c r="A962" s="173">
        <f>Calculations[[#This Row],[Sum t eCO2]]*IF(Calculations[[#This Row],[GHG Scope]]="BIOGENIC",0,1)</f>
        <v>18.067764235099457</v>
      </c>
      <c r="O962">
        <f t="shared" si="21"/>
        <v>19</v>
      </c>
      <c r="P962">
        <v>7848</v>
      </c>
      <c r="Q962">
        <v>8638</v>
      </c>
      <c r="R962">
        <v>7103</v>
      </c>
      <c r="S962">
        <v>7392</v>
      </c>
      <c r="T962">
        <v>9216</v>
      </c>
      <c r="U962">
        <v>5415</v>
      </c>
      <c r="V962">
        <v>1186</v>
      </c>
      <c r="W962">
        <v>1715</v>
      </c>
      <c r="X962">
        <v>3647</v>
      </c>
      <c r="Y962">
        <v>4771</v>
      </c>
      <c r="Z962">
        <v>5946</v>
      </c>
      <c r="AA962">
        <v>2351</v>
      </c>
      <c r="AB962">
        <v>8675</v>
      </c>
      <c r="AC962">
        <v>3287</v>
      </c>
      <c r="AD962">
        <v>7592</v>
      </c>
      <c r="AE962">
        <v>3432</v>
      </c>
      <c r="AF962">
        <v>4155</v>
      </c>
      <c r="AG962">
        <v>4409</v>
      </c>
      <c r="AH962">
        <v>2440</v>
      </c>
      <c r="AI962">
        <v>4037</v>
      </c>
      <c r="AJ962">
        <v>5036</v>
      </c>
      <c r="AK962">
        <v>4656</v>
      </c>
      <c r="AL962">
        <v>9151</v>
      </c>
      <c r="AM962">
        <v>7623</v>
      </c>
      <c r="AN962">
        <v>4489</v>
      </c>
      <c r="AO962">
        <v>1536</v>
      </c>
      <c r="AP962">
        <v>1227</v>
      </c>
      <c r="AQ962">
        <v>5602</v>
      </c>
      <c r="AR962">
        <v>8110</v>
      </c>
      <c r="AS962">
        <v>5303</v>
      </c>
      <c r="AT962">
        <v>1320</v>
      </c>
      <c r="AU962">
        <v>2998</v>
      </c>
      <c r="AV962">
        <v>3733</v>
      </c>
      <c r="AW962">
        <v>8814</v>
      </c>
      <c r="AX962">
        <v>3929</v>
      </c>
      <c r="AY962">
        <v>2828</v>
      </c>
      <c r="AZ962">
        <v>5567</v>
      </c>
      <c r="BA962">
        <v>8092</v>
      </c>
      <c r="BB962">
        <v>7352</v>
      </c>
      <c r="BC962">
        <v>1031</v>
      </c>
      <c r="BD962">
        <v>4561</v>
      </c>
      <c r="BE962">
        <v>1504</v>
      </c>
      <c r="BF962">
        <v>2600</v>
      </c>
      <c r="BG962">
        <v>5825</v>
      </c>
      <c r="BH962">
        <v>8902</v>
      </c>
      <c r="BI962">
        <v>1209</v>
      </c>
      <c r="BJ962">
        <v>6232</v>
      </c>
      <c r="BK962">
        <v>6770</v>
      </c>
      <c r="BL962">
        <v>1152</v>
      </c>
      <c r="BM962">
        <v>6471</v>
      </c>
      <c r="BN962">
        <v>1593</v>
      </c>
      <c r="BO962">
        <v>7367</v>
      </c>
      <c r="BP962">
        <v>9598</v>
      </c>
      <c r="BQ962">
        <v>2701</v>
      </c>
      <c r="BR962">
        <v>1335</v>
      </c>
      <c r="BS962">
        <v>1793</v>
      </c>
      <c r="BT962">
        <v>5404</v>
      </c>
      <c r="BU962">
        <v>3728</v>
      </c>
      <c r="BV962">
        <v>9522</v>
      </c>
      <c r="BW962">
        <v>6020</v>
      </c>
      <c r="BX962">
        <v>9118</v>
      </c>
      <c r="BY962">
        <v>9748</v>
      </c>
      <c r="BZ962">
        <v>2220</v>
      </c>
      <c r="CA962">
        <v>4170</v>
      </c>
      <c r="CB962">
        <v>1680</v>
      </c>
      <c r="CC962">
        <v>4355</v>
      </c>
      <c r="CD962">
        <v>6686</v>
      </c>
      <c r="CE962">
        <v>2510</v>
      </c>
      <c r="CF962">
        <v>8838</v>
      </c>
      <c r="CG962">
        <v>4969</v>
      </c>
      <c r="CH962">
        <v>3984</v>
      </c>
      <c r="CI962">
        <v>6568</v>
      </c>
      <c r="CJ962">
        <v>8739</v>
      </c>
      <c r="CK962">
        <v>5318</v>
      </c>
      <c r="CL962">
        <v>1264</v>
      </c>
      <c r="CM962">
        <v>9934</v>
      </c>
      <c r="CN962">
        <v>9149</v>
      </c>
      <c r="CO962">
        <v>6099</v>
      </c>
      <c r="CP962">
        <v>4682</v>
      </c>
      <c r="CQ962">
        <v>3719</v>
      </c>
      <c r="CR962">
        <v>9225</v>
      </c>
      <c r="CS962">
        <v>6605</v>
      </c>
      <c r="CT962">
        <v>6960</v>
      </c>
      <c r="CU962">
        <v>9720</v>
      </c>
      <c r="CV962">
        <v>6101</v>
      </c>
      <c r="CW962">
        <v>6237</v>
      </c>
      <c r="CX962">
        <v>3976</v>
      </c>
      <c r="CY962">
        <v>6375</v>
      </c>
      <c r="CZ962">
        <v>1871</v>
      </c>
      <c r="DA962">
        <v>6809</v>
      </c>
      <c r="DB962">
        <v>7387</v>
      </c>
      <c r="DC962">
        <v>1541</v>
      </c>
      <c r="DD962">
        <v>8599</v>
      </c>
      <c r="DE962">
        <v>2243</v>
      </c>
      <c r="DF962">
        <v>5474</v>
      </c>
      <c r="DG962">
        <v>7739</v>
      </c>
      <c r="DH962">
        <v>3080</v>
      </c>
      <c r="DI962">
        <v>4562</v>
      </c>
      <c r="DJ962">
        <v>4109</v>
      </c>
      <c r="DK962">
        <v>1680</v>
      </c>
    </row>
    <row r="963" spans="1:115">
      <c r="A963" s="173">
        <f>Calculations[[#This Row],[Sum t eCO2]]*IF(Calculations[[#This Row],[GHG Scope]]="BIOGENIC",0,1)</f>
        <v>1.5357789197380018</v>
      </c>
      <c r="O963">
        <f t="shared" si="21"/>
        <v>20</v>
      </c>
      <c r="P963">
        <v>6549</v>
      </c>
      <c r="Q963">
        <v>8329</v>
      </c>
      <c r="R963">
        <v>1500</v>
      </c>
      <c r="S963">
        <v>5858</v>
      </c>
      <c r="T963">
        <v>1642</v>
      </c>
      <c r="U963">
        <v>7090</v>
      </c>
      <c r="V963">
        <v>5154</v>
      </c>
      <c r="W963">
        <v>1242</v>
      </c>
      <c r="X963">
        <v>4616</v>
      </c>
      <c r="Y963">
        <v>9579</v>
      </c>
      <c r="Z963">
        <v>2389</v>
      </c>
      <c r="AA963">
        <v>3215</v>
      </c>
      <c r="AB963">
        <v>9714</v>
      </c>
      <c r="AC963">
        <v>9402</v>
      </c>
      <c r="AD963">
        <v>8426</v>
      </c>
      <c r="AE963">
        <v>7750</v>
      </c>
      <c r="AF963">
        <v>4243</v>
      </c>
      <c r="AG963">
        <v>9647</v>
      </c>
      <c r="AH963">
        <v>4980</v>
      </c>
      <c r="AI963">
        <v>3083</v>
      </c>
      <c r="AJ963">
        <v>7144</v>
      </c>
      <c r="AK963">
        <v>5688</v>
      </c>
      <c r="AL963">
        <v>1976</v>
      </c>
      <c r="AM963">
        <v>8973</v>
      </c>
      <c r="AN963">
        <v>2215</v>
      </c>
      <c r="AO963">
        <v>7389</v>
      </c>
      <c r="AP963">
        <v>1948</v>
      </c>
      <c r="AQ963">
        <v>7890</v>
      </c>
      <c r="AR963">
        <v>9436</v>
      </c>
      <c r="AS963">
        <v>6681</v>
      </c>
      <c r="AT963">
        <v>8480</v>
      </c>
      <c r="AU963">
        <v>5025</v>
      </c>
      <c r="AV963">
        <v>3881</v>
      </c>
      <c r="AW963">
        <v>7090</v>
      </c>
      <c r="AX963">
        <v>5434</v>
      </c>
      <c r="AY963">
        <v>2977</v>
      </c>
      <c r="AZ963">
        <v>6387</v>
      </c>
      <c r="BA963">
        <v>8455</v>
      </c>
      <c r="BB963">
        <v>4119</v>
      </c>
      <c r="BC963">
        <v>3896</v>
      </c>
      <c r="BD963">
        <v>6883</v>
      </c>
      <c r="BE963">
        <v>7556</v>
      </c>
      <c r="BF963">
        <v>2433</v>
      </c>
      <c r="BG963">
        <v>4542</v>
      </c>
      <c r="BH963">
        <v>2510</v>
      </c>
      <c r="BI963">
        <v>4874</v>
      </c>
      <c r="BJ963">
        <v>3382</v>
      </c>
      <c r="BK963">
        <v>1765</v>
      </c>
      <c r="BL963">
        <v>6541</v>
      </c>
      <c r="BM963">
        <v>8840</v>
      </c>
      <c r="BN963">
        <v>9962</v>
      </c>
      <c r="BO963">
        <v>4992</v>
      </c>
      <c r="BP963">
        <v>1161</v>
      </c>
      <c r="BQ963">
        <v>1367</v>
      </c>
      <c r="BR963">
        <v>6254</v>
      </c>
      <c r="BS963">
        <v>6715</v>
      </c>
      <c r="BT963">
        <v>8564</v>
      </c>
      <c r="BU963">
        <v>1339</v>
      </c>
      <c r="BV963">
        <v>5130</v>
      </c>
      <c r="BW963">
        <v>7112</v>
      </c>
      <c r="BX963">
        <v>9902</v>
      </c>
      <c r="BY963">
        <v>8095</v>
      </c>
      <c r="BZ963">
        <v>6260</v>
      </c>
      <c r="CA963">
        <v>9268</v>
      </c>
      <c r="CB963">
        <v>7058</v>
      </c>
      <c r="CC963">
        <v>3198</v>
      </c>
      <c r="CD963">
        <v>8650</v>
      </c>
      <c r="CE963">
        <v>7054</v>
      </c>
      <c r="CF963">
        <v>5551</v>
      </c>
      <c r="CG963">
        <v>8872</v>
      </c>
      <c r="CH963">
        <v>3676</v>
      </c>
      <c r="CI963">
        <v>7031</v>
      </c>
      <c r="CJ963">
        <v>2662</v>
      </c>
      <c r="CK963">
        <v>8030</v>
      </c>
      <c r="CL963">
        <v>6633</v>
      </c>
      <c r="CM963">
        <v>2842</v>
      </c>
      <c r="CN963">
        <v>7914</v>
      </c>
      <c r="CO963">
        <v>9301</v>
      </c>
      <c r="CP963">
        <v>5413</v>
      </c>
      <c r="CQ963">
        <v>7152</v>
      </c>
      <c r="CR963">
        <v>5925</v>
      </c>
      <c r="CS963">
        <v>4551</v>
      </c>
      <c r="CT963">
        <v>8538</v>
      </c>
      <c r="CU963">
        <v>1667</v>
      </c>
      <c r="CV963">
        <v>4677</v>
      </c>
      <c r="CW963">
        <v>1094</v>
      </c>
      <c r="CX963">
        <v>9272</v>
      </c>
      <c r="CY963">
        <v>6007</v>
      </c>
      <c r="CZ963">
        <v>1674</v>
      </c>
      <c r="DA963">
        <v>3032</v>
      </c>
      <c r="DB963">
        <v>7933</v>
      </c>
      <c r="DC963">
        <v>8008</v>
      </c>
      <c r="DD963">
        <v>7424</v>
      </c>
      <c r="DE963">
        <v>8689</v>
      </c>
      <c r="DF963">
        <v>7780</v>
      </c>
      <c r="DG963">
        <v>1124</v>
      </c>
      <c r="DH963">
        <v>6623</v>
      </c>
      <c r="DI963">
        <v>4772</v>
      </c>
      <c r="DJ963">
        <v>3608</v>
      </c>
      <c r="DK963">
        <v>4840</v>
      </c>
    </row>
    <row r="964" spans="1:115">
      <c r="A964" s="173">
        <f>Calculations[[#This Row],[Sum t eCO2]]*IF(Calculations[[#This Row],[GHG Scope]]="BIOGENIC",0,1)</f>
        <v>11233.689711230903</v>
      </c>
      <c r="O964">
        <f t="shared" si="21"/>
        <v>21</v>
      </c>
      <c r="P964">
        <v>1633</v>
      </c>
      <c r="Q964">
        <v>9148</v>
      </c>
      <c r="R964">
        <v>5515</v>
      </c>
      <c r="S964">
        <v>6434</v>
      </c>
      <c r="T964">
        <v>8551</v>
      </c>
      <c r="U964">
        <v>4958</v>
      </c>
      <c r="V964">
        <v>3584</v>
      </c>
      <c r="W964">
        <v>1920</v>
      </c>
      <c r="X964">
        <v>9696</v>
      </c>
      <c r="Y964">
        <v>6195</v>
      </c>
      <c r="Z964">
        <v>4537</v>
      </c>
      <c r="AA964">
        <v>9157</v>
      </c>
      <c r="AB964">
        <v>3240</v>
      </c>
      <c r="AC964">
        <v>1490</v>
      </c>
      <c r="AD964">
        <v>7817</v>
      </c>
      <c r="AE964">
        <v>5619</v>
      </c>
      <c r="AF964">
        <v>1202</v>
      </c>
      <c r="AG964">
        <v>4760</v>
      </c>
      <c r="AH964">
        <v>4024</v>
      </c>
      <c r="AI964">
        <v>7419</v>
      </c>
      <c r="AJ964">
        <v>8342</v>
      </c>
      <c r="AK964">
        <v>3460</v>
      </c>
      <c r="AL964">
        <v>8900</v>
      </c>
      <c r="AM964">
        <v>5825</v>
      </c>
      <c r="AN964">
        <v>5687</v>
      </c>
      <c r="AO964">
        <v>4824</v>
      </c>
      <c r="AP964">
        <v>9751</v>
      </c>
      <c r="AQ964">
        <v>8339</v>
      </c>
      <c r="AR964">
        <v>7282</v>
      </c>
      <c r="AS964">
        <v>5161</v>
      </c>
      <c r="AT964">
        <v>3963</v>
      </c>
      <c r="AU964">
        <v>9358</v>
      </c>
      <c r="AV964">
        <v>6085</v>
      </c>
      <c r="AW964">
        <v>5158</v>
      </c>
      <c r="AX964">
        <v>4026</v>
      </c>
      <c r="AY964">
        <v>2249</v>
      </c>
      <c r="AZ964">
        <v>3719</v>
      </c>
      <c r="BA964">
        <v>9142</v>
      </c>
      <c r="BB964">
        <v>4198</v>
      </c>
      <c r="BC964">
        <v>3318</v>
      </c>
      <c r="BD964">
        <v>7410</v>
      </c>
      <c r="BE964">
        <v>5894</v>
      </c>
      <c r="BF964">
        <v>9549</v>
      </c>
      <c r="BG964">
        <v>1194</v>
      </c>
      <c r="BH964">
        <v>7289</v>
      </c>
      <c r="BI964">
        <v>4770</v>
      </c>
      <c r="BJ964">
        <v>3211</v>
      </c>
      <c r="BK964">
        <v>3388</v>
      </c>
      <c r="BL964">
        <v>6736</v>
      </c>
      <c r="BM964">
        <v>1162</v>
      </c>
      <c r="BN964">
        <v>6039</v>
      </c>
      <c r="BO964">
        <v>2027</v>
      </c>
      <c r="BP964">
        <v>1548</v>
      </c>
      <c r="BQ964">
        <v>6501</v>
      </c>
      <c r="BR964">
        <v>3558</v>
      </c>
      <c r="BS964">
        <v>2120</v>
      </c>
      <c r="BT964">
        <v>4366</v>
      </c>
      <c r="BU964">
        <v>4349</v>
      </c>
      <c r="BV964">
        <v>8683</v>
      </c>
      <c r="BW964">
        <v>9026</v>
      </c>
      <c r="BX964">
        <v>7621</v>
      </c>
      <c r="BY964">
        <v>2475</v>
      </c>
      <c r="BZ964">
        <v>7048</v>
      </c>
      <c r="CA964">
        <v>5897</v>
      </c>
      <c r="CB964">
        <v>8002</v>
      </c>
      <c r="CC964">
        <v>7685</v>
      </c>
      <c r="CD964">
        <v>8625</v>
      </c>
      <c r="CE964">
        <v>2652</v>
      </c>
      <c r="CF964">
        <v>9126</v>
      </c>
      <c r="CG964">
        <v>3901</v>
      </c>
      <c r="CH964">
        <v>8035</v>
      </c>
      <c r="CI964">
        <v>4394</v>
      </c>
      <c r="CJ964">
        <v>1962</v>
      </c>
      <c r="CK964">
        <v>1843</v>
      </c>
      <c r="CL964">
        <v>1287</v>
      </c>
      <c r="CM964">
        <v>2814</v>
      </c>
      <c r="CN964">
        <v>7119</v>
      </c>
      <c r="CO964">
        <v>8288</v>
      </c>
      <c r="CP964">
        <v>2415</v>
      </c>
      <c r="CQ964">
        <v>8836</v>
      </c>
      <c r="CR964">
        <v>1827</v>
      </c>
      <c r="CS964">
        <v>8668</v>
      </c>
      <c r="CT964">
        <v>1138</v>
      </c>
      <c r="CU964">
        <v>8600</v>
      </c>
      <c r="CV964">
        <v>3943</v>
      </c>
      <c r="CW964">
        <v>6719</v>
      </c>
      <c r="CX964">
        <v>6428</v>
      </c>
      <c r="CY964">
        <v>4298</v>
      </c>
      <c r="CZ964">
        <v>4909</v>
      </c>
      <c r="DA964">
        <v>5142</v>
      </c>
      <c r="DB964">
        <v>7894</v>
      </c>
      <c r="DC964">
        <v>1412</v>
      </c>
      <c r="DD964">
        <v>4615</v>
      </c>
      <c r="DE964">
        <v>7667</v>
      </c>
      <c r="DF964">
        <v>1267</v>
      </c>
      <c r="DG964">
        <v>5166</v>
      </c>
      <c r="DH964">
        <v>5178</v>
      </c>
      <c r="DI964">
        <v>7145</v>
      </c>
      <c r="DJ964">
        <v>4426</v>
      </c>
      <c r="DK964">
        <v>9034</v>
      </c>
    </row>
    <row r="965" spans="1:115">
      <c r="A965" s="173">
        <f>Calculations[[#This Row],[Sum t eCO2]]*IF(Calculations[[#This Row],[GHG Scope]]="BIOGENIC",0,1)</f>
        <v>0.19092031905210399</v>
      </c>
      <c r="O965">
        <f t="shared" si="21"/>
        <v>22</v>
      </c>
      <c r="P965">
        <v>4299</v>
      </c>
      <c r="Q965">
        <v>6884</v>
      </c>
      <c r="R965">
        <v>9148</v>
      </c>
      <c r="S965">
        <v>3419</v>
      </c>
      <c r="T965">
        <v>9448</v>
      </c>
      <c r="U965">
        <v>6278</v>
      </c>
      <c r="V965">
        <v>8266</v>
      </c>
      <c r="W965">
        <v>6047</v>
      </c>
      <c r="X965">
        <v>9039</v>
      </c>
      <c r="Y965">
        <v>5058</v>
      </c>
      <c r="Z965">
        <v>2168</v>
      </c>
      <c r="AA965">
        <v>3826</v>
      </c>
      <c r="AB965">
        <v>5282</v>
      </c>
      <c r="AC965">
        <v>2017</v>
      </c>
      <c r="AD965">
        <v>9888</v>
      </c>
      <c r="AE965">
        <v>1775</v>
      </c>
      <c r="AF965">
        <v>3367</v>
      </c>
      <c r="AG965">
        <v>3973</v>
      </c>
      <c r="AH965">
        <v>8143</v>
      </c>
      <c r="AI965">
        <v>5242</v>
      </c>
      <c r="AJ965">
        <v>9492</v>
      </c>
      <c r="AK965">
        <v>7828</v>
      </c>
      <c r="AL965">
        <v>3798</v>
      </c>
      <c r="AM965">
        <v>1089</v>
      </c>
      <c r="AN965">
        <v>4171</v>
      </c>
      <c r="AO965">
        <v>4037</v>
      </c>
      <c r="AP965">
        <v>7649</v>
      </c>
      <c r="AQ965">
        <v>3245</v>
      </c>
      <c r="AR965">
        <v>8722</v>
      </c>
      <c r="AS965">
        <v>1183</v>
      </c>
      <c r="AT965">
        <v>2969</v>
      </c>
      <c r="AU965">
        <v>6926</v>
      </c>
      <c r="AV965">
        <v>5753</v>
      </c>
      <c r="AW965">
        <v>1029</v>
      </c>
      <c r="AX965">
        <v>1735</v>
      </c>
      <c r="AY965">
        <v>9070</v>
      </c>
      <c r="AZ965">
        <v>2306</v>
      </c>
      <c r="BA965">
        <v>3590</v>
      </c>
      <c r="BB965">
        <v>1272</v>
      </c>
      <c r="BC965">
        <v>5503</v>
      </c>
      <c r="BD965">
        <v>8030</v>
      </c>
      <c r="BE965">
        <v>7377</v>
      </c>
      <c r="BF965">
        <v>5055</v>
      </c>
      <c r="BG965">
        <v>4635</v>
      </c>
      <c r="BH965">
        <v>8215</v>
      </c>
      <c r="BI965">
        <v>1876</v>
      </c>
      <c r="BJ965">
        <v>5539</v>
      </c>
      <c r="BK965">
        <v>1136</v>
      </c>
      <c r="BL965">
        <v>2123</v>
      </c>
      <c r="BM965">
        <v>8526</v>
      </c>
      <c r="BN965">
        <v>5268</v>
      </c>
      <c r="BO965">
        <v>2178</v>
      </c>
      <c r="BP965">
        <v>5394</v>
      </c>
      <c r="BQ965">
        <v>2114</v>
      </c>
      <c r="BR965">
        <v>5502</v>
      </c>
      <c r="BS965">
        <v>3659</v>
      </c>
      <c r="BT965">
        <v>4840</v>
      </c>
      <c r="BU965">
        <v>5729</v>
      </c>
      <c r="BV965">
        <v>6426</v>
      </c>
      <c r="BW965">
        <v>6961</v>
      </c>
      <c r="BX965">
        <v>8253</v>
      </c>
      <c r="BY965">
        <v>7391</v>
      </c>
      <c r="BZ965">
        <v>2546</v>
      </c>
      <c r="CA965">
        <v>7588</v>
      </c>
      <c r="CB965">
        <v>9293</v>
      </c>
      <c r="CC965">
        <v>1203</v>
      </c>
      <c r="CD965">
        <v>1529</v>
      </c>
      <c r="CE965">
        <v>3245</v>
      </c>
      <c r="CF965">
        <v>2184</v>
      </c>
      <c r="CG965">
        <v>1537</v>
      </c>
      <c r="CH965">
        <v>2624</v>
      </c>
      <c r="CI965">
        <v>3046</v>
      </c>
      <c r="CJ965">
        <v>1445</v>
      </c>
      <c r="CK965">
        <v>7954</v>
      </c>
      <c r="CL965">
        <v>9740</v>
      </c>
      <c r="CM965">
        <v>2942</v>
      </c>
      <c r="CN965">
        <v>1209</v>
      </c>
      <c r="CO965">
        <v>5889</v>
      </c>
      <c r="CP965">
        <v>7770</v>
      </c>
      <c r="CQ965">
        <v>7703</v>
      </c>
      <c r="CR965">
        <v>8659</v>
      </c>
      <c r="CS965">
        <v>4390</v>
      </c>
      <c r="CT965">
        <v>8148</v>
      </c>
      <c r="CU965">
        <v>9834</v>
      </c>
      <c r="CV965">
        <v>8301</v>
      </c>
      <c r="CW965">
        <v>4035</v>
      </c>
      <c r="CX965">
        <v>1212</v>
      </c>
      <c r="CY965">
        <v>7285</v>
      </c>
      <c r="CZ965">
        <v>1467</v>
      </c>
      <c r="DA965">
        <v>4022</v>
      </c>
      <c r="DB965">
        <v>7185</v>
      </c>
      <c r="DC965">
        <v>6443</v>
      </c>
      <c r="DD965">
        <v>1883</v>
      </c>
      <c r="DE965">
        <v>7472</v>
      </c>
      <c r="DF965">
        <v>2840</v>
      </c>
      <c r="DG965">
        <v>3506</v>
      </c>
      <c r="DH965">
        <v>9719</v>
      </c>
      <c r="DI965">
        <v>7162</v>
      </c>
      <c r="DJ965">
        <v>6439</v>
      </c>
      <c r="DK965">
        <v>5005</v>
      </c>
    </row>
    <row r="966" spans="1:115">
      <c r="A966" s="173">
        <f>Calculations[[#This Row],[Sum t eCO2]]*IF(Calculations[[#This Row],[GHG Scope]]="BIOGENIC",0,1)</f>
        <v>0.31151317646723203</v>
      </c>
      <c r="O966">
        <f t="shared" si="21"/>
        <v>23</v>
      </c>
      <c r="P966">
        <v>8767</v>
      </c>
      <c r="Q966">
        <v>1334</v>
      </c>
      <c r="R966">
        <v>6650</v>
      </c>
      <c r="S966">
        <v>9621</v>
      </c>
      <c r="T966">
        <v>4444</v>
      </c>
      <c r="U966">
        <v>3826</v>
      </c>
      <c r="V966">
        <v>5953</v>
      </c>
      <c r="W966">
        <v>9833</v>
      </c>
      <c r="X966">
        <v>8410</v>
      </c>
      <c r="Y966">
        <v>6560</v>
      </c>
      <c r="Z966">
        <v>7015</v>
      </c>
      <c r="AA966">
        <v>7174</v>
      </c>
      <c r="AB966">
        <v>6677</v>
      </c>
      <c r="AC966">
        <v>6340</v>
      </c>
      <c r="AD966">
        <v>3900</v>
      </c>
      <c r="AE966">
        <v>3665</v>
      </c>
      <c r="AF966">
        <v>8691</v>
      </c>
      <c r="AG966">
        <v>7355</v>
      </c>
      <c r="AH966">
        <v>2094</v>
      </c>
      <c r="AI966">
        <v>6309</v>
      </c>
      <c r="AJ966">
        <v>3246</v>
      </c>
      <c r="AK966">
        <v>6063</v>
      </c>
      <c r="AL966">
        <v>1491</v>
      </c>
      <c r="AM966">
        <v>9564</v>
      </c>
      <c r="AN966">
        <v>9721</v>
      </c>
      <c r="AO966">
        <v>7558</v>
      </c>
      <c r="AP966">
        <v>1920</v>
      </c>
      <c r="AQ966">
        <v>5126</v>
      </c>
      <c r="AR966">
        <v>8118</v>
      </c>
      <c r="AS966">
        <v>6744</v>
      </c>
      <c r="AT966">
        <v>1301</v>
      </c>
      <c r="AU966">
        <v>5107</v>
      </c>
      <c r="AV966">
        <v>8420</v>
      </c>
      <c r="AW966">
        <v>2359</v>
      </c>
      <c r="AX966">
        <v>5936</v>
      </c>
      <c r="AY966">
        <v>4898</v>
      </c>
      <c r="AZ966">
        <v>5943</v>
      </c>
      <c r="BA966">
        <v>5385</v>
      </c>
      <c r="BB966">
        <v>7799</v>
      </c>
      <c r="BC966">
        <v>1743</v>
      </c>
      <c r="BD966">
        <v>9738</v>
      </c>
      <c r="BE966">
        <v>9570</v>
      </c>
      <c r="BF966">
        <v>3666</v>
      </c>
      <c r="BG966">
        <v>9044</v>
      </c>
      <c r="BH966">
        <v>4389</v>
      </c>
      <c r="BI966">
        <v>3459</v>
      </c>
      <c r="BJ966">
        <v>3065</v>
      </c>
      <c r="BK966">
        <v>9107</v>
      </c>
      <c r="BL966">
        <v>8967</v>
      </c>
      <c r="BM966">
        <v>2503</v>
      </c>
      <c r="BN966">
        <v>9880</v>
      </c>
      <c r="BO966">
        <v>1251</v>
      </c>
      <c r="BP966">
        <v>3772</v>
      </c>
      <c r="BQ966">
        <v>9654</v>
      </c>
      <c r="BR966">
        <v>8017</v>
      </c>
      <c r="BS966">
        <v>8708</v>
      </c>
      <c r="BT966">
        <v>2373</v>
      </c>
      <c r="BU966">
        <v>3443</v>
      </c>
      <c r="BV966">
        <v>2218</v>
      </c>
      <c r="BW966">
        <v>3223</v>
      </c>
      <c r="BX966">
        <v>1810</v>
      </c>
      <c r="BY966">
        <v>4391</v>
      </c>
      <c r="BZ966">
        <v>7625</v>
      </c>
      <c r="CA966">
        <v>2144</v>
      </c>
      <c r="CB966">
        <v>1951</v>
      </c>
      <c r="CC966">
        <v>7035</v>
      </c>
      <c r="CD966">
        <v>7815</v>
      </c>
      <c r="CE966">
        <v>3338</v>
      </c>
      <c r="CF966">
        <v>5991</v>
      </c>
      <c r="CG966">
        <v>9721</v>
      </c>
      <c r="CH966">
        <v>8969</v>
      </c>
      <c r="CI966">
        <v>4293</v>
      </c>
      <c r="CJ966">
        <v>6687</v>
      </c>
      <c r="CK966">
        <v>7361</v>
      </c>
      <c r="CL966">
        <v>4053</v>
      </c>
      <c r="CM966">
        <v>5996</v>
      </c>
      <c r="CN966">
        <v>5739</v>
      </c>
      <c r="CO966">
        <v>7328</v>
      </c>
      <c r="CP966">
        <v>6619</v>
      </c>
      <c r="CQ966">
        <v>8791</v>
      </c>
      <c r="CR966">
        <v>3382</v>
      </c>
      <c r="CS966">
        <v>9697</v>
      </c>
      <c r="CT966">
        <v>6640</v>
      </c>
      <c r="CU966">
        <v>9576</v>
      </c>
      <c r="CV966">
        <v>8607</v>
      </c>
      <c r="CW966">
        <v>6713</v>
      </c>
      <c r="CX966">
        <v>9349</v>
      </c>
      <c r="CY966">
        <v>8959</v>
      </c>
      <c r="CZ966">
        <v>4017</v>
      </c>
      <c r="DA966">
        <v>7853</v>
      </c>
      <c r="DB966">
        <v>5451</v>
      </c>
      <c r="DC966">
        <v>3080</v>
      </c>
      <c r="DD966">
        <v>7944</v>
      </c>
      <c r="DE966">
        <v>1396</v>
      </c>
      <c r="DF966">
        <v>7531</v>
      </c>
      <c r="DG966">
        <v>4685</v>
      </c>
      <c r="DH966">
        <v>9684</v>
      </c>
      <c r="DI966">
        <v>2680</v>
      </c>
      <c r="DJ966">
        <v>3663</v>
      </c>
      <c r="DK966">
        <v>5153</v>
      </c>
    </row>
    <row r="967" spans="1:115">
      <c r="A967" s="173">
        <f>Calculations[[#This Row],[Sum t eCO2]]*IF(Calculations[[#This Row],[GHG Scope]]="BIOGENIC",0,1)</f>
        <v>6.2679625761782543</v>
      </c>
      <c r="O967">
        <f t="shared" si="21"/>
        <v>24</v>
      </c>
      <c r="P967">
        <v>5818</v>
      </c>
      <c r="Q967">
        <v>4675</v>
      </c>
      <c r="R967">
        <v>2229</v>
      </c>
      <c r="S967">
        <v>7987</v>
      </c>
      <c r="T967">
        <v>5577</v>
      </c>
      <c r="U967">
        <v>7946</v>
      </c>
      <c r="V967">
        <v>5195</v>
      </c>
      <c r="W967">
        <v>4572</v>
      </c>
      <c r="X967">
        <v>1757</v>
      </c>
      <c r="Y967">
        <v>4433</v>
      </c>
      <c r="Z967">
        <v>1469</v>
      </c>
      <c r="AA967">
        <v>3409</v>
      </c>
      <c r="AB967">
        <v>7557</v>
      </c>
      <c r="AC967">
        <v>8683</v>
      </c>
      <c r="AD967">
        <v>4361</v>
      </c>
      <c r="AE967">
        <v>3110</v>
      </c>
      <c r="AF967">
        <v>3646</v>
      </c>
      <c r="AG967">
        <v>1066</v>
      </c>
      <c r="AH967">
        <v>1917</v>
      </c>
      <c r="AI967">
        <v>4229</v>
      </c>
      <c r="AJ967">
        <v>2613</v>
      </c>
      <c r="AK967">
        <v>9295</v>
      </c>
      <c r="AL967">
        <v>6601</v>
      </c>
      <c r="AM967">
        <v>9189</v>
      </c>
      <c r="AN967">
        <v>8877</v>
      </c>
      <c r="AO967">
        <v>6178</v>
      </c>
      <c r="AP967">
        <v>4595</v>
      </c>
      <c r="AQ967">
        <v>6777</v>
      </c>
      <c r="AR967">
        <v>4641</v>
      </c>
      <c r="AS967">
        <v>5972</v>
      </c>
      <c r="AT967">
        <v>5333</v>
      </c>
      <c r="AU967">
        <v>4898</v>
      </c>
      <c r="AV967">
        <v>6770</v>
      </c>
      <c r="AW967">
        <v>8362</v>
      </c>
      <c r="AX967">
        <v>6775</v>
      </c>
      <c r="AY967">
        <v>2989</v>
      </c>
      <c r="AZ967">
        <v>5748</v>
      </c>
      <c r="BA967">
        <v>5404</v>
      </c>
      <c r="BB967">
        <v>2986</v>
      </c>
      <c r="BC967">
        <v>3918</v>
      </c>
      <c r="BD967">
        <v>6613</v>
      </c>
      <c r="BE967">
        <v>2104</v>
      </c>
      <c r="BF967">
        <v>3385</v>
      </c>
      <c r="BG967">
        <v>6363</v>
      </c>
      <c r="BH967">
        <v>3631</v>
      </c>
      <c r="BI967">
        <v>3408</v>
      </c>
      <c r="BJ967">
        <v>8143</v>
      </c>
      <c r="BK967">
        <v>9746</v>
      </c>
      <c r="BL967">
        <v>6452</v>
      </c>
      <c r="BM967">
        <v>9101</v>
      </c>
      <c r="BN967">
        <v>9018</v>
      </c>
      <c r="BO967">
        <v>8186</v>
      </c>
      <c r="BP967">
        <v>9804</v>
      </c>
      <c r="BQ967">
        <v>9771</v>
      </c>
      <c r="BR967">
        <v>9581</v>
      </c>
      <c r="BS967">
        <v>6198</v>
      </c>
      <c r="BT967">
        <v>3484</v>
      </c>
      <c r="BU967">
        <v>8659</v>
      </c>
      <c r="BV967">
        <v>8789</v>
      </c>
      <c r="BW967">
        <v>7332</v>
      </c>
      <c r="BX967">
        <v>1558</v>
      </c>
      <c r="BY967">
        <v>2463</v>
      </c>
      <c r="BZ967">
        <v>2653</v>
      </c>
      <c r="CA967">
        <v>1844</v>
      </c>
      <c r="CB967">
        <v>1310</v>
      </c>
      <c r="CC967">
        <v>2091</v>
      </c>
      <c r="CD967">
        <v>6583</v>
      </c>
      <c r="CE967">
        <v>2806</v>
      </c>
      <c r="CF967">
        <v>1174</v>
      </c>
      <c r="CG967">
        <v>3932</v>
      </c>
      <c r="CH967">
        <v>1990</v>
      </c>
      <c r="CI967">
        <v>9178</v>
      </c>
      <c r="CJ967">
        <v>1320</v>
      </c>
      <c r="CK967">
        <v>5823</v>
      </c>
      <c r="CL967">
        <v>5919</v>
      </c>
      <c r="CM967">
        <v>3356</v>
      </c>
      <c r="CN967">
        <v>6404</v>
      </c>
      <c r="CO967">
        <v>2931</v>
      </c>
      <c r="CP967">
        <v>5520</v>
      </c>
      <c r="CQ967">
        <v>4293</v>
      </c>
      <c r="CR967">
        <v>7433</v>
      </c>
      <c r="CS967">
        <v>2956</v>
      </c>
      <c r="CT967">
        <v>7547</v>
      </c>
      <c r="CU967">
        <v>6811</v>
      </c>
      <c r="CV967">
        <v>4643</v>
      </c>
      <c r="CW967">
        <v>4847</v>
      </c>
      <c r="CX967">
        <v>4388</v>
      </c>
      <c r="CY967">
        <v>7939</v>
      </c>
      <c r="CZ967">
        <v>2997</v>
      </c>
      <c r="DA967">
        <v>2812</v>
      </c>
      <c r="DB967">
        <v>7797</v>
      </c>
      <c r="DC967">
        <v>8886</v>
      </c>
      <c r="DD967">
        <v>6181</v>
      </c>
      <c r="DE967">
        <v>3322</v>
      </c>
      <c r="DF967">
        <v>3913</v>
      </c>
      <c r="DG967">
        <v>3177</v>
      </c>
      <c r="DH967">
        <v>7743</v>
      </c>
      <c r="DI967">
        <v>9144</v>
      </c>
      <c r="DJ967">
        <v>9260</v>
      </c>
      <c r="DK967">
        <v>3252</v>
      </c>
    </row>
    <row r="968" spans="1:115">
      <c r="A968" s="173">
        <f>Calculations[[#This Row],[Sum t eCO2]]*IF(Calculations[[#This Row],[GHG Scope]]="BIOGENIC",0,1)</f>
        <v>0.76687797901009669</v>
      </c>
      <c r="O968">
        <f t="shared" si="21"/>
        <v>25</v>
      </c>
      <c r="P968">
        <v>6842</v>
      </c>
      <c r="Q968">
        <v>4109</v>
      </c>
      <c r="R968">
        <v>6090</v>
      </c>
      <c r="S968">
        <v>3489</v>
      </c>
      <c r="T968">
        <v>4921</v>
      </c>
      <c r="U968">
        <v>2221</v>
      </c>
      <c r="V968">
        <v>3452</v>
      </c>
      <c r="W968">
        <v>9558</v>
      </c>
      <c r="X968">
        <v>8509</v>
      </c>
      <c r="Y968">
        <v>1821</v>
      </c>
      <c r="Z968">
        <v>7813</v>
      </c>
      <c r="AA968">
        <v>7538</v>
      </c>
      <c r="AB968">
        <v>4441</v>
      </c>
      <c r="AC968">
        <v>3610</v>
      </c>
      <c r="AD968">
        <v>7979</v>
      </c>
      <c r="AE968">
        <v>9345</v>
      </c>
      <c r="AF968">
        <v>2997</v>
      </c>
      <c r="AG968">
        <v>7715</v>
      </c>
      <c r="AH968">
        <v>8861</v>
      </c>
      <c r="AI968">
        <v>8506</v>
      </c>
      <c r="AJ968">
        <v>6433</v>
      </c>
      <c r="AK968">
        <v>1058</v>
      </c>
      <c r="AL968">
        <v>8679</v>
      </c>
      <c r="AM968">
        <v>1133</v>
      </c>
      <c r="AN968">
        <v>5217</v>
      </c>
      <c r="AO968">
        <v>1521</v>
      </c>
      <c r="AP968">
        <v>1408</v>
      </c>
      <c r="AQ968">
        <v>9676</v>
      </c>
      <c r="AR968">
        <v>2453</v>
      </c>
      <c r="AS968">
        <v>1896</v>
      </c>
      <c r="AT968">
        <v>7283</v>
      </c>
      <c r="AU968">
        <v>7710</v>
      </c>
      <c r="AV968">
        <v>3148</v>
      </c>
      <c r="AW968">
        <v>8655</v>
      </c>
      <c r="AX968">
        <v>5087</v>
      </c>
      <c r="AY968">
        <v>3964</v>
      </c>
      <c r="AZ968">
        <v>5020</v>
      </c>
      <c r="BA968">
        <v>4560</v>
      </c>
      <c r="BB968">
        <v>9942</v>
      </c>
      <c r="BC968">
        <v>5128</v>
      </c>
      <c r="BD968">
        <v>1616</v>
      </c>
      <c r="BE968">
        <v>7913</v>
      </c>
      <c r="BF968">
        <v>7190</v>
      </c>
      <c r="BG968">
        <v>6802</v>
      </c>
      <c r="BH968">
        <v>2191</v>
      </c>
      <c r="BI968">
        <v>3667</v>
      </c>
      <c r="BJ968">
        <v>5417</v>
      </c>
      <c r="BK968">
        <v>2515</v>
      </c>
      <c r="BL968">
        <v>4513</v>
      </c>
      <c r="BM968">
        <v>3364</v>
      </c>
      <c r="BN968">
        <v>4851</v>
      </c>
      <c r="BO968">
        <v>9720</v>
      </c>
      <c r="BP968">
        <v>9587</v>
      </c>
      <c r="BQ968">
        <v>8985</v>
      </c>
      <c r="BR968">
        <v>7645</v>
      </c>
      <c r="BS968">
        <v>1937</v>
      </c>
      <c r="BT968">
        <v>1135</v>
      </c>
      <c r="BU968">
        <v>9662</v>
      </c>
      <c r="BV968">
        <v>9308</v>
      </c>
      <c r="BW968">
        <v>8999</v>
      </c>
      <c r="BX968">
        <v>8353</v>
      </c>
      <c r="BY968">
        <v>2510</v>
      </c>
      <c r="BZ968">
        <v>1244</v>
      </c>
      <c r="CA968">
        <v>1406</v>
      </c>
      <c r="CB968">
        <v>2121</v>
      </c>
      <c r="CC968">
        <v>9031</v>
      </c>
      <c r="CD968">
        <v>5939</v>
      </c>
      <c r="CE968">
        <v>7465</v>
      </c>
      <c r="CF968">
        <v>1920</v>
      </c>
      <c r="CG968">
        <v>1977</v>
      </c>
      <c r="CH968">
        <v>3298</v>
      </c>
      <c r="CI968">
        <v>7273</v>
      </c>
      <c r="CJ968">
        <v>3259</v>
      </c>
      <c r="CK968">
        <v>9092</v>
      </c>
      <c r="CL968">
        <v>8132</v>
      </c>
      <c r="CM968">
        <v>9958</v>
      </c>
      <c r="CN968">
        <v>1629</v>
      </c>
      <c r="CO968">
        <v>8205</v>
      </c>
      <c r="CP968">
        <v>1782</v>
      </c>
      <c r="CQ968">
        <v>6151</v>
      </c>
      <c r="CR968">
        <v>9118</v>
      </c>
      <c r="CS968">
        <v>4243</v>
      </c>
      <c r="CT968">
        <v>7682</v>
      </c>
      <c r="CU968">
        <v>5241</v>
      </c>
      <c r="CV968">
        <v>9425</v>
      </c>
      <c r="CW968">
        <v>5079</v>
      </c>
      <c r="CX968">
        <v>9058</v>
      </c>
      <c r="CY968">
        <v>7090</v>
      </c>
      <c r="CZ968">
        <v>5705</v>
      </c>
      <c r="DA968">
        <v>7294</v>
      </c>
      <c r="DB968">
        <v>9127</v>
      </c>
      <c r="DC968">
        <v>5825</v>
      </c>
      <c r="DD968">
        <v>4169</v>
      </c>
      <c r="DE968">
        <v>4054</v>
      </c>
      <c r="DF968">
        <v>7306</v>
      </c>
      <c r="DG968">
        <v>5146</v>
      </c>
      <c r="DH968">
        <v>8193</v>
      </c>
      <c r="DI968">
        <v>2916</v>
      </c>
      <c r="DJ968">
        <v>9912</v>
      </c>
      <c r="DK968">
        <v>5239</v>
      </c>
    </row>
    <row r="969" spans="1:115">
      <c r="A969" s="173">
        <f>Calculations[[#This Row],[Sum t eCO2]]*IF(Calculations[[#This Row],[GHG Scope]]="BIOGENIC",0,1)</f>
        <v>0.42113803633866242</v>
      </c>
      <c r="O969">
        <f>1</f>
        <v>1</v>
      </c>
      <c r="P969">
        <v>10709</v>
      </c>
      <c r="Q969">
        <v>11275</v>
      </c>
      <c r="R969">
        <v>10958</v>
      </c>
      <c r="S969">
        <v>10186</v>
      </c>
      <c r="T969">
        <v>11335</v>
      </c>
      <c r="U969">
        <v>10852</v>
      </c>
      <c r="V969">
        <v>10486</v>
      </c>
      <c r="W969">
        <v>11245</v>
      </c>
      <c r="X969">
        <v>11474</v>
      </c>
      <c r="Y969">
        <v>10519</v>
      </c>
      <c r="Z969">
        <v>11124</v>
      </c>
      <c r="AA969">
        <v>10503</v>
      </c>
      <c r="AB969">
        <v>10495</v>
      </c>
      <c r="AC969">
        <v>11014</v>
      </c>
      <c r="AD969">
        <v>11030</v>
      </c>
      <c r="AE969">
        <v>10372</v>
      </c>
      <c r="AF969">
        <v>11362</v>
      </c>
      <c r="AG969">
        <v>10996</v>
      </c>
      <c r="AH969">
        <v>11349</v>
      </c>
      <c r="AI969">
        <v>11529</v>
      </c>
      <c r="AJ969">
        <v>11332</v>
      </c>
      <c r="AK969">
        <v>10267</v>
      </c>
      <c r="AL969">
        <v>10663</v>
      </c>
      <c r="AM969">
        <v>10097</v>
      </c>
      <c r="AN969">
        <v>10792</v>
      </c>
      <c r="AO969">
        <v>10335</v>
      </c>
      <c r="AP969">
        <v>11429</v>
      </c>
      <c r="AQ969">
        <v>11265</v>
      </c>
      <c r="AR969">
        <v>10680</v>
      </c>
      <c r="AS969">
        <v>10578</v>
      </c>
      <c r="AT969">
        <v>10769</v>
      </c>
      <c r="AU969">
        <v>11193</v>
      </c>
      <c r="AV969">
        <v>11284</v>
      </c>
      <c r="AW969">
        <v>10300</v>
      </c>
      <c r="AX969">
        <v>11024</v>
      </c>
      <c r="AY969">
        <v>10059</v>
      </c>
      <c r="AZ969">
        <v>10354</v>
      </c>
      <c r="BA969">
        <v>11080</v>
      </c>
      <c r="BB969">
        <v>10159</v>
      </c>
      <c r="BC969">
        <v>10046</v>
      </c>
      <c r="BD969">
        <v>10763</v>
      </c>
      <c r="BE969">
        <v>11283</v>
      </c>
      <c r="BF969">
        <v>10137</v>
      </c>
      <c r="BG969">
        <v>10210</v>
      </c>
      <c r="BH969">
        <v>10773</v>
      </c>
      <c r="BI969">
        <v>11544</v>
      </c>
      <c r="BJ969">
        <v>10429</v>
      </c>
      <c r="BK969">
        <v>10161</v>
      </c>
      <c r="BL969">
        <v>10599</v>
      </c>
      <c r="BM969">
        <v>10708</v>
      </c>
      <c r="BN969">
        <v>10886</v>
      </c>
      <c r="BO969">
        <v>10952</v>
      </c>
      <c r="BP969">
        <v>11090</v>
      </c>
      <c r="BQ969">
        <v>11301</v>
      </c>
      <c r="BR969">
        <v>10440</v>
      </c>
      <c r="BS969">
        <v>10628</v>
      </c>
      <c r="BT969">
        <v>11367</v>
      </c>
      <c r="BU969">
        <v>10807</v>
      </c>
      <c r="BV969">
        <v>10876</v>
      </c>
      <c r="BW969">
        <v>11194</v>
      </c>
      <c r="BX969">
        <v>10639</v>
      </c>
      <c r="BY969">
        <v>10087</v>
      </c>
      <c r="BZ969">
        <v>10462</v>
      </c>
      <c r="CA969">
        <v>10630</v>
      </c>
      <c r="CB969">
        <v>10263</v>
      </c>
      <c r="CC969">
        <v>11279</v>
      </c>
      <c r="CD969">
        <v>10996</v>
      </c>
      <c r="CE969">
        <v>10620</v>
      </c>
      <c r="CF969">
        <v>11617</v>
      </c>
      <c r="CG969">
        <v>10999</v>
      </c>
      <c r="CH969">
        <v>10725</v>
      </c>
      <c r="CI969">
        <v>11623</v>
      </c>
      <c r="CJ969">
        <v>10067</v>
      </c>
      <c r="CK969">
        <v>11406</v>
      </c>
      <c r="CL969">
        <v>10485</v>
      </c>
      <c r="CM969">
        <v>10902</v>
      </c>
      <c r="CN969">
        <v>10105</v>
      </c>
      <c r="CO969">
        <v>11631</v>
      </c>
      <c r="CP969">
        <v>11271</v>
      </c>
      <c r="CQ969">
        <v>11366</v>
      </c>
      <c r="CR969">
        <v>11224</v>
      </c>
      <c r="CS969">
        <v>11000</v>
      </c>
      <c r="CT969">
        <v>11390</v>
      </c>
      <c r="CU969">
        <v>11357</v>
      </c>
      <c r="CV969">
        <v>10816</v>
      </c>
      <c r="CW969">
        <v>11102</v>
      </c>
      <c r="CX969">
        <v>10515</v>
      </c>
      <c r="CY969">
        <v>11627</v>
      </c>
      <c r="CZ969">
        <v>10056</v>
      </c>
      <c r="DA969">
        <v>10373</v>
      </c>
      <c r="DB969">
        <v>11200</v>
      </c>
      <c r="DC969">
        <v>10844</v>
      </c>
      <c r="DD969">
        <v>11346</v>
      </c>
      <c r="DE969">
        <v>11497</v>
      </c>
      <c r="DF969">
        <v>11525</v>
      </c>
      <c r="DG969">
        <v>10545</v>
      </c>
      <c r="DH969">
        <v>10127</v>
      </c>
      <c r="DI969">
        <v>10840</v>
      </c>
      <c r="DJ969">
        <v>10699</v>
      </c>
      <c r="DK969">
        <v>11209</v>
      </c>
    </row>
    <row r="970" spans="1:115">
      <c r="A970" s="173">
        <f>Calculations[[#This Row],[Sum t eCO2]]*IF(Calculations[[#This Row],[GHG Scope]]="BIOGENIC",0,1)</f>
        <v>2.430262251E-2</v>
      </c>
      <c r="O970">
        <f>1+O969</f>
        <v>2</v>
      </c>
      <c r="P970">
        <v>10388</v>
      </c>
      <c r="Q970">
        <v>11385</v>
      </c>
      <c r="R970">
        <v>10933</v>
      </c>
      <c r="S970">
        <v>11411</v>
      </c>
      <c r="T970">
        <v>10757</v>
      </c>
      <c r="U970">
        <v>10878</v>
      </c>
      <c r="V970">
        <v>11149</v>
      </c>
      <c r="W970">
        <v>10399</v>
      </c>
      <c r="X970">
        <v>10979</v>
      </c>
      <c r="Y970">
        <v>10957</v>
      </c>
      <c r="Z970">
        <v>11170</v>
      </c>
      <c r="AA970">
        <v>10329</v>
      </c>
      <c r="AB970">
        <v>10472</v>
      </c>
      <c r="AC970">
        <v>11570</v>
      </c>
      <c r="AD970">
        <v>10801</v>
      </c>
      <c r="AE970">
        <v>10612</v>
      </c>
      <c r="AF970">
        <v>10789</v>
      </c>
      <c r="AG970">
        <v>10123</v>
      </c>
      <c r="AH970">
        <v>10951</v>
      </c>
      <c r="AI970">
        <v>10581</v>
      </c>
      <c r="AJ970">
        <v>10632</v>
      </c>
      <c r="AK970">
        <v>11467</v>
      </c>
      <c r="AL970">
        <v>10194</v>
      </c>
      <c r="AM970">
        <v>11355</v>
      </c>
      <c r="AN970">
        <v>11087</v>
      </c>
      <c r="AO970">
        <v>11355</v>
      </c>
      <c r="AP970">
        <v>10122</v>
      </c>
      <c r="AQ970">
        <v>10846</v>
      </c>
      <c r="AR970">
        <v>10462</v>
      </c>
      <c r="AS970">
        <v>10077</v>
      </c>
      <c r="AT970">
        <v>10485</v>
      </c>
      <c r="AU970">
        <v>11528</v>
      </c>
      <c r="AV970">
        <v>11086</v>
      </c>
      <c r="AW970">
        <v>10693</v>
      </c>
      <c r="AX970">
        <v>11486</v>
      </c>
      <c r="AY970">
        <v>11109</v>
      </c>
      <c r="AZ970">
        <v>11443</v>
      </c>
      <c r="BA970">
        <v>11527</v>
      </c>
      <c r="BB970">
        <v>11290</v>
      </c>
      <c r="BC970">
        <v>11284</v>
      </c>
      <c r="BD970">
        <v>11152</v>
      </c>
      <c r="BE970">
        <v>11047</v>
      </c>
      <c r="BF970">
        <v>10616</v>
      </c>
      <c r="BG970">
        <v>11183</v>
      </c>
      <c r="BH970">
        <v>11562</v>
      </c>
      <c r="BI970">
        <v>10041</v>
      </c>
      <c r="BJ970">
        <v>10670</v>
      </c>
      <c r="BK970">
        <v>11111</v>
      </c>
      <c r="BL970">
        <v>10870</v>
      </c>
      <c r="BM970">
        <v>10714</v>
      </c>
      <c r="BN970">
        <v>11374</v>
      </c>
      <c r="BO970">
        <v>10544</v>
      </c>
      <c r="BP970">
        <v>10623</v>
      </c>
      <c r="BQ970">
        <v>10736</v>
      </c>
      <c r="BR970">
        <v>10791</v>
      </c>
      <c r="BS970">
        <v>10305</v>
      </c>
      <c r="BT970">
        <v>10061</v>
      </c>
      <c r="BU970">
        <v>11615</v>
      </c>
      <c r="BV970">
        <v>10679</v>
      </c>
      <c r="BW970">
        <v>10428</v>
      </c>
      <c r="BX970">
        <v>10537</v>
      </c>
      <c r="BY970">
        <v>11382</v>
      </c>
      <c r="BZ970">
        <v>11192</v>
      </c>
      <c r="CA970">
        <v>10469</v>
      </c>
      <c r="CB970">
        <v>11633</v>
      </c>
      <c r="CC970">
        <v>11568</v>
      </c>
      <c r="CD970">
        <v>11356</v>
      </c>
      <c r="CE970">
        <v>10539</v>
      </c>
      <c r="CF970">
        <v>11429</v>
      </c>
      <c r="CG970">
        <v>10209</v>
      </c>
      <c r="CH970">
        <v>10461</v>
      </c>
      <c r="CI970">
        <v>11535</v>
      </c>
      <c r="CJ970">
        <v>11415</v>
      </c>
      <c r="CK970">
        <v>10037</v>
      </c>
      <c r="CL970">
        <v>10759</v>
      </c>
      <c r="CM970">
        <v>11197</v>
      </c>
      <c r="CN970">
        <v>10236</v>
      </c>
      <c r="CO970">
        <v>11303</v>
      </c>
      <c r="CP970">
        <v>10045</v>
      </c>
      <c r="CQ970">
        <v>10381</v>
      </c>
      <c r="CR970">
        <v>10148</v>
      </c>
      <c r="CS970">
        <v>10462</v>
      </c>
      <c r="CT970">
        <v>11229</v>
      </c>
      <c r="CU970">
        <v>11581</v>
      </c>
      <c r="CV970">
        <v>10007</v>
      </c>
      <c r="CW970">
        <v>10650</v>
      </c>
      <c r="CX970">
        <v>11047</v>
      </c>
      <c r="CY970">
        <v>10164</v>
      </c>
      <c r="CZ970">
        <v>11094</v>
      </c>
      <c r="DA970">
        <v>11131</v>
      </c>
      <c r="DB970">
        <v>11351</v>
      </c>
      <c r="DC970">
        <v>11286</v>
      </c>
      <c r="DD970">
        <v>11364</v>
      </c>
      <c r="DE970">
        <v>10129</v>
      </c>
      <c r="DF970">
        <v>11611</v>
      </c>
      <c r="DG970">
        <v>10424</v>
      </c>
      <c r="DH970">
        <v>11364</v>
      </c>
      <c r="DI970">
        <v>11589</v>
      </c>
      <c r="DJ970">
        <v>11488</v>
      </c>
      <c r="DK970">
        <v>10641</v>
      </c>
    </row>
    <row r="971" spans="1:115">
      <c r="A971" s="173">
        <f>Calculations[[#This Row],[Sum t eCO2]]*IF(Calculations[[#This Row],[GHG Scope]]="BIOGENIC",0,1)</f>
        <v>9.7569484199999997E-3</v>
      </c>
      <c r="O971">
        <f t="shared" ref="O971:O977" si="22">1+O970</f>
        <v>3</v>
      </c>
      <c r="P971">
        <v>10507</v>
      </c>
      <c r="Q971">
        <v>10447</v>
      </c>
      <c r="R971">
        <v>11067</v>
      </c>
      <c r="S971">
        <v>11383</v>
      </c>
      <c r="T971">
        <v>10250</v>
      </c>
      <c r="U971">
        <v>10817</v>
      </c>
      <c r="V971">
        <v>10779</v>
      </c>
      <c r="W971">
        <v>10508</v>
      </c>
      <c r="X971">
        <v>10038</v>
      </c>
      <c r="Y971">
        <v>11621</v>
      </c>
      <c r="Z971">
        <v>11117</v>
      </c>
      <c r="AA971">
        <v>11124</v>
      </c>
      <c r="AB971">
        <v>11022</v>
      </c>
      <c r="AC971">
        <v>11264</v>
      </c>
      <c r="AD971">
        <v>11594</v>
      </c>
      <c r="AE971">
        <v>10827</v>
      </c>
      <c r="AF971">
        <v>11293</v>
      </c>
      <c r="AG971">
        <v>10593</v>
      </c>
      <c r="AH971">
        <v>10552</v>
      </c>
      <c r="AI971">
        <v>10518</v>
      </c>
      <c r="AJ971">
        <v>11617</v>
      </c>
      <c r="AK971">
        <v>11465</v>
      </c>
      <c r="AL971">
        <v>11099</v>
      </c>
      <c r="AM971">
        <v>11304</v>
      </c>
      <c r="AN971">
        <v>10176</v>
      </c>
      <c r="AO971">
        <v>11547</v>
      </c>
      <c r="AP971">
        <v>11353</v>
      </c>
      <c r="AQ971">
        <v>10975</v>
      </c>
      <c r="AR971">
        <v>11303</v>
      </c>
      <c r="AS971">
        <v>10312</v>
      </c>
      <c r="AT971">
        <v>11432</v>
      </c>
      <c r="AU971">
        <v>11524</v>
      </c>
      <c r="AV971">
        <v>10479</v>
      </c>
      <c r="AW971">
        <v>11252</v>
      </c>
      <c r="AX971">
        <v>11489</v>
      </c>
      <c r="AY971">
        <v>10861</v>
      </c>
      <c r="AZ971">
        <v>10387</v>
      </c>
      <c r="BA971">
        <v>10220</v>
      </c>
      <c r="BB971">
        <v>10250</v>
      </c>
      <c r="BC971">
        <v>11338</v>
      </c>
      <c r="BD971">
        <v>11025</v>
      </c>
      <c r="BE971">
        <v>10087</v>
      </c>
      <c r="BF971">
        <v>11520</v>
      </c>
      <c r="BG971">
        <v>10957</v>
      </c>
      <c r="BH971">
        <v>11141</v>
      </c>
      <c r="BI971">
        <v>11004</v>
      </c>
      <c r="BJ971">
        <v>10828</v>
      </c>
      <c r="BK971">
        <v>10068</v>
      </c>
      <c r="BL971">
        <v>10109</v>
      </c>
      <c r="BM971">
        <v>10594</v>
      </c>
      <c r="BN971">
        <v>10743</v>
      </c>
      <c r="BO971">
        <v>10628</v>
      </c>
      <c r="BP971">
        <v>11469</v>
      </c>
      <c r="BQ971">
        <v>10780</v>
      </c>
      <c r="BR971">
        <v>10310</v>
      </c>
      <c r="BS971">
        <v>11112</v>
      </c>
      <c r="BT971">
        <v>10515</v>
      </c>
      <c r="BU971">
        <v>10203</v>
      </c>
      <c r="BV971">
        <v>10132</v>
      </c>
      <c r="BW971">
        <v>10604</v>
      </c>
      <c r="BX971">
        <v>10635</v>
      </c>
      <c r="BY971">
        <v>10471</v>
      </c>
      <c r="BZ971">
        <v>11335</v>
      </c>
      <c r="CA971">
        <v>11370</v>
      </c>
      <c r="CB971">
        <v>10303</v>
      </c>
      <c r="CC971">
        <v>10996</v>
      </c>
      <c r="CD971">
        <v>10941</v>
      </c>
      <c r="CE971">
        <v>11550</v>
      </c>
      <c r="CF971">
        <v>11499</v>
      </c>
      <c r="CG971">
        <v>11613</v>
      </c>
      <c r="CH971">
        <v>10939</v>
      </c>
      <c r="CI971">
        <v>10162</v>
      </c>
      <c r="CJ971">
        <v>11317</v>
      </c>
      <c r="CK971">
        <v>10254</v>
      </c>
      <c r="CL971">
        <v>11266</v>
      </c>
      <c r="CM971">
        <v>10563</v>
      </c>
      <c r="CN971">
        <v>11213</v>
      </c>
      <c r="CO971">
        <v>10165</v>
      </c>
      <c r="CP971">
        <v>11152</v>
      </c>
      <c r="CQ971">
        <v>11351</v>
      </c>
      <c r="CR971">
        <v>10151</v>
      </c>
      <c r="CS971">
        <v>10481</v>
      </c>
      <c r="CT971">
        <v>10414</v>
      </c>
      <c r="CU971">
        <v>10777</v>
      </c>
      <c r="CV971">
        <v>10341</v>
      </c>
      <c r="CW971">
        <v>10539</v>
      </c>
      <c r="CX971">
        <v>11615</v>
      </c>
      <c r="CY971">
        <v>10860</v>
      </c>
      <c r="CZ971">
        <v>11116</v>
      </c>
      <c r="DA971">
        <v>10892</v>
      </c>
      <c r="DB971">
        <v>10976</v>
      </c>
      <c r="DC971">
        <v>11260</v>
      </c>
      <c r="DD971">
        <v>11008</v>
      </c>
      <c r="DE971">
        <v>10860</v>
      </c>
      <c r="DF971">
        <v>11568</v>
      </c>
      <c r="DG971">
        <v>11462</v>
      </c>
      <c r="DH971">
        <v>10815</v>
      </c>
      <c r="DI971">
        <v>10082</v>
      </c>
      <c r="DJ971">
        <v>11491</v>
      </c>
      <c r="DK971">
        <v>11129</v>
      </c>
    </row>
    <row r="972" spans="1:115">
      <c r="A972" s="173">
        <f>Calculations[[#This Row],[Sum t eCO2]]*IF(Calculations[[#This Row],[GHG Scope]]="BIOGENIC",0,1)</f>
        <v>0.11902579586999999</v>
      </c>
      <c r="O972">
        <f t="shared" si="22"/>
        <v>4</v>
      </c>
      <c r="P972">
        <v>10883</v>
      </c>
      <c r="Q972">
        <v>10755</v>
      </c>
      <c r="R972">
        <v>10546</v>
      </c>
      <c r="S972">
        <v>10807</v>
      </c>
      <c r="T972">
        <v>10674</v>
      </c>
      <c r="U972">
        <v>10846</v>
      </c>
      <c r="V972">
        <v>10925</v>
      </c>
      <c r="W972">
        <v>10732</v>
      </c>
      <c r="X972">
        <v>10058</v>
      </c>
      <c r="Y972">
        <v>10473</v>
      </c>
      <c r="Z972">
        <v>10150</v>
      </c>
      <c r="AA972">
        <v>11198</v>
      </c>
      <c r="AB972">
        <v>10465</v>
      </c>
      <c r="AC972">
        <v>11592</v>
      </c>
      <c r="AD972">
        <v>10537</v>
      </c>
      <c r="AE972">
        <v>10522</v>
      </c>
      <c r="AF972">
        <v>10503</v>
      </c>
      <c r="AG972">
        <v>10331</v>
      </c>
      <c r="AH972">
        <v>10492</v>
      </c>
      <c r="AI972">
        <v>10647</v>
      </c>
      <c r="AJ972">
        <v>10804</v>
      </c>
      <c r="AK972">
        <v>10661</v>
      </c>
      <c r="AL972">
        <v>11275</v>
      </c>
      <c r="AM972">
        <v>11165</v>
      </c>
      <c r="AN972">
        <v>10296</v>
      </c>
      <c r="AO972">
        <v>11456</v>
      </c>
      <c r="AP972">
        <v>11008</v>
      </c>
      <c r="AQ972">
        <v>11444</v>
      </c>
      <c r="AR972">
        <v>11007</v>
      </c>
      <c r="AS972">
        <v>11541</v>
      </c>
      <c r="AT972">
        <v>10371</v>
      </c>
      <c r="AU972">
        <v>10999</v>
      </c>
      <c r="AV972">
        <v>11589</v>
      </c>
      <c r="AW972">
        <v>10998</v>
      </c>
      <c r="AX972">
        <v>10510</v>
      </c>
      <c r="AY972">
        <v>10074</v>
      </c>
      <c r="AZ972">
        <v>10949</v>
      </c>
      <c r="BA972">
        <v>11569</v>
      </c>
      <c r="BB972">
        <v>10086</v>
      </c>
      <c r="BC972">
        <v>10597</v>
      </c>
      <c r="BD972">
        <v>11463</v>
      </c>
      <c r="BE972">
        <v>11281</v>
      </c>
      <c r="BF972">
        <v>11589</v>
      </c>
      <c r="BG972">
        <v>10537</v>
      </c>
      <c r="BH972">
        <v>10727</v>
      </c>
      <c r="BI972">
        <v>11291</v>
      </c>
      <c r="BJ972">
        <v>10212</v>
      </c>
      <c r="BK972">
        <v>10955</v>
      </c>
      <c r="BL972">
        <v>10706</v>
      </c>
      <c r="BM972">
        <v>10817</v>
      </c>
      <c r="BN972">
        <v>11089</v>
      </c>
      <c r="BO972">
        <v>11588</v>
      </c>
      <c r="BP972">
        <v>10922</v>
      </c>
      <c r="BQ972">
        <v>11084</v>
      </c>
      <c r="BR972">
        <v>10818</v>
      </c>
      <c r="BS972">
        <v>10859</v>
      </c>
      <c r="BT972">
        <v>11347</v>
      </c>
      <c r="BU972">
        <v>10839</v>
      </c>
      <c r="BV972">
        <v>10924</v>
      </c>
      <c r="BW972">
        <v>10848</v>
      </c>
      <c r="BX972">
        <v>10113</v>
      </c>
      <c r="BY972">
        <v>10335</v>
      </c>
      <c r="BZ972">
        <v>10115</v>
      </c>
      <c r="CA972">
        <v>10963</v>
      </c>
      <c r="CB972">
        <v>10331</v>
      </c>
      <c r="CC972">
        <v>11217</v>
      </c>
      <c r="CD972">
        <v>10813</v>
      </c>
      <c r="CE972">
        <v>11329</v>
      </c>
      <c r="CF972">
        <v>11277</v>
      </c>
      <c r="CG972">
        <v>11597</v>
      </c>
      <c r="CH972">
        <v>10455</v>
      </c>
      <c r="CI972">
        <v>10101</v>
      </c>
      <c r="CJ972">
        <v>11036</v>
      </c>
      <c r="CK972">
        <v>10278</v>
      </c>
      <c r="CL972">
        <v>10856</v>
      </c>
      <c r="CM972">
        <v>10416</v>
      </c>
      <c r="CN972">
        <v>10530</v>
      </c>
      <c r="CO972">
        <v>11602</v>
      </c>
      <c r="CP972">
        <v>10882</v>
      </c>
      <c r="CQ972">
        <v>10692</v>
      </c>
      <c r="CR972">
        <v>10676</v>
      </c>
      <c r="CS972">
        <v>11329</v>
      </c>
      <c r="CT972">
        <v>10426</v>
      </c>
      <c r="CU972">
        <v>10961</v>
      </c>
      <c r="CV972">
        <v>11083</v>
      </c>
      <c r="CW972">
        <v>10776</v>
      </c>
      <c r="CX972">
        <v>11542</v>
      </c>
      <c r="CY972">
        <v>11445</v>
      </c>
      <c r="CZ972">
        <v>11234</v>
      </c>
      <c r="DA972">
        <v>10002</v>
      </c>
      <c r="DB972">
        <v>11058</v>
      </c>
      <c r="DC972">
        <v>10048</v>
      </c>
      <c r="DD972">
        <v>10956</v>
      </c>
      <c r="DE972">
        <v>10401</v>
      </c>
      <c r="DF972">
        <v>11528</v>
      </c>
      <c r="DG972">
        <v>11297</v>
      </c>
      <c r="DH972">
        <v>11051</v>
      </c>
      <c r="DI972">
        <v>11201</v>
      </c>
      <c r="DJ972">
        <v>10432</v>
      </c>
      <c r="DK972">
        <v>10423</v>
      </c>
    </row>
    <row r="973" spans="1:115">
      <c r="A973" s="173">
        <f>Calculations[[#This Row],[Sum t eCO2]]*IF(Calculations[[#This Row],[GHG Scope]]="BIOGENIC",0,1)</f>
        <v>2.4321854340000001E-4</v>
      </c>
      <c r="O973">
        <f t="shared" si="22"/>
        <v>5</v>
      </c>
      <c r="P973">
        <v>10017</v>
      </c>
      <c r="Q973">
        <v>10155</v>
      </c>
      <c r="R973">
        <v>10334</v>
      </c>
      <c r="S973">
        <v>10743</v>
      </c>
      <c r="T973">
        <v>10914</v>
      </c>
      <c r="U973">
        <v>10594</v>
      </c>
      <c r="V973">
        <v>11005</v>
      </c>
      <c r="W973">
        <v>10215</v>
      </c>
      <c r="X973">
        <v>10380</v>
      </c>
      <c r="Y973">
        <v>11012</v>
      </c>
      <c r="Z973">
        <v>11029</v>
      </c>
      <c r="AA973">
        <v>10227</v>
      </c>
      <c r="AB973">
        <v>10222</v>
      </c>
      <c r="AC973">
        <v>10122</v>
      </c>
      <c r="AD973">
        <v>10581</v>
      </c>
      <c r="AE973">
        <v>11115</v>
      </c>
      <c r="AF973">
        <v>10038</v>
      </c>
      <c r="AG973">
        <v>11168</v>
      </c>
      <c r="AH973">
        <v>10293</v>
      </c>
      <c r="AI973">
        <v>11150</v>
      </c>
      <c r="AJ973">
        <v>10254</v>
      </c>
      <c r="AK973">
        <v>10778</v>
      </c>
      <c r="AL973">
        <v>10769</v>
      </c>
      <c r="AM973">
        <v>11057</v>
      </c>
      <c r="AN973">
        <v>10004</v>
      </c>
      <c r="AO973">
        <v>10982</v>
      </c>
      <c r="AP973">
        <v>10408</v>
      </c>
      <c r="AQ973">
        <v>11543</v>
      </c>
      <c r="AR973">
        <v>10363</v>
      </c>
      <c r="AS973">
        <v>11163</v>
      </c>
      <c r="AT973">
        <v>10656</v>
      </c>
      <c r="AU973">
        <v>10020</v>
      </c>
      <c r="AV973">
        <v>11153</v>
      </c>
      <c r="AW973">
        <v>10985</v>
      </c>
      <c r="AX973">
        <v>10892</v>
      </c>
      <c r="AY973">
        <v>11580</v>
      </c>
      <c r="AZ973">
        <v>11468</v>
      </c>
      <c r="BA973">
        <v>11507</v>
      </c>
      <c r="BB973">
        <v>10179</v>
      </c>
      <c r="BC973">
        <v>10641</v>
      </c>
      <c r="BD973">
        <v>11428</v>
      </c>
      <c r="BE973">
        <v>10731</v>
      </c>
      <c r="BF973">
        <v>11023</v>
      </c>
      <c r="BG973">
        <v>10070</v>
      </c>
      <c r="BH973">
        <v>10764</v>
      </c>
      <c r="BI973">
        <v>10325</v>
      </c>
      <c r="BJ973">
        <v>10785</v>
      </c>
      <c r="BK973">
        <v>10568</v>
      </c>
      <c r="BL973">
        <v>10954</v>
      </c>
      <c r="BM973">
        <v>10857</v>
      </c>
      <c r="BN973">
        <v>10121</v>
      </c>
      <c r="BO973">
        <v>10497</v>
      </c>
      <c r="BP973">
        <v>11087</v>
      </c>
      <c r="BQ973">
        <v>11285</v>
      </c>
      <c r="BR973">
        <v>11253</v>
      </c>
      <c r="BS973">
        <v>10891</v>
      </c>
      <c r="BT973">
        <v>10506</v>
      </c>
      <c r="BU973">
        <v>10881</v>
      </c>
      <c r="BV973">
        <v>10288</v>
      </c>
      <c r="BW973">
        <v>11018</v>
      </c>
      <c r="BX973">
        <v>10896</v>
      </c>
      <c r="BY973">
        <v>10242</v>
      </c>
      <c r="BZ973">
        <v>10954</v>
      </c>
      <c r="CA973">
        <v>10735</v>
      </c>
      <c r="CB973">
        <v>11518</v>
      </c>
      <c r="CC973">
        <v>10093</v>
      </c>
      <c r="CD973">
        <v>10992</v>
      </c>
      <c r="CE973">
        <v>10027</v>
      </c>
      <c r="CF973">
        <v>11399</v>
      </c>
      <c r="CG973">
        <v>11456</v>
      </c>
      <c r="CH973">
        <v>10501</v>
      </c>
      <c r="CI973">
        <v>11432</v>
      </c>
      <c r="CJ973">
        <v>11453</v>
      </c>
      <c r="CK973">
        <v>10762</v>
      </c>
      <c r="CL973">
        <v>11059</v>
      </c>
      <c r="CM973">
        <v>11110</v>
      </c>
      <c r="CN973">
        <v>10689</v>
      </c>
      <c r="CO973">
        <v>10930</v>
      </c>
      <c r="CP973">
        <v>10882</v>
      </c>
      <c r="CQ973">
        <v>11382</v>
      </c>
      <c r="CR973">
        <v>11626</v>
      </c>
      <c r="CS973">
        <v>11401</v>
      </c>
      <c r="CT973">
        <v>11215</v>
      </c>
      <c r="CU973">
        <v>10394</v>
      </c>
      <c r="CV973">
        <v>11120</v>
      </c>
      <c r="CW973">
        <v>11175</v>
      </c>
      <c r="CX973">
        <v>10912</v>
      </c>
      <c r="CY973">
        <v>11057</v>
      </c>
      <c r="CZ973">
        <v>11067</v>
      </c>
      <c r="DA973">
        <v>10978</v>
      </c>
      <c r="DB973">
        <v>11324</v>
      </c>
      <c r="DC973">
        <v>10892</v>
      </c>
      <c r="DD973">
        <v>11139</v>
      </c>
      <c r="DE973">
        <v>10365</v>
      </c>
      <c r="DF973">
        <v>11479</v>
      </c>
      <c r="DG973">
        <v>10248</v>
      </c>
      <c r="DH973">
        <v>10032</v>
      </c>
      <c r="DI973">
        <v>10429</v>
      </c>
      <c r="DJ973">
        <v>10618</v>
      </c>
      <c r="DK973">
        <v>10857</v>
      </c>
    </row>
    <row r="974" spans="1:115">
      <c r="A974" s="173">
        <f>Calculations[[#This Row],[Sum t eCO2]]*IF(Calculations[[#This Row],[GHG Scope]]="BIOGENIC",0,1)</f>
        <v>1.2436583400000001E-3</v>
      </c>
      <c r="O974">
        <f t="shared" si="22"/>
        <v>6</v>
      </c>
      <c r="P974">
        <v>10591</v>
      </c>
      <c r="Q974">
        <v>10213</v>
      </c>
      <c r="R974">
        <v>10282</v>
      </c>
      <c r="S974">
        <v>10776</v>
      </c>
      <c r="T974">
        <v>11208</v>
      </c>
      <c r="U974">
        <v>10946</v>
      </c>
      <c r="V974">
        <v>10955</v>
      </c>
      <c r="W974">
        <v>10789</v>
      </c>
      <c r="X974">
        <v>11232</v>
      </c>
      <c r="Y974">
        <v>10641</v>
      </c>
      <c r="Z974">
        <v>11499</v>
      </c>
      <c r="AA974">
        <v>10051</v>
      </c>
      <c r="AB974">
        <v>10288</v>
      </c>
      <c r="AC974">
        <v>10140</v>
      </c>
      <c r="AD974">
        <v>10803</v>
      </c>
      <c r="AE974">
        <v>10847</v>
      </c>
      <c r="AF974">
        <v>11480</v>
      </c>
      <c r="AG974">
        <v>11322</v>
      </c>
      <c r="AH974">
        <v>11623</v>
      </c>
      <c r="AI974">
        <v>10911</v>
      </c>
      <c r="AJ974">
        <v>11091</v>
      </c>
      <c r="AK974">
        <v>11098</v>
      </c>
      <c r="AL974">
        <v>11018</v>
      </c>
      <c r="AM974">
        <v>10852</v>
      </c>
      <c r="AN974">
        <v>11092</v>
      </c>
      <c r="AO974">
        <v>10854</v>
      </c>
      <c r="AP974">
        <v>11312</v>
      </c>
      <c r="AQ974">
        <v>11008</v>
      </c>
      <c r="AR974">
        <v>10222</v>
      </c>
      <c r="AS974">
        <v>10411</v>
      </c>
      <c r="AT974">
        <v>10434</v>
      </c>
      <c r="AU974">
        <v>10501</v>
      </c>
      <c r="AV974">
        <v>10116</v>
      </c>
      <c r="AW974">
        <v>11213</v>
      </c>
      <c r="AX974">
        <v>10804</v>
      </c>
      <c r="AY974">
        <v>11235</v>
      </c>
      <c r="AZ974">
        <v>11220</v>
      </c>
      <c r="BA974">
        <v>11414</v>
      </c>
      <c r="BB974">
        <v>10708</v>
      </c>
      <c r="BC974">
        <v>11142</v>
      </c>
      <c r="BD974">
        <v>11037</v>
      </c>
      <c r="BE974">
        <v>10120</v>
      </c>
      <c r="BF974">
        <v>11266</v>
      </c>
      <c r="BG974">
        <v>10613</v>
      </c>
      <c r="BH974">
        <v>10664</v>
      </c>
      <c r="BI974">
        <v>11292</v>
      </c>
      <c r="BJ974">
        <v>10121</v>
      </c>
      <c r="BK974">
        <v>11583</v>
      </c>
      <c r="BL974">
        <v>10909</v>
      </c>
      <c r="BM974">
        <v>10971</v>
      </c>
      <c r="BN974">
        <v>10050</v>
      </c>
      <c r="BO974">
        <v>11344</v>
      </c>
      <c r="BP974">
        <v>10877</v>
      </c>
      <c r="BQ974">
        <v>10568</v>
      </c>
      <c r="BR974">
        <v>10458</v>
      </c>
      <c r="BS974">
        <v>10370</v>
      </c>
      <c r="BT974">
        <v>10723</v>
      </c>
      <c r="BU974">
        <v>10660</v>
      </c>
      <c r="BV974">
        <v>10471</v>
      </c>
      <c r="BW974">
        <v>11246</v>
      </c>
      <c r="BX974">
        <v>10718</v>
      </c>
      <c r="BY974">
        <v>10435</v>
      </c>
      <c r="BZ974">
        <v>10980</v>
      </c>
      <c r="CA974">
        <v>11579</v>
      </c>
      <c r="CB974">
        <v>10038</v>
      </c>
      <c r="CC974">
        <v>10290</v>
      </c>
      <c r="CD974">
        <v>11155</v>
      </c>
      <c r="CE974">
        <v>10312</v>
      </c>
      <c r="CF974">
        <v>11010</v>
      </c>
      <c r="CG974">
        <v>10682</v>
      </c>
      <c r="CH974">
        <v>11487</v>
      </c>
      <c r="CI974">
        <v>11188</v>
      </c>
      <c r="CJ974">
        <v>11244</v>
      </c>
      <c r="CK974">
        <v>10377</v>
      </c>
      <c r="CL974">
        <v>10865</v>
      </c>
      <c r="CM974">
        <v>10401</v>
      </c>
      <c r="CN974">
        <v>11190</v>
      </c>
      <c r="CO974">
        <v>11164</v>
      </c>
      <c r="CP974">
        <v>10869</v>
      </c>
      <c r="CQ974">
        <v>10734</v>
      </c>
      <c r="CR974">
        <v>10899</v>
      </c>
      <c r="CS974">
        <v>10418</v>
      </c>
      <c r="CT974">
        <v>11342</v>
      </c>
      <c r="CU974">
        <v>10745</v>
      </c>
      <c r="CV974">
        <v>10103</v>
      </c>
      <c r="CW974">
        <v>10605</v>
      </c>
      <c r="CX974">
        <v>11206</v>
      </c>
      <c r="CY974">
        <v>10105</v>
      </c>
      <c r="CZ974">
        <v>11523</v>
      </c>
      <c r="DA974">
        <v>10391</v>
      </c>
      <c r="DB974">
        <v>11458</v>
      </c>
      <c r="DC974">
        <v>11592</v>
      </c>
      <c r="DD974">
        <v>11416</v>
      </c>
      <c r="DE974">
        <v>11574</v>
      </c>
      <c r="DF974">
        <v>10359</v>
      </c>
      <c r="DG974">
        <v>10413</v>
      </c>
      <c r="DH974">
        <v>10665</v>
      </c>
      <c r="DI974">
        <v>11146</v>
      </c>
      <c r="DJ974">
        <v>10960</v>
      </c>
      <c r="DK974">
        <v>10303</v>
      </c>
    </row>
    <row r="975" spans="1:115">
      <c r="A975" s="173">
        <f>Calculations[[#This Row],[Sum t eCO2]]*IF(Calculations[[#This Row],[GHG Scope]]="BIOGENIC",0,1)</f>
        <v>5.9721242759999996E-4</v>
      </c>
      <c r="O975">
        <f t="shared" si="22"/>
        <v>7</v>
      </c>
      <c r="P975">
        <v>10687</v>
      </c>
      <c r="Q975">
        <v>11146</v>
      </c>
      <c r="R975">
        <v>11193</v>
      </c>
      <c r="S975">
        <v>10068</v>
      </c>
      <c r="T975">
        <v>10223</v>
      </c>
      <c r="U975">
        <v>11347</v>
      </c>
      <c r="V975">
        <v>11444</v>
      </c>
      <c r="W975">
        <v>10395</v>
      </c>
      <c r="X975">
        <v>10376</v>
      </c>
      <c r="Y975">
        <v>10559</v>
      </c>
      <c r="Z975">
        <v>10886</v>
      </c>
      <c r="AA975">
        <v>10851</v>
      </c>
      <c r="AB975">
        <v>11506</v>
      </c>
      <c r="AC975">
        <v>10384</v>
      </c>
      <c r="AD975">
        <v>10594</v>
      </c>
      <c r="AE975">
        <v>11515</v>
      </c>
      <c r="AF975">
        <v>10666</v>
      </c>
      <c r="AG975">
        <v>11219</v>
      </c>
      <c r="AH975">
        <v>11507</v>
      </c>
      <c r="AI975">
        <v>11018</v>
      </c>
      <c r="AJ975">
        <v>10081</v>
      </c>
      <c r="AK975">
        <v>10763</v>
      </c>
      <c r="AL975">
        <v>10219</v>
      </c>
      <c r="AM975">
        <v>10788</v>
      </c>
      <c r="AN975">
        <v>10958</v>
      </c>
      <c r="AO975">
        <v>11300</v>
      </c>
      <c r="AP975">
        <v>11614</v>
      </c>
      <c r="AQ975">
        <v>11187</v>
      </c>
      <c r="AR975">
        <v>10874</v>
      </c>
      <c r="AS975">
        <v>10424</v>
      </c>
      <c r="AT975">
        <v>11095</v>
      </c>
      <c r="AU975">
        <v>11334</v>
      </c>
      <c r="AV975">
        <v>10651</v>
      </c>
      <c r="AW975">
        <v>11033</v>
      </c>
      <c r="AX975">
        <v>10024</v>
      </c>
      <c r="AY975">
        <v>11090</v>
      </c>
      <c r="AZ975">
        <v>10944</v>
      </c>
      <c r="BA975">
        <v>10429</v>
      </c>
      <c r="BB975">
        <v>10790</v>
      </c>
      <c r="BC975">
        <v>11437</v>
      </c>
      <c r="BD975">
        <v>10462</v>
      </c>
      <c r="BE975">
        <v>11190</v>
      </c>
      <c r="BF975">
        <v>10650</v>
      </c>
      <c r="BG975">
        <v>10293</v>
      </c>
      <c r="BH975">
        <v>10525</v>
      </c>
      <c r="BI975">
        <v>10574</v>
      </c>
      <c r="BJ975">
        <v>11426</v>
      </c>
      <c r="BK975">
        <v>10134</v>
      </c>
      <c r="BL975">
        <v>10941</v>
      </c>
      <c r="BM975">
        <v>11619</v>
      </c>
      <c r="BN975">
        <v>10509</v>
      </c>
      <c r="BO975">
        <v>11429</v>
      </c>
      <c r="BP975">
        <v>11187</v>
      </c>
      <c r="BQ975">
        <v>10570</v>
      </c>
      <c r="BR975">
        <v>11289</v>
      </c>
      <c r="BS975">
        <v>11302</v>
      </c>
      <c r="BT975">
        <v>10441</v>
      </c>
      <c r="BU975">
        <v>11379</v>
      </c>
      <c r="BV975">
        <v>11117</v>
      </c>
      <c r="BW975">
        <v>11484</v>
      </c>
      <c r="BX975">
        <v>10308</v>
      </c>
      <c r="BY975">
        <v>11332</v>
      </c>
      <c r="BZ975">
        <v>10144</v>
      </c>
      <c r="CA975">
        <v>11054</v>
      </c>
      <c r="CB975">
        <v>10898</v>
      </c>
      <c r="CC975">
        <v>10513</v>
      </c>
      <c r="CD975">
        <v>10843</v>
      </c>
      <c r="CE975">
        <v>11395</v>
      </c>
      <c r="CF975">
        <v>10046</v>
      </c>
      <c r="CG975">
        <v>10349</v>
      </c>
      <c r="CH975">
        <v>11353</v>
      </c>
      <c r="CI975">
        <v>10519</v>
      </c>
      <c r="CJ975">
        <v>10060</v>
      </c>
      <c r="CK975">
        <v>11601</v>
      </c>
      <c r="CL975">
        <v>10063</v>
      </c>
      <c r="CM975">
        <v>11339</v>
      </c>
      <c r="CN975">
        <v>11018</v>
      </c>
      <c r="CO975">
        <v>10976</v>
      </c>
      <c r="CP975">
        <v>10650</v>
      </c>
      <c r="CQ975">
        <v>10122</v>
      </c>
      <c r="CR975">
        <v>10178</v>
      </c>
      <c r="CS975">
        <v>11215</v>
      </c>
      <c r="CT975">
        <v>11314</v>
      </c>
      <c r="CU975">
        <v>11415</v>
      </c>
      <c r="CV975">
        <v>10557</v>
      </c>
      <c r="CW975">
        <v>11461</v>
      </c>
      <c r="CX975">
        <v>10021</v>
      </c>
      <c r="CY975">
        <v>11034</v>
      </c>
      <c r="CZ975">
        <v>10865</v>
      </c>
      <c r="DA975">
        <v>11057</v>
      </c>
      <c r="DB975">
        <v>11250</v>
      </c>
      <c r="DC975">
        <v>10339</v>
      </c>
      <c r="DD975">
        <v>11337</v>
      </c>
      <c r="DE975">
        <v>10296</v>
      </c>
      <c r="DF975">
        <v>10262</v>
      </c>
      <c r="DG975">
        <v>11464</v>
      </c>
      <c r="DH975">
        <v>10658</v>
      </c>
      <c r="DI975">
        <v>10901</v>
      </c>
      <c r="DJ975">
        <v>10063</v>
      </c>
      <c r="DK975">
        <v>10232</v>
      </c>
    </row>
    <row r="976" spans="1:115">
      <c r="A976" s="173">
        <f>Calculations[[#This Row],[Sum t eCO2]]*IF(Calculations[[#This Row],[GHG Scope]]="BIOGENIC",0,1)</f>
        <v>4.9554015299999997E-4</v>
      </c>
      <c r="O976">
        <f>1+O975</f>
        <v>8</v>
      </c>
      <c r="P976">
        <v>10829</v>
      </c>
      <c r="Q976">
        <v>10941</v>
      </c>
      <c r="R976">
        <v>10764</v>
      </c>
      <c r="S976">
        <v>10411</v>
      </c>
      <c r="T976">
        <v>10432</v>
      </c>
      <c r="U976">
        <v>11130</v>
      </c>
      <c r="V976">
        <v>10030</v>
      </c>
      <c r="W976">
        <v>11318</v>
      </c>
      <c r="X976">
        <v>10780</v>
      </c>
      <c r="Y976">
        <v>10076</v>
      </c>
      <c r="Z976">
        <v>10290</v>
      </c>
      <c r="AA976">
        <v>10952</v>
      </c>
      <c r="AB976">
        <v>10547</v>
      </c>
      <c r="AC976">
        <v>10978</v>
      </c>
      <c r="AD976">
        <v>11285</v>
      </c>
      <c r="AE976">
        <v>10169</v>
      </c>
      <c r="AF976">
        <v>11438</v>
      </c>
      <c r="AG976">
        <v>11294</v>
      </c>
      <c r="AH976">
        <v>10666</v>
      </c>
      <c r="AI976">
        <v>10426</v>
      </c>
      <c r="AJ976">
        <v>10792</v>
      </c>
      <c r="AK976">
        <v>11342</v>
      </c>
      <c r="AL976">
        <v>10828</v>
      </c>
      <c r="AM976">
        <v>10889</v>
      </c>
      <c r="AN976">
        <v>10230</v>
      </c>
      <c r="AO976">
        <v>10613</v>
      </c>
      <c r="AP976">
        <v>11011</v>
      </c>
      <c r="AQ976">
        <v>10401</v>
      </c>
      <c r="AR976">
        <v>10928</v>
      </c>
      <c r="AS976">
        <v>10024</v>
      </c>
      <c r="AT976">
        <v>10047</v>
      </c>
      <c r="AU976">
        <v>10928</v>
      </c>
      <c r="AV976">
        <v>10326</v>
      </c>
      <c r="AW976">
        <v>11382</v>
      </c>
      <c r="AX976">
        <v>11116</v>
      </c>
      <c r="AY976">
        <v>10678</v>
      </c>
      <c r="AZ976">
        <v>11015</v>
      </c>
      <c r="BA976">
        <v>10250</v>
      </c>
      <c r="BB976">
        <v>10165</v>
      </c>
      <c r="BC976">
        <v>11067</v>
      </c>
      <c r="BD976">
        <v>10652</v>
      </c>
      <c r="BE976">
        <v>10526</v>
      </c>
      <c r="BF976">
        <v>11203</v>
      </c>
      <c r="BG976">
        <v>10594</v>
      </c>
      <c r="BH976">
        <v>11053</v>
      </c>
      <c r="BI976">
        <v>10627</v>
      </c>
      <c r="BJ976">
        <v>10962</v>
      </c>
      <c r="BK976">
        <v>10498</v>
      </c>
      <c r="BL976">
        <v>11303</v>
      </c>
      <c r="BM976">
        <v>10929</v>
      </c>
      <c r="BN976">
        <v>11375</v>
      </c>
      <c r="BO976">
        <v>11300</v>
      </c>
      <c r="BP976">
        <v>10783</v>
      </c>
      <c r="BQ976">
        <v>10904</v>
      </c>
      <c r="BR976">
        <v>11000</v>
      </c>
      <c r="BS976">
        <v>11518</v>
      </c>
      <c r="BT976">
        <v>10778</v>
      </c>
      <c r="BU976">
        <v>10976</v>
      </c>
      <c r="BV976">
        <v>10572</v>
      </c>
      <c r="BW976">
        <v>10137</v>
      </c>
      <c r="BX976">
        <v>10198</v>
      </c>
      <c r="BY976">
        <v>11369</v>
      </c>
      <c r="BZ976">
        <v>11424</v>
      </c>
      <c r="CA976">
        <v>11295</v>
      </c>
      <c r="CB976">
        <v>11109</v>
      </c>
      <c r="CC976">
        <v>11326</v>
      </c>
      <c r="CD976">
        <v>10450</v>
      </c>
      <c r="CE976">
        <v>11080</v>
      </c>
      <c r="CF976">
        <v>10213</v>
      </c>
      <c r="CG976">
        <v>11526</v>
      </c>
      <c r="CH976">
        <v>10599</v>
      </c>
      <c r="CI976">
        <v>11018</v>
      </c>
      <c r="CJ976">
        <v>10661</v>
      </c>
      <c r="CK976">
        <v>11351</v>
      </c>
      <c r="CL976">
        <v>11048</v>
      </c>
      <c r="CM976">
        <v>10453</v>
      </c>
      <c r="CN976">
        <v>11062</v>
      </c>
      <c r="CO976">
        <v>11477</v>
      </c>
      <c r="CP976">
        <v>11041</v>
      </c>
      <c r="CQ976">
        <v>10512</v>
      </c>
      <c r="CR976">
        <v>11558</v>
      </c>
      <c r="CS976">
        <v>11426</v>
      </c>
      <c r="CT976">
        <v>10425</v>
      </c>
      <c r="CU976">
        <v>10937</v>
      </c>
      <c r="CV976">
        <v>10661</v>
      </c>
      <c r="CW976">
        <v>11188</v>
      </c>
      <c r="CX976">
        <v>10011</v>
      </c>
      <c r="CY976">
        <v>10237</v>
      </c>
      <c r="CZ976">
        <v>11165</v>
      </c>
      <c r="DA976">
        <v>10708</v>
      </c>
      <c r="DB976">
        <v>10253</v>
      </c>
      <c r="DC976">
        <v>10231</v>
      </c>
      <c r="DD976">
        <v>11281</v>
      </c>
      <c r="DE976">
        <v>10252</v>
      </c>
      <c r="DF976">
        <v>10252</v>
      </c>
      <c r="DG976">
        <v>11386</v>
      </c>
      <c r="DH976">
        <v>10193</v>
      </c>
      <c r="DI976">
        <v>10075</v>
      </c>
      <c r="DJ976">
        <v>11257</v>
      </c>
      <c r="DK976">
        <v>11299</v>
      </c>
    </row>
    <row r="977" spans="1:115">
      <c r="A977" s="173">
        <f>Calculations[[#This Row],[Sum t eCO2]]*IF(Calculations[[#This Row],[GHG Scope]]="BIOGENIC",0,1)</f>
        <v>0</v>
      </c>
      <c r="O977">
        <f t="shared" si="22"/>
        <v>9</v>
      </c>
      <c r="P977">
        <v>10020</v>
      </c>
      <c r="Q977">
        <v>10802</v>
      </c>
      <c r="R977">
        <v>10511</v>
      </c>
      <c r="S977">
        <v>10342</v>
      </c>
      <c r="T977">
        <v>11137</v>
      </c>
      <c r="U977">
        <v>10713</v>
      </c>
      <c r="V977">
        <v>11527</v>
      </c>
      <c r="W977">
        <v>11007</v>
      </c>
      <c r="X977">
        <v>10725</v>
      </c>
      <c r="Y977">
        <v>11417</v>
      </c>
      <c r="Z977">
        <v>10630</v>
      </c>
      <c r="AA977">
        <v>10989</v>
      </c>
      <c r="AB977">
        <v>11568</v>
      </c>
      <c r="AC977">
        <v>10948</v>
      </c>
      <c r="AD977">
        <v>10908</v>
      </c>
      <c r="AE977">
        <v>11487</v>
      </c>
      <c r="AF977">
        <v>11466</v>
      </c>
      <c r="AG977">
        <v>10248</v>
      </c>
      <c r="AH977">
        <v>11399</v>
      </c>
      <c r="AI977">
        <v>10139</v>
      </c>
      <c r="AJ977">
        <v>10859</v>
      </c>
      <c r="AK977">
        <v>11487</v>
      </c>
      <c r="AL977">
        <v>10647</v>
      </c>
      <c r="AM977">
        <v>10130</v>
      </c>
      <c r="AN977">
        <v>10729</v>
      </c>
      <c r="AO977">
        <v>10952</v>
      </c>
      <c r="AP977">
        <v>11508</v>
      </c>
      <c r="AQ977">
        <v>10007</v>
      </c>
      <c r="AR977">
        <v>10435</v>
      </c>
      <c r="AS977">
        <v>11335</v>
      </c>
      <c r="AT977">
        <v>10668</v>
      </c>
      <c r="AU977">
        <v>10365</v>
      </c>
      <c r="AV977">
        <v>10870</v>
      </c>
      <c r="AW977">
        <v>10269</v>
      </c>
      <c r="AX977">
        <v>10668</v>
      </c>
      <c r="AY977">
        <v>10809</v>
      </c>
      <c r="AZ977">
        <v>11549</v>
      </c>
      <c r="BA977">
        <v>10524</v>
      </c>
      <c r="BB977">
        <v>11192</v>
      </c>
      <c r="BC977">
        <v>11464</v>
      </c>
      <c r="BD977">
        <v>11186</v>
      </c>
      <c r="BE977">
        <v>11471</v>
      </c>
      <c r="BF977">
        <v>10103</v>
      </c>
      <c r="BG977">
        <v>10476</v>
      </c>
      <c r="BH977">
        <v>10001</v>
      </c>
      <c r="BI977">
        <v>11018</v>
      </c>
      <c r="BJ977">
        <v>11042</v>
      </c>
      <c r="BK977">
        <v>11484</v>
      </c>
      <c r="BL977">
        <v>10195</v>
      </c>
      <c r="BM977">
        <v>10423</v>
      </c>
      <c r="BN977">
        <v>10120</v>
      </c>
      <c r="BO977">
        <v>10750</v>
      </c>
      <c r="BP977">
        <v>11372</v>
      </c>
      <c r="BQ977">
        <v>10877</v>
      </c>
      <c r="BR977">
        <v>10887</v>
      </c>
      <c r="BS977">
        <v>11516</v>
      </c>
      <c r="BT977">
        <v>10780</v>
      </c>
      <c r="BU977">
        <v>10470</v>
      </c>
      <c r="BV977">
        <v>10344</v>
      </c>
      <c r="BW977">
        <v>11445</v>
      </c>
      <c r="BX977">
        <v>11377</v>
      </c>
      <c r="BY977">
        <v>10530</v>
      </c>
      <c r="BZ977">
        <v>11176</v>
      </c>
      <c r="CA977">
        <v>10147</v>
      </c>
      <c r="CB977">
        <v>10914</v>
      </c>
      <c r="CC977">
        <v>11097</v>
      </c>
      <c r="CD977">
        <v>11456</v>
      </c>
      <c r="CE977">
        <v>10342</v>
      </c>
      <c r="CF977">
        <v>10893</v>
      </c>
      <c r="CG977">
        <v>11045</v>
      </c>
      <c r="CH977">
        <v>10923</v>
      </c>
      <c r="CI977">
        <v>10499</v>
      </c>
      <c r="CJ977">
        <v>11220</v>
      </c>
      <c r="CK977">
        <v>11597</v>
      </c>
      <c r="CL977">
        <v>11186</v>
      </c>
      <c r="CM977">
        <v>10746</v>
      </c>
      <c r="CN977">
        <v>11539</v>
      </c>
      <c r="CO977">
        <v>11439</v>
      </c>
      <c r="CP977">
        <v>10203</v>
      </c>
      <c r="CQ977">
        <v>11341</v>
      </c>
      <c r="CR977">
        <v>10322</v>
      </c>
      <c r="CS977">
        <v>11255</v>
      </c>
      <c r="CT977">
        <v>10186</v>
      </c>
      <c r="CU977">
        <v>11252</v>
      </c>
      <c r="CV977">
        <v>11390</v>
      </c>
      <c r="CW977">
        <v>11380</v>
      </c>
      <c r="CX977">
        <v>10033</v>
      </c>
      <c r="CY977">
        <v>10376</v>
      </c>
      <c r="CZ977">
        <v>11272</v>
      </c>
      <c r="DA977">
        <v>11498</v>
      </c>
      <c r="DB977">
        <v>10914</v>
      </c>
      <c r="DC977">
        <v>10649</v>
      </c>
      <c r="DD977">
        <v>10220</v>
      </c>
      <c r="DE977">
        <v>10256</v>
      </c>
      <c r="DF977">
        <v>11177</v>
      </c>
      <c r="DG977">
        <v>10264</v>
      </c>
      <c r="DH977">
        <v>10833</v>
      </c>
      <c r="DI977">
        <v>10006</v>
      </c>
      <c r="DJ977">
        <v>10547</v>
      </c>
      <c r="DK977">
        <v>10890</v>
      </c>
    </row>
    <row r="978" spans="1:115">
      <c r="A978" s="173">
        <f>Calculations[[#This Row],[Sum t eCO2]]*IF(Calculations[[#This Row],[GHG Scope]]="BIOGENIC",0,1)</f>
        <v>8.1475135924354287</v>
      </c>
      <c r="O978" s="233" t="s">
        <v>1381</v>
      </c>
      <c r="P978">
        <f>SUM(P2:P977)</f>
        <v>287387</v>
      </c>
      <c r="Q978">
        <f t="shared" ref="Q978:CB978" si="23">SUM(Q2:Q977)</f>
        <v>280684</v>
      </c>
      <c r="R978">
        <f t="shared" si="23"/>
        <v>282729</v>
      </c>
      <c r="S978">
        <f t="shared" si="23"/>
        <v>309566</v>
      </c>
      <c r="T978">
        <f t="shared" si="23"/>
        <v>321211</v>
      </c>
      <c r="U978">
        <f t="shared" si="23"/>
        <v>304212</v>
      </c>
      <c r="V978">
        <f t="shared" si="23"/>
        <v>296331</v>
      </c>
      <c r="W978">
        <f t="shared" si="23"/>
        <v>300600</v>
      </c>
      <c r="X978">
        <f t="shared" si="23"/>
        <v>304776</v>
      </c>
      <c r="Y978">
        <f t="shared" si="23"/>
        <v>312672</v>
      </c>
      <c r="Z978">
        <f t="shared" si="23"/>
        <v>316867</v>
      </c>
      <c r="AA978">
        <f t="shared" si="23"/>
        <v>281232</v>
      </c>
      <c r="AB978">
        <f t="shared" si="23"/>
        <v>309752</v>
      </c>
      <c r="AC978">
        <f t="shared" si="23"/>
        <v>282280</v>
      </c>
      <c r="AD978">
        <f t="shared" si="23"/>
        <v>321669</v>
      </c>
      <c r="AE978">
        <f t="shared" si="23"/>
        <v>296663</v>
      </c>
      <c r="AF978">
        <f t="shared" si="23"/>
        <v>297126</v>
      </c>
      <c r="AG978">
        <f t="shared" si="23"/>
        <v>319947</v>
      </c>
      <c r="AH978">
        <f t="shared" si="23"/>
        <v>306682</v>
      </c>
      <c r="AI978">
        <f t="shared" si="23"/>
        <v>312194</v>
      </c>
      <c r="AJ978">
        <f t="shared" si="23"/>
        <v>287237</v>
      </c>
      <c r="AK978">
        <f t="shared" si="23"/>
        <v>308329</v>
      </c>
      <c r="AL978">
        <f t="shared" si="23"/>
        <v>310775</v>
      </c>
      <c r="AM978">
        <f t="shared" si="23"/>
        <v>325255</v>
      </c>
      <c r="AN978">
        <f t="shared" si="23"/>
        <v>303422</v>
      </c>
      <c r="AO978">
        <f t="shared" si="23"/>
        <v>316103</v>
      </c>
      <c r="AP978">
        <f t="shared" si="23"/>
        <v>293678</v>
      </c>
      <c r="AQ978">
        <f t="shared" si="23"/>
        <v>297863</v>
      </c>
      <c r="AR978">
        <f t="shared" si="23"/>
        <v>307425</v>
      </c>
      <c r="AS978">
        <f t="shared" si="23"/>
        <v>299577</v>
      </c>
      <c r="AT978">
        <f t="shared" si="23"/>
        <v>287876</v>
      </c>
      <c r="AU978">
        <f t="shared" si="23"/>
        <v>305733</v>
      </c>
      <c r="AV978">
        <f t="shared" si="23"/>
        <v>298787</v>
      </c>
      <c r="AW978">
        <f t="shared" si="23"/>
        <v>297714</v>
      </c>
      <c r="AX978">
        <f t="shared" si="23"/>
        <v>319407</v>
      </c>
      <c r="AY978">
        <f t="shared" si="23"/>
        <v>287304</v>
      </c>
      <c r="AZ978">
        <f t="shared" si="23"/>
        <v>303991</v>
      </c>
      <c r="BA978">
        <f t="shared" si="23"/>
        <v>301466</v>
      </c>
      <c r="BB978">
        <f t="shared" si="23"/>
        <v>305663</v>
      </c>
      <c r="BC978">
        <f t="shared" si="23"/>
        <v>271754</v>
      </c>
      <c r="BD978">
        <f t="shared" si="23"/>
        <v>299495</v>
      </c>
      <c r="BE978">
        <f t="shared" si="23"/>
        <v>320319</v>
      </c>
      <c r="BF978">
        <f t="shared" si="23"/>
        <v>297881</v>
      </c>
      <c r="BG978">
        <f t="shared" si="23"/>
        <v>300694</v>
      </c>
      <c r="BH978">
        <f t="shared" si="23"/>
        <v>292378</v>
      </c>
      <c r="BI978">
        <f t="shared" si="23"/>
        <v>298597</v>
      </c>
      <c r="BJ978">
        <f t="shared" si="23"/>
        <v>296657</v>
      </c>
      <c r="BK978">
        <f t="shared" si="23"/>
        <v>291684</v>
      </c>
      <c r="BL978">
        <f t="shared" si="23"/>
        <v>309751</v>
      </c>
      <c r="BM978">
        <f t="shared" si="23"/>
        <v>284319</v>
      </c>
      <c r="BN978">
        <f t="shared" si="23"/>
        <v>309658</v>
      </c>
      <c r="BO978">
        <f t="shared" si="23"/>
        <v>308504</v>
      </c>
      <c r="BP978">
        <f t="shared" si="23"/>
        <v>332094</v>
      </c>
      <c r="BQ978">
        <f t="shared" si="23"/>
        <v>312341</v>
      </c>
      <c r="BR978">
        <f t="shared" si="23"/>
        <v>301873</v>
      </c>
      <c r="BS978">
        <f t="shared" si="23"/>
        <v>286523</v>
      </c>
      <c r="BT978">
        <f t="shared" si="23"/>
        <v>280440</v>
      </c>
      <c r="BU978">
        <f t="shared" si="23"/>
        <v>285698</v>
      </c>
      <c r="BV978">
        <f t="shared" si="23"/>
        <v>296937</v>
      </c>
      <c r="BW978">
        <f t="shared" si="23"/>
        <v>333800</v>
      </c>
      <c r="BX978">
        <f t="shared" si="23"/>
        <v>325945</v>
      </c>
      <c r="BY978">
        <f t="shared" si="23"/>
        <v>279913</v>
      </c>
      <c r="BZ978">
        <f t="shared" si="23"/>
        <v>302737</v>
      </c>
      <c r="CA978">
        <f t="shared" si="23"/>
        <v>282804</v>
      </c>
      <c r="CB978">
        <f t="shared" si="23"/>
        <v>312207</v>
      </c>
      <c r="CC978">
        <f t="shared" ref="CC978:DK978" si="24">SUM(CC2:CC977)</f>
        <v>283525</v>
      </c>
      <c r="CD978">
        <f t="shared" si="24"/>
        <v>313726</v>
      </c>
      <c r="CE978">
        <f t="shared" si="24"/>
        <v>297637</v>
      </c>
      <c r="CF978">
        <f t="shared" si="24"/>
        <v>304552</v>
      </c>
      <c r="CG978">
        <f t="shared" si="24"/>
        <v>315658</v>
      </c>
      <c r="CH978">
        <f t="shared" si="24"/>
        <v>332432</v>
      </c>
      <c r="CI978">
        <f t="shared" si="24"/>
        <v>295487</v>
      </c>
      <c r="CJ978">
        <f t="shared" si="24"/>
        <v>291412</v>
      </c>
      <c r="CK978">
        <f t="shared" si="24"/>
        <v>304715</v>
      </c>
      <c r="CL978">
        <f t="shared" si="24"/>
        <v>299715</v>
      </c>
      <c r="CM978">
        <f t="shared" si="24"/>
        <v>286827</v>
      </c>
      <c r="CN978">
        <f t="shared" si="24"/>
        <v>306667</v>
      </c>
      <c r="CO978">
        <f t="shared" si="24"/>
        <v>325746</v>
      </c>
      <c r="CP978">
        <f t="shared" si="24"/>
        <v>287452</v>
      </c>
      <c r="CQ978">
        <f t="shared" si="24"/>
        <v>334422</v>
      </c>
      <c r="CR978">
        <f t="shared" si="24"/>
        <v>318544</v>
      </c>
      <c r="CS978">
        <f t="shared" si="24"/>
        <v>282823</v>
      </c>
      <c r="CT978">
        <f t="shared" si="24"/>
        <v>286395</v>
      </c>
      <c r="CU978">
        <f t="shared" si="24"/>
        <v>320123</v>
      </c>
      <c r="CV978">
        <f t="shared" si="24"/>
        <v>305534</v>
      </c>
      <c r="CW978">
        <f t="shared" si="24"/>
        <v>293647</v>
      </c>
      <c r="CX978">
        <f t="shared" si="24"/>
        <v>309685</v>
      </c>
      <c r="CY978">
        <f t="shared" si="24"/>
        <v>301409</v>
      </c>
      <c r="CZ978">
        <f t="shared" si="24"/>
        <v>309023</v>
      </c>
      <c r="DA978">
        <f t="shared" si="24"/>
        <v>296720</v>
      </c>
      <c r="DB978">
        <f t="shared" si="24"/>
        <v>331057</v>
      </c>
      <c r="DC978">
        <f t="shared" si="24"/>
        <v>284491</v>
      </c>
      <c r="DD978">
        <f t="shared" si="24"/>
        <v>306215</v>
      </c>
      <c r="DE978">
        <f t="shared" si="24"/>
        <v>287725</v>
      </c>
      <c r="DF978">
        <f t="shared" si="24"/>
        <v>295919</v>
      </c>
      <c r="DG978">
        <f t="shared" si="24"/>
        <v>294001</v>
      </c>
      <c r="DH978">
        <f t="shared" si="24"/>
        <v>325944</v>
      </c>
      <c r="DI978">
        <f t="shared" si="24"/>
        <v>294849</v>
      </c>
      <c r="DJ978">
        <f t="shared" si="24"/>
        <v>295061</v>
      </c>
      <c r="DK978">
        <f t="shared" si="24"/>
        <v>298458</v>
      </c>
    </row>
    <row r="979" spans="1:115">
      <c r="A979" s="173">
        <f>Calculations[[#This Row],[Sum t eCO2]]*IF(Calculations[[#This Row],[GHG Scope]]="BIOGENIC",0,1)</f>
        <v>9.1139942023128223E-2</v>
      </c>
    </row>
    <row r="980" spans="1:115">
      <c r="A980" s="173">
        <f>Calculations[[#This Row],[Sum t eCO2]]*IF(Calculations[[#This Row],[GHG Scope]]="BIOGENIC",0,1)</f>
        <v>0.22433233912304079</v>
      </c>
    </row>
    <row r="981" spans="1:115">
      <c r="A981" s="173">
        <f>Calculations[[#This Row],[Sum t eCO2]]*IF(Calculations[[#This Row],[GHG Scope]]="BIOGENIC",0,1)</f>
        <v>0.25237782491693517</v>
      </c>
    </row>
    <row r="982" spans="1:115">
      <c r="A982" s="173">
        <f>Calculations[[#This Row],[Sum t eCO2]]*IF(Calculations[[#This Row],[GHG Scope]]="BIOGENIC",0,1)</f>
        <v>3.322974694739647</v>
      </c>
    </row>
    <row r="983" spans="1:115">
      <c r="A983" s="173">
        <f>Calculations[[#This Row],[Sum t eCO2]]*IF(Calculations[[#This Row],[GHG Scope]]="BIOGENIC",0,1)</f>
        <v>0.12607220869166549</v>
      </c>
    </row>
    <row r="984" spans="1:115">
      <c r="A984" s="173">
        <f>Calculations[[#This Row],[Sum t eCO2]]*IF(Calculations[[#This Row],[GHG Scope]]="BIOGENIC",0,1)</f>
        <v>1.5432358352941431E-3</v>
      </c>
    </row>
    <row r="985" spans="1:115">
      <c r="A985" s="173">
        <f>Calculations[[#This Row],[Sum t eCO2]]*IF(Calculations[[#This Row],[GHG Scope]]="BIOGENIC",0,1)</f>
        <v>1.1166068166693777</v>
      </c>
    </row>
    <row r="986" spans="1:115">
      <c r="A986" s="173">
        <f>Calculations[[#This Row],[Sum t eCO2]]*IF(Calculations[[#This Row],[GHG Scope]]="BIOGENIC",0,1)</f>
        <v>0.66590626292942279</v>
      </c>
    </row>
    <row r="987" spans="1:115">
      <c r="A987" s="173">
        <f>Calculations[[#This Row],[Sum t eCO2]]*IF(Calculations[[#This Row],[GHG Scope]]="BIOGENIC",0,1)</f>
        <v>0.34165022788304233</v>
      </c>
    </row>
    <row r="988" spans="1:115">
      <c r="A988" s="173">
        <f>Calculations[[#This Row],[Sum t eCO2]]*IF(Calculations[[#This Row],[GHG Scope]]="BIOGENIC",0,1)</f>
        <v>3.2746028231601505E-2</v>
      </c>
    </row>
    <row r="989" spans="1:115">
      <c r="A989" s="173">
        <f>Calculations[[#This Row],[Sum t eCO2]]*IF(Calculations[[#This Row],[GHG Scope]]="BIOGENIC",0,1)</f>
        <v>7.7161791764707157E-3</v>
      </c>
    </row>
    <row r="990" spans="1:115">
      <c r="A990" s="173">
        <f>Calculations[[#This Row],[Sum t eCO2]]*IF(Calculations[[#This Row],[GHG Scope]]="BIOGENIC",0,1)</f>
        <v>208.22611059352695</v>
      </c>
    </row>
    <row r="991" spans="1:115">
      <c r="A991" s="173">
        <f>Calculations[[#This Row],[Sum t eCO2]]*IF(Calculations[[#This Row],[GHG Scope]]="BIOGENIC",0,1)</f>
        <v>27.910457119999997</v>
      </c>
    </row>
    <row r="992" spans="1:115">
      <c r="A992" s="173">
        <f>Calculations[[#This Row],[Sum t eCO2]]*IF(Calculations[[#This Row],[GHG Scope]]="BIOGENIC",0,1)</f>
        <v>5.6394649999999991E-2</v>
      </c>
    </row>
    <row r="993" spans="1:1">
      <c r="A993" s="173">
        <f>Calculations[[#This Row],[Sum t eCO2]]*IF(Calculations[[#This Row],[GHG Scope]]="BIOGENIC",0,1)</f>
        <v>0.74653747999999986</v>
      </c>
    </row>
    <row r="994" spans="1:1">
      <c r="A994" s="173">
        <f>Calculations[[#This Row],[Sum t eCO2]]*IF(Calculations[[#This Row],[GHG Scope]]="BIOGENIC",0,1)</f>
        <v>329.69391336699999</v>
      </c>
    </row>
    <row r="995" spans="1:1">
      <c r="A995" s="173">
        <f>Calculations[[#This Row],[Sum t eCO2]]*IF(Calculations[[#This Row],[GHG Scope]]="BIOGENIC",0,1)</f>
        <v>2.6516000000000006</v>
      </c>
    </row>
    <row r="996" spans="1:1">
      <c r="A996" s="173">
        <f>Calculations[[#This Row],[Sum t eCO2]]*IF(Calculations[[#This Row],[GHG Scope]]="BIOGENIC",0,1)</f>
        <v>0.47699999999999998</v>
      </c>
    </row>
    <row r="997" spans="1:1">
      <c r="A997" s="173">
        <f>Calculations[[#This Row],[Sum t eCO2]]*IF(Calculations[[#This Row],[GHG Scope]]="BIOGENIC",0,1)</f>
        <v>24.923385396</v>
      </c>
    </row>
    <row r="998" spans="1:1">
      <c r="A998" s="173">
        <f>Calculations[[#This Row],[Sum t eCO2]]*IF(Calculations[[#This Row],[GHG Scope]]="BIOGENIC",0,1)</f>
        <v>27.370599999999953</v>
      </c>
    </row>
    <row r="999" spans="1:1">
      <c r="A999" s="173">
        <f>Calculations[[#This Row],[Sum t eCO2]]*IF(Calculations[[#This Row],[GHG Scope]]="BIOGENIC",0,1)</f>
        <v>3.5040000000000009</v>
      </c>
    </row>
    <row r="1000" spans="1:1">
      <c r="A1000" s="173">
        <f>Calculations[[#This Row],[Sum t eCO2]]*IF(Calculations[[#This Row],[GHG Scope]]="BIOGENIC",0,1)</f>
        <v>1.3364379000000006</v>
      </c>
    </row>
    <row r="1001" spans="1:1">
      <c r="A1001" s="173">
        <f>Calculations[[#This Row],[Sum t eCO2]]*IF(Calculations[[#This Row],[GHG Scope]]="BIOGENIC",0,1)</f>
        <v>2.1669945500000001</v>
      </c>
    </row>
    <row r="1002" spans="1:1">
      <c r="A1002" s="173">
        <f>Calculations[[#This Row],[Sum t eCO2]]*IF(Calculations[[#This Row],[GHG Scope]]="BIOGENIC",0,1)</f>
        <v>0.48627518940000003</v>
      </c>
    </row>
    <row r="1003" spans="1:1">
      <c r="A1003" s="173">
        <f>Calculations[[#This Row],[Sum t eCO2]]*IF(Calculations[[#This Row],[GHG Scope]]="BIOGENIC",0,1)</f>
        <v>2.8411000000000004</v>
      </c>
    </row>
    <row r="1004" spans="1:1">
      <c r="A1004" s="173">
        <f>Calculations[[#This Row],[Sum t eCO2]]*IF(Calculations[[#This Row],[GHG Scope]]="BIOGENIC",0,1)</f>
        <v>7.6782000000000017E-2</v>
      </c>
    </row>
    <row r="1005" spans="1:1">
      <c r="A1005" s="173">
        <f>Calculations[[#This Row],[Sum t eCO2]]*IF(Calculations[[#This Row],[GHG Scope]]="BIOGENIC",0,1)</f>
        <v>9.2881290000000032</v>
      </c>
    </row>
    <row r="1006" spans="1:1">
      <c r="A1006" s="173">
        <f>Calculations[[#This Row],[Sum t eCO2]]*IF(Calculations[[#This Row],[GHG Scope]]="BIOGENIC",0,1)</f>
        <v>0.86096799999999984</v>
      </c>
    </row>
    <row r="1007" spans="1:1">
      <c r="A1007" s="173">
        <f>Calculations[[#This Row],[Sum t eCO2]]*IF(Calculations[[#This Row],[GHG Scope]]="BIOGENIC",0,1)</f>
        <v>89.6387878580164</v>
      </c>
    </row>
    <row r="1008" spans="1:1">
      <c r="A1008" s="173">
        <f>Calculations[[#This Row],[Sum t eCO2]]*IF(Calculations[[#This Row],[GHG Scope]]="BIOGENIC",0,1)</f>
        <v>65.383586437611967</v>
      </c>
    </row>
    <row r="1009" spans="1:1">
      <c r="A1009" s="173">
        <f>Calculations[[#This Row],[Sum t eCO2]]*IF(Calculations[[#This Row],[GHG Scope]]="BIOGENIC",0,1)</f>
        <v>25.309775395204632</v>
      </c>
    </row>
    <row r="1010" spans="1:1">
      <c r="A1010" s="173">
        <f>Calculations[[#This Row],[Sum t eCO2]]*IF(Calculations[[#This Row],[GHG Scope]]="BIOGENIC",0,1)</f>
        <v>72.765604261213312</v>
      </c>
    </row>
    <row r="1011" spans="1:1">
      <c r="A1011" s="173">
        <f>Calculations[[#This Row],[Sum t eCO2]]*IF(Calculations[[#This Row],[GHG Scope]]="BIOGENIC",0,1)</f>
        <v>972.31720476577789</v>
      </c>
    </row>
    <row r="1012" spans="1:1">
      <c r="A1012" s="173">
        <f>Calculations[[#This Row],[Sum t eCO2]]*IF(Calculations[[#This Row],[GHG Scope]]="BIOGENIC",0,1)</f>
        <v>317.42676641485809</v>
      </c>
    </row>
    <row r="1013" spans="1:1">
      <c r="A1013" s="173">
        <f>Calculations[[#This Row],[Sum t eCO2]]*IF(Calculations[[#This Row],[GHG Scope]]="BIOGENIC",0,1)</f>
        <v>78.038474135214287</v>
      </c>
    </row>
  </sheetData>
  <mergeCells count="2">
    <mergeCell ref="I13:M13"/>
    <mergeCell ref="D34:E3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BBB741EF8ABA4485400CFF5465C3F6" ma:contentTypeVersion="16" ma:contentTypeDescription="Create a new document." ma:contentTypeScope="" ma:versionID="676c36766aebf41e712bfe7add879abd">
  <xsd:schema xmlns:xsd="http://www.w3.org/2001/XMLSchema" xmlns:xs="http://www.w3.org/2001/XMLSchema" xmlns:p="http://schemas.microsoft.com/office/2006/metadata/properties" xmlns:ns1="http://schemas.microsoft.com/sharepoint/v3" xmlns:ns2="2cb3551f-7fc7-471e-9ef4-5de5e8b24ecb" xmlns:ns3="2013df2e-1bcd-4982-9df2-1a4d116cf9ff" targetNamespace="http://schemas.microsoft.com/office/2006/metadata/properties" ma:root="true" ma:fieldsID="cc937a3680019e292c690d9b3eff924d" ns1:_="" ns2:_="" ns3:_="">
    <xsd:import namespace="http://schemas.microsoft.com/sharepoint/v3"/>
    <xsd:import namespace="2cb3551f-7fc7-471e-9ef4-5de5e8b24ecb"/>
    <xsd:import namespace="2013df2e-1bcd-4982-9df2-1a4d116cf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3551f-7fc7-471e-9ef4-5de5e8b24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3a8b2f3-5aaf-450f-afe7-0c2cfd22b7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3df2e-1bcd-4982-9df2-1a4d116cf9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b3551f-7fc7-471e-9ef4-5de5e8b24ec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9DA7B3-F435-413F-88E4-6AB913B099B5}"/>
</file>

<file path=customXml/itemProps2.xml><?xml version="1.0" encoding="utf-8"?>
<ds:datastoreItem xmlns:ds="http://schemas.openxmlformats.org/officeDocument/2006/customXml" ds:itemID="{3F0DDE29-9595-4E7D-9CDC-77886BB9373A}">
  <ds:schemaRefs>
    <ds:schemaRef ds:uri="http://schemas.microsoft.com/office/2006/documentManagement/types"/>
    <ds:schemaRef ds:uri="http://www.w3.org/XML/1998/namespace"/>
    <ds:schemaRef ds:uri="http://purl.org/dc/elements/1.1/"/>
    <ds:schemaRef ds:uri="2cb3551f-7fc7-471e-9ef4-5de5e8b24ecb"/>
    <ds:schemaRef ds:uri="http://purl.org/dc/terms/"/>
    <ds:schemaRef ds:uri="http://schemas.microsoft.com/sharepoint/v3"/>
    <ds:schemaRef ds:uri="http://purl.org/dc/dcmitype/"/>
    <ds:schemaRef ds:uri="http://schemas.microsoft.com/office/infopath/2007/PartnerControls"/>
    <ds:schemaRef ds:uri="2013df2e-1bcd-4982-9df2-1a4d116cf9ff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AF799AC-AFE1-4467-ACEA-5613867FF10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d6e031b-6622-4596-babd-d18e26234ac6}" enabled="1" method="Standard" siteId="{1998f5f4-507b-4bba-aec4-87754c64edc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Charts</vt:lpstr>
      <vt:lpstr>Result GHG</vt:lpstr>
      <vt:lpstr>Sheet3</vt:lpstr>
      <vt:lpstr>Sheet1</vt:lpstr>
      <vt:lpstr>Calculations</vt:lpstr>
      <vt:lpstr>Factors</vt:lpstr>
      <vt:lpstr>Scope 3_Scope 2 Upstream CO2eq</vt:lpstr>
      <vt:lpstr>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Siskos</dc:creator>
  <cp:lastModifiedBy>Magdalini Theologiti</cp:lastModifiedBy>
  <dcterms:created xsi:type="dcterms:W3CDTF">2015-06-05T18:19:34Z</dcterms:created>
  <dcterms:modified xsi:type="dcterms:W3CDTF">2025-04-08T12:49:34Z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0x01010069BBB741EF8ABA4485400CFF5465C3F6</vt:lpwstr>
  </property>
  <property fmtid="{D5CDD505-2E9C-101B-9397-08002B2CF9AE}" pid="3" name="MediaServiceImageTags">
    <vt:lpwstr/>
  </property>
  <property fmtid="{D5CDD505-2E9C-101B-9397-08002B2CF9AE}" pid="4" name="MSIP_Label_ad6e031b-6622-4596-babd-d18e26234ac6_Enabled">
    <vt:lpwstr>true</vt:lpwstr>
  </property>
  <property fmtid="{D5CDD505-2E9C-101B-9397-08002B2CF9AE}" pid="5" name="MSIP_Label_ad6e031b-6622-4596-babd-d18e26234ac6_SetDate">
    <vt:lpwstr>2024-02-14T11:24:34Z</vt:lpwstr>
  </property>
  <property fmtid="{D5CDD505-2E9C-101B-9397-08002B2CF9AE}" pid="6" name="MSIP_Label_ad6e031b-6622-4596-babd-d18e26234ac6_Method">
    <vt:lpwstr>Standard</vt:lpwstr>
  </property>
  <property fmtid="{D5CDD505-2E9C-101B-9397-08002B2CF9AE}" pid="7" name="MSIP_Label_ad6e031b-6622-4596-babd-d18e26234ac6_Name">
    <vt:lpwstr>All Employees (unrestricted)</vt:lpwstr>
  </property>
  <property fmtid="{D5CDD505-2E9C-101B-9397-08002B2CF9AE}" pid="8" name="MSIP_Label_ad6e031b-6622-4596-babd-d18e26234ac6_SiteId">
    <vt:lpwstr>1998f5f4-507b-4bba-aec4-87754c64edc9</vt:lpwstr>
  </property>
  <property fmtid="{D5CDD505-2E9C-101B-9397-08002B2CF9AE}" pid="9" name="MSIP_Label_ad6e031b-6622-4596-babd-d18e26234ac6_ActionId">
    <vt:lpwstr>b90d8e26-1e47-4118-ac17-d7193a90d37e</vt:lpwstr>
  </property>
  <property fmtid="{D5CDD505-2E9C-101B-9397-08002B2CF9AE}" pid="10" name="MSIP_Label_ad6e031b-6622-4596-babd-d18e26234ac6_ContentBits">
    <vt:lpwstr>0</vt:lpwstr>
  </property>
</Properties>
</file>