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Y Calls" sheetId="1" state="visible" r:id="rId1"/>
    <sheet xmlns:r="http://schemas.openxmlformats.org/officeDocument/2006/relationships" name="SPY Puts" sheetId="2" state="visible" r:id="rId2"/>
    <sheet xmlns:r="http://schemas.openxmlformats.org/officeDocument/2006/relationships" name="XLK Calls" sheetId="3" state="visible" r:id="rId3"/>
    <sheet xmlns:r="http://schemas.openxmlformats.org/officeDocument/2006/relationships" name="XLK Puts" sheetId="4" state="visible" r:id="rId4"/>
    <sheet xmlns:r="http://schemas.openxmlformats.org/officeDocument/2006/relationships" name="XLF Calls" sheetId="5" state="visible" r:id="rId5"/>
    <sheet xmlns:r="http://schemas.openxmlformats.org/officeDocument/2006/relationships" name="XLF Puts" sheetId="6" state="visible" r:id="rId6"/>
    <sheet xmlns:r="http://schemas.openxmlformats.org/officeDocument/2006/relationships" name="XLY Calls" sheetId="7" state="visible" r:id="rId7"/>
    <sheet xmlns:r="http://schemas.openxmlformats.org/officeDocument/2006/relationships" name="XLY Puts" sheetId="8" state="visible" r:id="rId8"/>
    <sheet xmlns:r="http://schemas.openxmlformats.org/officeDocument/2006/relationships" name="XLV Calls" sheetId="9" state="visible" r:id="rId9"/>
    <sheet xmlns:r="http://schemas.openxmlformats.org/officeDocument/2006/relationships" name="XLV Puts" sheetId="10" state="visible" r:id="rId10"/>
    <sheet xmlns:r="http://schemas.openxmlformats.org/officeDocument/2006/relationships" name="XLI Calls" sheetId="11" state="visible" r:id="rId11"/>
    <sheet xmlns:r="http://schemas.openxmlformats.org/officeDocument/2006/relationships" name="XLI Pu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SPY 1/17/15 C205</t>
        </is>
      </c>
      <c r="C1" s="1" t="inlineStr"/>
      <c r="D1" s="1" t="inlineStr">
        <is>
          <t>SPY 2/20/15 C202</t>
        </is>
      </c>
      <c r="E1" s="1" t="inlineStr"/>
      <c r="F1" s="1" t="inlineStr">
        <is>
          <t>SPY 3/20/15 C211</t>
        </is>
      </c>
      <c r="G1" s="1" t="inlineStr"/>
      <c r="H1" s="1" t="inlineStr">
        <is>
          <t>SPY 4/17/15 C210</t>
        </is>
      </c>
      <c r="I1" s="1" t="inlineStr"/>
      <c r="J1" s="1" t="inlineStr">
        <is>
          <t>SPY 5/15/15 C210</t>
        </is>
      </c>
      <c r="K1" s="1" t="inlineStr"/>
      <c r="L1" s="1" t="inlineStr">
        <is>
          <t>SPY 6/19/15 C213</t>
        </is>
      </c>
      <c r="M1" s="1" t="inlineStr"/>
      <c r="N1" s="1" t="inlineStr">
        <is>
          <t>SPY 7/17/15 C212</t>
        </is>
      </c>
      <c r="O1" s="1" t="inlineStr"/>
      <c r="P1" s="1" t="inlineStr">
        <is>
          <t>SPY 8/21/15 C213</t>
        </is>
      </c>
      <c r="Q1" s="1" t="inlineStr"/>
      <c r="R1" s="1" t="inlineStr">
        <is>
          <t>SPY 9/18/15 C190</t>
        </is>
      </c>
      <c r="S1" s="1" t="inlineStr"/>
      <c r="T1" s="1" t="inlineStr">
        <is>
          <t>SPY 10/16/15 C196</t>
        </is>
      </c>
      <c r="U1" s="1" t="inlineStr"/>
      <c r="V1" s="1" t="inlineStr">
        <is>
          <t>SPY 11/20/15 C203</t>
        </is>
      </c>
      <c r="W1" s="1" t="inlineStr"/>
      <c r="X1" s="1" t="inlineStr">
        <is>
          <t>SPY 12/18/15 C209</t>
        </is>
      </c>
      <c r="Y1" s="1" t="inlineStr"/>
      <c r="Z1" s="1" t="inlineStr">
        <is>
          <t>SPY 1/15/16 C202</t>
        </is>
      </c>
      <c r="AA1" s="1" t="inlineStr"/>
      <c r="AB1" s="1" t="inlineStr">
        <is>
          <t>SPY 2/19/16 C188</t>
        </is>
      </c>
      <c r="AC1" s="1" t="inlineStr"/>
      <c r="AD1" s="1" t="inlineStr">
        <is>
          <t>SPY 3/18/16 C195</t>
        </is>
      </c>
      <c r="AE1" s="1" t="inlineStr"/>
      <c r="AF1" s="1" t="inlineStr">
        <is>
          <t>SPY 4/15/16 C205</t>
        </is>
      </c>
      <c r="AG1" s="1" t="inlineStr"/>
      <c r="AH1" s="1" t="inlineStr">
        <is>
          <t>SPY 5/20/16 C209</t>
        </is>
      </c>
      <c r="AI1" s="1" t="inlineStr"/>
      <c r="AJ1" s="1" t="inlineStr">
        <is>
          <t>SPY 6/17/16 C205</t>
        </is>
      </c>
      <c r="AK1" s="1" t="inlineStr"/>
      <c r="AL1" s="1" t="inlineStr">
        <is>
          <t>SPY 7/15/16 C208</t>
        </is>
      </c>
      <c r="AM1" s="1" t="inlineStr"/>
      <c r="AN1" s="1" t="inlineStr">
        <is>
          <t>SPY 8/19/16 C216</t>
        </is>
      </c>
      <c r="AO1" s="1" t="inlineStr"/>
      <c r="AP1" s="1" t="inlineStr">
        <is>
          <t>SPY 9/16/16 C219</t>
        </is>
      </c>
      <c r="AQ1" s="1" t="inlineStr"/>
      <c r="AR1" s="1" t="inlineStr">
        <is>
          <t>SPY 10/21/16 C213</t>
        </is>
      </c>
      <c r="AS1" s="1" t="inlineStr"/>
      <c r="AT1" s="1" t="inlineStr">
        <is>
          <t>SPY 11/18/16 C215</t>
        </is>
      </c>
      <c r="AU1" s="1" t="inlineStr"/>
      <c r="AV1" s="1" t="inlineStr">
        <is>
          <t>SPY 12/16/16 C220</t>
        </is>
      </c>
      <c r="AW1" s="1" t="inlineStr"/>
      <c r="AX1" s="1" t="inlineStr">
        <is>
          <t>SPY 1/20/17 C226</t>
        </is>
      </c>
      <c r="AY1" s="1" t="inlineStr"/>
      <c r="AZ1" s="1" t="inlineStr">
        <is>
          <t>SPY 2/17/17 C226</t>
        </is>
      </c>
      <c r="BA1" s="1" t="inlineStr"/>
      <c r="BB1" s="1" t="inlineStr">
        <is>
          <t>SPY 3/17/17 C236</t>
        </is>
      </c>
      <c r="BC1" s="1" t="inlineStr"/>
      <c r="BD1" s="1" t="inlineStr">
        <is>
          <t>SPY 4/21/17 C237</t>
        </is>
      </c>
      <c r="BE1" s="1" t="inlineStr"/>
      <c r="BF1" s="1" t="inlineStr">
        <is>
          <t>SPY 5/19/17 C237</t>
        </is>
      </c>
      <c r="BG1" s="1" t="inlineStr"/>
      <c r="BH1" s="1" t="inlineStr">
        <is>
          <t>SPY 6/16/17 C240</t>
        </is>
      </c>
      <c r="BI1" s="1" t="inlineStr"/>
      <c r="BJ1" s="1" t="inlineStr">
        <is>
          <t>SPY 7/21/17 C245</t>
        </is>
      </c>
      <c r="BK1" s="1" t="inlineStr"/>
      <c r="BL1" s="1" t="inlineStr">
        <is>
          <t>SPY 8/18/17 C247</t>
        </is>
      </c>
      <c r="BM1" s="1" t="inlineStr"/>
      <c r="BN1" s="1" t="inlineStr">
        <is>
          <t>SPY 9/15/17 C243</t>
        </is>
      </c>
      <c r="BO1" s="1" t="inlineStr"/>
      <c r="BP1" s="1" t="inlineStr">
        <is>
          <t>SPY 10/20/17 C250</t>
        </is>
      </c>
      <c r="BQ1" s="1" t="inlineStr"/>
      <c r="BR1" s="1" t="inlineStr">
        <is>
          <t>SPY 11/17/17 C256</t>
        </is>
      </c>
      <c r="BS1" s="1" t="inlineStr"/>
      <c r="BT1" s="1" t="inlineStr">
        <is>
          <t>SPY 12/15/17 C258</t>
        </is>
      </c>
      <c r="BU1" s="1" t="inlineStr"/>
      <c r="BV1" s="1" t="inlineStr">
        <is>
          <t>SPY 1/19/18 C268</t>
        </is>
      </c>
      <c r="BW1" s="1" t="inlineStr"/>
      <c r="BX1" s="1" t="inlineStr">
        <is>
          <t>SPY 2/16/18 C283</t>
        </is>
      </c>
      <c r="BY1" s="1" t="inlineStr"/>
      <c r="BZ1" s="1" t="inlineStr">
        <is>
          <t>SPY 3/16/18 C271</t>
        </is>
      </c>
      <c r="CA1" s="1" t="inlineStr"/>
      <c r="CB1" s="1" t="inlineStr">
        <is>
          <t>SPY 4/20/18 C270</t>
        </is>
      </c>
      <c r="CC1" s="1" t="inlineStr"/>
      <c r="CD1" s="1" t="inlineStr">
        <is>
          <t>SPY 5/18/18 C267</t>
        </is>
      </c>
      <c r="CE1" s="1" t="inlineStr"/>
      <c r="CF1" s="1" t="inlineStr">
        <is>
          <t>SPY 6/15/18 C273</t>
        </is>
      </c>
      <c r="CG1" s="1" t="inlineStr"/>
      <c r="CH1" s="1" t="inlineStr">
        <is>
          <t>SPY 7/20/18 C277</t>
        </is>
      </c>
      <c r="CI1" s="1" t="inlineStr"/>
      <c r="CJ1" s="1" t="inlineStr">
        <is>
          <t>SPY 8/17/18 C280</t>
        </is>
      </c>
      <c r="CK1" s="1" t="inlineStr"/>
      <c r="CL1" s="1" t="inlineStr">
        <is>
          <t>SPY 9/21/18 C286</t>
        </is>
      </c>
      <c r="CM1" s="1" t="inlineStr"/>
      <c r="CN1" s="1" t="inlineStr">
        <is>
          <t>SPY 10/19/18 C291</t>
        </is>
      </c>
      <c r="CO1" s="1" t="inlineStr"/>
      <c r="CP1" s="1" t="inlineStr">
        <is>
          <t>SPY 11/16/18 C275</t>
        </is>
      </c>
      <c r="CQ1" s="1" t="inlineStr"/>
      <c r="CR1" s="1" t="inlineStr">
        <is>
          <t>SPY 12/21/18 C269</t>
        </is>
      </c>
      <c r="CS1" s="1" t="inlineStr"/>
      <c r="CT1" s="1" t="inlineStr">
        <is>
          <t>SPY 1/18/19 C234</t>
        </is>
      </c>
      <c r="CU1" s="1" t="inlineStr"/>
      <c r="CV1" s="1" t="inlineStr">
        <is>
          <t>SPY 2/15/19 C263</t>
        </is>
      </c>
      <c r="CW1" s="1" t="inlineStr"/>
      <c r="CX1" s="1" t="inlineStr">
        <is>
          <t>SPY 3/15/19 C278</t>
        </is>
      </c>
      <c r="CY1" s="1" t="inlineStr"/>
      <c r="CZ1" s="1" t="inlineStr">
        <is>
          <t>SPY 4/18/19 C282</t>
        </is>
      </c>
      <c r="DA1" s="1" t="inlineStr"/>
      <c r="DB1" s="1" t="inlineStr">
        <is>
          <t>SPY 5/17/19 C290</t>
        </is>
      </c>
      <c r="DC1" s="1" t="inlineStr"/>
      <c r="DD1" s="1" t="inlineStr">
        <is>
          <t>SPY 6/21/19 C284</t>
        </is>
      </c>
      <c r="DE1" s="1" t="inlineStr"/>
      <c r="DF1" s="1" t="inlineStr">
        <is>
          <t>SPY 7/19/19 C294</t>
        </is>
      </c>
      <c r="DG1" s="1" t="inlineStr"/>
      <c r="DH1" s="1" t="inlineStr">
        <is>
          <t>SPY 8/16/19 C298</t>
        </is>
      </c>
      <c r="DI1" s="1" t="inlineStr"/>
      <c r="DJ1" s="1" t="inlineStr">
        <is>
          <t>SPY 9/20/19 C292</t>
        </is>
      </c>
      <c r="DK1" s="1" t="inlineStr"/>
      <c r="DL1" s="1" t="inlineStr">
        <is>
          <t>SPY 10/18/19 C298</t>
        </is>
      </c>
      <c r="DM1" s="1" t="inlineStr"/>
      <c r="DN1" s="1" t="inlineStr">
        <is>
          <t>SPY 11/15/19 C300</t>
        </is>
      </c>
      <c r="DO1" s="1" t="inlineStr"/>
      <c r="DP1" s="1" t="inlineStr">
        <is>
          <t>SPY 12/20/19 C312</t>
        </is>
      </c>
      <c r="DQ1" s="1" t="inlineStr"/>
      <c r="DR1" s="1" t="inlineStr">
        <is>
          <t>SPY 1/17/20 C321</t>
        </is>
      </c>
      <c r="DS1" s="1" t="inlineStr"/>
      <c r="DT1" s="1" t="inlineStr">
        <is>
          <t>SPY 2/21/20 C331</t>
        </is>
      </c>
      <c r="DU1" s="1" t="inlineStr"/>
      <c r="DV1" s="1" t="inlineStr">
        <is>
          <t>SPY 3/20/20 C322</t>
        </is>
      </c>
      <c r="DW1" s="1" t="inlineStr"/>
      <c r="DX1" s="1" t="inlineStr">
        <is>
          <t>SPY 4/17/20 C223</t>
        </is>
      </c>
      <c r="DY1" s="1" t="inlineStr"/>
      <c r="DZ1" s="1" t="inlineStr">
        <is>
          <t>SPY 5/15/20 C282</t>
        </is>
      </c>
      <c r="EA1" s="1" t="inlineStr"/>
      <c r="EB1" s="1" t="inlineStr">
        <is>
          <t>SPY 6/19/20 C295</t>
        </is>
      </c>
      <c r="EC1" s="1" t="inlineStr"/>
      <c r="ED1" s="1" t="inlineStr">
        <is>
          <t>SPY 7/17/20 C311</t>
        </is>
      </c>
      <c r="EE1" s="1" t="inlineStr"/>
      <c r="EF1" s="1" t="inlineStr">
        <is>
          <t>SPY 8/21/20 C324</t>
        </is>
      </c>
      <c r="EG1" s="1" t="inlineStr"/>
      <c r="EH1" s="1" t="inlineStr">
        <is>
          <t>SPY 9/18/20 C343</t>
        </is>
      </c>
      <c r="EI1" s="1" t="inlineStr"/>
      <c r="EJ1" s="1" t="inlineStr">
        <is>
          <t>SPY 10/16/20 C327</t>
        </is>
      </c>
      <c r="EK1" s="1" t="inlineStr"/>
      <c r="EL1" s="1" t="inlineStr">
        <is>
          <t>SPY 11/20/20 C342</t>
        </is>
      </c>
      <c r="EM1" s="1" t="inlineStr"/>
    </row>
    <row r="2">
      <c r="A2" s="1" t="n">
        <v>0</v>
      </c>
      <c r="B2">
        <f>BDH("SPY 1/17/15 C205 Equity","PX_LAST",20150102,20150117)</f>
        <v/>
      </c>
      <c r="C2" t="inlineStr"/>
      <c r="D2">
        <f>BDH("SPY 2/20/15 C202 Equity","PX_LAST",20150120,20150220)</f>
        <v/>
      </c>
      <c r="E2" t="inlineStr"/>
      <c r="F2">
        <f>BDH("SPY 3/20/15 C211 Equity","PX_LAST",20150223,20150320)</f>
        <v/>
      </c>
      <c r="G2" t="inlineStr"/>
      <c r="H2">
        <f>BDH("SPY 4/17/15 C210 Equity","PX_LAST",20150323,20150417)</f>
        <v/>
      </c>
      <c r="I2" t="inlineStr"/>
      <c r="J2">
        <f>BDH("SPY 5/15/15 C210 Equity","PX_LAST",20150420,20150515)</f>
        <v/>
      </c>
      <c r="K2" t="inlineStr"/>
      <c r="L2">
        <f>BDH("SPY 6/19/15 C213 Equity","PX_LAST",20150518,20150619)</f>
        <v/>
      </c>
      <c r="M2" t="inlineStr"/>
      <c r="N2">
        <f>BDH("SPY 7/17/15 C212 Equity","PX_LAST",20150622,20150717)</f>
        <v/>
      </c>
      <c r="O2" t="inlineStr"/>
      <c r="P2">
        <f>BDH("SPY 8/21/15 C213 Equity","PX_LAST",20150720,20150821)</f>
        <v/>
      </c>
      <c r="Q2" t="inlineStr"/>
      <c r="R2">
        <f>BDH("SPY 9/18/15 C190 Equity","PX_LAST",20150824,20150918)</f>
        <v/>
      </c>
      <c r="S2" t="inlineStr"/>
      <c r="T2">
        <f>BDH("SPY 10/16/15 C196 Equity","PX_LAST",20150921,20151016)</f>
        <v/>
      </c>
      <c r="U2" t="inlineStr"/>
      <c r="V2">
        <f>BDH("SPY 11/20/15 C203 Equity","PX_LAST",20151019,20151120)</f>
        <v/>
      </c>
      <c r="W2" t="inlineStr"/>
      <c r="X2">
        <f>BDH("SPY 12/18/15 C209 Equity","PX_LAST",20151123,20151218)</f>
        <v/>
      </c>
      <c r="Y2" t="inlineStr"/>
      <c r="Z2">
        <f>BDH("SPY 1/15/16 C202 Equity","PX_LAST",20151221,20160115)</f>
        <v/>
      </c>
      <c r="AA2" t="inlineStr"/>
      <c r="AB2">
        <f>BDH("SPY 2/19/16 C188 Equity","PX_LAST",20160119,20160219)</f>
        <v/>
      </c>
      <c r="AC2" t="inlineStr"/>
      <c r="AD2">
        <f>BDH("SPY 3/18/16 C195 Equity","PX_LAST",20160222,20160318)</f>
        <v/>
      </c>
      <c r="AE2" t="inlineStr"/>
      <c r="AF2">
        <f>BDH("SPY 4/15/16 C205 Equity","PX_LAST",20160321,20160415)</f>
        <v/>
      </c>
      <c r="AG2" t="inlineStr"/>
      <c r="AH2">
        <f>BDH("SPY 5/20/16 C209 Equity","PX_LAST",20160418,20160520)</f>
        <v/>
      </c>
      <c r="AI2" t="inlineStr"/>
      <c r="AJ2">
        <f>BDH("SPY 6/17/16 C205 Equity","PX_LAST",20160523,20160617)</f>
        <v/>
      </c>
      <c r="AK2" t="inlineStr"/>
      <c r="AL2">
        <f>BDH("SPY 7/15/16 C208 Equity","PX_LAST",20160620,20160715)</f>
        <v/>
      </c>
      <c r="AM2" t="inlineStr"/>
      <c r="AN2">
        <f>BDH("SPY 8/19/16 C216 Equity","PX_LAST",20160718,20160819)</f>
        <v/>
      </c>
      <c r="AO2" t="inlineStr"/>
      <c r="AP2">
        <f>BDH("SPY 9/16/16 C219 Equity","PX_LAST",20160822,20160916)</f>
        <v/>
      </c>
      <c r="AQ2" t="inlineStr"/>
      <c r="AR2">
        <f>BDH("SPY 10/21/16 C213 Equity","PX_LAST",20160919,20161021)</f>
        <v/>
      </c>
      <c r="AS2" t="inlineStr"/>
      <c r="AT2">
        <f>BDH("SPY 11/18/16 C215 Equity","PX_LAST",20161024,20161118)</f>
        <v/>
      </c>
      <c r="AU2" t="inlineStr"/>
      <c r="AV2">
        <f>BDH("SPY 12/16/16 C220 Equity","PX_LAST",20161121,20161216)</f>
        <v/>
      </c>
      <c r="AW2" t="inlineStr"/>
      <c r="AX2">
        <f>BDH("SPY 1/20/17 C226 Equity","PX_LAST",20161219,20170120)</f>
        <v/>
      </c>
      <c r="AY2" t="inlineStr"/>
      <c r="AZ2">
        <f>BDH("SPY 2/17/17 C226 Equity","PX_LAST",20170123,20170217)</f>
        <v/>
      </c>
      <c r="BA2" t="inlineStr"/>
      <c r="BB2">
        <f>BDH("SPY 3/17/17 C236 Equity","PX_LAST",20170221,20170317)</f>
        <v/>
      </c>
      <c r="BC2" t="inlineStr"/>
      <c r="BD2">
        <f>BDH("SPY 4/21/17 C237 Equity","PX_LAST",20170320,20170421)</f>
        <v/>
      </c>
      <c r="BE2" t="inlineStr"/>
      <c r="BF2">
        <f>BDH("SPY 5/19/17 C237 Equity","PX_LAST",20170424,20170519)</f>
        <v/>
      </c>
      <c r="BG2" t="inlineStr"/>
      <c r="BH2">
        <f>BDH("SPY 6/16/17 C240 Equity","PX_LAST",20170522,20170616)</f>
        <v/>
      </c>
      <c r="BI2" t="inlineStr"/>
      <c r="BJ2">
        <f>BDH("SPY 7/21/17 C245 Equity","PX_LAST",20170619,20170721)</f>
        <v/>
      </c>
      <c r="BK2" t="inlineStr"/>
      <c r="BL2">
        <f>BDH("SPY 8/18/17 C247 Equity","PX_LAST",20170724,20170818)</f>
        <v/>
      </c>
      <c r="BM2" t="inlineStr"/>
      <c r="BN2">
        <f>BDH("SPY 9/15/17 C243 Equity","PX_LAST",20170821,20170915)</f>
        <v/>
      </c>
      <c r="BO2" t="inlineStr"/>
      <c r="BP2">
        <f>BDH("SPY 10/20/17 C250 Equity","PX_LAST",20170918,20171020)</f>
        <v/>
      </c>
      <c r="BQ2" t="inlineStr"/>
      <c r="BR2">
        <f>BDH("SPY 11/17/17 C256 Equity","PX_LAST",20171023,20171117)</f>
        <v/>
      </c>
      <c r="BS2" t="inlineStr"/>
      <c r="BT2">
        <f>BDH("SPY 12/15/17 C258 Equity","PX_LAST",20171120,20171215)</f>
        <v/>
      </c>
      <c r="BU2" t="inlineStr"/>
      <c r="BV2">
        <f>BDH("SPY 1/19/18 C268 Equity","PX_LAST",20171218,20180119)</f>
        <v/>
      </c>
      <c r="BW2" t="inlineStr"/>
      <c r="BX2">
        <f>BDH("SPY 2/16/18 C283 Equity","PX_LAST",20180122,20180216)</f>
        <v/>
      </c>
      <c r="BY2" t="inlineStr"/>
      <c r="BZ2">
        <f>BDH("SPY 3/16/18 C271 Equity","PX_LAST",20180220,20180316)</f>
        <v/>
      </c>
      <c r="CA2" t="inlineStr"/>
      <c r="CB2">
        <f>BDH("SPY 4/20/18 C270 Equity","PX_LAST",20180319,20180420)</f>
        <v/>
      </c>
      <c r="CC2" t="inlineStr"/>
      <c r="CD2">
        <f>BDH("SPY 5/18/18 C267 Equity","PX_LAST",20180423,20180518)</f>
        <v/>
      </c>
      <c r="CE2" t="inlineStr"/>
      <c r="CF2">
        <f>BDH("SPY 6/15/18 C273 Equity","PX_LAST",20180521,20180615)</f>
        <v/>
      </c>
      <c r="CG2" t="inlineStr"/>
      <c r="CH2">
        <f>BDH("SPY 7/20/18 C277 Equity","PX_LAST",20180618,20180720)</f>
        <v/>
      </c>
      <c r="CI2" t="inlineStr"/>
      <c r="CJ2">
        <f>BDH("SPY 8/17/18 C280 Equity","PX_LAST",20180723,20180817)</f>
        <v/>
      </c>
      <c r="CK2" t="inlineStr"/>
      <c r="CL2">
        <f>BDH("SPY 9/21/18 C286 Equity","PX_LAST",20180820,20180921)</f>
        <v/>
      </c>
      <c r="CM2" t="inlineStr"/>
      <c r="CN2">
        <f>BDH("SPY 10/19/18 C291 Equity","PX_LAST",20180924,20181019)</f>
        <v/>
      </c>
      <c r="CO2" t="inlineStr"/>
      <c r="CP2">
        <f>BDH("SPY 11/16/18 C275 Equity","PX_LAST",20181022,20181116)</f>
        <v/>
      </c>
      <c r="CQ2" t="inlineStr"/>
      <c r="CR2">
        <f>BDH("SPY 12/21/18 C269 Equity","PX_LAST",20181119,20181221)</f>
        <v/>
      </c>
      <c r="CS2" t="inlineStr"/>
      <c r="CT2">
        <f>BDH("SPY 1/18/19 C234 Equity","PX_LAST",20181224,20190118)</f>
        <v/>
      </c>
      <c r="CU2" t="inlineStr"/>
      <c r="CV2">
        <f>BDH("SPY 2/15/19 C263 Equity","PX_LAST",20190122,20190215)</f>
        <v/>
      </c>
      <c r="CW2" t="inlineStr"/>
      <c r="CX2">
        <f>BDH("SPY 3/15/19 C278 Equity","PX_LAST",20190219,20190315)</f>
        <v/>
      </c>
      <c r="CY2" t="inlineStr"/>
      <c r="CZ2">
        <f>BDH("SPY 4/18/19 C282 Equity","PX_LAST",20190318,20190418)</f>
        <v/>
      </c>
      <c r="DA2" t="inlineStr"/>
      <c r="DB2">
        <f>BDH("SPY 5/17/19 C290 Equity","PX_LAST",20190422,20190517)</f>
        <v/>
      </c>
      <c r="DC2" t="inlineStr"/>
      <c r="DD2">
        <f>BDH("SPY 6/21/19 C284 Equity","PX_LAST",20190520,20190621)</f>
        <v/>
      </c>
      <c r="DE2" t="inlineStr"/>
      <c r="DF2">
        <f>BDH("SPY 7/19/19 C294 Equity","PX_LAST",20190624,20190719)</f>
        <v/>
      </c>
      <c r="DG2" t="inlineStr"/>
      <c r="DH2">
        <f>BDH("SPY 8/16/19 C298 Equity","PX_LAST",20190722,20190816)</f>
        <v/>
      </c>
      <c r="DI2" t="inlineStr"/>
      <c r="DJ2">
        <f>BDH("SPY 9/20/19 C292 Equity","PX_LAST",20190819,20190920)</f>
        <v/>
      </c>
      <c r="DK2" t="inlineStr"/>
      <c r="DL2">
        <f>BDH("SPY 10/18/19 C298 Equity","PX_LAST",20190923,20191018)</f>
        <v/>
      </c>
      <c r="DM2" t="inlineStr"/>
      <c r="DN2">
        <f>BDH("SPY 11/15/19 C300 Equity","PX_LAST",20191021,20191115)</f>
        <v/>
      </c>
      <c r="DO2" t="inlineStr"/>
      <c r="DP2">
        <f>BDH("SPY 12/20/19 C312 Equity","PX_LAST",20191118,20191220)</f>
        <v/>
      </c>
      <c r="DQ2" t="inlineStr"/>
      <c r="DR2">
        <f>BDH("SPY 1/17/20 C321 Equity","PX_LAST",20191223,20200117)</f>
        <v/>
      </c>
      <c r="DS2" t="inlineStr"/>
      <c r="DT2">
        <f>BDH("SPY 2/21/20 C331 Equity","PX_LAST",20200121,20200221)</f>
        <v/>
      </c>
      <c r="DU2" t="inlineStr"/>
      <c r="DV2">
        <f>BDH("SPY 3/20/20 C322 Equity","PX_LAST",20200224,20200320)</f>
        <v/>
      </c>
      <c r="DW2" t="inlineStr"/>
      <c r="DX2">
        <f>BDH("SPY 4/17/20 C223 Equity","PX_LAST",20200323,20200417)</f>
        <v/>
      </c>
      <c r="DY2" t="inlineStr"/>
      <c r="DZ2">
        <f>BDH("SPY 5/15/20 C282 Equity","PX_LAST",20200420,20200515)</f>
        <v/>
      </c>
      <c r="EA2" t="inlineStr"/>
      <c r="EB2">
        <f>BDH("SPY 6/19/20 C295 Equity","PX_LAST",20200518,20200619)</f>
        <v/>
      </c>
      <c r="EC2" t="inlineStr"/>
      <c r="ED2">
        <f>BDH("SPY 7/17/20 C311 Equity","PX_LAST",20200622,20200717)</f>
        <v/>
      </c>
      <c r="EE2" t="inlineStr"/>
      <c r="EF2">
        <f>BDH("SPY 8/21/20 C324 Equity","PX_LAST",20200720,20200821)</f>
        <v/>
      </c>
      <c r="EG2" t="inlineStr"/>
      <c r="EH2">
        <f>BDH("SPY 9/18/20 C343 Equity","PX_LAST",20200824,20200918)</f>
        <v/>
      </c>
      <c r="EI2" t="inlineStr"/>
      <c r="EJ2">
        <f>BDH("SPY 10/16/20 C327 Equity","PX_LAST",20200921,20201016)</f>
        <v/>
      </c>
      <c r="EK2" t="inlineStr"/>
      <c r="EL2">
        <f>BDH("SPY 11/20/20 C342 Equity","PX_LAST",20201019,20201120)</f>
        <v/>
      </c>
      <c r="EM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XLV 1/17/15 P69</t>
        </is>
      </c>
      <c r="C1" s="1" t="inlineStr"/>
      <c r="D1" s="1" t="inlineStr">
        <is>
          <t>XLV 2/20/15 P70</t>
        </is>
      </c>
      <c r="E1" s="1" t="inlineStr"/>
      <c r="F1" s="1" t="inlineStr">
        <is>
          <t>XLV 3/20/15 P73</t>
        </is>
      </c>
      <c r="G1" s="1" t="inlineStr"/>
      <c r="H1" s="1" t="inlineStr">
        <is>
          <t>XLV 4/17/15 P75</t>
        </is>
      </c>
      <c r="I1" s="1" t="inlineStr"/>
      <c r="J1" s="1" t="inlineStr">
        <is>
          <t>XLV 5/15/15 P74</t>
        </is>
      </c>
      <c r="K1" s="1" t="inlineStr"/>
      <c r="L1" s="1" t="inlineStr">
        <is>
          <t>XLV 6/19/15 P75</t>
        </is>
      </c>
      <c r="M1" s="1" t="inlineStr"/>
      <c r="N1" s="1" t="inlineStr">
        <is>
          <t>XLV 7/17/15 P76</t>
        </is>
      </c>
      <c r="O1" s="1" t="inlineStr"/>
      <c r="P1" s="1" t="inlineStr">
        <is>
          <t>XLV 8/21/15 P77</t>
        </is>
      </c>
      <c r="Q1" s="1" t="inlineStr"/>
      <c r="R1" s="1" t="inlineStr">
        <is>
          <t>XLV 9/18/15 P69</t>
        </is>
      </c>
      <c r="S1" s="1" t="inlineStr"/>
      <c r="T1" s="1" t="inlineStr">
        <is>
          <t>XLV 10/16/15 P70</t>
        </is>
      </c>
      <c r="U1" s="1" t="inlineStr"/>
      <c r="V1" s="1" t="inlineStr">
        <is>
          <t>XLV 11/20/15 P70</t>
        </is>
      </c>
      <c r="W1" s="1" t="inlineStr"/>
      <c r="X1" s="1" t="inlineStr">
        <is>
          <t>XLV 12/18/15 P71</t>
        </is>
      </c>
      <c r="Y1" s="1" t="inlineStr"/>
      <c r="Z1" s="1" t="inlineStr">
        <is>
          <t>XLV 1/15/16 P71</t>
        </is>
      </c>
      <c r="AA1" s="1" t="inlineStr"/>
      <c r="AB1" s="1" t="inlineStr">
        <is>
          <t>XLV 2/19/16 P67</t>
        </is>
      </c>
      <c r="AC1" s="1" t="inlineStr"/>
      <c r="AD1" s="1" t="inlineStr">
        <is>
          <t>XLV 3/18/16 P67</t>
        </is>
      </c>
      <c r="AE1" s="1" t="inlineStr"/>
      <c r="AF1" s="1" t="inlineStr">
        <is>
          <t>XLV 4/15/16 P67</t>
        </is>
      </c>
      <c r="AG1" s="1" t="inlineStr"/>
      <c r="AH1" s="1" t="inlineStr">
        <is>
          <t>XLV 5/20/16 P71</t>
        </is>
      </c>
      <c r="AI1" s="1" t="inlineStr"/>
      <c r="AJ1" s="1" t="inlineStr">
        <is>
          <t>XLV 6/17/16 P69</t>
        </is>
      </c>
      <c r="AK1" s="1" t="inlineStr"/>
      <c r="AL1" s="1" t="inlineStr">
        <is>
          <t>XLV 7/15/16 P70</t>
        </is>
      </c>
      <c r="AM1" s="1" t="inlineStr"/>
      <c r="AN1" s="1" t="inlineStr">
        <is>
          <t>XLV 8/19/16 P74</t>
        </is>
      </c>
      <c r="AO1" s="1" t="inlineStr"/>
      <c r="AP1" s="1" t="inlineStr">
        <is>
          <t>XLV 9/16/16 P75</t>
        </is>
      </c>
      <c r="AQ1" s="1" t="inlineStr"/>
      <c r="AR1" s="1" t="inlineStr">
        <is>
          <t>XLV 10/21/16 P72</t>
        </is>
      </c>
      <c r="AS1" s="1" t="inlineStr"/>
      <c r="AT1" s="1" t="inlineStr">
        <is>
          <t>XLV 11/18/16 P70</t>
        </is>
      </c>
      <c r="AU1" s="1" t="inlineStr"/>
      <c r="AV1" s="1" t="inlineStr">
        <is>
          <t>XLV 12/16/16 P70</t>
        </is>
      </c>
      <c r="AW1" s="1" t="inlineStr"/>
      <c r="AX1" s="1" t="inlineStr">
        <is>
          <t>XLV 1/20/17 P69</t>
        </is>
      </c>
      <c r="AY1" s="1" t="inlineStr"/>
      <c r="AZ1" s="1" t="inlineStr">
        <is>
          <t>XLV 2/17/17 P70</t>
        </is>
      </c>
      <c r="BA1" s="1" t="inlineStr"/>
      <c r="BB1" s="1" t="inlineStr">
        <is>
          <t>XLV 3/17/17 P74</t>
        </is>
      </c>
      <c r="BC1" s="1" t="inlineStr"/>
      <c r="BD1" s="1" t="inlineStr">
        <is>
          <t>XLV 4/21/17 P75</t>
        </is>
      </c>
      <c r="BE1" s="1" t="inlineStr"/>
      <c r="BF1" s="1" t="inlineStr">
        <is>
          <t>XLV 5/19/17 P74</t>
        </is>
      </c>
      <c r="BG1" s="1" t="inlineStr"/>
      <c r="BH1" s="1" t="inlineStr">
        <is>
          <t>XLV 6/16/17 P75</t>
        </is>
      </c>
      <c r="BI1" s="1" t="inlineStr"/>
      <c r="BJ1" s="1" t="inlineStr">
        <is>
          <t>XLV 7/21/17 P78</t>
        </is>
      </c>
      <c r="BK1" s="1" t="inlineStr"/>
      <c r="BL1" s="1" t="inlineStr">
        <is>
          <t>XLV 8/18/17 P81</t>
        </is>
      </c>
      <c r="BM1" s="1" t="inlineStr"/>
      <c r="BN1" s="1" t="inlineStr">
        <is>
          <t>XLV 9/15/17 P78</t>
        </is>
      </c>
      <c r="BO1" s="1" t="inlineStr"/>
      <c r="BP1" s="1" t="inlineStr">
        <is>
          <t>XLV 10/20/17 P83</t>
        </is>
      </c>
      <c r="BQ1" s="1" t="inlineStr"/>
      <c r="BR1" s="1" t="inlineStr">
        <is>
          <t>XLV 11/17/17 P84</t>
        </is>
      </c>
      <c r="BS1" s="1" t="inlineStr"/>
      <c r="BT1" s="1" t="inlineStr">
        <is>
          <t>XLV 12/15/17 P81</t>
        </is>
      </c>
      <c r="BU1" s="1" t="inlineStr"/>
      <c r="BV1" s="1" t="inlineStr">
        <is>
          <t>XLV 1/19/18 P84</t>
        </is>
      </c>
      <c r="BW1" s="1" t="inlineStr"/>
      <c r="BX1" s="1" t="inlineStr">
        <is>
          <t>XLV 2/16/18 P89</t>
        </is>
      </c>
      <c r="BY1" s="1" t="inlineStr"/>
      <c r="BZ1" s="1" t="inlineStr">
        <is>
          <t>XLV 3/16/18 P84</t>
        </is>
      </c>
      <c r="CA1" s="1" t="inlineStr"/>
      <c r="CB1" s="1" t="inlineStr">
        <is>
          <t>XLV 4/20/18 P84</t>
        </is>
      </c>
      <c r="CC1" s="1" t="inlineStr"/>
      <c r="CD1" s="1" t="inlineStr">
        <is>
          <t>XLV 5/18/18 P82</t>
        </is>
      </c>
      <c r="CE1" s="1" t="inlineStr"/>
      <c r="CF1" s="1" t="inlineStr">
        <is>
          <t>XLV 6/15/18 P83</t>
        </is>
      </c>
      <c r="CG1" s="1" t="inlineStr"/>
      <c r="CH1" s="1" t="inlineStr">
        <is>
          <t>XLV 7/20/18 P85</t>
        </is>
      </c>
      <c r="CI1" s="1" t="inlineStr"/>
      <c r="CJ1" s="1" t="inlineStr">
        <is>
          <t>XLV 8/17/18 P87</t>
        </is>
      </c>
      <c r="CK1" s="1" t="inlineStr"/>
      <c r="CL1" s="1" t="inlineStr">
        <is>
          <t>XLV 9/21/18 P91</t>
        </is>
      </c>
      <c r="CM1" s="1" t="inlineStr"/>
      <c r="CN1" s="1" t="inlineStr">
        <is>
          <t>XLV 10/19/18 P94</t>
        </is>
      </c>
      <c r="CO1" s="1" t="inlineStr"/>
      <c r="CP1" s="1" t="inlineStr">
        <is>
          <t>XLV 11/16/18 P91</t>
        </is>
      </c>
      <c r="CQ1" s="1" t="inlineStr"/>
      <c r="CR1" s="1" t="inlineStr">
        <is>
          <t>XLV 12/21/18 P91</t>
        </is>
      </c>
      <c r="CS1" s="1" t="inlineStr"/>
      <c r="CT1" s="1" t="inlineStr">
        <is>
          <t>XLV 1/18/19 P81</t>
        </is>
      </c>
      <c r="CU1" s="1" t="inlineStr"/>
      <c r="CV1" s="1" t="inlineStr">
        <is>
          <t>XLV 2/15/19 P89</t>
        </is>
      </c>
      <c r="CW1" s="1" t="inlineStr"/>
      <c r="CX1" s="1" t="inlineStr">
        <is>
          <t>XLV 3/15/19 P93</t>
        </is>
      </c>
      <c r="CY1" s="1" t="inlineStr"/>
      <c r="CZ1" s="1" t="inlineStr">
        <is>
          <t>XLV 4/18/19 P92</t>
        </is>
      </c>
      <c r="DA1" s="1" t="inlineStr"/>
      <c r="DB1" s="1" t="inlineStr">
        <is>
          <t>XLV 5/17/19 P86</t>
        </is>
      </c>
      <c r="DC1" s="1" t="inlineStr"/>
      <c r="DD1" s="1" t="inlineStr">
        <is>
          <t>XLV 6/21/19 P88</t>
        </is>
      </c>
      <c r="DE1" s="1" t="inlineStr"/>
      <c r="DF1" s="1" t="inlineStr">
        <is>
          <t>XLV 7/19/19 P93</t>
        </is>
      </c>
      <c r="DG1" s="1" t="inlineStr"/>
      <c r="DH1" s="1" t="inlineStr">
        <is>
          <t>XLV 8/16/19 P92</t>
        </is>
      </c>
      <c r="DI1" s="1" t="inlineStr"/>
      <c r="DJ1" s="1" t="inlineStr">
        <is>
          <t>XLV 9/20/19 P91</t>
        </is>
      </c>
      <c r="DK1" s="1" t="inlineStr"/>
      <c r="DL1" s="1" t="inlineStr">
        <is>
          <t>XLV 10/18/19 P92</t>
        </is>
      </c>
      <c r="DM1" s="1" t="inlineStr"/>
      <c r="DN1" s="1" t="inlineStr">
        <is>
          <t>XLV 11/15/19 P92</t>
        </is>
      </c>
      <c r="DO1" s="1" t="inlineStr"/>
      <c r="DP1" s="1" t="inlineStr">
        <is>
          <t>XLV 12/20/19 P97</t>
        </is>
      </c>
      <c r="DQ1" s="1" t="inlineStr"/>
      <c r="DR1" s="1" t="inlineStr">
        <is>
          <t>XLV 1/17/20 P103</t>
        </is>
      </c>
      <c r="DS1" s="1" t="inlineStr"/>
      <c r="DT1" s="1" t="inlineStr">
        <is>
          <t>XLV 2/21/20 P105</t>
        </is>
      </c>
      <c r="DU1" s="1" t="inlineStr"/>
      <c r="DV1" s="1" t="inlineStr">
        <is>
          <t>XLV 3/20/20 P100</t>
        </is>
      </c>
      <c r="DW1" s="1" t="inlineStr"/>
      <c r="DX1" s="1" t="inlineStr">
        <is>
          <t>XLV 4/17/20 P75</t>
        </is>
      </c>
      <c r="DY1" s="1" t="inlineStr"/>
      <c r="DZ1" s="1" t="inlineStr">
        <is>
          <t>XLV 5/15/20 P100</t>
        </is>
      </c>
      <c r="EA1" s="1" t="inlineStr"/>
      <c r="EB1" s="1" t="inlineStr">
        <is>
          <t>XLV 6/19/20 P101</t>
        </is>
      </c>
      <c r="EC1" s="1" t="inlineStr"/>
      <c r="ED1" s="1" t="inlineStr">
        <is>
          <t>XLV 7/17/20 P100</t>
        </is>
      </c>
      <c r="EE1" s="1" t="inlineStr"/>
      <c r="EF1" s="1" t="inlineStr">
        <is>
          <t>XLV 8/21/20 P106</t>
        </is>
      </c>
      <c r="EG1" s="1" t="inlineStr"/>
      <c r="EH1" s="1" t="inlineStr">
        <is>
          <t>XLV 9/18/20 P106</t>
        </is>
      </c>
      <c r="EI1" s="1" t="inlineStr"/>
      <c r="EJ1" s="1" t="inlineStr">
        <is>
          <t>XLV 10/16/20 P103</t>
        </is>
      </c>
      <c r="EK1" s="1" t="inlineStr"/>
      <c r="EL1" s="1" t="inlineStr">
        <is>
          <t>XLV 11/20/20 P106</t>
        </is>
      </c>
      <c r="EM1" s="1" t="inlineStr"/>
    </row>
    <row r="2">
      <c r="A2" s="1" t="n">
        <v>0</v>
      </c>
      <c r="B2">
        <f>BDH("XLV 1/17/15 P69 Equity","PX_LAST",20150102,20150117)</f>
        <v/>
      </c>
      <c r="C2" t="inlineStr"/>
      <c r="D2">
        <f>BDH("XLV 2/20/15 P70 Equity","PX_LAST",20150120,20150220)</f>
        <v/>
      </c>
      <c r="E2" t="inlineStr"/>
      <c r="F2">
        <f>BDH("XLV 3/20/15 P73 Equity","PX_LAST",20150223,20150320)</f>
        <v/>
      </c>
      <c r="G2" t="inlineStr"/>
      <c r="H2">
        <f>BDH("XLV 4/17/15 P75 Equity","PX_LAST",20150323,20150417)</f>
        <v/>
      </c>
      <c r="I2" t="inlineStr"/>
      <c r="J2">
        <f>BDH("XLV 5/15/15 P74 Equity","PX_LAST",20150420,20150515)</f>
        <v/>
      </c>
      <c r="K2" t="inlineStr"/>
      <c r="L2">
        <f>BDH("XLV 6/19/15 P75 Equity","PX_LAST",20150518,20150619)</f>
        <v/>
      </c>
      <c r="M2" t="inlineStr"/>
      <c r="N2">
        <f>BDH("XLV 7/17/15 P76 Equity","PX_LAST",20150622,20150717)</f>
        <v/>
      </c>
      <c r="O2" t="inlineStr"/>
      <c r="P2">
        <f>BDH("XLV 8/21/15 P77 Equity","PX_LAST",20150720,20150821)</f>
        <v/>
      </c>
      <c r="Q2" t="inlineStr"/>
      <c r="R2">
        <f>BDH("XLV 9/18/15 P69 Equity","PX_LAST",20150824,20150918)</f>
        <v/>
      </c>
      <c r="S2" t="inlineStr"/>
      <c r="T2">
        <f>BDH("XLV 10/16/15 P70 Equity","PX_LAST",20150921,20151016)</f>
        <v/>
      </c>
      <c r="U2" t="inlineStr"/>
      <c r="V2">
        <f>BDH("XLV 11/20/15 P70 Equity","PX_LAST",20151019,20151120)</f>
        <v/>
      </c>
      <c r="W2" t="inlineStr"/>
      <c r="X2">
        <f>BDH("XLV 12/18/15 P71 Equity","PX_LAST",20151123,20151218)</f>
        <v/>
      </c>
      <c r="Y2" t="inlineStr"/>
      <c r="Z2">
        <f>BDH("XLV 1/15/16 P71 Equity","PX_LAST",20151221,20160115)</f>
        <v/>
      </c>
      <c r="AA2" t="inlineStr"/>
      <c r="AB2">
        <f>BDH("XLV 2/19/16 P67 Equity","PX_LAST",20160119,20160219)</f>
        <v/>
      </c>
      <c r="AC2" t="inlineStr"/>
      <c r="AD2">
        <f>BDH("XLV 3/18/16 P67 Equity","PX_LAST",20160222,20160318)</f>
        <v/>
      </c>
      <c r="AE2" t="inlineStr"/>
      <c r="AF2">
        <f>BDH("XLV 4/15/16 P67 Equity","PX_LAST",20160321,20160415)</f>
        <v/>
      </c>
      <c r="AG2" t="inlineStr"/>
      <c r="AH2">
        <f>BDH("XLV 5/20/16 P71 Equity","PX_LAST",20160418,20160520)</f>
        <v/>
      </c>
      <c r="AI2" t="inlineStr"/>
      <c r="AJ2">
        <f>BDH("XLV 6/17/16 P69 Equity","PX_LAST",20160523,20160617)</f>
        <v/>
      </c>
      <c r="AK2" t="inlineStr"/>
      <c r="AL2">
        <f>BDH("XLV 7/15/16 P70 Equity","PX_LAST",20160620,20160715)</f>
        <v/>
      </c>
      <c r="AM2" t="inlineStr"/>
      <c r="AN2">
        <f>BDH("XLV 8/19/16 P74 Equity","PX_LAST",20160718,20160819)</f>
        <v/>
      </c>
      <c r="AO2" t="inlineStr"/>
      <c r="AP2">
        <f>BDH("XLV 9/16/16 P75 Equity","PX_LAST",20160822,20160916)</f>
        <v/>
      </c>
      <c r="AQ2" t="inlineStr"/>
      <c r="AR2">
        <f>BDH("XLV 10/21/16 P72 Equity","PX_LAST",20160919,20161021)</f>
        <v/>
      </c>
      <c r="AS2" t="inlineStr"/>
      <c r="AT2">
        <f>BDH("XLV 11/18/16 P70 Equity","PX_LAST",20161024,20161118)</f>
        <v/>
      </c>
      <c r="AU2" t="inlineStr"/>
      <c r="AV2">
        <f>BDH("XLV 12/16/16 P70 Equity","PX_LAST",20161121,20161216)</f>
        <v/>
      </c>
      <c r="AW2" t="inlineStr"/>
      <c r="AX2">
        <f>BDH("XLV 1/20/17 P69 Equity","PX_LAST",20161219,20170120)</f>
        <v/>
      </c>
      <c r="AY2" t="inlineStr"/>
      <c r="AZ2">
        <f>BDH("XLV 2/17/17 P70 Equity","PX_LAST",20170123,20170217)</f>
        <v/>
      </c>
      <c r="BA2" t="inlineStr"/>
      <c r="BB2">
        <f>BDH("XLV 3/17/17 P74 Equity","PX_LAST",20170221,20170317)</f>
        <v/>
      </c>
      <c r="BC2" t="inlineStr"/>
      <c r="BD2">
        <f>BDH("XLV 4/21/17 P75 Equity","PX_LAST",20170320,20170421)</f>
        <v/>
      </c>
      <c r="BE2" t="inlineStr"/>
      <c r="BF2">
        <f>BDH("XLV 5/19/17 P74 Equity","PX_LAST",20170424,20170519)</f>
        <v/>
      </c>
      <c r="BG2" t="inlineStr"/>
      <c r="BH2">
        <f>BDH("XLV 6/16/17 P75 Equity","PX_LAST",20170522,20170616)</f>
        <v/>
      </c>
      <c r="BI2" t="inlineStr"/>
      <c r="BJ2">
        <f>BDH("XLV 7/21/17 P78 Equity","PX_LAST",20170619,20170721)</f>
        <v/>
      </c>
      <c r="BK2" t="inlineStr"/>
      <c r="BL2">
        <f>BDH("XLV 8/18/17 P81 Equity","PX_LAST",20170724,20170818)</f>
        <v/>
      </c>
      <c r="BM2" t="inlineStr"/>
      <c r="BN2">
        <f>BDH("XLV 9/15/17 P78 Equity","PX_LAST",20170821,20170915)</f>
        <v/>
      </c>
      <c r="BO2" t="inlineStr"/>
      <c r="BP2">
        <f>BDH("XLV 10/20/17 P83 Equity","PX_LAST",20170918,20171020)</f>
        <v/>
      </c>
      <c r="BQ2" t="inlineStr"/>
      <c r="BR2">
        <f>BDH("XLV 11/17/17 P84 Equity","PX_LAST",20171023,20171117)</f>
        <v/>
      </c>
      <c r="BS2" t="inlineStr"/>
      <c r="BT2">
        <f>BDH("XLV 12/15/17 P81 Equity","PX_LAST",20171120,20171215)</f>
        <v/>
      </c>
      <c r="BU2" t="inlineStr"/>
      <c r="BV2">
        <f>BDH("XLV 1/19/18 P84 Equity","PX_LAST",20171218,20180119)</f>
        <v/>
      </c>
      <c r="BW2" t="inlineStr"/>
      <c r="BX2">
        <f>BDH("XLV 2/16/18 P89 Equity","PX_LAST",20180122,20180216)</f>
        <v/>
      </c>
      <c r="BY2" t="inlineStr"/>
      <c r="BZ2">
        <f>BDH("XLV 3/16/18 P84 Equity","PX_LAST",20180220,20180316)</f>
        <v/>
      </c>
      <c r="CA2" t="inlineStr"/>
      <c r="CB2">
        <f>BDH("XLV 4/20/18 P84 Equity","PX_LAST",20180319,20180420)</f>
        <v/>
      </c>
      <c r="CC2" t="inlineStr"/>
      <c r="CD2">
        <f>BDH("XLV 5/18/18 P82 Equity","PX_LAST",20180423,20180518)</f>
        <v/>
      </c>
      <c r="CE2" t="inlineStr"/>
      <c r="CF2">
        <f>BDH("XLV 6/15/18 P83 Equity","PX_LAST",20180521,20180615)</f>
        <v/>
      </c>
      <c r="CG2" t="inlineStr"/>
      <c r="CH2">
        <f>BDH("XLV 7/20/18 P85 Equity","PX_LAST",20180618,20180720)</f>
        <v/>
      </c>
      <c r="CI2" t="inlineStr"/>
      <c r="CJ2">
        <f>BDH("XLV 8/17/18 P87 Equity","PX_LAST",20180723,20180817)</f>
        <v/>
      </c>
      <c r="CK2" t="inlineStr"/>
      <c r="CL2">
        <f>BDH("XLV 9/21/18 P91 Equity","PX_LAST",20180820,20180921)</f>
        <v/>
      </c>
      <c r="CM2" t="inlineStr"/>
      <c r="CN2">
        <f>BDH("XLV 10/19/18 P94 Equity","PX_LAST",20180924,20181019)</f>
        <v/>
      </c>
      <c r="CO2" t="inlineStr"/>
      <c r="CP2">
        <f>BDH("XLV 11/16/18 P91 Equity","PX_LAST",20181022,20181116)</f>
        <v/>
      </c>
      <c r="CQ2" t="inlineStr"/>
      <c r="CR2">
        <f>BDH("XLV 12/21/18 P91 Equity","PX_LAST",20181119,20181221)</f>
        <v/>
      </c>
      <c r="CS2" t="inlineStr"/>
      <c r="CT2">
        <f>BDH("XLV 1/18/19 P81 Equity","PX_LAST",20181224,20190118)</f>
        <v/>
      </c>
      <c r="CU2" t="inlineStr"/>
      <c r="CV2">
        <f>BDH("XLV 2/15/19 P89 Equity","PX_LAST",20190122,20190215)</f>
        <v/>
      </c>
      <c r="CW2" t="inlineStr"/>
      <c r="CX2">
        <f>BDH("XLV 3/15/19 P93 Equity","PX_LAST",20190219,20190315)</f>
        <v/>
      </c>
      <c r="CY2" t="inlineStr"/>
      <c r="CZ2">
        <f>BDH("XLV 4/18/19 P92 Equity","PX_LAST",20190318,20190418)</f>
        <v/>
      </c>
      <c r="DA2" t="inlineStr"/>
      <c r="DB2">
        <f>BDH("XLV 5/17/19 P86 Equity","PX_LAST",20190422,20190517)</f>
        <v/>
      </c>
      <c r="DC2" t="inlineStr"/>
      <c r="DD2">
        <f>BDH("XLV 6/21/19 P88 Equity","PX_LAST",20190520,20190621)</f>
        <v/>
      </c>
      <c r="DE2" t="inlineStr"/>
      <c r="DF2">
        <f>BDH("XLV 7/19/19 P93 Equity","PX_LAST",20190624,20190719)</f>
        <v/>
      </c>
      <c r="DG2" t="inlineStr"/>
      <c r="DH2">
        <f>BDH("XLV 8/16/19 P92 Equity","PX_LAST",20190722,20190816)</f>
        <v/>
      </c>
      <c r="DI2" t="inlineStr"/>
      <c r="DJ2">
        <f>BDH("XLV 9/20/19 P91 Equity","PX_LAST",20190819,20190920)</f>
        <v/>
      </c>
      <c r="DK2" t="inlineStr"/>
      <c r="DL2">
        <f>BDH("XLV 10/18/19 P92 Equity","PX_LAST",20190923,20191018)</f>
        <v/>
      </c>
      <c r="DM2" t="inlineStr"/>
      <c r="DN2">
        <f>BDH("XLV 11/15/19 P92 Equity","PX_LAST",20191021,20191115)</f>
        <v/>
      </c>
      <c r="DO2" t="inlineStr"/>
      <c r="DP2">
        <f>BDH("XLV 12/20/19 P97 Equity","PX_LAST",20191118,20191220)</f>
        <v/>
      </c>
      <c r="DQ2" t="inlineStr"/>
      <c r="DR2">
        <f>BDH("XLV 1/17/20 P103 Equity","PX_LAST",20191223,20200117)</f>
        <v/>
      </c>
      <c r="DS2" t="inlineStr"/>
      <c r="DT2">
        <f>BDH("XLV 2/21/20 P105 Equity","PX_LAST",20200121,20200221)</f>
        <v/>
      </c>
      <c r="DU2" t="inlineStr"/>
      <c r="DV2">
        <f>BDH("XLV 3/20/20 P100 Equity","PX_LAST",20200224,20200320)</f>
        <v/>
      </c>
      <c r="DW2" t="inlineStr"/>
      <c r="DX2">
        <f>BDH("XLV 4/17/20 P75 Equity","PX_LAST",20200323,20200417)</f>
        <v/>
      </c>
      <c r="DY2" t="inlineStr"/>
      <c r="DZ2">
        <f>BDH("XLV 5/15/20 P100 Equity","PX_LAST",20200420,20200515)</f>
        <v/>
      </c>
      <c r="EA2" t="inlineStr"/>
      <c r="EB2">
        <f>BDH("XLV 6/19/20 P101 Equity","PX_LAST",20200518,20200619)</f>
        <v/>
      </c>
      <c r="EC2" t="inlineStr"/>
      <c r="ED2">
        <f>BDH("XLV 7/17/20 P100 Equity","PX_LAST",20200622,20200717)</f>
        <v/>
      </c>
      <c r="EE2" t="inlineStr"/>
      <c r="EF2">
        <f>BDH("XLV 8/21/20 P106 Equity","PX_LAST",20200720,20200821)</f>
        <v/>
      </c>
      <c r="EG2" t="inlineStr"/>
      <c r="EH2">
        <f>BDH("XLV 9/18/20 P106 Equity","PX_LAST",20200824,20200918)</f>
        <v/>
      </c>
      <c r="EI2" t="inlineStr"/>
      <c r="EJ2">
        <f>BDH("XLV 10/16/20 P103 Equity","PX_LAST",20200921,20201016)</f>
        <v/>
      </c>
      <c r="EK2" t="inlineStr"/>
      <c r="EL2">
        <f>BDH("XLV 11/20/20 P106 Equity","PX_LAST",20201019,20201120)</f>
        <v/>
      </c>
      <c r="EM2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XLI 1/17/15 C57</t>
        </is>
      </c>
      <c r="C1" s="1" t="inlineStr"/>
      <c r="D1" s="1" t="inlineStr">
        <is>
          <t>XLI 2/20/15 C55</t>
        </is>
      </c>
      <c r="E1" s="1" t="inlineStr"/>
      <c r="F1" s="1" t="inlineStr">
        <is>
          <t>XLI 3/20/15 C58</t>
        </is>
      </c>
      <c r="G1" s="1" t="inlineStr"/>
      <c r="H1" s="1" t="inlineStr">
        <is>
          <t>XLI 4/17/15 C57</t>
        </is>
      </c>
      <c r="I1" s="1" t="inlineStr"/>
      <c r="J1" s="1" t="inlineStr">
        <is>
          <t>XLI 5/15/15 C56</t>
        </is>
      </c>
      <c r="K1" s="1" t="inlineStr"/>
      <c r="L1" s="1" t="inlineStr">
        <is>
          <t>XLI 6/19/15 C57</t>
        </is>
      </c>
      <c r="M1" s="1" t="inlineStr"/>
      <c r="N1" s="1" t="inlineStr">
        <is>
          <t>XLI 7/17/15 C56</t>
        </is>
      </c>
      <c r="O1" s="1" t="inlineStr"/>
      <c r="P1" s="1" t="inlineStr">
        <is>
          <t>XLI 8/21/15 C55</t>
        </is>
      </c>
      <c r="Q1" s="1" t="inlineStr"/>
      <c r="R1" s="1" t="inlineStr">
        <is>
          <t>XLI 9/18/15 C50</t>
        </is>
      </c>
      <c r="S1" s="1" t="inlineStr"/>
      <c r="T1" s="1" t="inlineStr">
        <is>
          <t>XLI 10/16/15 C51</t>
        </is>
      </c>
      <c r="U1" s="1" t="inlineStr"/>
      <c r="V1" s="1" t="inlineStr">
        <is>
          <t>XLI 11/20/15 C53</t>
        </is>
      </c>
      <c r="W1" s="1" t="inlineStr"/>
      <c r="X1" s="1" t="inlineStr">
        <is>
          <t>XLI 12/18/15 C55</t>
        </is>
      </c>
      <c r="Y1" s="1" t="inlineStr"/>
      <c r="Z1" s="1" t="inlineStr">
        <is>
          <t>XLI 1/15/16 C52</t>
        </is>
      </c>
      <c r="AA1" s="1" t="inlineStr"/>
      <c r="AB1" s="1" t="inlineStr">
        <is>
          <t>XLI 2/19/16 C49</t>
        </is>
      </c>
      <c r="AC1" s="1" t="inlineStr"/>
      <c r="AD1" s="1" t="inlineStr">
        <is>
          <t>XLI 3/18/16 C52</t>
        </is>
      </c>
      <c r="AE1" s="1" t="inlineStr"/>
      <c r="AF1" s="1" t="inlineStr">
        <is>
          <t>XLI 4/15/16 C56</t>
        </is>
      </c>
      <c r="AG1" s="1" t="inlineStr"/>
      <c r="AH1" s="1" t="inlineStr">
        <is>
          <t>XLI 5/20/16 C56</t>
        </is>
      </c>
      <c r="AI1" s="1" t="inlineStr"/>
      <c r="AJ1" s="1" t="inlineStr">
        <is>
          <t>XLI 6/17/16 C55</t>
        </is>
      </c>
      <c r="AK1" s="1" t="inlineStr"/>
      <c r="AL1" s="1" t="inlineStr">
        <is>
          <t>XLI 7/15/16 C56</t>
        </is>
      </c>
      <c r="AM1" s="1" t="inlineStr"/>
      <c r="AN1" s="1" t="inlineStr">
        <is>
          <t>XLI 8/19/16 C59</t>
        </is>
      </c>
      <c r="AO1" s="1" t="inlineStr"/>
      <c r="AP1" s="1" t="inlineStr">
        <is>
          <t>XLI 9/16/16 C59</t>
        </is>
      </c>
      <c r="AQ1" s="1" t="inlineStr"/>
      <c r="AR1" s="1" t="inlineStr">
        <is>
          <t>XLI 10/21/16 C57</t>
        </is>
      </c>
      <c r="AS1" s="1" t="inlineStr"/>
      <c r="AT1" s="1" t="inlineStr">
        <is>
          <t>XLI 11/18/16 C57</t>
        </is>
      </c>
      <c r="AU1" s="1" t="inlineStr"/>
      <c r="AV1" s="1" t="inlineStr">
        <is>
          <t>XLI 12/16/16 C62</t>
        </is>
      </c>
      <c r="AW1" s="1" t="inlineStr"/>
      <c r="AX1" s="1" t="inlineStr">
        <is>
          <t>XLI 1/20/17 C63</t>
        </is>
      </c>
      <c r="AY1" s="1" t="inlineStr"/>
      <c r="AZ1" s="1" t="inlineStr">
        <is>
          <t>XLI 2/17/17 C63</t>
        </is>
      </c>
      <c r="BA1" s="1" t="inlineStr"/>
      <c r="BB1" s="1" t="inlineStr">
        <is>
          <t>XLI 3/17/17 C66</t>
        </is>
      </c>
      <c r="BC1" s="1" t="inlineStr"/>
      <c r="BD1" s="1" t="inlineStr">
        <is>
          <t>XLI 4/21/17 C66</t>
        </is>
      </c>
      <c r="BE1" s="1" t="inlineStr"/>
      <c r="BF1" s="1" t="inlineStr">
        <is>
          <t>XLI 5/19/17 C66</t>
        </is>
      </c>
      <c r="BG1" s="1" t="inlineStr"/>
      <c r="BH1" s="1" t="inlineStr">
        <is>
          <t>XLI 6/16/17 C67</t>
        </is>
      </c>
      <c r="BI1" s="1" t="inlineStr"/>
      <c r="BJ1" s="1" t="inlineStr">
        <is>
          <t>XLI 7/21/17 C69</t>
        </is>
      </c>
      <c r="BK1" s="1" t="inlineStr"/>
      <c r="BL1" s="1" t="inlineStr">
        <is>
          <t>XLI 8/18/17 C69</t>
        </is>
      </c>
      <c r="BM1" s="1" t="inlineStr"/>
      <c r="BN1" s="1" t="inlineStr">
        <is>
          <t>XLI 9/15/17 C67</t>
        </is>
      </c>
      <c r="BO1" s="1" t="inlineStr"/>
      <c r="BP1" s="1" t="inlineStr">
        <is>
          <t>XLI 10/20/17 C70</t>
        </is>
      </c>
      <c r="BQ1" s="1" t="inlineStr"/>
      <c r="BR1" s="1" t="inlineStr">
        <is>
          <t>XLI 11/17/17 C72</t>
        </is>
      </c>
      <c r="BS1" s="1" t="inlineStr"/>
      <c r="BT1" s="1" t="inlineStr">
        <is>
          <t>XLI 12/15/17 C71</t>
        </is>
      </c>
      <c r="BU1" s="1" t="inlineStr"/>
      <c r="BV1" s="1" t="inlineStr">
        <is>
          <t>XLI 1/19/18 C75</t>
        </is>
      </c>
      <c r="BW1" s="1" t="inlineStr"/>
      <c r="BX1" s="1" t="inlineStr">
        <is>
          <t>XLI 2/16/18 C80</t>
        </is>
      </c>
      <c r="BY1" s="1" t="inlineStr"/>
      <c r="BZ1" s="1" t="inlineStr">
        <is>
          <t>XLI 3/16/18 C77</t>
        </is>
      </c>
      <c r="CA1" s="1" t="inlineStr"/>
      <c r="CB1" s="1" t="inlineStr">
        <is>
          <t>XLI 4/20/18 C76</t>
        </is>
      </c>
      <c r="CC1" s="1" t="inlineStr"/>
      <c r="CD1" s="1" t="inlineStr">
        <is>
          <t>XLI 5/18/18 C76</t>
        </is>
      </c>
      <c r="CE1" s="1" t="inlineStr"/>
      <c r="CF1" s="1" t="inlineStr">
        <is>
          <t>XLI 6/15/18 C76</t>
        </is>
      </c>
      <c r="CG1" s="1" t="inlineStr"/>
      <c r="CH1" s="1" t="inlineStr">
        <is>
          <t>XLI 7/20/18 C75</t>
        </is>
      </c>
      <c r="CI1" s="1" t="inlineStr"/>
      <c r="CJ1" s="1" t="inlineStr">
        <is>
          <t>XLI 8/17/18 C74</t>
        </is>
      </c>
      <c r="CK1" s="1" t="inlineStr"/>
      <c r="CL1" s="1" t="inlineStr">
        <is>
          <t>XLI 9/21/18 C77</t>
        </is>
      </c>
      <c r="CM1" s="1" t="inlineStr"/>
      <c r="CN1" s="1" t="inlineStr">
        <is>
          <t>XLI 10/19/18 C79</t>
        </is>
      </c>
      <c r="CO1" s="1" t="inlineStr"/>
      <c r="CP1" s="1" t="inlineStr">
        <is>
          <t>XLI 11/16/18 C73</t>
        </is>
      </c>
      <c r="CQ1" s="1" t="inlineStr"/>
      <c r="CR1" s="1" t="inlineStr">
        <is>
          <t>XLI 12/21/18 C71</t>
        </is>
      </c>
      <c r="CS1" s="1" t="inlineStr"/>
      <c r="CT1" s="1" t="inlineStr">
        <is>
          <t>XLI 1/18/19 C60</t>
        </is>
      </c>
      <c r="CU1" s="1" t="inlineStr"/>
      <c r="CV1" s="1" t="inlineStr">
        <is>
          <t>XLI 2/15/19 C69</t>
        </is>
      </c>
      <c r="CW1" s="1" t="inlineStr"/>
      <c r="CX1" s="1" t="inlineStr">
        <is>
          <t>XLI 3/15/19 C76</t>
        </is>
      </c>
      <c r="CY1" s="1" t="inlineStr"/>
      <c r="CZ1" s="1" t="inlineStr">
        <is>
          <t>XLI 4/18/19 C75</t>
        </is>
      </c>
      <c r="DA1" s="1" t="inlineStr"/>
      <c r="DB1" s="1" t="inlineStr">
        <is>
          <t>XLI 5/17/19 C78</t>
        </is>
      </c>
      <c r="DC1" s="1" t="inlineStr"/>
      <c r="DD1" s="1" t="inlineStr">
        <is>
          <t>XLI 6/21/19 C75</t>
        </is>
      </c>
      <c r="DE1" s="1" t="inlineStr"/>
      <c r="DF1" s="1" t="inlineStr">
        <is>
          <t>XLI 7/19/19 C77</t>
        </is>
      </c>
      <c r="DG1" s="1" t="inlineStr"/>
      <c r="DH1" s="1" t="inlineStr">
        <is>
          <t>XLI 8/16/19 C78</t>
        </is>
      </c>
      <c r="DI1" s="1" t="inlineStr"/>
      <c r="DJ1" s="1" t="inlineStr">
        <is>
          <t>XLI 9/20/19 C75</t>
        </is>
      </c>
      <c r="DK1" s="1" t="inlineStr"/>
      <c r="DL1" s="1" t="inlineStr">
        <is>
          <t>XLI 10/18/19 C78</t>
        </is>
      </c>
      <c r="DM1" s="1" t="inlineStr"/>
      <c r="DN1" s="1" t="inlineStr">
        <is>
          <t>XLI 11/15/19 C77</t>
        </is>
      </c>
      <c r="DO1" s="1" t="inlineStr"/>
      <c r="DP1" s="1" t="inlineStr">
        <is>
          <t>XLI 12/20/19 C82</t>
        </is>
      </c>
      <c r="DQ1" s="1" t="inlineStr"/>
      <c r="DR1" s="1" t="inlineStr">
        <is>
          <t>XLI 1/17/20 C82</t>
        </is>
      </c>
      <c r="DS1" s="1" t="inlineStr"/>
      <c r="DT1" s="1" t="inlineStr">
        <is>
          <t>XLI 2/21/20 C83</t>
        </is>
      </c>
      <c r="DU1" s="1" t="inlineStr"/>
      <c r="DV1" s="1" t="inlineStr">
        <is>
          <t>XLI 3/20/20 C81</t>
        </is>
      </c>
      <c r="DW1" s="1" t="inlineStr"/>
      <c r="DX1" s="1" t="inlineStr">
        <is>
          <t>XLI 4/17/20 C49</t>
        </is>
      </c>
      <c r="DY1" s="1" t="inlineStr"/>
      <c r="DZ1" s="1" t="inlineStr">
        <is>
          <t>XLI 5/15/20 C61</t>
        </is>
      </c>
      <c r="EA1" s="1" t="inlineStr"/>
      <c r="EB1" s="1" t="inlineStr">
        <is>
          <t>XLI 6/19/20 C63</t>
        </is>
      </c>
      <c r="EC1" s="1" t="inlineStr"/>
      <c r="ED1" s="1" t="inlineStr">
        <is>
          <t>XLI 7/17/20 C69</t>
        </is>
      </c>
      <c r="EE1" s="1" t="inlineStr"/>
      <c r="EF1" s="1" t="inlineStr">
        <is>
          <t>XLI 8/21/20 C71</t>
        </is>
      </c>
      <c r="EG1" s="1" t="inlineStr"/>
      <c r="EH1" s="1" t="inlineStr">
        <is>
          <t>XLI 9/18/20 C78</t>
        </is>
      </c>
      <c r="EI1" s="1" t="inlineStr"/>
      <c r="EJ1" s="1" t="inlineStr">
        <is>
          <t>XLI 10/16/20 C76</t>
        </is>
      </c>
      <c r="EK1" s="1" t="inlineStr"/>
      <c r="EL1" s="1" t="inlineStr">
        <is>
          <t>XLI 11/20/20 C81</t>
        </is>
      </c>
      <c r="EM1" s="1" t="inlineStr"/>
    </row>
    <row r="2">
      <c r="A2" s="1" t="n">
        <v>0</v>
      </c>
      <c r="B2">
        <f>BDH("XLI 1/17/15 C57 Equity","PX_LAST",20150102,20150117)</f>
        <v/>
      </c>
      <c r="C2" t="inlineStr"/>
      <c r="D2">
        <f>BDH("XLI 2/20/15 C55 Equity","PX_LAST",20150120,20150220)</f>
        <v/>
      </c>
      <c r="E2" t="inlineStr"/>
      <c r="F2">
        <f>BDH("XLI 3/20/15 C58 Equity","PX_LAST",20150223,20150320)</f>
        <v/>
      </c>
      <c r="G2" t="inlineStr"/>
      <c r="H2">
        <f>BDH("XLI 4/17/15 C57 Equity","PX_LAST",20150323,20150417)</f>
        <v/>
      </c>
      <c r="I2" t="inlineStr"/>
      <c r="J2">
        <f>BDH("XLI 5/15/15 C56 Equity","PX_LAST",20150420,20150515)</f>
        <v/>
      </c>
      <c r="K2" t="inlineStr"/>
      <c r="L2">
        <f>BDH("XLI 6/19/15 C57 Equity","PX_LAST",20150518,20150619)</f>
        <v/>
      </c>
      <c r="M2" t="inlineStr"/>
      <c r="N2">
        <f>BDH("XLI 7/17/15 C56 Equity","PX_LAST",20150622,20150717)</f>
        <v/>
      </c>
      <c r="O2" t="inlineStr"/>
      <c r="P2">
        <f>BDH("XLI 8/21/15 C55 Equity","PX_LAST",20150720,20150821)</f>
        <v/>
      </c>
      <c r="Q2" t="inlineStr"/>
      <c r="R2">
        <f>BDH("XLI 9/18/15 C50 Equity","PX_LAST",20150824,20150918)</f>
        <v/>
      </c>
      <c r="S2" t="inlineStr"/>
      <c r="T2">
        <f>BDH("XLI 10/16/15 C51 Equity","PX_LAST",20150921,20151016)</f>
        <v/>
      </c>
      <c r="U2" t="inlineStr"/>
      <c r="V2">
        <f>BDH("XLI 11/20/15 C53 Equity","PX_LAST",20151019,20151120)</f>
        <v/>
      </c>
      <c r="W2" t="inlineStr"/>
      <c r="X2">
        <f>BDH("XLI 12/18/15 C55 Equity","PX_LAST",20151123,20151218)</f>
        <v/>
      </c>
      <c r="Y2" t="inlineStr"/>
      <c r="Z2">
        <f>BDH("XLI 1/15/16 C52 Equity","PX_LAST",20151221,20160115)</f>
        <v/>
      </c>
      <c r="AA2" t="inlineStr"/>
      <c r="AB2">
        <f>BDH("XLI 2/19/16 C49 Equity","PX_LAST",20160119,20160219)</f>
        <v/>
      </c>
      <c r="AC2" t="inlineStr"/>
      <c r="AD2">
        <f>BDH("XLI 3/18/16 C52 Equity","PX_LAST",20160222,20160318)</f>
        <v/>
      </c>
      <c r="AE2" t="inlineStr"/>
      <c r="AF2">
        <f>BDH("XLI 4/15/16 C56 Equity","PX_LAST",20160321,20160415)</f>
        <v/>
      </c>
      <c r="AG2" t="inlineStr"/>
      <c r="AH2">
        <f>BDH("XLI 5/20/16 C56 Equity","PX_LAST",20160418,20160520)</f>
        <v/>
      </c>
      <c r="AI2" t="inlineStr"/>
      <c r="AJ2">
        <f>BDH("XLI 6/17/16 C55 Equity","PX_LAST",20160523,20160617)</f>
        <v/>
      </c>
      <c r="AK2" t="inlineStr"/>
      <c r="AL2">
        <f>BDH("XLI 7/15/16 C56 Equity","PX_LAST",20160620,20160715)</f>
        <v/>
      </c>
      <c r="AM2" t="inlineStr"/>
      <c r="AN2">
        <f>BDH("XLI 8/19/16 C59 Equity","PX_LAST",20160718,20160819)</f>
        <v/>
      </c>
      <c r="AO2" t="inlineStr"/>
      <c r="AP2">
        <f>BDH("XLI 9/16/16 C59 Equity","PX_LAST",20160822,20160916)</f>
        <v/>
      </c>
      <c r="AQ2" t="inlineStr"/>
      <c r="AR2">
        <f>BDH("XLI 10/21/16 C57 Equity","PX_LAST",20160919,20161021)</f>
        <v/>
      </c>
      <c r="AS2" t="inlineStr"/>
      <c r="AT2">
        <f>BDH("XLI 11/18/16 C57 Equity","PX_LAST",20161024,20161118)</f>
        <v/>
      </c>
      <c r="AU2" t="inlineStr"/>
      <c r="AV2">
        <f>BDH("XLI 12/16/16 C62 Equity","PX_LAST",20161121,20161216)</f>
        <v/>
      </c>
      <c r="AW2" t="inlineStr"/>
      <c r="AX2">
        <f>BDH("XLI 1/20/17 C63 Equity","PX_LAST",20161219,20170120)</f>
        <v/>
      </c>
      <c r="AY2" t="inlineStr"/>
      <c r="AZ2">
        <f>BDH("XLI 2/17/17 C63 Equity","PX_LAST",20170123,20170217)</f>
        <v/>
      </c>
      <c r="BA2" t="inlineStr"/>
      <c r="BB2">
        <f>BDH("XLI 3/17/17 C66 Equity","PX_LAST",20170221,20170317)</f>
        <v/>
      </c>
      <c r="BC2" t="inlineStr"/>
      <c r="BD2">
        <f>BDH("XLI 4/21/17 C66 Equity","PX_LAST",20170320,20170421)</f>
        <v/>
      </c>
      <c r="BE2" t="inlineStr"/>
      <c r="BF2">
        <f>BDH("XLI 5/19/17 C66 Equity","PX_LAST",20170424,20170519)</f>
        <v/>
      </c>
      <c r="BG2" t="inlineStr"/>
      <c r="BH2">
        <f>BDH("XLI 6/16/17 C67 Equity","PX_LAST",20170522,20170616)</f>
        <v/>
      </c>
      <c r="BI2" t="inlineStr"/>
      <c r="BJ2">
        <f>BDH("XLI 7/21/17 C69 Equity","PX_LAST",20170619,20170721)</f>
        <v/>
      </c>
      <c r="BK2" t="inlineStr"/>
      <c r="BL2">
        <f>BDH("XLI 8/18/17 C69 Equity","PX_LAST",20170724,20170818)</f>
        <v/>
      </c>
      <c r="BM2" t="inlineStr"/>
      <c r="BN2">
        <f>BDH("XLI 9/15/17 C67 Equity","PX_LAST",20170821,20170915)</f>
        <v/>
      </c>
      <c r="BO2" t="inlineStr"/>
      <c r="BP2">
        <f>BDH("XLI 10/20/17 C70 Equity","PX_LAST",20170918,20171020)</f>
        <v/>
      </c>
      <c r="BQ2" t="inlineStr"/>
      <c r="BR2">
        <f>BDH("XLI 11/17/17 C72 Equity","PX_LAST",20171023,20171117)</f>
        <v/>
      </c>
      <c r="BS2" t="inlineStr"/>
      <c r="BT2">
        <f>BDH("XLI 12/15/17 C71 Equity","PX_LAST",20171120,20171215)</f>
        <v/>
      </c>
      <c r="BU2" t="inlineStr"/>
      <c r="BV2">
        <f>BDH("XLI 1/19/18 C75 Equity","PX_LAST",20171218,20180119)</f>
        <v/>
      </c>
      <c r="BW2" t="inlineStr"/>
      <c r="BX2">
        <f>BDH("XLI 2/16/18 C80 Equity","PX_LAST",20180122,20180216)</f>
        <v/>
      </c>
      <c r="BY2" t="inlineStr"/>
      <c r="BZ2">
        <f>BDH("XLI 3/16/18 C77 Equity","PX_LAST",20180220,20180316)</f>
        <v/>
      </c>
      <c r="CA2" t="inlineStr"/>
      <c r="CB2">
        <f>BDH("XLI 4/20/18 C76 Equity","PX_LAST",20180319,20180420)</f>
        <v/>
      </c>
      <c r="CC2" t="inlineStr"/>
      <c r="CD2">
        <f>BDH("XLI 5/18/18 C76 Equity","PX_LAST",20180423,20180518)</f>
        <v/>
      </c>
      <c r="CE2" t="inlineStr"/>
      <c r="CF2">
        <f>BDH("XLI 6/15/18 C76 Equity","PX_LAST",20180521,20180615)</f>
        <v/>
      </c>
      <c r="CG2" t="inlineStr"/>
      <c r="CH2">
        <f>BDH("XLI 7/20/18 C75 Equity","PX_LAST",20180618,20180720)</f>
        <v/>
      </c>
      <c r="CI2" t="inlineStr"/>
      <c r="CJ2">
        <f>BDH("XLI 8/17/18 C74 Equity","PX_LAST",20180723,20180817)</f>
        <v/>
      </c>
      <c r="CK2" t="inlineStr"/>
      <c r="CL2">
        <f>BDH("XLI 9/21/18 C77 Equity","PX_LAST",20180820,20180921)</f>
        <v/>
      </c>
      <c r="CM2" t="inlineStr"/>
      <c r="CN2">
        <f>BDH("XLI 10/19/18 C79 Equity","PX_LAST",20180924,20181019)</f>
        <v/>
      </c>
      <c r="CO2" t="inlineStr"/>
      <c r="CP2">
        <f>BDH("XLI 11/16/18 C73 Equity","PX_LAST",20181022,20181116)</f>
        <v/>
      </c>
      <c r="CQ2" t="inlineStr"/>
      <c r="CR2">
        <f>BDH("XLI 12/21/18 C71 Equity","PX_LAST",20181119,20181221)</f>
        <v/>
      </c>
      <c r="CS2" t="inlineStr"/>
      <c r="CT2">
        <f>BDH("XLI 1/18/19 C60 Equity","PX_LAST",20181224,20190118)</f>
        <v/>
      </c>
      <c r="CU2" t="inlineStr"/>
      <c r="CV2">
        <f>BDH("XLI 2/15/19 C69 Equity","PX_LAST",20190122,20190215)</f>
        <v/>
      </c>
      <c r="CW2" t="inlineStr"/>
      <c r="CX2">
        <f>BDH("XLI 3/15/19 C76 Equity","PX_LAST",20190219,20190315)</f>
        <v/>
      </c>
      <c r="CY2" t="inlineStr"/>
      <c r="CZ2">
        <f>BDH("XLI 4/18/19 C75 Equity","PX_LAST",20190318,20190418)</f>
        <v/>
      </c>
      <c r="DA2" t="inlineStr"/>
      <c r="DB2">
        <f>BDH("XLI 5/17/19 C78 Equity","PX_LAST",20190422,20190517)</f>
        <v/>
      </c>
      <c r="DC2" t="inlineStr"/>
      <c r="DD2">
        <f>BDH("XLI 6/21/19 C75 Equity","PX_LAST",20190520,20190621)</f>
        <v/>
      </c>
      <c r="DE2" t="inlineStr"/>
      <c r="DF2">
        <f>BDH("XLI 7/19/19 C77 Equity","PX_LAST",20190624,20190719)</f>
        <v/>
      </c>
      <c r="DG2" t="inlineStr"/>
      <c r="DH2">
        <f>BDH("XLI 8/16/19 C78 Equity","PX_LAST",20190722,20190816)</f>
        <v/>
      </c>
      <c r="DI2" t="inlineStr"/>
      <c r="DJ2">
        <f>BDH("XLI 9/20/19 C75 Equity","PX_LAST",20190819,20190920)</f>
        <v/>
      </c>
      <c r="DK2" t="inlineStr"/>
      <c r="DL2">
        <f>BDH("XLI 10/18/19 C78 Equity","PX_LAST",20190923,20191018)</f>
        <v/>
      </c>
      <c r="DM2" t="inlineStr"/>
      <c r="DN2">
        <f>BDH("XLI 11/15/19 C77 Equity","PX_LAST",20191021,20191115)</f>
        <v/>
      </c>
      <c r="DO2" t="inlineStr"/>
      <c r="DP2">
        <f>BDH("XLI 12/20/19 C82 Equity","PX_LAST",20191118,20191220)</f>
        <v/>
      </c>
      <c r="DQ2" t="inlineStr"/>
      <c r="DR2">
        <f>BDH("XLI 1/17/20 C82 Equity","PX_LAST",20191223,20200117)</f>
        <v/>
      </c>
      <c r="DS2" t="inlineStr"/>
      <c r="DT2">
        <f>BDH("XLI 2/21/20 C83 Equity","PX_LAST",20200121,20200221)</f>
        <v/>
      </c>
      <c r="DU2" t="inlineStr"/>
      <c r="DV2">
        <f>BDH("XLI 3/20/20 C81 Equity","PX_LAST",20200224,20200320)</f>
        <v/>
      </c>
      <c r="DW2" t="inlineStr"/>
      <c r="DX2">
        <f>BDH("XLI 4/17/20 C49 Equity","PX_LAST",20200323,20200417)</f>
        <v/>
      </c>
      <c r="DY2" t="inlineStr"/>
      <c r="DZ2">
        <f>BDH("XLI 5/15/20 C61 Equity","PX_LAST",20200420,20200515)</f>
        <v/>
      </c>
      <c r="EA2" t="inlineStr"/>
      <c r="EB2">
        <f>BDH("XLI 6/19/20 C63 Equity","PX_LAST",20200518,20200619)</f>
        <v/>
      </c>
      <c r="EC2" t="inlineStr"/>
      <c r="ED2">
        <f>BDH("XLI 7/17/20 C69 Equity","PX_LAST",20200622,20200717)</f>
        <v/>
      </c>
      <c r="EE2" t="inlineStr"/>
      <c r="EF2">
        <f>BDH("XLI 8/21/20 C71 Equity","PX_LAST",20200720,20200821)</f>
        <v/>
      </c>
      <c r="EG2" t="inlineStr"/>
      <c r="EH2">
        <f>BDH("XLI 9/18/20 C78 Equity","PX_LAST",20200824,20200918)</f>
        <v/>
      </c>
      <c r="EI2" t="inlineStr"/>
      <c r="EJ2">
        <f>BDH("XLI 10/16/20 C76 Equity","PX_LAST",20200921,20201016)</f>
        <v/>
      </c>
      <c r="EK2" t="inlineStr"/>
      <c r="EL2">
        <f>BDH("XLI 11/20/20 C81 Equity","PX_LAST",20201019,20201120)</f>
        <v/>
      </c>
      <c r="EM2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XLI 1/17/15 P57</t>
        </is>
      </c>
      <c r="C1" s="1" t="inlineStr"/>
      <c r="D1" s="1" t="inlineStr">
        <is>
          <t>XLI 2/20/15 P55</t>
        </is>
      </c>
      <c r="E1" s="1" t="inlineStr"/>
      <c r="F1" s="1" t="inlineStr">
        <is>
          <t>XLI 3/20/15 P58</t>
        </is>
      </c>
      <c r="G1" s="1" t="inlineStr"/>
      <c r="H1" s="1" t="inlineStr">
        <is>
          <t>XLI 4/17/15 P57</t>
        </is>
      </c>
      <c r="I1" s="1" t="inlineStr"/>
      <c r="J1" s="1" t="inlineStr">
        <is>
          <t>XLI 5/15/15 P56</t>
        </is>
      </c>
      <c r="K1" s="1" t="inlineStr"/>
      <c r="L1" s="1" t="inlineStr">
        <is>
          <t>XLI 6/19/15 P57</t>
        </is>
      </c>
      <c r="M1" s="1" t="inlineStr"/>
      <c r="N1" s="1" t="inlineStr">
        <is>
          <t>XLI 7/17/15 P56</t>
        </is>
      </c>
      <c r="O1" s="1" t="inlineStr"/>
      <c r="P1" s="1" t="inlineStr">
        <is>
          <t>XLI 8/21/15 P55</t>
        </is>
      </c>
      <c r="Q1" s="1" t="inlineStr"/>
      <c r="R1" s="1" t="inlineStr">
        <is>
          <t>XLI 9/18/15 P50</t>
        </is>
      </c>
      <c r="S1" s="1" t="inlineStr"/>
      <c r="T1" s="1" t="inlineStr">
        <is>
          <t>XLI 10/16/15 P51</t>
        </is>
      </c>
      <c r="U1" s="1" t="inlineStr"/>
      <c r="V1" s="1" t="inlineStr">
        <is>
          <t>XLI 11/20/15 P53</t>
        </is>
      </c>
      <c r="W1" s="1" t="inlineStr"/>
      <c r="X1" s="1" t="inlineStr">
        <is>
          <t>XLI 12/18/15 P55</t>
        </is>
      </c>
      <c r="Y1" s="1" t="inlineStr"/>
      <c r="Z1" s="1" t="inlineStr">
        <is>
          <t>XLI 1/15/16 P52</t>
        </is>
      </c>
      <c r="AA1" s="1" t="inlineStr"/>
      <c r="AB1" s="1" t="inlineStr">
        <is>
          <t>XLI 2/19/16 P49</t>
        </is>
      </c>
      <c r="AC1" s="1" t="inlineStr"/>
      <c r="AD1" s="1" t="inlineStr">
        <is>
          <t>XLI 3/18/16 P52</t>
        </is>
      </c>
      <c r="AE1" s="1" t="inlineStr"/>
      <c r="AF1" s="1" t="inlineStr">
        <is>
          <t>XLI 4/15/16 P56</t>
        </is>
      </c>
      <c r="AG1" s="1" t="inlineStr"/>
      <c r="AH1" s="1" t="inlineStr">
        <is>
          <t>XLI 5/20/16 P56</t>
        </is>
      </c>
      <c r="AI1" s="1" t="inlineStr"/>
      <c r="AJ1" s="1" t="inlineStr">
        <is>
          <t>XLI 6/17/16 P55</t>
        </is>
      </c>
      <c r="AK1" s="1" t="inlineStr"/>
      <c r="AL1" s="1" t="inlineStr">
        <is>
          <t>XLI 7/15/16 P56</t>
        </is>
      </c>
      <c r="AM1" s="1" t="inlineStr"/>
      <c r="AN1" s="1" t="inlineStr">
        <is>
          <t>XLI 8/19/16 P59</t>
        </is>
      </c>
      <c r="AO1" s="1" t="inlineStr"/>
      <c r="AP1" s="1" t="inlineStr">
        <is>
          <t>XLI 9/16/16 P59</t>
        </is>
      </c>
      <c r="AQ1" s="1" t="inlineStr"/>
      <c r="AR1" s="1" t="inlineStr">
        <is>
          <t>XLI 10/21/16 P57</t>
        </is>
      </c>
      <c r="AS1" s="1" t="inlineStr"/>
      <c r="AT1" s="1" t="inlineStr">
        <is>
          <t>XLI 11/18/16 P57</t>
        </is>
      </c>
      <c r="AU1" s="1" t="inlineStr"/>
      <c r="AV1" s="1" t="inlineStr">
        <is>
          <t>XLI 12/16/16 P62</t>
        </is>
      </c>
      <c r="AW1" s="1" t="inlineStr"/>
      <c r="AX1" s="1" t="inlineStr">
        <is>
          <t>XLI 1/20/17 P63</t>
        </is>
      </c>
      <c r="AY1" s="1" t="inlineStr"/>
      <c r="AZ1" s="1" t="inlineStr">
        <is>
          <t>XLI 2/17/17 P63</t>
        </is>
      </c>
      <c r="BA1" s="1" t="inlineStr"/>
      <c r="BB1" s="1" t="inlineStr">
        <is>
          <t>XLI 3/17/17 P66</t>
        </is>
      </c>
      <c r="BC1" s="1" t="inlineStr"/>
      <c r="BD1" s="1" t="inlineStr">
        <is>
          <t>XLI 4/21/17 P66</t>
        </is>
      </c>
      <c r="BE1" s="1" t="inlineStr"/>
      <c r="BF1" s="1" t="inlineStr">
        <is>
          <t>XLI 5/19/17 P66</t>
        </is>
      </c>
      <c r="BG1" s="1" t="inlineStr"/>
      <c r="BH1" s="1" t="inlineStr">
        <is>
          <t>XLI 6/16/17 P67</t>
        </is>
      </c>
      <c r="BI1" s="1" t="inlineStr"/>
      <c r="BJ1" s="1" t="inlineStr">
        <is>
          <t>XLI 7/21/17 P69</t>
        </is>
      </c>
      <c r="BK1" s="1" t="inlineStr"/>
      <c r="BL1" s="1" t="inlineStr">
        <is>
          <t>XLI 8/18/17 P69</t>
        </is>
      </c>
      <c r="BM1" s="1" t="inlineStr"/>
      <c r="BN1" s="1" t="inlineStr">
        <is>
          <t>XLI 9/15/17 P67</t>
        </is>
      </c>
      <c r="BO1" s="1" t="inlineStr"/>
      <c r="BP1" s="1" t="inlineStr">
        <is>
          <t>XLI 10/20/17 P70</t>
        </is>
      </c>
      <c r="BQ1" s="1" t="inlineStr"/>
      <c r="BR1" s="1" t="inlineStr">
        <is>
          <t>XLI 11/17/17 P72</t>
        </is>
      </c>
      <c r="BS1" s="1" t="inlineStr"/>
      <c r="BT1" s="1" t="inlineStr">
        <is>
          <t>XLI 12/15/17 P71</t>
        </is>
      </c>
      <c r="BU1" s="1" t="inlineStr"/>
      <c r="BV1" s="1" t="inlineStr">
        <is>
          <t>XLI 1/19/18 P75</t>
        </is>
      </c>
      <c r="BW1" s="1" t="inlineStr"/>
      <c r="BX1" s="1" t="inlineStr">
        <is>
          <t>XLI 2/16/18 P80</t>
        </is>
      </c>
      <c r="BY1" s="1" t="inlineStr"/>
      <c r="BZ1" s="1" t="inlineStr">
        <is>
          <t>XLI 3/16/18 P77</t>
        </is>
      </c>
      <c r="CA1" s="1" t="inlineStr"/>
      <c r="CB1" s="1" t="inlineStr">
        <is>
          <t>XLI 4/20/18 P76</t>
        </is>
      </c>
      <c r="CC1" s="1" t="inlineStr"/>
      <c r="CD1" s="1" t="inlineStr">
        <is>
          <t>XLI 5/18/18 P76</t>
        </is>
      </c>
      <c r="CE1" s="1" t="inlineStr"/>
      <c r="CF1" s="1" t="inlineStr">
        <is>
          <t>XLI 6/15/18 P76</t>
        </is>
      </c>
      <c r="CG1" s="1" t="inlineStr"/>
      <c r="CH1" s="1" t="inlineStr">
        <is>
          <t>XLI 7/20/18 P75</t>
        </is>
      </c>
      <c r="CI1" s="1" t="inlineStr"/>
      <c r="CJ1" s="1" t="inlineStr">
        <is>
          <t>XLI 8/17/18 P74</t>
        </is>
      </c>
      <c r="CK1" s="1" t="inlineStr"/>
      <c r="CL1" s="1" t="inlineStr">
        <is>
          <t>XLI 9/21/18 P77</t>
        </is>
      </c>
      <c r="CM1" s="1" t="inlineStr"/>
      <c r="CN1" s="1" t="inlineStr">
        <is>
          <t>XLI 10/19/18 P79</t>
        </is>
      </c>
      <c r="CO1" s="1" t="inlineStr"/>
      <c r="CP1" s="1" t="inlineStr">
        <is>
          <t>XLI 11/16/18 P73</t>
        </is>
      </c>
      <c r="CQ1" s="1" t="inlineStr"/>
      <c r="CR1" s="1" t="inlineStr">
        <is>
          <t>XLI 12/21/18 P71</t>
        </is>
      </c>
      <c r="CS1" s="1" t="inlineStr"/>
      <c r="CT1" s="1" t="inlineStr">
        <is>
          <t>XLI 1/18/19 P60</t>
        </is>
      </c>
      <c r="CU1" s="1" t="inlineStr"/>
      <c r="CV1" s="1" t="inlineStr">
        <is>
          <t>XLI 2/15/19 P69</t>
        </is>
      </c>
      <c r="CW1" s="1" t="inlineStr"/>
      <c r="CX1" s="1" t="inlineStr">
        <is>
          <t>XLI 3/15/19 P76</t>
        </is>
      </c>
      <c r="CY1" s="1" t="inlineStr"/>
      <c r="CZ1" s="1" t="inlineStr">
        <is>
          <t>XLI 4/18/19 P75</t>
        </is>
      </c>
      <c r="DA1" s="1" t="inlineStr"/>
      <c r="DB1" s="1" t="inlineStr">
        <is>
          <t>XLI 5/17/19 P78</t>
        </is>
      </c>
      <c r="DC1" s="1" t="inlineStr"/>
      <c r="DD1" s="1" t="inlineStr">
        <is>
          <t>XLI 6/21/19 P75</t>
        </is>
      </c>
      <c r="DE1" s="1" t="inlineStr"/>
      <c r="DF1" s="1" t="inlineStr">
        <is>
          <t>XLI 7/19/19 P77</t>
        </is>
      </c>
      <c r="DG1" s="1" t="inlineStr"/>
      <c r="DH1" s="1" t="inlineStr">
        <is>
          <t>XLI 8/16/19 P78</t>
        </is>
      </c>
      <c r="DI1" s="1" t="inlineStr"/>
      <c r="DJ1" s="1" t="inlineStr">
        <is>
          <t>XLI 9/20/19 P75</t>
        </is>
      </c>
      <c r="DK1" s="1" t="inlineStr"/>
      <c r="DL1" s="1" t="inlineStr">
        <is>
          <t>XLI 10/18/19 P78</t>
        </is>
      </c>
      <c r="DM1" s="1" t="inlineStr"/>
      <c r="DN1" s="1" t="inlineStr">
        <is>
          <t>XLI 11/15/19 P77</t>
        </is>
      </c>
      <c r="DO1" s="1" t="inlineStr"/>
      <c r="DP1" s="1" t="inlineStr">
        <is>
          <t>XLI 12/20/19 P82</t>
        </is>
      </c>
      <c r="DQ1" s="1" t="inlineStr"/>
      <c r="DR1" s="1" t="inlineStr">
        <is>
          <t>XLI 1/17/20 P82</t>
        </is>
      </c>
      <c r="DS1" s="1" t="inlineStr"/>
      <c r="DT1" s="1" t="inlineStr">
        <is>
          <t>XLI 2/21/20 P83</t>
        </is>
      </c>
      <c r="DU1" s="1" t="inlineStr"/>
      <c r="DV1" s="1" t="inlineStr">
        <is>
          <t>XLI 3/20/20 P81</t>
        </is>
      </c>
      <c r="DW1" s="1" t="inlineStr"/>
      <c r="DX1" s="1" t="inlineStr">
        <is>
          <t>XLI 4/17/20 P49</t>
        </is>
      </c>
      <c r="DY1" s="1" t="inlineStr"/>
      <c r="DZ1" s="1" t="inlineStr">
        <is>
          <t>XLI 5/15/20 P61</t>
        </is>
      </c>
      <c r="EA1" s="1" t="inlineStr"/>
      <c r="EB1" s="1" t="inlineStr">
        <is>
          <t>XLI 6/19/20 P63</t>
        </is>
      </c>
      <c r="EC1" s="1" t="inlineStr"/>
      <c r="ED1" s="1" t="inlineStr">
        <is>
          <t>XLI 7/17/20 P69</t>
        </is>
      </c>
      <c r="EE1" s="1" t="inlineStr"/>
      <c r="EF1" s="1" t="inlineStr">
        <is>
          <t>XLI 8/21/20 P71</t>
        </is>
      </c>
      <c r="EG1" s="1" t="inlineStr"/>
      <c r="EH1" s="1" t="inlineStr">
        <is>
          <t>XLI 9/18/20 P78</t>
        </is>
      </c>
      <c r="EI1" s="1" t="inlineStr"/>
      <c r="EJ1" s="1" t="inlineStr">
        <is>
          <t>XLI 10/16/20 P76</t>
        </is>
      </c>
      <c r="EK1" s="1" t="inlineStr"/>
      <c r="EL1" s="1" t="inlineStr">
        <is>
          <t>XLI 11/20/20 P81</t>
        </is>
      </c>
      <c r="EM1" s="1" t="inlineStr"/>
    </row>
    <row r="2">
      <c r="A2" s="1" t="n">
        <v>0</v>
      </c>
      <c r="B2">
        <f>BDH("XLI 1/17/15 P57 Equity","PX_LAST",20150102,20150117)</f>
        <v/>
      </c>
      <c r="C2" t="inlineStr"/>
      <c r="D2">
        <f>BDH("XLI 2/20/15 P55 Equity","PX_LAST",20150120,20150220)</f>
        <v/>
      </c>
      <c r="E2" t="inlineStr"/>
      <c r="F2">
        <f>BDH("XLI 3/20/15 P58 Equity","PX_LAST",20150223,20150320)</f>
        <v/>
      </c>
      <c r="G2" t="inlineStr"/>
      <c r="H2">
        <f>BDH("XLI 4/17/15 P57 Equity","PX_LAST",20150323,20150417)</f>
        <v/>
      </c>
      <c r="I2" t="inlineStr"/>
      <c r="J2">
        <f>BDH("XLI 5/15/15 P56 Equity","PX_LAST",20150420,20150515)</f>
        <v/>
      </c>
      <c r="K2" t="inlineStr"/>
      <c r="L2">
        <f>BDH("XLI 6/19/15 P57 Equity","PX_LAST",20150518,20150619)</f>
        <v/>
      </c>
      <c r="M2" t="inlineStr"/>
      <c r="N2">
        <f>BDH("XLI 7/17/15 P56 Equity","PX_LAST",20150622,20150717)</f>
        <v/>
      </c>
      <c r="O2" t="inlineStr"/>
      <c r="P2">
        <f>BDH("XLI 8/21/15 P55 Equity","PX_LAST",20150720,20150821)</f>
        <v/>
      </c>
      <c r="Q2" t="inlineStr"/>
      <c r="R2">
        <f>BDH("XLI 9/18/15 P50 Equity","PX_LAST",20150824,20150918)</f>
        <v/>
      </c>
      <c r="S2" t="inlineStr"/>
      <c r="T2">
        <f>BDH("XLI 10/16/15 P51 Equity","PX_LAST",20150921,20151016)</f>
        <v/>
      </c>
      <c r="U2" t="inlineStr"/>
      <c r="V2">
        <f>BDH("XLI 11/20/15 P53 Equity","PX_LAST",20151019,20151120)</f>
        <v/>
      </c>
      <c r="W2" t="inlineStr"/>
      <c r="X2">
        <f>BDH("XLI 12/18/15 P55 Equity","PX_LAST",20151123,20151218)</f>
        <v/>
      </c>
      <c r="Y2" t="inlineStr"/>
      <c r="Z2">
        <f>BDH("XLI 1/15/16 P52 Equity","PX_LAST",20151221,20160115)</f>
        <v/>
      </c>
      <c r="AA2" t="inlineStr"/>
      <c r="AB2">
        <f>BDH("XLI 2/19/16 P49 Equity","PX_LAST",20160119,20160219)</f>
        <v/>
      </c>
      <c r="AC2" t="inlineStr"/>
      <c r="AD2">
        <f>BDH("XLI 3/18/16 P52 Equity","PX_LAST",20160222,20160318)</f>
        <v/>
      </c>
      <c r="AE2" t="inlineStr"/>
      <c r="AF2">
        <f>BDH("XLI 4/15/16 P56 Equity","PX_LAST",20160321,20160415)</f>
        <v/>
      </c>
      <c r="AG2" t="inlineStr"/>
      <c r="AH2">
        <f>BDH("XLI 5/20/16 P56 Equity","PX_LAST",20160418,20160520)</f>
        <v/>
      </c>
      <c r="AI2" t="inlineStr"/>
      <c r="AJ2">
        <f>BDH("XLI 6/17/16 P55 Equity","PX_LAST",20160523,20160617)</f>
        <v/>
      </c>
      <c r="AK2" t="inlineStr"/>
      <c r="AL2">
        <f>BDH("XLI 7/15/16 P56 Equity","PX_LAST",20160620,20160715)</f>
        <v/>
      </c>
      <c r="AM2" t="inlineStr"/>
      <c r="AN2">
        <f>BDH("XLI 8/19/16 P59 Equity","PX_LAST",20160718,20160819)</f>
        <v/>
      </c>
      <c r="AO2" t="inlineStr"/>
      <c r="AP2">
        <f>BDH("XLI 9/16/16 P59 Equity","PX_LAST",20160822,20160916)</f>
        <v/>
      </c>
      <c r="AQ2" t="inlineStr"/>
      <c r="AR2">
        <f>BDH("XLI 10/21/16 P57 Equity","PX_LAST",20160919,20161021)</f>
        <v/>
      </c>
      <c r="AS2" t="inlineStr"/>
      <c r="AT2">
        <f>BDH("XLI 11/18/16 P57 Equity","PX_LAST",20161024,20161118)</f>
        <v/>
      </c>
      <c r="AU2" t="inlineStr"/>
      <c r="AV2">
        <f>BDH("XLI 12/16/16 P62 Equity","PX_LAST",20161121,20161216)</f>
        <v/>
      </c>
      <c r="AW2" t="inlineStr"/>
      <c r="AX2">
        <f>BDH("XLI 1/20/17 P63 Equity","PX_LAST",20161219,20170120)</f>
        <v/>
      </c>
      <c r="AY2" t="inlineStr"/>
      <c r="AZ2">
        <f>BDH("XLI 2/17/17 P63 Equity","PX_LAST",20170123,20170217)</f>
        <v/>
      </c>
      <c r="BA2" t="inlineStr"/>
      <c r="BB2">
        <f>BDH("XLI 3/17/17 P66 Equity","PX_LAST",20170221,20170317)</f>
        <v/>
      </c>
      <c r="BC2" t="inlineStr"/>
      <c r="BD2">
        <f>BDH("XLI 4/21/17 P66 Equity","PX_LAST",20170320,20170421)</f>
        <v/>
      </c>
      <c r="BE2" t="inlineStr"/>
      <c r="BF2">
        <f>BDH("XLI 5/19/17 P66 Equity","PX_LAST",20170424,20170519)</f>
        <v/>
      </c>
      <c r="BG2" t="inlineStr"/>
      <c r="BH2">
        <f>BDH("XLI 6/16/17 P67 Equity","PX_LAST",20170522,20170616)</f>
        <v/>
      </c>
      <c r="BI2" t="inlineStr"/>
      <c r="BJ2">
        <f>BDH("XLI 7/21/17 P69 Equity","PX_LAST",20170619,20170721)</f>
        <v/>
      </c>
      <c r="BK2" t="inlineStr"/>
      <c r="BL2">
        <f>BDH("XLI 8/18/17 P69 Equity","PX_LAST",20170724,20170818)</f>
        <v/>
      </c>
      <c r="BM2" t="inlineStr"/>
      <c r="BN2">
        <f>BDH("XLI 9/15/17 P67 Equity","PX_LAST",20170821,20170915)</f>
        <v/>
      </c>
      <c r="BO2" t="inlineStr"/>
      <c r="BP2">
        <f>BDH("XLI 10/20/17 P70 Equity","PX_LAST",20170918,20171020)</f>
        <v/>
      </c>
      <c r="BQ2" t="inlineStr"/>
      <c r="BR2">
        <f>BDH("XLI 11/17/17 P72 Equity","PX_LAST",20171023,20171117)</f>
        <v/>
      </c>
      <c r="BS2" t="inlineStr"/>
      <c r="BT2">
        <f>BDH("XLI 12/15/17 P71 Equity","PX_LAST",20171120,20171215)</f>
        <v/>
      </c>
      <c r="BU2" t="inlineStr"/>
      <c r="BV2">
        <f>BDH("XLI 1/19/18 P75 Equity","PX_LAST",20171218,20180119)</f>
        <v/>
      </c>
      <c r="BW2" t="inlineStr"/>
      <c r="BX2">
        <f>BDH("XLI 2/16/18 P80 Equity","PX_LAST",20180122,20180216)</f>
        <v/>
      </c>
      <c r="BY2" t="inlineStr"/>
      <c r="BZ2">
        <f>BDH("XLI 3/16/18 P77 Equity","PX_LAST",20180220,20180316)</f>
        <v/>
      </c>
      <c r="CA2" t="inlineStr"/>
      <c r="CB2">
        <f>BDH("XLI 4/20/18 P76 Equity","PX_LAST",20180319,20180420)</f>
        <v/>
      </c>
      <c r="CC2" t="inlineStr"/>
      <c r="CD2">
        <f>BDH("XLI 5/18/18 P76 Equity","PX_LAST",20180423,20180518)</f>
        <v/>
      </c>
      <c r="CE2" t="inlineStr"/>
      <c r="CF2">
        <f>BDH("XLI 6/15/18 P76 Equity","PX_LAST",20180521,20180615)</f>
        <v/>
      </c>
      <c r="CG2" t="inlineStr"/>
      <c r="CH2">
        <f>BDH("XLI 7/20/18 P75 Equity","PX_LAST",20180618,20180720)</f>
        <v/>
      </c>
      <c r="CI2" t="inlineStr"/>
      <c r="CJ2">
        <f>BDH("XLI 8/17/18 P74 Equity","PX_LAST",20180723,20180817)</f>
        <v/>
      </c>
      <c r="CK2" t="inlineStr"/>
      <c r="CL2">
        <f>BDH("XLI 9/21/18 P77 Equity","PX_LAST",20180820,20180921)</f>
        <v/>
      </c>
      <c r="CM2" t="inlineStr"/>
      <c r="CN2">
        <f>BDH("XLI 10/19/18 P79 Equity","PX_LAST",20180924,20181019)</f>
        <v/>
      </c>
      <c r="CO2" t="inlineStr"/>
      <c r="CP2">
        <f>BDH("XLI 11/16/18 P73 Equity","PX_LAST",20181022,20181116)</f>
        <v/>
      </c>
      <c r="CQ2" t="inlineStr"/>
      <c r="CR2">
        <f>BDH("XLI 12/21/18 P71 Equity","PX_LAST",20181119,20181221)</f>
        <v/>
      </c>
      <c r="CS2" t="inlineStr"/>
      <c r="CT2">
        <f>BDH("XLI 1/18/19 P60 Equity","PX_LAST",20181224,20190118)</f>
        <v/>
      </c>
      <c r="CU2" t="inlineStr"/>
      <c r="CV2">
        <f>BDH("XLI 2/15/19 P69 Equity","PX_LAST",20190122,20190215)</f>
        <v/>
      </c>
      <c r="CW2" t="inlineStr"/>
      <c r="CX2">
        <f>BDH("XLI 3/15/19 P76 Equity","PX_LAST",20190219,20190315)</f>
        <v/>
      </c>
      <c r="CY2" t="inlineStr"/>
      <c r="CZ2">
        <f>BDH("XLI 4/18/19 P75 Equity","PX_LAST",20190318,20190418)</f>
        <v/>
      </c>
      <c r="DA2" t="inlineStr"/>
      <c r="DB2">
        <f>BDH("XLI 5/17/19 P78 Equity","PX_LAST",20190422,20190517)</f>
        <v/>
      </c>
      <c r="DC2" t="inlineStr"/>
      <c r="DD2">
        <f>BDH("XLI 6/21/19 P75 Equity","PX_LAST",20190520,20190621)</f>
        <v/>
      </c>
      <c r="DE2" t="inlineStr"/>
      <c r="DF2">
        <f>BDH("XLI 7/19/19 P77 Equity","PX_LAST",20190624,20190719)</f>
        <v/>
      </c>
      <c r="DG2" t="inlineStr"/>
      <c r="DH2">
        <f>BDH("XLI 8/16/19 P78 Equity","PX_LAST",20190722,20190816)</f>
        <v/>
      </c>
      <c r="DI2" t="inlineStr"/>
      <c r="DJ2">
        <f>BDH("XLI 9/20/19 P75 Equity","PX_LAST",20190819,20190920)</f>
        <v/>
      </c>
      <c r="DK2" t="inlineStr"/>
      <c r="DL2">
        <f>BDH("XLI 10/18/19 P78 Equity","PX_LAST",20190923,20191018)</f>
        <v/>
      </c>
      <c r="DM2" t="inlineStr"/>
      <c r="DN2">
        <f>BDH("XLI 11/15/19 P77 Equity","PX_LAST",20191021,20191115)</f>
        <v/>
      </c>
      <c r="DO2" t="inlineStr"/>
      <c r="DP2">
        <f>BDH("XLI 12/20/19 P82 Equity","PX_LAST",20191118,20191220)</f>
        <v/>
      </c>
      <c r="DQ2" t="inlineStr"/>
      <c r="DR2">
        <f>BDH("XLI 1/17/20 P82 Equity","PX_LAST",20191223,20200117)</f>
        <v/>
      </c>
      <c r="DS2" t="inlineStr"/>
      <c r="DT2">
        <f>BDH("XLI 2/21/20 P83 Equity","PX_LAST",20200121,20200221)</f>
        <v/>
      </c>
      <c r="DU2" t="inlineStr"/>
      <c r="DV2">
        <f>BDH("XLI 3/20/20 P81 Equity","PX_LAST",20200224,20200320)</f>
        <v/>
      </c>
      <c r="DW2" t="inlineStr"/>
      <c r="DX2">
        <f>BDH("XLI 4/17/20 P49 Equity","PX_LAST",20200323,20200417)</f>
        <v/>
      </c>
      <c r="DY2" t="inlineStr"/>
      <c r="DZ2">
        <f>BDH("XLI 5/15/20 P61 Equity","PX_LAST",20200420,20200515)</f>
        <v/>
      </c>
      <c r="EA2" t="inlineStr"/>
      <c r="EB2">
        <f>BDH("XLI 6/19/20 P63 Equity","PX_LAST",20200518,20200619)</f>
        <v/>
      </c>
      <c r="EC2" t="inlineStr"/>
      <c r="ED2">
        <f>BDH("XLI 7/17/20 P69 Equity","PX_LAST",20200622,20200717)</f>
        <v/>
      </c>
      <c r="EE2" t="inlineStr"/>
      <c r="EF2">
        <f>BDH("XLI 8/21/20 P71 Equity","PX_LAST",20200720,20200821)</f>
        <v/>
      </c>
      <c r="EG2" t="inlineStr"/>
      <c r="EH2">
        <f>BDH("XLI 9/18/20 P78 Equity","PX_LAST",20200824,20200918)</f>
        <v/>
      </c>
      <c r="EI2" t="inlineStr"/>
      <c r="EJ2">
        <f>BDH("XLI 10/16/20 P76 Equity","PX_LAST",20200921,20201016)</f>
        <v/>
      </c>
      <c r="EK2" t="inlineStr"/>
      <c r="EL2">
        <f>BDH("XLI 11/20/20 P81 Equity","PX_LAST",20201019,20201120)</f>
        <v/>
      </c>
      <c r="EM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SPY 1/17/15 P205</t>
        </is>
      </c>
      <c r="C1" s="1" t="inlineStr"/>
      <c r="D1" s="1" t="inlineStr">
        <is>
          <t>SPY 2/20/15 P202</t>
        </is>
      </c>
      <c r="E1" s="1" t="inlineStr"/>
      <c r="F1" s="1" t="inlineStr">
        <is>
          <t>SPY 3/20/15 P211</t>
        </is>
      </c>
      <c r="G1" s="1" t="inlineStr"/>
      <c r="H1" s="1" t="inlineStr">
        <is>
          <t>SPY 4/17/15 P210</t>
        </is>
      </c>
      <c r="I1" s="1" t="inlineStr"/>
      <c r="J1" s="1" t="inlineStr">
        <is>
          <t>SPY 5/15/15 P210</t>
        </is>
      </c>
      <c r="K1" s="1" t="inlineStr"/>
      <c r="L1" s="1" t="inlineStr">
        <is>
          <t>SPY 6/19/15 P213</t>
        </is>
      </c>
      <c r="M1" s="1" t="inlineStr"/>
      <c r="N1" s="1" t="inlineStr">
        <is>
          <t>SPY 7/17/15 P212</t>
        </is>
      </c>
      <c r="O1" s="1" t="inlineStr"/>
      <c r="P1" s="1" t="inlineStr">
        <is>
          <t>SPY 8/21/15 P213</t>
        </is>
      </c>
      <c r="Q1" s="1" t="inlineStr"/>
      <c r="R1" s="1" t="inlineStr">
        <is>
          <t>SPY 9/18/15 P190</t>
        </is>
      </c>
      <c r="S1" s="1" t="inlineStr"/>
      <c r="T1" s="1" t="inlineStr">
        <is>
          <t>SPY 10/16/15 P196</t>
        </is>
      </c>
      <c r="U1" s="1" t="inlineStr"/>
      <c r="V1" s="1" t="inlineStr">
        <is>
          <t>SPY 11/20/15 P203</t>
        </is>
      </c>
      <c r="W1" s="1" t="inlineStr"/>
      <c r="X1" s="1" t="inlineStr">
        <is>
          <t>SPY 12/18/15 P209</t>
        </is>
      </c>
      <c r="Y1" s="1" t="inlineStr"/>
      <c r="Z1" s="1" t="inlineStr">
        <is>
          <t>SPY 1/15/16 P202</t>
        </is>
      </c>
      <c r="AA1" s="1" t="inlineStr"/>
      <c r="AB1" s="1" t="inlineStr">
        <is>
          <t>SPY 2/19/16 P188</t>
        </is>
      </c>
      <c r="AC1" s="1" t="inlineStr"/>
      <c r="AD1" s="1" t="inlineStr">
        <is>
          <t>SPY 3/18/16 P195</t>
        </is>
      </c>
      <c r="AE1" s="1" t="inlineStr"/>
      <c r="AF1" s="1" t="inlineStr">
        <is>
          <t>SPY 4/15/16 P205</t>
        </is>
      </c>
      <c r="AG1" s="1" t="inlineStr"/>
      <c r="AH1" s="1" t="inlineStr">
        <is>
          <t>SPY 5/20/16 P209</t>
        </is>
      </c>
      <c r="AI1" s="1" t="inlineStr"/>
      <c r="AJ1" s="1" t="inlineStr">
        <is>
          <t>SPY 6/17/16 P205</t>
        </is>
      </c>
      <c r="AK1" s="1" t="inlineStr"/>
      <c r="AL1" s="1" t="inlineStr">
        <is>
          <t>SPY 7/15/16 P208</t>
        </is>
      </c>
      <c r="AM1" s="1" t="inlineStr"/>
      <c r="AN1" s="1" t="inlineStr">
        <is>
          <t>SPY 8/19/16 P216</t>
        </is>
      </c>
      <c r="AO1" s="1" t="inlineStr"/>
      <c r="AP1" s="1" t="inlineStr">
        <is>
          <t>SPY 9/16/16 P219</t>
        </is>
      </c>
      <c r="AQ1" s="1" t="inlineStr"/>
      <c r="AR1" s="1" t="inlineStr">
        <is>
          <t>SPY 10/21/16 P213</t>
        </is>
      </c>
      <c r="AS1" s="1" t="inlineStr"/>
      <c r="AT1" s="1" t="inlineStr">
        <is>
          <t>SPY 11/18/16 P215</t>
        </is>
      </c>
      <c r="AU1" s="1" t="inlineStr"/>
      <c r="AV1" s="1" t="inlineStr">
        <is>
          <t>SPY 12/16/16 P220</t>
        </is>
      </c>
      <c r="AW1" s="1" t="inlineStr"/>
      <c r="AX1" s="1" t="inlineStr">
        <is>
          <t>SPY 1/20/17 P226</t>
        </is>
      </c>
      <c r="AY1" s="1" t="inlineStr"/>
      <c r="AZ1" s="1" t="inlineStr">
        <is>
          <t>SPY 2/17/17 P226</t>
        </is>
      </c>
      <c r="BA1" s="1" t="inlineStr"/>
      <c r="BB1" s="1" t="inlineStr">
        <is>
          <t>SPY 3/17/17 P236</t>
        </is>
      </c>
      <c r="BC1" s="1" t="inlineStr"/>
      <c r="BD1" s="1" t="inlineStr">
        <is>
          <t>SPY 4/21/17 P237</t>
        </is>
      </c>
      <c r="BE1" s="1" t="inlineStr"/>
      <c r="BF1" s="1" t="inlineStr">
        <is>
          <t>SPY 5/19/17 P237</t>
        </is>
      </c>
      <c r="BG1" s="1" t="inlineStr"/>
      <c r="BH1" s="1" t="inlineStr">
        <is>
          <t>SPY 6/16/17 P240</t>
        </is>
      </c>
      <c r="BI1" s="1" t="inlineStr"/>
      <c r="BJ1" s="1" t="inlineStr">
        <is>
          <t>SPY 7/21/17 P245</t>
        </is>
      </c>
      <c r="BK1" s="1" t="inlineStr"/>
      <c r="BL1" s="1" t="inlineStr">
        <is>
          <t>SPY 8/18/17 P247</t>
        </is>
      </c>
      <c r="BM1" s="1" t="inlineStr"/>
      <c r="BN1" s="1" t="inlineStr">
        <is>
          <t>SPY 9/15/17 P243</t>
        </is>
      </c>
      <c r="BO1" s="1" t="inlineStr"/>
      <c r="BP1" s="1" t="inlineStr">
        <is>
          <t>SPY 10/20/17 P250</t>
        </is>
      </c>
      <c r="BQ1" s="1" t="inlineStr"/>
      <c r="BR1" s="1" t="inlineStr">
        <is>
          <t>SPY 11/17/17 P256</t>
        </is>
      </c>
      <c r="BS1" s="1" t="inlineStr"/>
      <c r="BT1" s="1" t="inlineStr">
        <is>
          <t>SPY 12/15/17 P258</t>
        </is>
      </c>
      <c r="BU1" s="1" t="inlineStr"/>
      <c r="BV1" s="1" t="inlineStr">
        <is>
          <t>SPY 1/19/18 P268</t>
        </is>
      </c>
      <c r="BW1" s="1" t="inlineStr"/>
      <c r="BX1" s="1" t="inlineStr">
        <is>
          <t>SPY 2/16/18 P283</t>
        </is>
      </c>
      <c r="BY1" s="1" t="inlineStr"/>
      <c r="BZ1" s="1" t="inlineStr">
        <is>
          <t>SPY 3/16/18 P271</t>
        </is>
      </c>
      <c r="CA1" s="1" t="inlineStr"/>
      <c r="CB1" s="1" t="inlineStr">
        <is>
          <t>SPY 4/20/18 P270</t>
        </is>
      </c>
      <c r="CC1" s="1" t="inlineStr"/>
      <c r="CD1" s="1" t="inlineStr">
        <is>
          <t>SPY 5/18/18 P267</t>
        </is>
      </c>
      <c r="CE1" s="1" t="inlineStr"/>
      <c r="CF1" s="1" t="inlineStr">
        <is>
          <t>SPY 6/15/18 P273</t>
        </is>
      </c>
      <c r="CG1" s="1" t="inlineStr"/>
      <c r="CH1" s="1" t="inlineStr">
        <is>
          <t>SPY 7/20/18 P277</t>
        </is>
      </c>
      <c r="CI1" s="1" t="inlineStr"/>
      <c r="CJ1" s="1" t="inlineStr">
        <is>
          <t>SPY 8/17/18 P280</t>
        </is>
      </c>
      <c r="CK1" s="1" t="inlineStr"/>
      <c r="CL1" s="1" t="inlineStr">
        <is>
          <t>SPY 9/21/18 P286</t>
        </is>
      </c>
      <c r="CM1" s="1" t="inlineStr"/>
      <c r="CN1" s="1" t="inlineStr">
        <is>
          <t>SPY 10/19/18 P291</t>
        </is>
      </c>
      <c r="CO1" s="1" t="inlineStr"/>
      <c r="CP1" s="1" t="inlineStr">
        <is>
          <t>SPY 11/16/18 P275</t>
        </is>
      </c>
      <c r="CQ1" s="1" t="inlineStr"/>
      <c r="CR1" s="1" t="inlineStr">
        <is>
          <t>SPY 12/21/18 P269</t>
        </is>
      </c>
      <c r="CS1" s="1" t="inlineStr"/>
      <c r="CT1" s="1" t="inlineStr">
        <is>
          <t>SPY 1/18/19 P234</t>
        </is>
      </c>
      <c r="CU1" s="1" t="inlineStr"/>
      <c r="CV1" s="1" t="inlineStr">
        <is>
          <t>SPY 2/15/19 P263</t>
        </is>
      </c>
      <c r="CW1" s="1" t="inlineStr"/>
      <c r="CX1" s="1" t="inlineStr">
        <is>
          <t>SPY 3/15/19 P278</t>
        </is>
      </c>
      <c r="CY1" s="1" t="inlineStr"/>
      <c r="CZ1" s="1" t="inlineStr">
        <is>
          <t>SPY 4/18/19 P282</t>
        </is>
      </c>
      <c r="DA1" s="1" t="inlineStr"/>
      <c r="DB1" s="1" t="inlineStr">
        <is>
          <t>SPY 5/17/19 P290</t>
        </is>
      </c>
      <c r="DC1" s="1" t="inlineStr"/>
      <c r="DD1" s="1" t="inlineStr">
        <is>
          <t>SPY 6/21/19 P284</t>
        </is>
      </c>
      <c r="DE1" s="1" t="inlineStr"/>
      <c r="DF1" s="1" t="inlineStr">
        <is>
          <t>SPY 7/19/19 P294</t>
        </is>
      </c>
      <c r="DG1" s="1" t="inlineStr"/>
      <c r="DH1" s="1" t="inlineStr">
        <is>
          <t>SPY 8/16/19 P298</t>
        </is>
      </c>
      <c r="DI1" s="1" t="inlineStr"/>
      <c r="DJ1" s="1" t="inlineStr">
        <is>
          <t>SPY 9/20/19 P292</t>
        </is>
      </c>
      <c r="DK1" s="1" t="inlineStr"/>
      <c r="DL1" s="1" t="inlineStr">
        <is>
          <t>SPY 10/18/19 P298</t>
        </is>
      </c>
      <c r="DM1" s="1" t="inlineStr"/>
      <c r="DN1" s="1" t="inlineStr">
        <is>
          <t>SPY 11/15/19 P300</t>
        </is>
      </c>
      <c r="DO1" s="1" t="inlineStr"/>
      <c r="DP1" s="1" t="inlineStr">
        <is>
          <t>SPY 12/20/19 P312</t>
        </is>
      </c>
      <c r="DQ1" s="1" t="inlineStr"/>
      <c r="DR1" s="1" t="inlineStr">
        <is>
          <t>SPY 1/17/20 P321</t>
        </is>
      </c>
      <c r="DS1" s="1" t="inlineStr"/>
      <c r="DT1" s="1" t="inlineStr">
        <is>
          <t>SPY 2/21/20 P331</t>
        </is>
      </c>
      <c r="DU1" s="1" t="inlineStr"/>
      <c r="DV1" s="1" t="inlineStr">
        <is>
          <t>SPY 3/20/20 P322</t>
        </is>
      </c>
      <c r="DW1" s="1" t="inlineStr"/>
      <c r="DX1" s="1" t="inlineStr">
        <is>
          <t>SPY 4/17/20 P223</t>
        </is>
      </c>
      <c r="DY1" s="1" t="inlineStr"/>
      <c r="DZ1" s="1" t="inlineStr">
        <is>
          <t>SPY 5/15/20 P282</t>
        </is>
      </c>
      <c r="EA1" s="1" t="inlineStr"/>
      <c r="EB1" s="1" t="inlineStr">
        <is>
          <t>SPY 6/19/20 P295</t>
        </is>
      </c>
      <c r="EC1" s="1" t="inlineStr"/>
      <c r="ED1" s="1" t="inlineStr">
        <is>
          <t>SPY 7/17/20 P311</t>
        </is>
      </c>
      <c r="EE1" s="1" t="inlineStr"/>
      <c r="EF1" s="1" t="inlineStr">
        <is>
          <t>SPY 8/21/20 P324</t>
        </is>
      </c>
      <c r="EG1" s="1" t="inlineStr"/>
      <c r="EH1" s="1" t="inlineStr">
        <is>
          <t>SPY 9/18/20 P343</t>
        </is>
      </c>
      <c r="EI1" s="1" t="inlineStr"/>
      <c r="EJ1" s="1" t="inlineStr">
        <is>
          <t>SPY 10/16/20 P327</t>
        </is>
      </c>
      <c r="EK1" s="1" t="inlineStr"/>
      <c r="EL1" s="1" t="inlineStr">
        <is>
          <t>SPY 11/20/20 P342</t>
        </is>
      </c>
      <c r="EM1" s="1" t="inlineStr"/>
    </row>
    <row r="2">
      <c r="A2" s="1" t="n">
        <v>0</v>
      </c>
      <c r="B2">
        <f>BDH("SPY 1/17/15 P205 Equity","PX_LAST",20150102,20150117)</f>
        <v/>
      </c>
      <c r="C2" t="inlineStr"/>
      <c r="D2">
        <f>BDH("SPY 2/20/15 P202 Equity","PX_LAST",20150120,20150220)</f>
        <v/>
      </c>
      <c r="E2" t="inlineStr"/>
      <c r="F2">
        <f>BDH("SPY 3/20/15 P211 Equity","PX_LAST",20150223,20150320)</f>
        <v/>
      </c>
      <c r="G2" t="inlineStr"/>
      <c r="H2">
        <f>BDH("SPY 4/17/15 P210 Equity","PX_LAST",20150323,20150417)</f>
        <v/>
      </c>
      <c r="I2" t="inlineStr"/>
      <c r="J2">
        <f>BDH("SPY 5/15/15 P210 Equity","PX_LAST",20150420,20150515)</f>
        <v/>
      </c>
      <c r="K2" t="inlineStr"/>
      <c r="L2">
        <f>BDH("SPY 6/19/15 P213 Equity","PX_LAST",20150518,20150619)</f>
        <v/>
      </c>
      <c r="M2" t="inlineStr"/>
      <c r="N2">
        <f>BDH("SPY 7/17/15 P212 Equity","PX_LAST",20150622,20150717)</f>
        <v/>
      </c>
      <c r="O2" t="inlineStr"/>
      <c r="P2">
        <f>BDH("SPY 8/21/15 P213 Equity","PX_LAST",20150720,20150821)</f>
        <v/>
      </c>
      <c r="Q2" t="inlineStr"/>
      <c r="R2">
        <f>BDH("SPY 9/18/15 P190 Equity","PX_LAST",20150824,20150918)</f>
        <v/>
      </c>
      <c r="S2" t="inlineStr"/>
      <c r="T2">
        <f>BDH("SPY 10/16/15 P196 Equity","PX_LAST",20150921,20151016)</f>
        <v/>
      </c>
      <c r="U2" t="inlineStr"/>
      <c r="V2">
        <f>BDH("SPY 11/20/15 P203 Equity","PX_LAST",20151019,20151120)</f>
        <v/>
      </c>
      <c r="W2" t="inlineStr"/>
      <c r="X2">
        <f>BDH("SPY 12/18/15 P209 Equity","PX_LAST",20151123,20151218)</f>
        <v/>
      </c>
      <c r="Y2" t="inlineStr"/>
      <c r="Z2">
        <f>BDH("SPY 1/15/16 P202 Equity","PX_LAST",20151221,20160115)</f>
        <v/>
      </c>
      <c r="AA2" t="inlineStr"/>
      <c r="AB2">
        <f>BDH("SPY 2/19/16 P188 Equity","PX_LAST",20160119,20160219)</f>
        <v/>
      </c>
      <c r="AC2" t="inlineStr"/>
      <c r="AD2">
        <f>BDH("SPY 3/18/16 P195 Equity","PX_LAST",20160222,20160318)</f>
        <v/>
      </c>
      <c r="AE2" t="inlineStr"/>
      <c r="AF2">
        <f>BDH("SPY 4/15/16 P205 Equity","PX_LAST",20160321,20160415)</f>
        <v/>
      </c>
      <c r="AG2" t="inlineStr"/>
      <c r="AH2">
        <f>BDH("SPY 5/20/16 P209 Equity","PX_LAST",20160418,20160520)</f>
        <v/>
      </c>
      <c r="AI2" t="inlineStr"/>
      <c r="AJ2">
        <f>BDH("SPY 6/17/16 P205 Equity","PX_LAST",20160523,20160617)</f>
        <v/>
      </c>
      <c r="AK2" t="inlineStr"/>
      <c r="AL2">
        <f>BDH("SPY 7/15/16 P208 Equity","PX_LAST",20160620,20160715)</f>
        <v/>
      </c>
      <c r="AM2" t="inlineStr"/>
      <c r="AN2">
        <f>BDH("SPY 8/19/16 P216 Equity","PX_LAST",20160718,20160819)</f>
        <v/>
      </c>
      <c r="AO2" t="inlineStr"/>
      <c r="AP2">
        <f>BDH("SPY 9/16/16 P219 Equity","PX_LAST",20160822,20160916)</f>
        <v/>
      </c>
      <c r="AQ2" t="inlineStr"/>
      <c r="AR2">
        <f>BDH("SPY 10/21/16 P213 Equity","PX_LAST",20160919,20161021)</f>
        <v/>
      </c>
      <c r="AS2" t="inlineStr"/>
      <c r="AT2">
        <f>BDH("SPY 11/18/16 P215 Equity","PX_LAST",20161024,20161118)</f>
        <v/>
      </c>
      <c r="AU2" t="inlineStr"/>
      <c r="AV2">
        <f>BDH("SPY 12/16/16 P220 Equity","PX_LAST",20161121,20161216)</f>
        <v/>
      </c>
      <c r="AW2" t="inlineStr"/>
      <c r="AX2">
        <f>BDH("SPY 1/20/17 P226 Equity","PX_LAST",20161219,20170120)</f>
        <v/>
      </c>
      <c r="AY2" t="inlineStr"/>
      <c r="AZ2">
        <f>BDH("SPY 2/17/17 P226 Equity","PX_LAST",20170123,20170217)</f>
        <v/>
      </c>
      <c r="BA2" t="inlineStr"/>
      <c r="BB2">
        <f>BDH("SPY 3/17/17 P236 Equity","PX_LAST",20170221,20170317)</f>
        <v/>
      </c>
      <c r="BC2" t="inlineStr"/>
      <c r="BD2">
        <f>BDH("SPY 4/21/17 P237 Equity","PX_LAST",20170320,20170421)</f>
        <v/>
      </c>
      <c r="BE2" t="inlineStr"/>
      <c r="BF2">
        <f>BDH("SPY 5/19/17 P237 Equity","PX_LAST",20170424,20170519)</f>
        <v/>
      </c>
      <c r="BG2" t="inlineStr"/>
      <c r="BH2">
        <f>BDH("SPY 6/16/17 P240 Equity","PX_LAST",20170522,20170616)</f>
        <v/>
      </c>
      <c r="BI2" t="inlineStr"/>
      <c r="BJ2">
        <f>BDH("SPY 7/21/17 P245 Equity","PX_LAST",20170619,20170721)</f>
        <v/>
      </c>
      <c r="BK2" t="inlineStr"/>
      <c r="BL2">
        <f>BDH("SPY 8/18/17 P247 Equity","PX_LAST",20170724,20170818)</f>
        <v/>
      </c>
      <c r="BM2" t="inlineStr"/>
      <c r="BN2">
        <f>BDH("SPY 9/15/17 P243 Equity","PX_LAST",20170821,20170915)</f>
        <v/>
      </c>
      <c r="BO2" t="inlineStr"/>
      <c r="BP2">
        <f>BDH("SPY 10/20/17 P250 Equity","PX_LAST",20170918,20171020)</f>
        <v/>
      </c>
      <c r="BQ2" t="inlineStr"/>
      <c r="BR2">
        <f>BDH("SPY 11/17/17 P256 Equity","PX_LAST",20171023,20171117)</f>
        <v/>
      </c>
      <c r="BS2" t="inlineStr"/>
      <c r="BT2">
        <f>BDH("SPY 12/15/17 P258 Equity","PX_LAST",20171120,20171215)</f>
        <v/>
      </c>
      <c r="BU2" t="inlineStr"/>
      <c r="BV2">
        <f>BDH("SPY 1/19/18 P268 Equity","PX_LAST",20171218,20180119)</f>
        <v/>
      </c>
      <c r="BW2" t="inlineStr"/>
      <c r="BX2">
        <f>BDH("SPY 2/16/18 P283 Equity","PX_LAST",20180122,20180216)</f>
        <v/>
      </c>
      <c r="BY2" t="inlineStr"/>
      <c r="BZ2">
        <f>BDH("SPY 3/16/18 P271 Equity","PX_LAST",20180220,20180316)</f>
        <v/>
      </c>
      <c r="CA2" t="inlineStr"/>
      <c r="CB2">
        <f>BDH("SPY 4/20/18 P270 Equity","PX_LAST",20180319,20180420)</f>
        <v/>
      </c>
      <c r="CC2" t="inlineStr"/>
      <c r="CD2">
        <f>BDH("SPY 5/18/18 P267 Equity","PX_LAST",20180423,20180518)</f>
        <v/>
      </c>
      <c r="CE2" t="inlineStr"/>
      <c r="CF2">
        <f>BDH("SPY 6/15/18 P273 Equity","PX_LAST",20180521,20180615)</f>
        <v/>
      </c>
      <c r="CG2" t="inlineStr"/>
      <c r="CH2">
        <f>BDH("SPY 7/20/18 P277 Equity","PX_LAST",20180618,20180720)</f>
        <v/>
      </c>
      <c r="CI2" t="inlineStr"/>
      <c r="CJ2">
        <f>BDH("SPY 8/17/18 P280 Equity","PX_LAST",20180723,20180817)</f>
        <v/>
      </c>
      <c r="CK2" t="inlineStr"/>
      <c r="CL2">
        <f>BDH("SPY 9/21/18 P286 Equity","PX_LAST",20180820,20180921)</f>
        <v/>
      </c>
      <c r="CM2" t="inlineStr"/>
      <c r="CN2">
        <f>BDH("SPY 10/19/18 P291 Equity","PX_LAST",20180924,20181019)</f>
        <v/>
      </c>
      <c r="CO2" t="inlineStr"/>
      <c r="CP2">
        <f>BDH("SPY 11/16/18 P275 Equity","PX_LAST",20181022,20181116)</f>
        <v/>
      </c>
      <c r="CQ2" t="inlineStr"/>
      <c r="CR2">
        <f>BDH("SPY 12/21/18 P269 Equity","PX_LAST",20181119,20181221)</f>
        <v/>
      </c>
      <c r="CS2" t="inlineStr"/>
      <c r="CT2">
        <f>BDH("SPY 1/18/19 P234 Equity","PX_LAST",20181224,20190118)</f>
        <v/>
      </c>
      <c r="CU2" t="inlineStr"/>
      <c r="CV2">
        <f>BDH("SPY 2/15/19 P263 Equity","PX_LAST",20190122,20190215)</f>
        <v/>
      </c>
      <c r="CW2" t="inlineStr"/>
      <c r="CX2">
        <f>BDH("SPY 3/15/19 P278 Equity","PX_LAST",20190219,20190315)</f>
        <v/>
      </c>
      <c r="CY2" t="inlineStr"/>
      <c r="CZ2">
        <f>BDH("SPY 4/18/19 P282 Equity","PX_LAST",20190318,20190418)</f>
        <v/>
      </c>
      <c r="DA2" t="inlineStr"/>
      <c r="DB2">
        <f>BDH("SPY 5/17/19 P290 Equity","PX_LAST",20190422,20190517)</f>
        <v/>
      </c>
      <c r="DC2" t="inlineStr"/>
      <c r="DD2">
        <f>BDH("SPY 6/21/19 P284 Equity","PX_LAST",20190520,20190621)</f>
        <v/>
      </c>
      <c r="DE2" t="inlineStr"/>
      <c r="DF2">
        <f>BDH("SPY 7/19/19 P294 Equity","PX_LAST",20190624,20190719)</f>
        <v/>
      </c>
      <c r="DG2" t="inlineStr"/>
      <c r="DH2">
        <f>BDH("SPY 8/16/19 P298 Equity","PX_LAST",20190722,20190816)</f>
        <v/>
      </c>
      <c r="DI2" t="inlineStr"/>
      <c r="DJ2">
        <f>BDH("SPY 9/20/19 P292 Equity","PX_LAST",20190819,20190920)</f>
        <v/>
      </c>
      <c r="DK2" t="inlineStr"/>
      <c r="DL2">
        <f>BDH("SPY 10/18/19 P298 Equity","PX_LAST",20190923,20191018)</f>
        <v/>
      </c>
      <c r="DM2" t="inlineStr"/>
      <c r="DN2">
        <f>BDH("SPY 11/15/19 P300 Equity","PX_LAST",20191021,20191115)</f>
        <v/>
      </c>
      <c r="DO2" t="inlineStr"/>
      <c r="DP2">
        <f>BDH("SPY 12/20/19 P312 Equity","PX_LAST",20191118,20191220)</f>
        <v/>
      </c>
      <c r="DQ2" t="inlineStr"/>
      <c r="DR2">
        <f>BDH("SPY 1/17/20 P321 Equity","PX_LAST",20191223,20200117)</f>
        <v/>
      </c>
      <c r="DS2" t="inlineStr"/>
      <c r="DT2">
        <f>BDH("SPY 2/21/20 P331 Equity","PX_LAST",20200121,20200221)</f>
        <v/>
      </c>
      <c r="DU2" t="inlineStr"/>
      <c r="DV2">
        <f>BDH("SPY 3/20/20 P322 Equity","PX_LAST",20200224,20200320)</f>
        <v/>
      </c>
      <c r="DW2" t="inlineStr"/>
      <c r="DX2">
        <f>BDH("SPY 4/17/20 P223 Equity","PX_LAST",20200323,20200417)</f>
        <v/>
      </c>
      <c r="DY2" t="inlineStr"/>
      <c r="DZ2">
        <f>BDH("SPY 5/15/20 P282 Equity","PX_LAST",20200420,20200515)</f>
        <v/>
      </c>
      <c r="EA2" t="inlineStr"/>
      <c r="EB2">
        <f>BDH("SPY 6/19/20 P295 Equity","PX_LAST",20200518,20200619)</f>
        <v/>
      </c>
      <c r="EC2" t="inlineStr"/>
      <c r="ED2">
        <f>BDH("SPY 7/17/20 P311 Equity","PX_LAST",20200622,20200717)</f>
        <v/>
      </c>
      <c r="EE2" t="inlineStr"/>
      <c r="EF2">
        <f>BDH("SPY 8/21/20 P324 Equity","PX_LAST",20200720,20200821)</f>
        <v/>
      </c>
      <c r="EG2" t="inlineStr"/>
      <c r="EH2">
        <f>BDH("SPY 9/18/20 P343 Equity","PX_LAST",20200824,20200918)</f>
        <v/>
      </c>
      <c r="EI2" t="inlineStr"/>
      <c r="EJ2">
        <f>BDH("SPY 10/16/20 P327 Equity","PX_LAST",20200921,20201016)</f>
        <v/>
      </c>
      <c r="EK2" t="inlineStr"/>
      <c r="EL2">
        <f>BDH("SPY 11/20/20 P342 Equity","PX_LAST",20201019,20201120)</f>
        <v/>
      </c>
      <c r="EM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XLK 1/17/15 C41</t>
        </is>
      </c>
      <c r="C1" s="1" t="inlineStr"/>
      <c r="D1" s="1" t="inlineStr">
        <is>
          <t>XLK 2/20/15 C41</t>
        </is>
      </c>
      <c r="E1" s="1" t="inlineStr"/>
      <c r="F1" s="1" t="inlineStr">
        <is>
          <t>XLK 3/20/15 C43</t>
        </is>
      </c>
      <c r="G1" s="1" t="inlineStr"/>
      <c r="H1" s="1" t="inlineStr">
        <is>
          <t>XLK 4/17/15 C43</t>
        </is>
      </c>
      <c r="I1" s="1" t="inlineStr"/>
      <c r="J1" s="1" t="inlineStr">
        <is>
          <t>XLK 5/15/15 C42</t>
        </is>
      </c>
      <c r="K1" s="1" t="inlineStr"/>
      <c r="L1" s="1" t="inlineStr">
        <is>
          <t>XLK 6/19/15 C44</t>
        </is>
      </c>
      <c r="M1" s="1" t="inlineStr"/>
      <c r="N1" s="1" t="inlineStr">
        <is>
          <t>XLK 7/17/15 C43</t>
        </is>
      </c>
      <c r="O1" s="1" t="inlineStr"/>
      <c r="P1" s="1" t="inlineStr">
        <is>
          <t>XLK 8/21/15 C44</t>
        </is>
      </c>
      <c r="Q1" s="1" t="inlineStr"/>
      <c r="R1" s="1" t="inlineStr">
        <is>
          <t>XLK 9/18/15 C38</t>
        </is>
      </c>
      <c r="S1" s="1" t="inlineStr"/>
      <c r="T1" s="1" t="inlineStr">
        <is>
          <t>XLK 10/16/15 C40</t>
        </is>
      </c>
      <c r="U1" s="1" t="inlineStr"/>
      <c r="V1" s="1" t="inlineStr">
        <is>
          <t>XLK 11/20/15 C42</t>
        </is>
      </c>
      <c r="W1" s="1" t="inlineStr"/>
      <c r="X1" s="1" t="inlineStr">
        <is>
          <t>XLK 12/18/15 C44</t>
        </is>
      </c>
      <c r="Y1" s="1" t="inlineStr"/>
      <c r="Z1" s="1" t="inlineStr">
        <is>
          <t>XLK 1/15/16 C43</t>
        </is>
      </c>
      <c r="AA1" s="1" t="inlineStr"/>
      <c r="AB1" s="1" t="inlineStr">
        <is>
          <t>XLK 2/19/16 C39</t>
        </is>
      </c>
      <c r="AC1" s="1" t="inlineStr"/>
      <c r="AD1" s="1" t="inlineStr">
        <is>
          <t>XLK 3/18/16 C41</t>
        </is>
      </c>
      <c r="AE1" s="1" t="inlineStr"/>
      <c r="AF1" s="1" t="inlineStr">
        <is>
          <t>XLK 4/15/16 C44</t>
        </is>
      </c>
      <c r="AG1" s="1" t="inlineStr"/>
      <c r="AH1" s="1" t="inlineStr">
        <is>
          <t>XLK 5/20/16 C45</t>
        </is>
      </c>
      <c r="AI1" s="1" t="inlineStr"/>
      <c r="AJ1" s="1" t="inlineStr">
        <is>
          <t>XLK 6/17/16 C43</t>
        </is>
      </c>
      <c r="AK1" s="1" t="inlineStr"/>
      <c r="AL1" s="1" t="inlineStr">
        <is>
          <t>XLK 7/15/16 C43</t>
        </is>
      </c>
      <c r="AM1" s="1" t="inlineStr"/>
      <c r="AN1" s="1" t="inlineStr">
        <is>
          <t>XLK 8/19/16 C45</t>
        </is>
      </c>
      <c r="AO1" s="1" t="inlineStr"/>
      <c r="AP1" s="1" t="inlineStr">
        <is>
          <t>XLK 9/16/16 C47</t>
        </is>
      </c>
      <c r="AQ1" s="1" t="inlineStr"/>
      <c r="AR1" s="1" t="inlineStr">
        <is>
          <t>XLK 10/21/16 C47</t>
        </is>
      </c>
      <c r="AS1" s="1" t="inlineStr"/>
      <c r="AT1" s="1" t="inlineStr">
        <is>
          <t>XLK 11/18/16 C48</t>
        </is>
      </c>
      <c r="AU1" s="1" t="inlineStr"/>
      <c r="AV1" s="1" t="inlineStr">
        <is>
          <t>XLK 12/16/16 C48</t>
        </is>
      </c>
      <c r="AW1" s="1" t="inlineStr"/>
      <c r="AX1" s="1" t="inlineStr">
        <is>
          <t>XLK 1/20/17 C49</t>
        </is>
      </c>
      <c r="AY1" s="1" t="inlineStr"/>
      <c r="AZ1" s="1" t="inlineStr">
        <is>
          <t>XLK 2/17/17 C50</t>
        </is>
      </c>
      <c r="BA1" s="1" t="inlineStr"/>
      <c r="BB1" s="1" t="inlineStr">
        <is>
          <t>XLK 3/17/17 C52</t>
        </is>
      </c>
      <c r="BC1" s="1" t="inlineStr"/>
      <c r="BD1" s="1" t="inlineStr">
        <is>
          <t>XLK 4/21/17 C53</t>
        </is>
      </c>
      <c r="BE1" s="1" t="inlineStr"/>
      <c r="BF1" s="1" t="inlineStr">
        <is>
          <t>XLK 5/19/17 C54</t>
        </is>
      </c>
      <c r="BG1" s="1" t="inlineStr"/>
      <c r="BH1" s="1" t="inlineStr">
        <is>
          <t>XLK 6/16/17 C56</t>
        </is>
      </c>
      <c r="BI1" s="1" t="inlineStr"/>
      <c r="BJ1" s="1" t="inlineStr">
        <is>
          <t>XLK 7/21/17 C56</t>
        </is>
      </c>
      <c r="BK1" s="1" t="inlineStr"/>
      <c r="BL1" s="1" t="inlineStr">
        <is>
          <t>XLK 8/18/17 C58</t>
        </is>
      </c>
      <c r="BM1" s="1" t="inlineStr"/>
      <c r="BN1" s="1" t="inlineStr">
        <is>
          <t>XLK 9/15/17 C57</t>
        </is>
      </c>
      <c r="BO1" s="1" t="inlineStr"/>
      <c r="BP1" s="1" t="inlineStr">
        <is>
          <t>XLK 10/20/17 C59</t>
        </is>
      </c>
      <c r="BQ1" s="1" t="inlineStr"/>
      <c r="BR1" s="1" t="inlineStr">
        <is>
          <t>XLK 11/17/17 C61</t>
        </is>
      </c>
      <c r="BS1" s="1" t="inlineStr"/>
      <c r="BT1" s="1" t="inlineStr">
        <is>
          <t>XLK 12/15/17 C64</t>
        </is>
      </c>
      <c r="BU1" s="1" t="inlineStr"/>
      <c r="BV1" s="1" t="inlineStr">
        <is>
          <t>XLK 1/19/18 C65</t>
        </is>
      </c>
      <c r="BW1" s="1" t="inlineStr"/>
      <c r="BX1" s="1" t="inlineStr">
        <is>
          <t>XLK 2/16/18 C68</t>
        </is>
      </c>
      <c r="BY1" s="1" t="inlineStr"/>
      <c r="BZ1" s="1" t="inlineStr">
        <is>
          <t>XLK 3/16/18 C67</t>
        </is>
      </c>
      <c r="CA1" s="1" t="inlineStr"/>
      <c r="CB1" s="1" t="inlineStr">
        <is>
          <t>XLK 4/20/18 C68</t>
        </is>
      </c>
      <c r="CC1" s="1" t="inlineStr"/>
      <c r="CD1" s="1" t="inlineStr">
        <is>
          <t>XLK 5/18/18 C66</t>
        </is>
      </c>
      <c r="CE1" s="1" t="inlineStr"/>
      <c r="CF1" s="1" t="inlineStr">
        <is>
          <t>XLK 6/15/18 C69</t>
        </is>
      </c>
      <c r="CG1" s="1" t="inlineStr"/>
      <c r="CH1" s="1" t="inlineStr">
        <is>
          <t>XLK 7/20/18 C72</t>
        </is>
      </c>
      <c r="CI1" s="1" t="inlineStr"/>
      <c r="CJ1" s="1" t="inlineStr">
        <is>
          <t>XLK 8/17/18 C73</t>
        </is>
      </c>
      <c r="CK1" s="1" t="inlineStr"/>
      <c r="CL1" s="1" t="inlineStr">
        <is>
          <t>XLK 9/21/18 C73</t>
        </is>
      </c>
      <c r="CM1" s="1" t="inlineStr"/>
      <c r="CN1" s="1" t="inlineStr">
        <is>
          <t>XLK 10/19/18 C75</t>
        </is>
      </c>
      <c r="CO1" s="1" t="inlineStr"/>
      <c r="CP1" s="1" t="inlineStr">
        <is>
          <t>XLK 11/16/18 C71</t>
        </is>
      </c>
      <c r="CQ1" s="1" t="inlineStr"/>
      <c r="CR1" s="1" t="inlineStr">
        <is>
          <t>XLK 12/21/18 C66</t>
        </is>
      </c>
      <c r="CS1" s="1" t="inlineStr"/>
      <c r="CT1" s="1" t="inlineStr">
        <is>
          <t>XLK 1/18/19 C58</t>
        </is>
      </c>
      <c r="CU1" s="1" t="inlineStr"/>
      <c r="CV1" s="1" t="inlineStr">
        <is>
          <t>XLK 2/15/19 C64</t>
        </is>
      </c>
      <c r="CW1" s="1" t="inlineStr"/>
      <c r="CX1" s="1" t="inlineStr">
        <is>
          <t>XLK 3/15/19 C70</t>
        </is>
      </c>
      <c r="CY1" s="1" t="inlineStr"/>
      <c r="CZ1" s="1" t="inlineStr">
        <is>
          <t>XLK 4/18/19 C73</t>
        </is>
      </c>
      <c r="DA1" s="1" t="inlineStr"/>
      <c r="DB1" s="1" t="inlineStr">
        <is>
          <t>XLK 5/17/19 C78</t>
        </is>
      </c>
      <c r="DC1" s="1" t="inlineStr"/>
      <c r="DD1" s="1" t="inlineStr">
        <is>
          <t>XLK 6/21/19 C74</t>
        </is>
      </c>
      <c r="DE1" s="1" t="inlineStr"/>
      <c r="DF1" s="1" t="inlineStr">
        <is>
          <t>XLK 7/19/19 C78</t>
        </is>
      </c>
      <c r="DG1" s="1" t="inlineStr"/>
      <c r="DH1" s="1" t="inlineStr">
        <is>
          <t>XLK 8/16/19 C82</t>
        </is>
      </c>
      <c r="DI1" s="1" t="inlineStr"/>
      <c r="DJ1" s="1" t="inlineStr">
        <is>
          <t>XLK 9/20/19 C79</t>
        </is>
      </c>
      <c r="DK1" s="1" t="inlineStr"/>
      <c r="DL1" s="1" t="inlineStr">
        <is>
          <t>XLK 10/18/19 C81</t>
        </is>
      </c>
      <c r="DM1" s="1" t="inlineStr"/>
      <c r="DN1" s="1" t="inlineStr">
        <is>
          <t>XLK 11/15/19 C82</t>
        </is>
      </c>
      <c r="DO1" s="1" t="inlineStr"/>
      <c r="DP1" s="1" t="inlineStr">
        <is>
          <t>XLK 12/20/19 C88</t>
        </is>
      </c>
      <c r="DQ1" s="1" t="inlineStr"/>
      <c r="DR1" s="1" t="inlineStr">
        <is>
          <t>XLK 1/17/20 C91</t>
        </is>
      </c>
      <c r="DS1" s="1" t="inlineStr"/>
      <c r="DT1" s="1" t="inlineStr">
        <is>
          <t>XLK 2/21/20 C97</t>
        </is>
      </c>
      <c r="DU1" s="1" t="inlineStr"/>
      <c r="DV1" s="1" t="inlineStr">
        <is>
          <t>XLK 3/20/20 C95</t>
        </is>
      </c>
      <c r="DW1" s="1" t="inlineStr"/>
      <c r="DX1" s="1" t="inlineStr">
        <is>
          <t>XLK 4/17/20 C70</t>
        </is>
      </c>
      <c r="DY1" s="1" t="inlineStr"/>
      <c r="DZ1" s="1" t="inlineStr">
        <is>
          <t>XLK 5/15/20 C88</t>
        </is>
      </c>
      <c r="EA1" s="1" t="inlineStr"/>
      <c r="EB1" s="1" t="inlineStr">
        <is>
          <t>XLK 6/19/20 C96</t>
        </is>
      </c>
      <c r="EC1" s="1" t="inlineStr"/>
      <c r="ED1" s="1" t="inlineStr">
        <is>
          <t>XLK 7/17/20 C104</t>
        </is>
      </c>
      <c r="EE1" s="1" t="inlineStr"/>
      <c r="EF1" s="1" t="inlineStr">
        <is>
          <t>XLK 8/21/20 C110</t>
        </is>
      </c>
      <c r="EG1" s="1" t="inlineStr"/>
      <c r="EH1" s="1" t="inlineStr">
        <is>
          <t>XLK 9/18/20 C119</t>
        </is>
      </c>
      <c r="EI1" s="1" t="inlineStr"/>
      <c r="EJ1" s="1" t="inlineStr">
        <is>
          <t>XLK 10/16/20 C112</t>
        </is>
      </c>
      <c r="EK1" s="1" t="inlineStr"/>
      <c r="EL1" s="1" t="inlineStr">
        <is>
          <t>XLK 11/20/20 C119</t>
        </is>
      </c>
      <c r="EM1" s="1" t="inlineStr"/>
    </row>
    <row r="2">
      <c r="A2" s="1" t="n">
        <v>0</v>
      </c>
      <c r="B2">
        <f>BDH("XLK 1/17/15 C41 Equity","PX_LAST",20150102,20150117)</f>
        <v/>
      </c>
      <c r="C2" t="inlineStr"/>
      <c r="D2">
        <f>BDH("XLK 2/20/15 C41 Equity","PX_LAST",20150120,20150220)</f>
        <v/>
      </c>
      <c r="E2" t="inlineStr"/>
      <c r="F2">
        <f>BDH("XLK 3/20/15 C43 Equity","PX_LAST",20150223,20150320)</f>
        <v/>
      </c>
      <c r="G2" t="inlineStr"/>
      <c r="H2">
        <f>BDH("XLK 4/17/15 C43 Equity","PX_LAST",20150323,20150417)</f>
        <v/>
      </c>
      <c r="I2" t="inlineStr"/>
      <c r="J2">
        <f>BDH("XLK 5/15/15 C42 Equity","PX_LAST",20150420,20150515)</f>
        <v/>
      </c>
      <c r="K2" t="inlineStr"/>
      <c r="L2">
        <f>BDH("XLK 6/19/15 C44 Equity","PX_LAST",20150518,20150619)</f>
        <v/>
      </c>
      <c r="M2" t="inlineStr"/>
      <c r="N2">
        <f>BDH("XLK 7/17/15 C43 Equity","PX_LAST",20150622,20150717)</f>
        <v/>
      </c>
      <c r="O2" t="inlineStr"/>
      <c r="P2">
        <f>BDH("XLK 8/21/15 C44 Equity","PX_LAST",20150720,20150821)</f>
        <v/>
      </c>
      <c r="Q2" t="inlineStr"/>
      <c r="R2">
        <f>BDH("XLK 9/18/15 C38 Equity","PX_LAST",20150824,20150918)</f>
        <v/>
      </c>
      <c r="S2" t="inlineStr"/>
      <c r="T2">
        <f>BDH("XLK 10/16/15 C40 Equity","PX_LAST",20150921,20151016)</f>
        <v/>
      </c>
      <c r="U2" t="inlineStr"/>
      <c r="V2">
        <f>BDH("XLK 11/20/15 C42 Equity","PX_LAST",20151019,20151120)</f>
        <v/>
      </c>
      <c r="W2" t="inlineStr"/>
      <c r="X2">
        <f>BDH("XLK 12/18/15 C44 Equity","PX_LAST",20151123,20151218)</f>
        <v/>
      </c>
      <c r="Y2" t="inlineStr"/>
      <c r="Z2">
        <f>BDH("XLK 1/15/16 C43 Equity","PX_LAST",20151221,20160115)</f>
        <v/>
      </c>
      <c r="AA2" t="inlineStr"/>
      <c r="AB2">
        <f>BDH("XLK 2/19/16 C39 Equity","PX_LAST",20160119,20160219)</f>
        <v/>
      </c>
      <c r="AC2" t="inlineStr"/>
      <c r="AD2">
        <f>BDH("XLK 3/18/16 C41 Equity","PX_LAST",20160222,20160318)</f>
        <v/>
      </c>
      <c r="AE2" t="inlineStr"/>
      <c r="AF2">
        <f>BDH("XLK 4/15/16 C44 Equity","PX_LAST",20160321,20160415)</f>
        <v/>
      </c>
      <c r="AG2" t="inlineStr"/>
      <c r="AH2">
        <f>BDH("XLK 5/20/16 C45 Equity","PX_LAST",20160418,20160520)</f>
        <v/>
      </c>
      <c r="AI2" t="inlineStr"/>
      <c r="AJ2">
        <f>BDH("XLK 6/17/16 C43 Equity","PX_LAST",20160523,20160617)</f>
        <v/>
      </c>
      <c r="AK2" t="inlineStr"/>
      <c r="AL2">
        <f>BDH("XLK 7/15/16 C43 Equity","PX_LAST",20160620,20160715)</f>
        <v/>
      </c>
      <c r="AM2" t="inlineStr"/>
      <c r="AN2">
        <f>BDH("XLK 8/19/16 C45 Equity","PX_LAST",20160718,20160819)</f>
        <v/>
      </c>
      <c r="AO2" t="inlineStr"/>
      <c r="AP2">
        <f>BDH("XLK 9/16/16 C47 Equity","PX_LAST",20160822,20160916)</f>
        <v/>
      </c>
      <c r="AQ2" t="inlineStr"/>
      <c r="AR2">
        <f>BDH("XLK 10/21/16 C47 Equity","PX_LAST",20160919,20161021)</f>
        <v/>
      </c>
      <c r="AS2" t="inlineStr"/>
      <c r="AT2">
        <f>BDH("XLK 11/18/16 C48 Equity","PX_LAST",20161024,20161118)</f>
        <v/>
      </c>
      <c r="AU2" t="inlineStr"/>
      <c r="AV2">
        <f>BDH("XLK 12/16/16 C48 Equity","PX_LAST",20161121,20161216)</f>
        <v/>
      </c>
      <c r="AW2" t="inlineStr"/>
      <c r="AX2">
        <f>BDH("XLK 1/20/17 C49 Equity","PX_LAST",20161219,20170120)</f>
        <v/>
      </c>
      <c r="AY2" t="inlineStr"/>
      <c r="AZ2">
        <f>BDH("XLK 2/17/17 C50 Equity","PX_LAST",20170123,20170217)</f>
        <v/>
      </c>
      <c r="BA2" t="inlineStr"/>
      <c r="BB2">
        <f>BDH("XLK 3/17/17 C52 Equity","PX_LAST",20170221,20170317)</f>
        <v/>
      </c>
      <c r="BC2" t="inlineStr"/>
      <c r="BD2">
        <f>BDH("XLK 4/21/17 C53 Equity","PX_LAST",20170320,20170421)</f>
        <v/>
      </c>
      <c r="BE2" t="inlineStr"/>
      <c r="BF2">
        <f>BDH("XLK 5/19/17 C54 Equity","PX_LAST",20170424,20170519)</f>
        <v/>
      </c>
      <c r="BG2" t="inlineStr"/>
      <c r="BH2">
        <f>BDH("XLK 6/16/17 C56 Equity","PX_LAST",20170522,20170616)</f>
        <v/>
      </c>
      <c r="BI2" t="inlineStr"/>
      <c r="BJ2">
        <f>BDH("XLK 7/21/17 C56 Equity","PX_LAST",20170619,20170721)</f>
        <v/>
      </c>
      <c r="BK2" t="inlineStr"/>
      <c r="BL2">
        <f>BDH("XLK 8/18/17 C58 Equity","PX_LAST",20170724,20170818)</f>
        <v/>
      </c>
      <c r="BM2" t="inlineStr"/>
      <c r="BN2">
        <f>BDH("XLK 9/15/17 C57 Equity","PX_LAST",20170821,20170915)</f>
        <v/>
      </c>
      <c r="BO2" t="inlineStr"/>
      <c r="BP2">
        <f>BDH("XLK 10/20/17 C59 Equity","PX_LAST",20170918,20171020)</f>
        <v/>
      </c>
      <c r="BQ2" t="inlineStr"/>
      <c r="BR2">
        <f>BDH("XLK 11/17/17 C61 Equity","PX_LAST",20171023,20171117)</f>
        <v/>
      </c>
      <c r="BS2" t="inlineStr"/>
      <c r="BT2">
        <f>BDH("XLK 12/15/17 C64 Equity","PX_LAST",20171120,20171215)</f>
        <v/>
      </c>
      <c r="BU2" t="inlineStr"/>
      <c r="BV2">
        <f>BDH("XLK 1/19/18 C65 Equity","PX_LAST",20171218,20180119)</f>
        <v/>
      </c>
      <c r="BW2" t="inlineStr"/>
      <c r="BX2">
        <f>BDH("XLK 2/16/18 C68 Equity","PX_LAST",20180122,20180216)</f>
        <v/>
      </c>
      <c r="BY2" t="inlineStr"/>
      <c r="BZ2">
        <f>BDH("XLK 3/16/18 C67 Equity","PX_LAST",20180220,20180316)</f>
        <v/>
      </c>
      <c r="CA2" t="inlineStr"/>
      <c r="CB2">
        <f>BDH("XLK 4/20/18 C68 Equity","PX_LAST",20180319,20180420)</f>
        <v/>
      </c>
      <c r="CC2" t="inlineStr"/>
      <c r="CD2">
        <f>BDH("XLK 5/18/18 C66 Equity","PX_LAST",20180423,20180518)</f>
        <v/>
      </c>
      <c r="CE2" t="inlineStr"/>
      <c r="CF2">
        <f>BDH("XLK 6/15/18 C69 Equity","PX_LAST",20180521,20180615)</f>
        <v/>
      </c>
      <c r="CG2" t="inlineStr"/>
      <c r="CH2">
        <f>BDH("XLK 7/20/18 C72 Equity","PX_LAST",20180618,20180720)</f>
        <v/>
      </c>
      <c r="CI2" t="inlineStr"/>
      <c r="CJ2">
        <f>BDH("XLK 8/17/18 C73 Equity","PX_LAST",20180723,20180817)</f>
        <v/>
      </c>
      <c r="CK2" t="inlineStr"/>
      <c r="CL2">
        <f>BDH("XLK 9/21/18 C73 Equity","PX_LAST",20180820,20180921)</f>
        <v/>
      </c>
      <c r="CM2" t="inlineStr"/>
      <c r="CN2">
        <f>BDH("XLK 10/19/18 C75 Equity","PX_LAST",20180924,20181019)</f>
        <v/>
      </c>
      <c r="CO2" t="inlineStr"/>
      <c r="CP2">
        <f>BDH("XLK 11/16/18 C71 Equity","PX_LAST",20181022,20181116)</f>
        <v/>
      </c>
      <c r="CQ2" t="inlineStr"/>
      <c r="CR2">
        <f>BDH("XLK 12/21/18 C66 Equity","PX_LAST",20181119,20181221)</f>
        <v/>
      </c>
      <c r="CS2" t="inlineStr"/>
      <c r="CT2">
        <f>BDH("XLK 1/18/19 C58 Equity","PX_LAST",20181224,20190118)</f>
        <v/>
      </c>
      <c r="CU2" t="inlineStr"/>
      <c r="CV2">
        <f>BDH("XLK 2/15/19 C64 Equity","PX_LAST",20190122,20190215)</f>
        <v/>
      </c>
      <c r="CW2" t="inlineStr"/>
      <c r="CX2">
        <f>BDH("XLK 3/15/19 C70 Equity","PX_LAST",20190219,20190315)</f>
        <v/>
      </c>
      <c r="CY2" t="inlineStr"/>
      <c r="CZ2">
        <f>BDH("XLK 4/18/19 C73 Equity","PX_LAST",20190318,20190418)</f>
        <v/>
      </c>
      <c r="DA2" t="inlineStr"/>
      <c r="DB2">
        <f>BDH("XLK 5/17/19 C78 Equity","PX_LAST",20190422,20190517)</f>
        <v/>
      </c>
      <c r="DC2" t="inlineStr"/>
      <c r="DD2">
        <f>BDH("XLK 6/21/19 C74 Equity","PX_LAST",20190520,20190621)</f>
        <v/>
      </c>
      <c r="DE2" t="inlineStr"/>
      <c r="DF2">
        <f>BDH("XLK 7/19/19 C78 Equity","PX_LAST",20190624,20190719)</f>
        <v/>
      </c>
      <c r="DG2" t="inlineStr"/>
      <c r="DH2">
        <f>BDH("XLK 8/16/19 C82 Equity","PX_LAST",20190722,20190816)</f>
        <v/>
      </c>
      <c r="DI2" t="inlineStr"/>
      <c r="DJ2">
        <f>BDH("XLK 9/20/19 C79 Equity","PX_LAST",20190819,20190920)</f>
        <v/>
      </c>
      <c r="DK2" t="inlineStr"/>
      <c r="DL2">
        <f>BDH("XLK 10/18/19 C81 Equity","PX_LAST",20190923,20191018)</f>
        <v/>
      </c>
      <c r="DM2" t="inlineStr"/>
      <c r="DN2">
        <f>BDH("XLK 11/15/19 C82 Equity","PX_LAST",20191021,20191115)</f>
        <v/>
      </c>
      <c r="DO2" t="inlineStr"/>
      <c r="DP2">
        <f>BDH("XLK 12/20/19 C88 Equity","PX_LAST",20191118,20191220)</f>
        <v/>
      </c>
      <c r="DQ2" t="inlineStr"/>
      <c r="DR2">
        <f>BDH("XLK 1/17/20 C91 Equity","PX_LAST",20191223,20200117)</f>
        <v/>
      </c>
      <c r="DS2" t="inlineStr"/>
      <c r="DT2">
        <f>BDH("XLK 2/21/20 C97 Equity","PX_LAST",20200121,20200221)</f>
        <v/>
      </c>
      <c r="DU2" t="inlineStr"/>
      <c r="DV2">
        <f>BDH("XLK 3/20/20 C95 Equity","PX_LAST",20200224,20200320)</f>
        <v/>
      </c>
      <c r="DW2" t="inlineStr"/>
      <c r="DX2">
        <f>BDH("XLK 4/17/20 C70 Equity","PX_LAST",20200323,20200417)</f>
        <v/>
      </c>
      <c r="DY2" t="inlineStr"/>
      <c r="DZ2">
        <f>BDH("XLK 5/15/20 C88 Equity","PX_LAST",20200420,20200515)</f>
        <v/>
      </c>
      <c r="EA2" t="inlineStr"/>
      <c r="EB2">
        <f>BDH("XLK 6/19/20 C96 Equity","PX_LAST",20200518,20200619)</f>
        <v/>
      </c>
      <c r="EC2" t="inlineStr"/>
      <c r="ED2">
        <f>BDH("XLK 7/17/20 C104 Equity","PX_LAST",20200622,20200717)</f>
        <v/>
      </c>
      <c r="EE2" t="inlineStr"/>
      <c r="EF2">
        <f>BDH("XLK 8/21/20 C110 Equity","PX_LAST",20200720,20200821)</f>
        <v/>
      </c>
      <c r="EG2" t="inlineStr"/>
      <c r="EH2">
        <f>BDH("XLK 9/18/20 C119 Equity","PX_LAST",20200824,20200918)</f>
        <v/>
      </c>
      <c r="EI2" t="inlineStr"/>
      <c r="EJ2">
        <f>BDH("XLK 10/16/20 C112 Equity","PX_LAST",20200921,20201016)</f>
        <v/>
      </c>
      <c r="EK2" t="inlineStr"/>
      <c r="EL2">
        <f>BDH("XLK 11/20/20 C119 Equity","PX_LAST",20201019,20201120)</f>
        <v/>
      </c>
      <c r="EM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XLK 1/17/15 P41</t>
        </is>
      </c>
      <c r="C1" s="1" t="inlineStr"/>
      <c r="D1" s="1" t="inlineStr">
        <is>
          <t>XLK 2/20/15 P41</t>
        </is>
      </c>
      <c r="E1" s="1" t="inlineStr"/>
      <c r="F1" s="1" t="inlineStr">
        <is>
          <t>XLK 3/20/15 P43</t>
        </is>
      </c>
      <c r="G1" s="1" t="inlineStr"/>
      <c r="H1" s="1" t="inlineStr">
        <is>
          <t>XLK 4/17/15 P43</t>
        </is>
      </c>
      <c r="I1" s="1" t="inlineStr"/>
      <c r="J1" s="1" t="inlineStr">
        <is>
          <t>XLK 5/15/15 P42</t>
        </is>
      </c>
      <c r="K1" s="1" t="inlineStr"/>
      <c r="L1" s="1" t="inlineStr">
        <is>
          <t>XLK 6/19/15 P44</t>
        </is>
      </c>
      <c r="M1" s="1" t="inlineStr"/>
      <c r="N1" s="1" t="inlineStr">
        <is>
          <t>XLK 7/17/15 P43</t>
        </is>
      </c>
      <c r="O1" s="1" t="inlineStr"/>
      <c r="P1" s="1" t="inlineStr">
        <is>
          <t>XLK 8/21/15 P44</t>
        </is>
      </c>
      <c r="Q1" s="1" t="inlineStr"/>
      <c r="R1" s="1" t="inlineStr">
        <is>
          <t>XLK 9/18/15 P38</t>
        </is>
      </c>
      <c r="S1" s="1" t="inlineStr"/>
      <c r="T1" s="1" t="inlineStr">
        <is>
          <t>XLK 10/16/15 P40</t>
        </is>
      </c>
      <c r="U1" s="1" t="inlineStr"/>
      <c r="V1" s="1" t="inlineStr">
        <is>
          <t>XLK 11/20/15 P42</t>
        </is>
      </c>
      <c r="W1" s="1" t="inlineStr"/>
      <c r="X1" s="1" t="inlineStr">
        <is>
          <t>XLK 12/18/15 P44</t>
        </is>
      </c>
      <c r="Y1" s="1" t="inlineStr"/>
      <c r="Z1" s="1" t="inlineStr">
        <is>
          <t>XLK 1/15/16 P43</t>
        </is>
      </c>
      <c r="AA1" s="1" t="inlineStr"/>
      <c r="AB1" s="1" t="inlineStr">
        <is>
          <t>XLK 2/19/16 P39</t>
        </is>
      </c>
      <c r="AC1" s="1" t="inlineStr"/>
      <c r="AD1" s="1" t="inlineStr">
        <is>
          <t>XLK 3/18/16 P41</t>
        </is>
      </c>
      <c r="AE1" s="1" t="inlineStr"/>
      <c r="AF1" s="1" t="inlineStr">
        <is>
          <t>XLK 4/15/16 P44</t>
        </is>
      </c>
      <c r="AG1" s="1" t="inlineStr"/>
      <c r="AH1" s="1" t="inlineStr">
        <is>
          <t>XLK 5/20/16 P45</t>
        </is>
      </c>
      <c r="AI1" s="1" t="inlineStr"/>
      <c r="AJ1" s="1" t="inlineStr">
        <is>
          <t>XLK 6/17/16 P43</t>
        </is>
      </c>
      <c r="AK1" s="1" t="inlineStr"/>
      <c r="AL1" s="1" t="inlineStr">
        <is>
          <t>XLK 7/15/16 P43</t>
        </is>
      </c>
      <c r="AM1" s="1" t="inlineStr"/>
      <c r="AN1" s="1" t="inlineStr">
        <is>
          <t>XLK 8/19/16 P45</t>
        </is>
      </c>
      <c r="AO1" s="1" t="inlineStr"/>
      <c r="AP1" s="1" t="inlineStr">
        <is>
          <t>XLK 9/16/16 P47</t>
        </is>
      </c>
      <c r="AQ1" s="1" t="inlineStr"/>
      <c r="AR1" s="1" t="inlineStr">
        <is>
          <t>XLK 10/21/16 P47</t>
        </is>
      </c>
      <c r="AS1" s="1" t="inlineStr"/>
      <c r="AT1" s="1" t="inlineStr">
        <is>
          <t>XLK 11/18/16 P48</t>
        </is>
      </c>
      <c r="AU1" s="1" t="inlineStr"/>
      <c r="AV1" s="1" t="inlineStr">
        <is>
          <t>XLK 12/16/16 P48</t>
        </is>
      </c>
      <c r="AW1" s="1" t="inlineStr"/>
      <c r="AX1" s="1" t="inlineStr">
        <is>
          <t>XLK 1/20/17 P49</t>
        </is>
      </c>
      <c r="AY1" s="1" t="inlineStr"/>
      <c r="AZ1" s="1" t="inlineStr">
        <is>
          <t>XLK 2/17/17 P50</t>
        </is>
      </c>
      <c r="BA1" s="1" t="inlineStr"/>
      <c r="BB1" s="1" t="inlineStr">
        <is>
          <t>XLK 3/17/17 P52</t>
        </is>
      </c>
      <c r="BC1" s="1" t="inlineStr"/>
      <c r="BD1" s="1" t="inlineStr">
        <is>
          <t>XLK 4/21/17 P53</t>
        </is>
      </c>
      <c r="BE1" s="1" t="inlineStr"/>
      <c r="BF1" s="1" t="inlineStr">
        <is>
          <t>XLK 5/19/17 P54</t>
        </is>
      </c>
      <c r="BG1" s="1" t="inlineStr"/>
      <c r="BH1" s="1" t="inlineStr">
        <is>
          <t>XLK 6/16/17 P56</t>
        </is>
      </c>
      <c r="BI1" s="1" t="inlineStr"/>
      <c r="BJ1" s="1" t="inlineStr">
        <is>
          <t>XLK 7/21/17 P56</t>
        </is>
      </c>
      <c r="BK1" s="1" t="inlineStr"/>
      <c r="BL1" s="1" t="inlineStr">
        <is>
          <t>XLK 8/18/17 P58</t>
        </is>
      </c>
      <c r="BM1" s="1" t="inlineStr"/>
      <c r="BN1" s="1" t="inlineStr">
        <is>
          <t>XLK 9/15/17 P57</t>
        </is>
      </c>
      <c r="BO1" s="1" t="inlineStr"/>
      <c r="BP1" s="1" t="inlineStr">
        <is>
          <t>XLK 10/20/17 P59</t>
        </is>
      </c>
      <c r="BQ1" s="1" t="inlineStr"/>
      <c r="BR1" s="1" t="inlineStr">
        <is>
          <t>XLK 11/17/17 P61</t>
        </is>
      </c>
      <c r="BS1" s="1" t="inlineStr"/>
      <c r="BT1" s="1" t="inlineStr">
        <is>
          <t>XLK 12/15/17 P64</t>
        </is>
      </c>
      <c r="BU1" s="1" t="inlineStr"/>
      <c r="BV1" s="1" t="inlineStr">
        <is>
          <t>XLK 1/19/18 P65</t>
        </is>
      </c>
      <c r="BW1" s="1" t="inlineStr"/>
      <c r="BX1" s="1" t="inlineStr">
        <is>
          <t>XLK 2/16/18 P68</t>
        </is>
      </c>
      <c r="BY1" s="1" t="inlineStr"/>
      <c r="BZ1" s="1" t="inlineStr">
        <is>
          <t>XLK 3/16/18 P67</t>
        </is>
      </c>
      <c r="CA1" s="1" t="inlineStr"/>
      <c r="CB1" s="1" t="inlineStr">
        <is>
          <t>XLK 4/20/18 P68</t>
        </is>
      </c>
      <c r="CC1" s="1" t="inlineStr"/>
      <c r="CD1" s="1" t="inlineStr">
        <is>
          <t>XLK 5/18/18 P66</t>
        </is>
      </c>
      <c r="CE1" s="1" t="inlineStr"/>
      <c r="CF1" s="1" t="inlineStr">
        <is>
          <t>XLK 6/15/18 P69</t>
        </is>
      </c>
      <c r="CG1" s="1" t="inlineStr"/>
      <c r="CH1" s="1" t="inlineStr">
        <is>
          <t>XLK 7/20/18 P72</t>
        </is>
      </c>
      <c r="CI1" s="1" t="inlineStr"/>
      <c r="CJ1" s="1" t="inlineStr">
        <is>
          <t>XLK 8/17/18 P73</t>
        </is>
      </c>
      <c r="CK1" s="1" t="inlineStr"/>
      <c r="CL1" s="1" t="inlineStr">
        <is>
          <t>XLK 9/21/18 P73</t>
        </is>
      </c>
      <c r="CM1" s="1" t="inlineStr"/>
      <c r="CN1" s="1" t="inlineStr">
        <is>
          <t>XLK 10/19/18 P75</t>
        </is>
      </c>
      <c r="CO1" s="1" t="inlineStr"/>
      <c r="CP1" s="1" t="inlineStr">
        <is>
          <t>XLK 11/16/18 P71</t>
        </is>
      </c>
      <c r="CQ1" s="1" t="inlineStr"/>
      <c r="CR1" s="1" t="inlineStr">
        <is>
          <t>XLK 12/21/18 P66</t>
        </is>
      </c>
      <c r="CS1" s="1" t="inlineStr"/>
      <c r="CT1" s="1" t="inlineStr">
        <is>
          <t>XLK 1/18/19 P58</t>
        </is>
      </c>
      <c r="CU1" s="1" t="inlineStr"/>
      <c r="CV1" s="1" t="inlineStr">
        <is>
          <t>XLK 2/15/19 P64</t>
        </is>
      </c>
      <c r="CW1" s="1" t="inlineStr"/>
      <c r="CX1" s="1" t="inlineStr">
        <is>
          <t>XLK 3/15/19 P70</t>
        </is>
      </c>
      <c r="CY1" s="1" t="inlineStr"/>
      <c r="CZ1" s="1" t="inlineStr">
        <is>
          <t>XLK 4/18/19 P73</t>
        </is>
      </c>
      <c r="DA1" s="1" t="inlineStr"/>
      <c r="DB1" s="1" t="inlineStr">
        <is>
          <t>XLK 5/17/19 P78</t>
        </is>
      </c>
      <c r="DC1" s="1" t="inlineStr"/>
      <c r="DD1" s="1" t="inlineStr">
        <is>
          <t>XLK 6/21/19 P74</t>
        </is>
      </c>
      <c r="DE1" s="1" t="inlineStr"/>
      <c r="DF1" s="1" t="inlineStr">
        <is>
          <t>XLK 7/19/19 P78</t>
        </is>
      </c>
      <c r="DG1" s="1" t="inlineStr"/>
      <c r="DH1" s="1" t="inlineStr">
        <is>
          <t>XLK 8/16/19 P82</t>
        </is>
      </c>
      <c r="DI1" s="1" t="inlineStr"/>
      <c r="DJ1" s="1" t="inlineStr">
        <is>
          <t>XLK 9/20/19 P79</t>
        </is>
      </c>
      <c r="DK1" s="1" t="inlineStr"/>
      <c r="DL1" s="1" t="inlineStr">
        <is>
          <t>XLK 10/18/19 P81</t>
        </is>
      </c>
      <c r="DM1" s="1" t="inlineStr"/>
      <c r="DN1" s="1" t="inlineStr">
        <is>
          <t>XLK 11/15/19 P82</t>
        </is>
      </c>
      <c r="DO1" s="1" t="inlineStr"/>
      <c r="DP1" s="1" t="inlineStr">
        <is>
          <t>XLK 12/20/19 P88</t>
        </is>
      </c>
      <c r="DQ1" s="1" t="inlineStr"/>
      <c r="DR1" s="1" t="inlineStr">
        <is>
          <t>XLK 1/17/20 P91</t>
        </is>
      </c>
      <c r="DS1" s="1" t="inlineStr"/>
      <c r="DT1" s="1" t="inlineStr">
        <is>
          <t>XLK 2/21/20 P97</t>
        </is>
      </c>
      <c r="DU1" s="1" t="inlineStr"/>
      <c r="DV1" s="1" t="inlineStr">
        <is>
          <t>XLK 3/20/20 P95</t>
        </is>
      </c>
      <c r="DW1" s="1" t="inlineStr"/>
      <c r="DX1" s="1" t="inlineStr">
        <is>
          <t>XLK 4/17/20 P70</t>
        </is>
      </c>
      <c r="DY1" s="1" t="inlineStr"/>
      <c r="DZ1" s="1" t="inlineStr">
        <is>
          <t>XLK 5/15/20 P88</t>
        </is>
      </c>
      <c r="EA1" s="1" t="inlineStr"/>
      <c r="EB1" s="1" t="inlineStr">
        <is>
          <t>XLK 6/19/20 P96</t>
        </is>
      </c>
      <c r="EC1" s="1" t="inlineStr"/>
      <c r="ED1" s="1" t="inlineStr">
        <is>
          <t>XLK 7/17/20 P104</t>
        </is>
      </c>
      <c r="EE1" s="1" t="inlineStr"/>
      <c r="EF1" s="1" t="inlineStr">
        <is>
          <t>XLK 8/21/20 P110</t>
        </is>
      </c>
      <c r="EG1" s="1" t="inlineStr"/>
      <c r="EH1" s="1" t="inlineStr">
        <is>
          <t>XLK 9/18/20 P119</t>
        </is>
      </c>
      <c r="EI1" s="1" t="inlineStr"/>
      <c r="EJ1" s="1" t="inlineStr">
        <is>
          <t>XLK 10/16/20 P112</t>
        </is>
      </c>
      <c r="EK1" s="1" t="inlineStr"/>
      <c r="EL1" s="1" t="inlineStr">
        <is>
          <t>XLK 11/20/20 P119</t>
        </is>
      </c>
      <c r="EM1" s="1" t="inlineStr"/>
    </row>
    <row r="2">
      <c r="A2" s="1" t="n">
        <v>0</v>
      </c>
      <c r="B2">
        <f>BDH("XLK 1/17/15 P41 Equity","PX_LAST",20150102,20150117)</f>
        <v/>
      </c>
      <c r="C2" t="inlineStr"/>
      <c r="D2">
        <f>BDH("XLK 2/20/15 P41 Equity","PX_LAST",20150120,20150220)</f>
        <v/>
      </c>
      <c r="E2" t="inlineStr"/>
      <c r="F2">
        <f>BDH("XLK 3/20/15 P43 Equity","PX_LAST",20150223,20150320)</f>
        <v/>
      </c>
      <c r="G2" t="inlineStr"/>
      <c r="H2">
        <f>BDH("XLK 4/17/15 P43 Equity","PX_LAST",20150323,20150417)</f>
        <v/>
      </c>
      <c r="I2" t="inlineStr"/>
      <c r="J2">
        <f>BDH("XLK 5/15/15 P42 Equity","PX_LAST",20150420,20150515)</f>
        <v/>
      </c>
      <c r="K2" t="inlineStr"/>
      <c r="L2">
        <f>BDH("XLK 6/19/15 P44 Equity","PX_LAST",20150518,20150619)</f>
        <v/>
      </c>
      <c r="M2" t="inlineStr"/>
      <c r="N2">
        <f>BDH("XLK 7/17/15 P43 Equity","PX_LAST",20150622,20150717)</f>
        <v/>
      </c>
      <c r="O2" t="inlineStr"/>
      <c r="P2">
        <f>BDH("XLK 8/21/15 P44 Equity","PX_LAST",20150720,20150821)</f>
        <v/>
      </c>
      <c r="Q2" t="inlineStr"/>
      <c r="R2">
        <f>BDH("XLK 9/18/15 P38 Equity","PX_LAST",20150824,20150918)</f>
        <v/>
      </c>
      <c r="S2" t="inlineStr"/>
      <c r="T2">
        <f>BDH("XLK 10/16/15 P40 Equity","PX_LAST",20150921,20151016)</f>
        <v/>
      </c>
      <c r="U2" t="inlineStr"/>
      <c r="V2">
        <f>BDH("XLK 11/20/15 P42 Equity","PX_LAST",20151019,20151120)</f>
        <v/>
      </c>
      <c r="W2" t="inlineStr"/>
      <c r="X2">
        <f>BDH("XLK 12/18/15 P44 Equity","PX_LAST",20151123,20151218)</f>
        <v/>
      </c>
      <c r="Y2" t="inlineStr"/>
      <c r="Z2">
        <f>BDH("XLK 1/15/16 P43 Equity","PX_LAST",20151221,20160115)</f>
        <v/>
      </c>
      <c r="AA2" t="inlineStr"/>
      <c r="AB2">
        <f>BDH("XLK 2/19/16 P39 Equity","PX_LAST",20160119,20160219)</f>
        <v/>
      </c>
      <c r="AC2" t="inlineStr"/>
      <c r="AD2">
        <f>BDH("XLK 3/18/16 P41 Equity","PX_LAST",20160222,20160318)</f>
        <v/>
      </c>
      <c r="AE2" t="inlineStr"/>
      <c r="AF2">
        <f>BDH("XLK 4/15/16 P44 Equity","PX_LAST",20160321,20160415)</f>
        <v/>
      </c>
      <c r="AG2" t="inlineStr"/>
      <c r="AH2">
        <f>BDH("XLK 5/20/16 P45 Equity","PX_LAST",20160418,20160520)</f>
        <v/>
      </c>
      <c r="AI2" t="inlineStr"/>
      <c r="AJ2">
        <f>BDH("XLK 6/17/16 P43 Equity","PX_LAST",20160523,20160617)</f>
        <v/>
      </c>
      <c r="AK2" t="inlineStr"/>
      <c r="AL2">
        <f>BDH("XLK 7/15/16 P43 Equity","PX_LAST",20160620,20160715)</f>
        <v/>
      </c>
      <c r="AM2" t="inlineStr"/>
      <c r="AN2">
        <f>BDH("XLK 8/19/16 P45 Equity","PX_LAST",20160718,20160819)</f>
        <v/>
      </c>
      <c r="AO2" t="inlineStr"/>
      <c r="AP2">
        <f>BDH("XLK 9/16/16 P47 Equity","PX_LAST",20160822,20160916)</f>
        <v/>
      </c>
      <c r="AQ2" t="inlineStr"/>
      <c r="AR2">
        <f>BDH("XLK 10/21/16 P47 Equity","PX_LAST",20160919,20161021)</f>
        <v/>
      </c>
      <c r="AS2" t="inlineStr"/>
      <c r="AT2">
        <f>BDH("XLK 11/18/16 P48 Equity","PX_LAST",20161024,20161118)</f>
        <v/>
      </c>
      <c r="AU2" t="inlineStr"/>
      <c r="AV2">
        <f>BDH("XLK 12/16/16 P48 Equity","PX_LAST",20161121,20161216)</f>
        <v/>
      </c>
      <c r="AW2" t="inlineStr"/>
      <c r="AX2">
        <f>BDH("XLK 1/20/17 P49 Equity","PX_LAST",20161219,20170120)</f>
        <v/>
      </c>
      <c r="AY2" t="inlineStr"/>
      <c r="AZ2">
        <f>BDH("XLK 2/17/17 P50 Equity","PX_LAST",20170123,20170217)</f>
        <v/>
      </c>
      <c r="BA2" t="inlineStr"/>
      <c r="BB2">
        <f>BDH("XLK 3/17/17 P52 Equity","PX_LAST",20170221,20170317)</f>
        <v/>
      </c>
      <c r="BC2" t="inlineStr"/>
      <c r="BD2">
        <f>BDH("XLK 4/21/17 P53 Equity","PX_LAST",20170320,20170421)</f>
        <v/>
      </c>
      <c r="BE2" t="inlineStr"/>
      <c r="BF2">
        <f>BDH("XLK 5/19/17 P54 Equity","PX_LAST",20170424,20170519)</f>
        <v/>
      </c>
      <c r="BG2" t="inlineStr"/>
      <c r="BH2">
        <f>BDH("XLK 6/16/17 P56 Equity","PX_LAST",20170522,20170616)</f>
        <v/>
      </c>
      <c r="BI2" t="inlineStr"/>
      <c r="BJ2">
        <f>BDH("XLK 7/21/17 P56 Equity","PX_LAST",20170619,20170721)</f>
        <v/>
      </c>
      <c r="BK2" t="inlineStr"/>
      <c r="BL2">
        <f>BDH("XLK 8/18/17 P58 Equity","PX_LAST",20170724,20170818)</f>
        <v/>
      </c>
      <c r="BM2" t="inlineStr"/>
      <c r="BN2">
        <f>BDH("XLK 9/15/17 P57 Equity","PX_LAST",20170821,20170915)</f>
        <v/>
      </c>
      <c r="BO2" t="inlineStr"/>
      <c r="BP2">
        <f>BDH("XLK 10/20/17 P59 Equity","PX_LAST",20170918,20171020)</f>
        <v/>
      </c>
      <c r="BQ2" t="inlineStr"/>
      <c r="BR2">
        <f>BDH("XLK 11/17/17 P61 Equity","PX_LAST",20171023,20171117)</f>
        <v/>
      </c>
      <c r="BS2" t="inlineStr"/>
      <c r="BT2">
        <f>BDH("XLK 12/15/17 P64 Equity","PX_LAST",20171120,20171215)</f>
        <v/>
      </c>
      <c r="BU2" t="inlineStr"/>
      <c r="BV2">
        <f>BDH("XLK 1/19/18 P65 Equity","PX_LAST",20171218,20180119)</f>
        <v/>
      </c>
      <c r="BW2" t="inlineStr"/>
      <c r="BX2">
        <f>BDH("XLK 2/16/18 P68 Equity","PX_LAST",20180122,20180216)</f>
        <v/>
      </c>
      <c r="BY2" t="inlineStr"/>
      <c r="BZ2">
        <f>BDH("XLK 3/16/18 P67 Equity","PX_LAST",20180220,20180316)</f>
        <v/>
      </c>
      <c r="CA2" t="inlineStr"/>
      <c r="CB2">
        <f>BDH("XLK 4/20/18 P68 Equity","PX_LAST",20180319,20180420)</f>
        <v/>
      </c>
      <c r="CC2" t="inlineStr"/>
      <c r="CD2">
        <f>BDH("XLK 5/18/18 P66 Equity","PX_LAST",20180423,20180518)</f>
        <v/>
      </c>
      <c r="CE2" t="inlineStr"/>
      <c r="CF2">
        <f>BDH("XLK 6/15/18 P69 Equity","PX_LAST",20180521,20180615)</f>
        <v/>
      </c>
      <c r="CG2" t="inlineStr"/>
      <c r="CH2">
        <f>BDH("XLK 7/20/18 P72 Equity","PX_LAST",20180618,20180720)</f>
        <v/>
      </c>
      <c r="CI2" t="inlineStr"/>
      <c r="CJ2">
        <f>BDH("XLK 8/17/18 P73 Equity","PX_LAST",20180723,20180817)</f>
        <v/>
      </c>
      <c r="CK2" t="inlineStr"/>
      <c r="CL2">
        <f>BDH("XLK 9/21/18 P73 Equity","PX_LAST",20180820,20180921)</f>
        <v/>
      </c>
      <c r="CM2" t="inlineStr"/>
      <c r="CN2">
        <f>BDH("XLK 10/19/18 P75 Equity","PX_LAST",20180924,20181019)</f>
        <v/>
      </c>
      <c r="CO2" t="inlineStr"/>
      <c r="CP2">
        <f>BDH("XLK 11/16/18 P71 Equity","PX_LAST",20181022,20181116)</f>
        <v/>
      </c>
      <c r="CQ2" t="inlineStr"/>
      <c r="CR2">
        <f>BDH("XLK 12/21/18 P66 Equity","PX_LAST",20181119,20181221)</f>
        <v/>
      </c>
      <c r="CS2" t="inlineStr"/>
      <c r="CT2">
        <f>BDH("XLK 1/18/19 P58 Equity","PX_LAST",20181224,20190118)</f>
        <v/>
      </c>
      <c r="CU2" t="inlineStr"/>
      <c r="CV2">
        <f>BDH("XLK 2/15/19 P64 Equity","PX_LAST",20190122,20190215)</f>
        <v/>
      </c>
      <c r="CW2" t="inlineStr"/>
      <c r="CX2">
        <f>BDH("XLK 3/15/19 P70 Equity","PX_LAST",20190219,20190315)</f>
        <v/>
      </c>
      <c r="CY2" t="inlineStr"/>
      <c r="CZ2">
        <f>BDH("XLK 4/18/19 P73 Equity","PX_LAST",20190318,20190418)</f>
        <v/>
      </c>
      <c r="DA2" t="inlineStr"/>
      <c r="DB2">
        <f>BDH("XLK 5/17/19 P78 Equity","PX_LAST",20190422,20190517)</f>
        <v/>
      </c>
      <c r="DC2" t="inlineStr"/>
      <c r="DD2">
        <f>BDH("XLK 6/21/19 P74 Equity","PX_LAST",20190520,20190621)</f>
        <v/>
      </c>
      <c r="DE2" t="inlineStr"/>
      <c r="DF2">
        <f>BDH("XLK 7/19/19 P78 Equity","PX_LAST",20190624,20190719)</f>
        <v/>
      </c>
      <c r="DG2" t="inlineStr"/>
      <c r="DH2">
        <f>BDH("XLK 8/16/19 P82 Equity","PX_LAST",20190722,20190816)</f>
        <v/>
      </c>
      <c r="DI2" t="inlineStr"/>
      <c r="DJ2">
        <f>BDH("XLK 9/20/19 P79 Equity","PX_LAST",20190819,20190920)</f>
        <v/>
      </c>
      <c r="DK2" t="inlineStr"/>
      <c r="DL2">
        <f>BDH("XLK 10/18/19 P81 Equity","PX_LAST",20190923,20191018)</f>
        <v/>
      </c>
      <c r="DM2" t="inlineStr"/>
      <c r="DN2">
        <f>BDH("XLK 11/15/19 P82 Equity","PX_LAST",20191021,20191115)</f>
        <v/>
      </c>
      <c r="DO2" t="inlineStr"/>
      <c r="DP2">
        <f>BDH("XLK 12/20/19 P88 Equity","PX_LAST",20191118,20191220)</f>
        <v/>
      </c>
      <c r="DQ2" t="inlineStr"/>
      <c r="DR2">
        <f>BDH("XLK 1/17/20 P91 Equity","PX_LAST",20191223,20200117)</f>
        <v/>
      </c>
      <c r="DS2" t="inlineStr"/>
      <c r="DT2">
        <f>BDH("XLK 2/21/20 P97 Equity","PX_LAST",20200121,20200221)</f>
        <v/>
      </c>
      <c r="DU2" t="inlineStr"/>
      <c r="DV2">
        <f>BDH("XLK 3/20/20 P95 Equity","PX_LAST",20200224,20200320)</f>
        <v/>
      </c>
      <c r="DW2" t="inlineStr"/>
      <c r="DX2">
        <f>BDH("XLK 4/17/20 P70 Equity","PX_LAST",20200323,20200417)</f>
        <v/>
      </c>
      <c r="DY2" t="inlineStr"/>
      <c r="DZ2">
        <f>BDH("XLK 5/15/20 P88 Equity","PX_LAST",20200420,20200515)</f>
        <v/>
      </c>
      <c r="EA2" t="inlineStr"/>
      <c r="EB2">
        <f>BDH("XLK 6/19/20 P96 Equity","PX_LAST",20200518,20200619)</f>
        <v/>
      </c>
      <c r="EC2" t="inlineStr"/>
      <c r="ED2">
        <f>BDH("XLK 7/17/20 P104 Equity","PX_LAST",20200622,20200717)</f>
        <v/>
      </c>
      <c r="EE2" t="inlineStr"/>
      <c r="EF2">
        <f>BDH("XLK 8/21/20 P110 Equity","PX_LAST",20200720,20200821)</f>
        <v/>
      </c>
      <c r="EG2" t="inlineStr"/>
      <c r="EH2">
        <f>BDH("XLK 9/18/20 P119 Equity","PX_LAST",20200824,20200918)</f>
        <v/>
      </c>
      <c r="EI2" t="inlineStr"/>
      <c r="EJ2">
        <f>BDH("XLK 10/16/20 P112 Equity","PX_LAST",20200921,20201016)</f>
        <v/>
      </c>
      <c r="EK2" t="inlineStr"/>
      <c r="EL2">
        <f>BDH("XLK 11/20/20 P119 Equity","PX_LAST",20201019,20201120)</f>
        <v/>
      </c>
      <c r="EM2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XLF 1/17/15 C20</t>
        </is>
      </c>
      <c r="C1" s="1" t="inlineStr"/>
      <c r="D1" s="1" t="inlineStr">
        <is>
          <t>XLF 2/20/15 C19</t>
        </is>
      </c>
      <c r="E1" s="1" t="inlineStr"/>
      <c r="F1" s="1" t="inlineStr">
        <is>
          <t>XLF 3/20/15 C20</t>
        </is>
      </c>
      <c r="G1" s="1" t="inlineStr"/>
      <c r="H1" s="1" t="inlineStr">
        <is>
          <t>XLF 4/17/15 C20</t>
        </is>
      </c>
      <c r="I1" s="1" t="inlineStr"/>
      <c r="J1" s="1" t="inlineStr">
        <is>
          <t>XLF 5/15/15 C20</t>
        </is>
      </c>
      <c r="K1" s="1" t="inlineStr"/>
      <c r="L1" s="1" t="inlineStr">
        <is>
          <t>XLF 6/19/15 C20</t>
        </is>
      </c>
      <c r="M1" s="1" t="inlineStr"/>
      <c r="N1" s="1" t="inlineStr">
        <is>
          <t>XLF 7/17/15 C20</t>
        </is>
      </c>
      <c r="O1" s="1" t="inlineStr"/>
      <c r="P1" s="1" t="inlineStr">
        <is>
          <t>XLF 8/21/15 C21</t>
        </is>
      </c>
      <c r="Q1" s="1" t="inlineStr"/>
      <c r="R1" s="1" t="inlineStr">
        <is>
          <t>XLF 9/18/15 C18</t>
        </is>
      </c>
      <c r="S1" s="1" t="inlineStr"/>
      <c r="T1" s="1" t="inlineStr">
        <is>
          <t>XLF 10/16/15 C19</t>
        </is>
      </c>
      <c r="U1" s="1" t="inlineStr"/>
      <c r="V1" s="1" t="inlineStr">
        <is>
          <t>XLF 11/20/15 C19</t>
        </is>
      </c>
      <c r="W1" s="1" t="inlineStr"/>
      <c r="X1" s="1" t="inlineStr">
        <is>
          <t>XLF 12/18/15 C20</t>
        </is>
      </c>
      <c r="Y1" s="1" t="inlineStr"/>
      <c r="Z1" s="1" t="inlineStr">
        <is>
          <t>XLF 1/15/16 C19</t>
        </is>
      </c>
      <c r="AA1" s="1" t="inlineStr"/>
      <c r="AB1" s="1" t="inlineStr">
        <is>
          <t>XLF 2/19/16 C17</t>
        </is>
      </c>
      <c r="AC1" s="1" t="inlineStr"/>
      <c r="AD1" s="1" t="inlineStr">
        <is>
          <t>XLF 3/18/16 C17</t>
        </is>
      </c>
      <c r="AE1" s="1" t="inlineStr"/>
      <c r="AF1" s="1" t="inlineStr">
        <is>
          <t>XLF 4/15/16 C18</t>
        </is>
      </c>
      <c r="AG1" s="1" t="inlineStr"/>
      <c r="AH1" s="1" t="inlineStr">
        <is>
          <t>XLF 5/20/16 C19</t>
        </is>
      </c>
      <c r="AI1" s="1" t="inlineStr"/>
      <c r="AJ1" s="1" t="inlineStr">
        <is>
          <t>XLF 6/17/16 C19</t>
        </is>
      </c>
      <c r="AK1" s="1" t="inlineStr"/>
      <c r="AL1" s="1" t="inlineStr">
        <is>
          <t>XLF 7/15/16 C18</t>
        </is>
      </c>
      <c r="AM1" s="1" t="inlineStr"/>
      <c r="AN1" s="1" t="inlineStr">
        <is>
          <t>XLF 8/19/16 C19</t>
        </is>
      </c>
      <c r="AO1" s="1" t="inlineStr"/>
      <c r="AP1" s="1" t="inlineStr">
        <is>
          <t>XLF 9/16/16 C20</t>
        </is>
      </c>
      <c r="AQ1" s="1" t="inlineStr"/>
      <c r="AR1" s="1" t="inlineStr">
        <is>
          <t>XLF 10/21/16 C19</t>
        </is>
      </c>
      <c r="AS1" s="1" t="inlineStr"/>
      <c r="AT1" s="1" t="inlineStr">
        <is>
          <t>XLF 11/18/16 C20</t>
        </is>
      </c>
      <c r="AU1" s="1" t="inlineStr"/>
      <c r="AV1" s="1" t="inlineStr">
        <is>
          <t>XLF 12/16/16 C22</t>
        </is>
      </c>
      <c r="AW1" s="1" t="inlineStr"/>
      <c r="AX1" s="1" t="inlineStr">
        <is>
          <t>XLF 1/20/17 C23</t>
        </is>
      </c>
      <c r="AY1" s="1" t="inlineStr"/>
      <c r="AZ1" s="1" t="inlineStr">
        <is>
          <t>XLF 2/17/17 C23</t>
        </is>
      </c>
      <c r="BA1" s="1" t="inlineStr"/>
      <c r="BB1" s="1" t="inlineStr">
        <is>
          <t>XLF 3/17/17 C25</t>
        </is>
      </c>
      <c r="BC1" s="1" t="inlineStr"/>
      <c r="BD1" s="1" t="inlineStr">
        <is>
          <t>XLF 4/21/17 C24</t>
        </is>
      </c>
      <c r="BE1" s="1" t="inlineStr"/>
      <c r="BF1" s="1" t="inlineStr">
        <is>
          <t>XLF 5/19/17 C24</t>
        </is>
      </c>
      <c r="BG1" s="1" t="inlineStr"/>
      <c r="BH1" s="1" t="inlineStr">
        <is>
          <t>XLF 6/16/17 C23</t>
        </is>
      </c>
      <c r="BI1" s="1" t="inlineStr"/>
      <c r="BJ1" s="1" t="inlineStr">
        <is>
          <t>XLF 7/21/17 C25</t>
        </is>
      </c>
      <c r="BK1" s="1" t="inlineStr"/>
      <c r="BL1" s="1" t="inlineStr">
        <is>
          <t>XLF 8/18/17 C25</t>
        </is>
      </c>
      <c r="BM1" s="1" t="inlineStr"/>
      <c r="BN1" s="1" t="inlineStr">
        <is>
          <t>XLF 9/15/17 C25</t>
        </is>
      </c>
      <c r="BO1" s="1" t="inlineStr"/>
      <c r="BP1" s="1" t="inlineStr">
        <is>
          <t>XLF 10/20/17 C25</t>
        </is>
      </c>
      <c r="BQ1" s="1" t="inlineStr"/>
      <c r="BR1" s="1" t="inlineStr">
        <is>
          <t>XLF 11/17/17 C27</t>
        </is>
      </c>
      <c r="BS1" s="1" t="inlineStr"/>
      <c r="BT1" s="1" t="inlineStr">
        <is>
          <t>XLF 12/15/17 C26</t>
        </is>
      </c>
      <c r="BU1" s="1" t="inlineStr"/>
      <c r="BV1" s="1" t="inlineStr">
        <is>
          <t>XLF 1/19/18 C28</t>
        </is>
      </c>
      <c r="BW1" s="1" t="inlineStr"/>
      <c r="BX1" s="1" t="inlineStr">
        <is>
          <t>XLF 2/16/18 C30</t>
        </is>
      </c>
      <c r="BY1" s="1" t="inlineStr"/>
      <c r="BZ1" s="1" t="inlineStr">
        <is>
          <t>XLF 3/16/18 C29</t>
        </is>
      </c>
      <c r="CA1" s="1" t="inlineStr"/>
      <c r="CB1" s="1" t="inlineStr">
        <is>
          <t>XLF 4/20/18 C29</t>
        </is>
      </c>
      <c r="CC1" s="1" t="inlineStr"/>
      <c r="CD1" s="1" t="inlineStr">
        <is>
          <t>XLF 5/18/18 C28</t>
        </is>
      </c>
      <c r="CE1" s="1" t="inlineStr"/>
      <c r="CF1" s="1" t="inlineStr">
        <is>
          <t>XLF 6/15/18 C28</t>
        </is>
      </c>
      <c r="CG1" s="1" t="inlineStr"/>
      <c r="CH1" s="1" t="inlineStr">
        <is>
          <t>XLF 7/20/18 C27</t>
        </is>
      </c>
      <c r="CI1" s="1" t="inlineStr"/>
      <c r="CJ1" s="1" t="inlineStr">
        <is>
          <t>XLF 8/17/18 C28</t>
        </is>
      </c>
      <c r="CK1" s="1" t="inlineStr"/>
      <c r="CL1" s="1" t="inlineStr">
        <is>
          <t>XLF 9/21/18 C28</t>
        </is>
      </c>
      <c r="CM1" s="1" t="inlineStr"/>
      <c r="CN1" s="1" t="inlineStr">
        <is>
          <t>XLF 10/19/18 C28</t>
        </is>
      </c>
      <c r="CO1" s="1" t="inlineStr"/>
      <c r="CP1" s="1" t="inlineStr">
        <is>
          <t>XLF 11/16/18 C26</t>
        </is>
      </c>
      <c r="CQ1" s="1" t="inlineStr"/>
      <c r="CR1" s="1" t="inlineStr">
        <is>
          <t>XLF 12/21/18 C27</t>
        </is>
      </c>
      <c r="CS1" s="1" t="inlineStr"/>
      <c r="CT1" s="1" t="inlineStr">
        <is>
          <t>XLF 1/18/19 C22</t>
        </is>
      </c>
      <c r="CU1" s="1" t="inlineStr"/>
      <c r="CV1" s="1" t="inlineStr">
        <is>
          <t>XLF 2/15/19 C26</t>
        </is>
      </c>
      <c r="CW1" s="1" t="inlineStr"/>
      <c r="CX1" s="1" t="inlineStr">
        <is>
          <t>XLF 3/15/19 C26</t>
        </is>
      </c>
      <c r="CY1" s="1" t="inlineStr"/>
      <c r="CZ1" s="1" t="inlineStr">
        <is>
          <t>XLF 4/18/19 C27</t>
        </is>
      </c>
      <c r="DA1" s="1" t="inlineStr"/>
      <c r="DB1" s="1" t="inlineStr">
        <is>
          <t>XLF 5/17/19 C27</t>
        </is>
      </c>
      <c r="DC1" s="1" t="inlineStr"/>
      <c r="DD1" s="1" t="inlineStr">
        <is>
          <t>XLF 6/21/19 C27</t>
        </is>
      </c>
      <c r="DE1" s="1" t="inlineStr"/>
      <c r="DF1" s="1" t="inlineStr">
        <is>
          <t>XLF 7/19/19 C27</t>
        </is>
      </c>
      <c r="DG1" s="1" t="inlineStr"/>
      <c r="DH1" s="1" t="inlineStr">
        <is>
          <t>XLF 8/16/19 C28</t>
        </is>
      </c>
      <c r="DI1" s="1" t="inlineStr"/>
      <c r="DJ1" s="1" t="inlineStr">
        <is>
          <t>XLF 9/20/19 C27</t>
        </is>
      </c>
      <c r="DK1" s="1" t="inlineStr"/>
      <c r="DL1" s="1" t="inlineStr">
        <is>
          <t>XLF 10/18/19 C28</t>
        </is>
      </c>
      <c r="DM1" s="1" t="inlineStr"/>
      <c r="DN1" s="1" t="inlineStr">
        <is>
          <t>XLF 11/15/19 C28</t>
        </is>
      </c>
      <c r="DO1" s="1" t="inlineStr"/>
      <c r="DP1" s="1" t="inlineStr">
        <is>
          <t>XLF 12/20/19 C30</t>
        </is>
      </c>
      <c r="DQ1" s="1" t="inlineStr"/>
      <c r="DR1" s="1" t="inlineStr">
        <is>
          <t>XLF 1/17/20 C31</t>
        </is>
      </c>
      <c r="DS1" s="1" t="inlineStr"/>
      <c r="DT1" s="1" t="inlineStr">
        <is>
          <t>XLF 2/21/20 C31</t>
        </is>
      </c>
      <c r="DU1" s="1" t="inlineStr"/>
      <c r="DV1" s="1" t="inlineStr">
        <is>
          <t>XLF 3/20/20 C30</t>
        </is>
      </c>
      <c r="DW1" s="1" t="inlineStr"/>
      <c r="DX1" s="1" t="inlineStr">
        <is>
          <t>XLF 4/17/20 C18</t>
        </is>
      </c>
      <c r="DY1" s="1" t="inlineStr"/>
      <c r="DZ1" s="1" t="inlineStr">
        <is>
          <t>XLF 5/15/20 C22</t>
        </is>
      </c>
      <c r="EA1" s="1" t="inlineStr"/>
      <c r="EB1" s="1" t="inlineStr">
        <is>
          <t>XLF 6/19/20 C22</t>
        </is>
      </c>
      <c r="EC1" s="1" t="inlineStr"/>
      <c r="ED1" s="1" t="inlineStr">
        <is>
          <t>XLF 7/17/20 C24</t>
        </is>
      </c>
      <c r="EE1" s="1" t="inlineStr"/>
      <c r="EF1" s="1" t="inlineStr">
        <is>
          <t>XLF 8/21/20 C24</t>
        </is>
      </c>
      <c r="EG1" s="1" t="inlineStr"/>
      <c r="EH1" s="1" t="inlineStr">
        <is>
          <t>XLF 9/18/20 C25</t>
        </is>
      </c>
      <c r="EI1" s="1" t="inlineStr"/>
      <c r="EJ1" s="1" t="inlineStr">
        <is>
          <t>XLF 10/16/20 C24</t>
        </is>
      </c>
      <c r="EK1" s="1" t="inlineStr"/>
      <c r="EL1" s="1" t="inlineStr">
        <is>
          <t>XLF 11/20/20 C25</t>
        </is>
      </c>
      <c r="EM1" s="1" t="inlineStr"/>
    </row>
    <row r="2">
      <c r="A2" s="1" t="n">
        <v>0</v>
      </c>
      <c r="B2">
        <f>BDH("XLF 1/17/15 C20 Equity","PX_LAST",20150102,20150117)</f>
        <v/>
      </c>
      <c r="C2" t="inlineStr"/>
      <c r="D2">
        <f>BDH("XLF 2/20/15 C19 Equity","PX_LAST",20150120,20150220)</f>
        <v/>
      </c>
      <c r="E2" t="inlineStr"/>
      <c r="F2">
        <f>BDH("XLF 3/20/15 C20 Equity","PX_LAST",20150223,20150320)</f>
        <v/>
      </c>
      <c r="G2" t="inlineStr"/>
      <c r="H2">
        <f>BDH("XLF 4/17/15 C20 Equity","PX_LAST",20150323,20150417)</f>
        <v/>
      </c>
      <c r="I2" t="inlineStr"/>
      <c r="J2">
        <f>BDH("XLF 5/15/15 C20 Equity","PX_LAST",20150420,20150515)</f>
        <v/>
      </c>
      <c r="K2" t="inlineStr"/>
      <c r="L2">
        <f>BDH("XLF 6/19/15 C20 Equity","PX_LAST",20150518,20150619)</f>
        <v/>
      </c>
      <c r="M2" t="inlineStr"/>
      <c r="N2">
        <f>BDH("XLF 7/17/15 C20 Equity","PX_LAST",20150622,20150717)</f>
        <v/>
      </c>
      <c r="O2" t="inlineStr"/>
      <c r="P2">
        <f>BDH("XLF 8/21/15 C21 Equity","PX_LAST",20150720,20150821)</f>
        <v/>
      </c>
      <c r="Q2" t="inlineStr"/>
      <c r="R2">
        <f>BDH("XLF 9/18/15 C18 Equity","PX_LAST",20150824,20150918)</f>
        <v/>
      </c>
      <c r="S2" t="inlineStr"/>
      <c r="T2">
        <f>BDH("XLF 10/16/15 C19 Equity","PX_LAST",20150921,20151016)</f>
        <v/>
      </c>
      <c r="U2" t="inlineStr"/>
      <c r="V2">
        <f>BDH("XLF 11/20/15 C19 Equity","PX_LAST",20151019,20151120)</f>
        <v/>
      </c>
      <c r="W2" t="inlineStr"/>
      <c r="X2">
        <f>BDH("XLF 12/18/15 C20 Equity","PX_LAST",20151123,20151218)</f>
        <v/>
      </c>
      <c r="Y2" t="inlineStr"/>
      <c r="Z2">
        <f>BDH("XLF 1/15/16 C19 Equity","PX_LAST",20151221,20160115)</f>
        <v/>
      </c>
      <c r="AA2" t="inlineStr"/>
      <c r="AB2">
        <f>BDH("XLF 2/19/16 C17 Equity","PX_LAST",20160119,20160219)</f>
        <v/>
      </c>
      <c r="AC2" t="inlineStr"/>
      <c r="AD2">
        <f>BDH("XLF 3/18/16 C17 Equity","PX_LAST",20160222,20160318)</f>
        <v/>
      </c>
      <c r="AE2" t="inlineStr"/>
      <c r="AF2">
        <f>BDH("XLF 4/15/16 C18 Equity","PX_LAST",20160321,20160415)</f>
        <v/>
      </c>
      <c r="AG2" t="inlineStr"/>
      <c r="AH2">
        <f>BDH("XLF 5/20/16 C19 Equity","PX_LAST",20160418,20160520)</f>
        <v/>
      </c>
      <c r="AI2" t="inlineStr"/>
      <c r="AJ2">
        <f>BDH("XLF 6/17/16 C19 Equity","PX_LAST",20160523,20160617)</f>
        <v/>
      </c>
      <c r="AK2" t="inlineStr"/>
      <c r="AL2">
        <f>BDH("XLF 7/15/16 C18 Equity","PX_LAST",20160620,20160715)</f>
        <v/>
      </c>
      <c r="AM2" t="inlineStr"/>
      <c r="AN2">
        <f>BDH("XLF 8/19/16 C19 Equity","PX_LAST",20160718,20160819)</f>
        <v/>
      </c>
      <c r="AO2" t="inlineStr"/>
      <c r="AP2">
        <f>BDH("XLF 9/16/16 C20 Equity","PX_LAST",20160822,20160916)</f>
        <v/>
      </c>
      <c r="AQ2" t="inlineStr"/>
      <c r="AR2">
        <f>BDH("XLF 10/21/16 C19 Equity","PX_LAST",20160919,20161021)</f>
        <v/>
      </c>
      <c r="AS2" t="inlineStr"/>
      <c r="AT2">
        <f>BDH("XLF 11/18/16 C20 Equity","PX_LAST",20161024,20161118)</f>
        <v/>
      </c>
      <c r="AU2" t="inlineStr"/>
      <c r="AV2">
        <f>BDH("XLF 12/16/16 C22 Equity","PX_LAST",20161121,20161216)</f>
        <v/>
      </c>
      <c r="AW2" t="inlineStr"/>
      <c r="AX2">
        <f>BDH("XLF 1/20/17 C23 Equity","PX_LAST",20161219,20170120)</f>
        <v/>
      </c>
      <c r="AY2" t="inlineStr"/>
      <c r="AZ2">
        <f>BDH("XLF 2/17/17 C23 Equity","PX_LAST",20170123,20170217)</f>
        <v/>
      </c>
      <c r="BA2" t="inlineStr"/>
      <c r="BB2">
        <f>BDH("XLF 3/17/17 C25 Equity","PX_LAST",20170221,20170317)</f>
        <v/>
      </c>
      <c r="BC2" t="inlineStr"/>
      <c r="BD2">
        <f>BDH("XLF 4/21/17 C24 Equity","PX_LAST",20170320,20170421)</f>
        <v/>
      </c>
      <c r="BE2" t="inlineStr"/>
      <c r="BF2">
        <f>BDH("XLF 5/19/17 C24 Equity","PX_LAST",20170424,20170519)</f>
        <v/>
      </c>
      <c r="BG2" t="inlineStr"/>
      <c r="BH2">
        <f>BDH("XLF 6/16/17 C23 Equity","PX_LAST",20170522,20170616)</f>
        <v/>
      </c>
      <c r="BI2" t="inlineStr"/>
      <c r="BJ2">
        <f>BDH("XLF 7/21/17 C25 Equity","PX_LAST",20170619,20170721)</f>
        <v/>
      </c>
      <c r="BK2" t="inlineStr"/>
      <c r="BL2">
        <f>BDH("XLF 8/18/17 C25 Equity","PX_LAST",20170724,20170818)</f>
        <v/>
      </c>
      <c r="BM2" t="inlineStr"/>
      <c r="BN2">
        <f>BDH("XLF 9/15/17 C25 Equity","PX_LAST",20170821,20170915)</f>
        <v/>
      </c>
      <c r="BO2" t="inlineStr"/>
      <c r="BP2">
        <f>BDH("XLF 10/20/17 C25 Equity","PX_LAST",20170918,20171020)</f>
        <v/>
      </c>
      <c r="BQ2" t="inlineStr"/>
      <c r="BR2">
        <f>BDH("XLF 11/17/17 C27 Equity","PX_LAST",20171023,20171117)</f>
        <v/>
      </c>
      <c r="BS2" t="inlineStr"/>
      <c r="BT2">
        <f>BDH("XLF 12/15/17 C26 Equity","PX_LAST",20171120,20171215)</f>
        <v/>
      </c>
      <c r="BU2" t="inlineStr"/>
      <c r="BV2">
        <f>BDH("XLF 1/19/18 C28 Equity","PX_LAST",20171218,20180119)</f>
        <v/>
      </c>
      <c r="BW2" t="inlineStr"/>
      <c r="BX2">
        <f>BDH("XLF 2/16/18 C30 Equity","PX_LAST",20180122,20180216)</f>
        <v/>
      </c>
      <c r="BY2" t="inlineStr"/>
      <c r="BZ2">
        <f>BDH("XLF 3/16/18 C29 Equity","PX_LAST",20180220,20180316)</f>
        <v/>
      </c>
      <c r="CA2" t="inlineStr"/>
      <c r="CB2">
        <f>BDH("XLF 4/20/18 C29 Equity","PX_LAST",20180319,20180420)</f>
        <v/>
      </c>
      <c r="CC2" t="inlineStr"/>
      <c r="CD2">
        <f>BDH("XLF 5/18/18 C28 Equity","PX_LAST",20180423,20180518)</f>
        <v/>
      </c>
      <c r="CE2" t="inlineStr"/>
      <c r="CF2">
        <f>BDH("XLF 6/15/18 C28 Equity","PX_LAST",20180521,20180615)</f>
        <v/>
      </c>
      <c r="CG2" t="inlineStr"/>
      <c r="CH2">
        <f>BDH("XLF 7/20/18 C27 Equity","PX_LAST",20180618,20180720)</f>
        <v/>
      </c>
      <c r="CI2" t="inlineStr"/>
      <c r="CJ2">
        <f>BDH("XLF 8/17/18 C28 Equity","PX_LAST",20180723,20180817)</f>
        <v/>
      </c>
      <c r="CK2" t="inlineStr"/>
      <c r="CL2">
        <f>BDH("XLF 9/21/18 C28 Equity","PX_LAST",20180820,20180921)</f>
        <v/>
      </c>
      <c r="CM2" t="inlineStr"/>
      <c r="CN2">
        <f>BDH("XLF 10/19/18 C28 Equity","PX_LAST",20180924,20181019)</f>
        <v/>
      </c>
      <c r="CO2" t="inlineStr"/>
      <c r="CP2">
        <f>BDH("XLF 11/16/18 C26 Equity","PX_LAST",20181022,20181116)</f>
        <v/>
      </c>
      <c r="CQ2" t="inlineStr"/>
      <c r="CR2">
        <f>BDH("XLF 12/21/18 C27 Equity","PX_LAST",20181119,20181221)</f>
        <v/>
      </c>
      <c r="CS2" t="inlineStr"/>
      <c r="CT2">
        <f>BDH("XLF 1/18/19 C22 Equity","PX_LAST",20181224,20190118)</f>
        <v/>
      </c>
      <c r="CU2" t="inlineStr"/>
      <c r="CV2">
        <f>BDH("XLF 2/15/19 C26 Equity","PX_LAST",20190122,20190215)</f>
        <v/>
      </c>
      <c r="CW2" t="inlineStr"/>
      <c r="CX2">
        <f>BDH("XLF 3/15/19 C26 Equity","PX_LAST",20190219,20190315)</f>
        <v/>
      </c>
      <c r="CY2" t="inlineStr"/>
      <c r="CZ2">
        <f>BDH("XLF 4/18/19 C27 Equity","PX_LAST",20190318,20190418)</f>
        <v/>
      </c>
      <c r="DA2" t="inlineStr"/>
      <c r="DB2">
        <f>BDH("XLF 5/17/19 C27 Equity","PX_LAST",20190422,20190517)</f>
        <v/>
      </c>
      <c r="DC2" t="inlineStr"/>
      <c r="DD2">
        <f>BDH("XLF 6/21/19 C27 Equity","PX_LAST",20190520,20190621)</f>
        <v/>
      </c>
      <c r="DE2" t="inlineStr"/>
      <c r="DF2">
        <f>BDH("XLF 7/19/19 C27 Equity","PX_LAST",20190624,20190719)</f>
        <v/>
      </c>
      <c r="DG2" t="inlineStr"/>
      <c r="DH2">
        <f>BDH("XLF 8/16/19 C28 Equity","PX_LAST",20190722,20190816)</f>
        <v/>
      </c>
      <c r="DI2" t="inlineStr"/>
      <c r="DJ2">
        <f>BDH("XLF 9/20/19 C27 Equity","PX_LAST",20190819,20190920)</f>
        <v/>
      </c>
      <c r="DK2" t="inlineStr"/>
      <c r="DL2">
        <f>BDH("XLF 10/18/19 C28 Equity","PX_LAST",20190923,20191018)</f>
        <v/>
      </c>
      <c r="DM2" t="inlineStr"/>
      <c r="DN2">
        <f>BDH("XLF 11/15/19 C28 Equity","PX_LAST",20191021,20191115)</f>
        <v/>
      </c>
      <c r="DO2" t="inlineStr"/>
      <c r="DP2">
        <f>BDH("XLF 12/20/19 C30 Equity","PX_LAST",20191118,20191220)</f>
        <v/>
      </c>
      <c r="DQ2" t="inlineStr"/>
      <c r="DR2">
        <f>BDH("XLF 1/17/20 C31 Equity","PX_LAST",20191223,20200117)</f>
        <v/>
      </c>
      <c r="DS2" t="inlineStr"/>
      <c r="DT2">
        <f>BDH("XLF 2/21/20 C31 Equity","PX_LAST",20200121,20200221)</f>
        <v/>
      </c>
      <c r="DU2" t="inlineStr"/>
      <c r="DV2">
        <f>BDH("XLF 3/20/20 C30 Equity","PX_LAST",20200224,20200320)</f>
        <v/>
      </c>
      <c r="DW2" t="inlineStr"/>
      <c r="DX2">
        <f>BDH("XLF 4/17/20 C18 Equity","PX_LAST",20200323,20200417)</f>
        <v/>
      </c>
      <c r="DY2" t="inlineStr"/>
      <c r="DZ2">
        <f>BDH("XLF 5/15/20 C22 Equity","PX_LAST",20200420,20200515)</f>
        <v/>
      </c>
      <c r="EA2" t="inlineStr"/>
      <c r="EB2">
        <f>BDH("XLF 6/19/20 C22 Equity","PX_LAST",20200518,20200619)</f>
        <v/>
      </c>
      <c r="EC2" t="inlineStr"/>
      <c r="ED2">
        <f>BDH("XLF 7/17/20 C24 Equity","PX_LAST",20200622,20200717)</f>
        <v/>
      </c>
      <c r="EE2" t="inlineStr"/>
      <c r="EF2">
        <f>BDH("XLF 8/21/20 C24 Equity","PX_LAST",20200720,20200821)</f>
        <v/>
      </c>
      <c r="EG2" t="inlineStr"/>
      <c r="EH2">
        <f>BDH("XLF 9/18/20 C25 Equity","PX_LAST",20200824,20200918)</f>
        <v/>
      </c>
      <c r="EI2" t="inlineStr"/>
      <c r="EJ2">
        <f>BDH("XLF 10/16/20 C24 Equity","PX_LAST",20200921,20201016)</f>
        <v/>
      </c>
      <c r="EK2" t="inlineStr"/>
      <c r="EL2">
        <f>BDH("XLF 11/20/20 C25 Equity","PX_LAST",20201019,20201120)</f>
        <v/>
      </c>
      <c r="EM2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XLF 1/17/15 P20</t>
        </is>
      </c>
      <c r="C1" s="1" t="inlineStr"/>
      <c r="D1" s="1" t="inlineStr">
        <is>
          <t>XLF 2/20/15 P19</t>
        </is>
      </c>
      <c r="E1" s="1" t="inlineStr"/>
      <c r="F1" s="1" t="inlineStr">
        <is>
          <t>XLF 3/20/15 P20</t>
        </is>
      </c>
      <c r="G1" s="1" t="inlineStr"/>
      <c r="H1" s="1" t="inlineStr">
        <is>
          <t>XLF 4/17/15 P20</t>
        </is>
      </c>
      <c r="I1" s="1" t="inlineStr"/>
      <c r="J1" s="1" t="inlineStr">
        <is>
          <t>XLF 5/15/15 P20</t>
        </is>
      </c>
      <c r="K1" s="1" t="inlineStr"/>
      <c r="L1" s="1" t="inlineStr">
        <is>
          <t>XLF 6/19/15 P20</t>
        </is>
      </c>
      <c r="M1" s="1" t="inlineStr"/>
      <c r="N1" s="1" t="inlineStr">
        <is>
          <t>XLF 7/17/15 P20</t>
        </is>
      </c>
      <c r="O1" s="1" t="inlineStr"/>
      <c r="P1" s="1" t="inlineStr">
        <is>
          <t>XLF 8/21/15 P21</t>
        </is>
      </c>
      <c r="Q1" s="1" t="inlineStr"/>
      <c r="R1" s="1" t="inlineStr">
        <is>
          <t>XLF 9/18/15 P18</t>
        </is>
      </c>
      <c r="S1" s="1" t="inlineStr"/>
      <c r="T1" s="1" t="inlineStr">
        <is>
          <t>XLF 10/16/15 P19</t>
        </is>
      </c>
      <c r="U1" s="1" t="inlineStr"/>
      <c r="V1" s="1" t="inlineStr">
        <is>
          <t>XLF 11/20/15 P19</t>
        </is>
      </c>
      <c r="W1" s="1" t="inlineStr"/>
      <c r="X1" s="1" t="inlineStr">
        <is>
          <t>XLF 12/18/15 P20</t>
        </is>
      </c>
      <c r="Y1" s="1" t="inlineStr"/>
      <c r="Z1" s="1" t="inlineStr">
        <is>
          <t>XLF 1/15/16 P19</t>
        </is>
      </c>
      <c r="AA1" s="1" t="inlineStr"/>
      <c r="AB1" s="1" t="inlineStr">
        <is>
          <t>XLF 2/19/16 P17</t>
        </is>
      </c>
      <c r="AC1" s="1" t="inlineStr"/>
      <c r="AD1" s="1" t="inlineStr">
        <is>
          <t>XLF 3/18/16 P17</t>
        </is>
      </c>
      <c r="AE1" s="1" t="inlineStr"/>
      <c r="AF1" s="1" t="inlineStr">
        <is>
          <t>XLF 4/15/16 P18</t>
        </is>
      </c>
      <c r="AG1" s="1" t="inlineStr"/>
      <c r="AH1" s="1" t="inlineStr">
        <is>
          <t>XLF 5/20/16 P19</t>
        </is>
      </c>
      <c r="AI1" s="1" t="inlineStr"/>
      <c r="AJ1" s="1" t="inlineStr">
        <is>
          <t>XLF 6/17/16 P19</t>
        </is>
      </c>
      <c r="AK1" s="1" t="inlineStr"/>
      <c r="AL1" s="1" t="inlineStr">
        <is>
          <t>XLF 7/15/16 P18</t>
        </is>
      </c>
      <c r="AM1" s="1" t="inlineStr"/>
      <c r="AN1" s="1" t="inlineStr">
        <is>
          <t>XLF 8/19/16 P19</t>
        </is>
      </c>
      <c r="AO1" s="1" t="inlineStr"/>
      <c r="AP1" s="1" t="inlineStr">
        <is>
          <t>XLF 9/16/16 P20</t>
        </is>
      </c>
      <c r="AQ1" s="1" t="inlineStr"/>
      <c r="AR1" s="1" t="inlineStr">
        <is>
          <t>XLF 10/21/16 P19</t>
        </is>
      </c>
      <c r="AS1" s="1" t="inlineStr"/>
      <c r="AT1" s="1" t="inlineStr">
        <is>
          <t>XLF 11/18/16 P20</t>
        </is>
      </c>
      <c r="AU1" s="1" t="inlineStr"/>
      <c r="AV1" s="1" t="inlineStr">
        <is>
          <t>XLF 12/16/16 P22</t>
        </is>
      </c>
      <c r="AW1" s="1" t="inlineStr"/>
      <c r="AX1" s="1" t="inlineStr">
        <is>
          <t>XLF 1/20/17 P23</t>
        </is>
      </c>
      <c r="AY1" s="1" t="inlineStr"/>
      <c r="AZ1" s="1" t="inlineStr">
        <is>
          <t>XLF 2/17/17 P23</t>
        </is>
      </c>
      <c r="BA1" s="1" t="inlineStr"/>
      <c r="BB1" s="1" t="inlineStr">
        <is>
          <t>XLF 3/17/17 P25</t>
        </is>
      </c>
      <c r="BC1" s="1" t="inlineStr"/>
      <c r="BD1" s="1" t="inlineStr">
        <is>
          <t>XLF 4/21/17 P24</t>
        </is>
      </c>
      <c r="BE1" s="1" t="inlineStr"/>
      <c r="BF1" s="1" t="inlineStr">
        <is>
          <t>XLF 5/19/17 P24</t>
        </is>
      </c>
      <c r="BG1" s="1" t="inlineStr"/>
      <c r="BH1" s="1" t="inlineStr">
        <is>
          <t>XLF 6/16/17 P23</t>
        </is>
      </c>
      <c r="BI1" s="1" t="inlineStr"/>
      <c r="BJ1" s="1" t="inlineStr">
        <is>
          <t>XLF 7/21/17 P25</t>
        </is>
      </c>
      <c r="BK1" s="1" t="inlineStr"/>
      <c r="BL1" s="1" t="inlineStr">
        <is>
          <t>XLF 8/18/17 P25</t>
        </is>
      </c>
      <c r="BM1" s="1" t="inlineStr"/>
      <c r="BN1" s="1" t="inlineStr">
        <is>
          <t>XLF 9/15/17 P25</t>
        </is>
      </c>
      <c r="BO1" s="1" t="inlineStr"/>
      <c r="BP1" s="1" t="inlineStr">
        <is>
          <t>XLF 10/20/17 P25</t>
        </is>
      </c>
      <c r="BQ1" s="1" t="inlineStr"/>
      <c r="BR1" s="1" t="inlineStr">
        <is>
          <t>XLF 11/17/17 P27</t>
        </is>
      </c>
      <c r="BS1" s="1" t="inlineStr"/>
      <c r="BT1" s="1" t="inlineStr">
        <is>
          <t>XLF 12/15/17 P26</t>
        </is>
      </c>
      <c r="BU1" s="1" t="inlineStr"/>
      <c r="BV1" s="1" t="inlineStr">
        <is>
          <t>XLF 1/19/18 P28</t>
        </is>
      </c>
      <c r="BW1" s="1" t="inlineStr"/>
      <c r="BX1" s="1" t="inlineStr">
        <is>
          <t>XLF 2/16/18 P30</t>
        </is>
      </c>
      <c r="BY1" s="1" t="inlineStr"/>
      <c r="BZ1" s="1" t="inlineStr">
        <is>
          <t>XLF 3/16/18 P29</t>
        </is>
      </c>
      <c r="CA1" s="1" t="inlineStr"/>
      <c r="CB1" s="1" t="inlineStr">
        <is>
          <t>XLF 4/20/18 P29</t>
        </is>
      </c>
      <c r="CC1" s="1" t="inlineStr"/>
      <c r="CD1" s="1" t="inlineStr">
        <is>
          <t>XLF 5/18/18 P28</t>
        </is>
      </c>
      <c r="CE1" s="1" t="inlineStr"/>
      <c r="CF1" s="1" t="inlineStr">
        <is>
          <t>XLF 6/15/18 P28</t>
        </is>
      </c>
      <c r="CG1" s="1" t="inlineStr"/>
      <c r="CH1" s="1" t="inlineStr">
        <is>
          <t>XLF 7/20/18 P27</t>
        </is>
      </c>
      <c r="CI1" s="1" t="inlineStr"/>
      <c r="CJ1" s="1" t="inlineStr">
        <is>
          <t>XLF 8/17/18 P28</t>
        </is>
      </c>
      <c r="CK1" s="1" t="inlineStr"/>
      <c r="CL1" s="1" t="inlineStr">
        <is>
          <t>XLF 9/21/18 P28</t>
        </is>
      </c>
      <c r="CM1" s="1" t="inlineStr"/>
      <c r="CN1" s="1" t="inlineStr">
        <is>
          <t>XLF 10/19/18 P28</t>
        </is>
      </c>
      <c r="CO1" s="1" t="inlineStr"/>
      <c r="CP1" s="1" t="inlineStr">
        <is>
          <t>XLF 11/16/18 P26</t>
        </is>
      </c>
      <c r="CQ1" s="1" t="inlineStr"/>
      <c r="CR1" s="1" t="inlineStr">
        <is>
          <t>XLF 12/21/18 P27</t>
        </is>
      </c>
      <c r="CS1" s="1" t="inlineStr"/>
      <c r="CT1" s="1" t="inlineStr">
        <is>
          <t>XLF 1/18/19 P22</t>
        </is>
      </c>
      <c r="CU1" s="1" t="inlineStr"/>
      <c r="CV1" s="1" t="inlineStr">
        <is>
          <t>XLF 2/15/19 P26</t>
        </is>
      </c>
      <c r="CW1" s="1" t="inlineStr"/>
      <c r="CX1" s="1" t="inlineStr">
        <is>
          <t>XLF 3/15/19 P26</t>
        </is>
      </c>
      <c r="CY1" s="1" t="inlineStr"/>
      <c r="CZ1" s="1" t="inlineStr">
        <is>
          <t>XLF 4/18/19 P27</t>
        </is>
      </c>
      <c r="DA1" s="1" t="inlineStr"/>
      <c r="DB1" s="1" t="inlineStr">
        <is>
          <t>XLF 5/17/19 P27</t>
        </is>
      </c>
      <c r="DC1" s="1" t="inlineStr"/>
      <c r="DD1" s="1" t="inlineStr">
        <is>
          <t>XLF 6/21/19 P27</t>
        </is>
      </c>
      <c r="DE1" s="1" t="inlineStr"/>
      <c r="DF1" s="1" t="inlineStr">
        <is>
          <t>XLF 7/19/19 P27</t>
        </is>
      </c>
      <c r="DG1" s="1" t="inlineStr"/>
      <c r="DH1" s="1" t="inlineStr">
        <is>
          <t>XLF 8/16/19 P28</t>
        </is>
      </c>
      <c r="DI1" s="1" t="inlineStr"/>
      <c r="DJ1" s="1" t="inlineStr">
        <is>
          <t>XLF 9/20/19 P27</t>
        </is>
      </c>
      <c r="DK1" s="1" t="inlineStr"/>
      <c r="DL1" s="1" t="inlineStr">
        <is>
          <t>XLF 10/18/19 P28</t>
        </is>
      </c>
      <c r="DM1" s="1" t="inlineStr"/>
      <c r="DN1" s="1" t="inlineStr">
        <is>
          <t>XLF 11/15/19 P28</t>
        </is>
      </c>
      <c r="DO1" s="1" t="inlineStr"/>
      <c r="DP1" s="1" t="inlineStr">
        <is>
          <t>XLF 12/20/19 P30</t>
        </is>
      </c>
      <c r="DQ1" s="1" t="inlineStr"/>
      <c r="DR1" s="1" t="inlineStr">
        <is>
          <t>XLF 1/17/20 P31</t>
        </is>
      </c>
      <c r="DS1" s="1" t="inlineStr"/>
      <c r="DT1" s="1" t="inlineStr">
        <is>
          <t>XLF 2/21/20 P31</t>
        </is>
      </c>
      <c r="DU1" s="1" t="inlineStr"/>
      <c r="DV1" s="1" t="inlineStr">
        <is>
          <t>XLF 3/20/20 P30</t>
        </is>
      </c>
      <c r="DW1" s="1" t="inlineStr"/>
      <c r="DX1" s="1" t="inlineStr">
        <is>
          <t>XLF 4/17/20 P18</t>
        </is>
      </c>
      <c r="DY1" s="1" t="inlineStr"/>
      <c r="DZ1" s="1" t="inlineStr">
        <is>
          <t>XLF 5/15/20 P22</t>
        </is>
      </c>
      <c r="EA1" s="1" t="inlineStr"/>
      <c r="EB1" s="1" t="inlineStr">
        <is>
          <t>XLF 6/19/20 P22</t>
        </is>
      </c>
      <c r="EC1" s="1" t="inlineStr"/>
      <c r="ED1" s="1" t="inlineStr">
        <is>
          <t>XLF 7/17/20 P24</t>
        </is>
      </c>
      <c r="EE1" s="1" t="inlineStr"/>
      <c r="EF1" s="1" t="inlineStr">
        <is>
          <t>XLF 8/21/20 P24</t>
        </is>
      </c>
      <c r="EG1" s="1" t="inlineStr"/>
      <c r="EH1" s="1" t="inlineStr">
        <is>
          <t>XLF 9/18/20 P25</t>
        </is>
      </c>
      <c r="EI1" s="1" t="inlineStr"/>
      <c r="EJ1" s="1" t="inlineStr">
        <is>
          <t>XLF 10/16/20 P24</t>
        </is>
      </c>
      <c r="EK1" s="1" t="inlineStr"/>
      <c r="EL1" s="1" t="inlineStr">
        <is>
          <t>XLF 11/20/20 P25</t>
        </is>
      </c>
      <c r="EM1" s="1" t="inlineStr"/>
    </row>
    <row r="2">
      <c r="A2" s="1" t="n">
        <v>0</v>
      </c>
      <c r="B2">
        <f>BDH("XLF 1/17/15 P20 Equity","PX_LAST",20150102,20150117)</f>
        <v/>
      </c>
      <c r="C2" t="inlineStr"/>
      <c r="D2">
        <f>BDH("XLF 2/20/15 P19 Equity","PX_LAST",20150120,20150220)</f>
        <v/>
      </c>
      <c r="E2" t="inlineStr"/>
      <c r="F2">
        <f>BDH("XLF 3/20/15 P20 Equity","PX_LAST",20150223,20150320)</f>
        <v/>
      </c>
      <c r="G2" t="inlineStr"/>
      <c r="H2">
        <f>BDH("XLF 4/17/15 P20 Equity","PX_LAST",20150323,20150417)</f>
        <v/>
      </c>
      <c r="I2" t="inlineStr"/>
      <c r="J2">
        <f>BDH("XLF 5/15/15 P20 Equity","PX_LAST",20150420,20150515)</f>
        <v/>
      </c>
      <c r="K2" t="inlineStr"/>
      <c r="L2">
        <f>BDH("XLF 6/19/15 P20 Equity","PX_LAST",20150518,20150619)</f>
        <v/>
      </c>
      <c r="M2" t="inlineStr"/>
      <c r="N2">
        <f>BDH("XLF 7/17/15 P20 Equity","PX_LAST",20150622,20150717)</f>
        <v/>
      </c>
      <c r="O2" t="inlineStr"/>
      <c r="P2">
        <f>BDH("XLF 8/21/15 P21 Equity","PX_LAST",20150720,20150821)</f>
        <v/>
      </c>
      <c r="Q2" t="inlineStr"/>
      <c r="R2">
        <f>BDH("XLF 9/18/15 P18 Equity","PX_LAST",20150824,20150918)</f>
        <v/>
      </c>
      <c r="S2" t="inlineStr"/>
      <c r="T2">
        <f>BDH("XLF 10/16/15 P19 Equity","PX_LAST",20150921,20151016)</f>
        <v/>
      </c>
      <c r="U2" t="inlineStr"/>
      <c r="V2">
        <f>BDH("XLF 11/20/15 P19 Equity","PX_LAST",20151019,20151120)</f>
        <v/>
      </c>
      <c r="W2" t="inlineStr"/>
      <c r="X2">
        <f>BDH("XLF 12/18/15 P20 Equity","PX_LAST",20151123,20151218)</f>
        <v/>
      </c>
      <c r="Y2" t="inlineStr"/>
      <c r="Z2">
        <f>BDH("XLF 1/15/16 P19 Equity","PX_LAST",20151221,20160115)</f>
        <v/>
      </c>
      <c r="AA2" t="inlineStr"/>
      <c r="AB2">
        <f>BDH("XLF 2/19/16 P17 Equity","PX_LAST",20160119,20160219)</f>
        <v/>
      </c>
      <c r="AC2" t="inlineStr"/>
      <c r="AD2">
        <f>BDH("XLF 3/18/16 P17 Equity","PX_LAST",20160222,20160318)</f>
        <v/>
      </c>
      <c r="AE2" t="inlineStr"/>
      <c r="AF2">
        <f>BDH("XLF 4/15/16 P18 Equity","PX_LAST",20160321,20160415)</f>
        <v/>
      </c>
      <c r="AG2" t="inlineStr"/>
      <c r="AH2">
        <f>BDH("XLF 5/20/16 P19 Equity","PX_LAST",20160418,20160520)</f>
        <v/>
      </c>
      <c r="AI2" t="inlineStr"/>
      <c r="AJ2">
        <f>BDH("XLF 6/17/16 P19 Equity","PX_LAST",20160523,20160617)</f>
        <v/>
      </c>
      <c r="AK2" t="inlineStr"/>
      <c r="AL2">
        <f>BDH("XLF 7/15/16 P18 Equity","PX_LAST",20160620,20160715)</f>
        <v/>
      </c>
      <c r="AM2" t="inlineStr"/>
      <c r="AN2">
        <f>BDH("XLF 8/19/16 P19 Equity","PX_LAST",20160718,20160819)</f>
        <v/>
      </c>
      <c r="AO2" t="inlineStr"/>
      <c r="AP2">
        <f>BDH("XLF 9/16/16 P20 Equity","PX_LAST",20160822,20160916)</f>
        <v/>
      </c>
      <c r="AQ2" t="inlineStr"/>
      <c r="AR2">
        <f>BDH("XLF 10/21/16 P19 Equity","PX_LAST",20160919,20161021)</f>
        <v/>
      </c>
      <c r="AS2" t="inlineStr"/>
      <c r="AT2">
        <f>BDH("XLF 11/18/16 P20 Equity","PX_LAST",20161024,20161118)</f>
        <v/>
      </c>
      <c r="AU2" t="inlineStr"/>
      <c r="AV2">
        <f>BDH("XLF 12/16/16 P22 Equity","PX_LAST",20161121,20161216)</f>
        <v/>
      </c>
      <c r="AW2" t="inlineStr"/>
      <c r="AX2">
        <f>BDH("XLF 1/20/17 P23 Equity","PX_LAST",20161219,20170120)</f>
        <v/>
      </c>
      <c r="AY2" t="inlineStr"/>
      <c r="AZ2">
        <f>BDH("XLF 2/17/17 P23 Equity","PX_LAST",20170123,20170217)</f>
        <v/>
      </c>
      <c r="BA2" t="inlineStr"/>
      <c r="BB2">
        <f>BDH("XLF 3/17/17 P25 Equity","PX_LAST",20170221,20170317)</f>
        <v/>
      </c>
      <c r="BC2" t="inlineStr"/>
      <c r="BD2">
        <f>BDH("XLF 4/21/17 P24 Equity","PX_LAST",20170320,20170421)</f>
        <v/>
      </c>
      <c r="BE2" t="inlineStr"/>
      <c r="BF2">
        <f>BDH("XLF 5/19/17 P24 Equity","PX_LAST",20170424,20170519)</f>
        <v/>
      </c>
      <c r="BG2" t="inlineStr"/>
      <c r="BH2">
        <f>BDH("XLF 6/16/17 P23 Equity","PX_LAST",20170522,20170616)</f>
        <v/>
      </c>
      <c r="BI2" t="inlineStr"/>
      <c r="BJ2">
        <f>BDH("XLF 7/21/17 P25 Equity","PX_LAST",20170619,20170721)</f>
        <v/>
      </c>
      <c r="BK2" t="inlineStr"/>
      <c r="BL2">
        <f>BDH("XLF 8/18/17 P25 Equity","PX_LAST",20170724,20170818)</f>
        <v/>
      </c>
      <c r="BM2" t="inlineStr"/>
      <c r="BN2">
        <f>BDH("XLF 9/15/17 P25 Equity","PX_LAST",20170821,20170915)</f>
        <v/>
      </c>
      <c r="BO2" t="inlineStr"/>
      <c r="BP2">
        <f>BDH("XLF 10/20/17 P25 Equity","PX_LAST",20170918,20171020)</f>
        <v/>
      </c>
      <c r="BQ2" t="inlineStr"/>
      <c r="BR2">
        <f>BDH("XLF 11/17/17 P27 Equity","PX_LAST",20171023,20171117)</f>
        <v/>
      </c>
      <c r="BS2" t="inlineStr"/>
      <c r="BT2">
        <f>BDH("XLF 12/15/17 P26 Equity","PX_LAST",20171120,20171215)</f>
        <v/>
      </c>
      <c r="BU2" t="inlineStr"/>
      <c r="BV2">
        <f>BDH("XLF 1/19/18 P28 Equity","PX_LAST",20171218,20180119)</f>
        <v/>
      </c>
      <c r="BW2" t="inlineStr"/>
      <c r="BX2">
        <f>BDH("XLF 2/16/18 P30 Equity","PX_LAST",20180122,20180216)</f>
        <v/>
      </c>
      <c r="BY2" t="inlineStr"/>
      <c r="BZ2">
        <f>BDH("XLF 3/16/18 P29 Equity","PX_LAST",20180220,20180316)</f>
        <v/>
      </c>
      <c r="CA2" t="inlineStr"/>
      <c r="CB2">
        <f>BDH("XLF 4/20/18 P29 Equity","PX_LAST",20180319,20180420)</f>
        <v/>
      </c>
      <c r="CC2" t="inlineStr"/>
      <c r="CD2">
        <f>BDH("XLF 5/18/18 P28 Equity","PX_LAST",20180423,20180518)</f>
        <v/>
      </c>
      <c r="CE2" t="inlineStr"/>
      <c r="CF2">
        <f>BDH("XLF 6/15/18 P28 Equity","PX_LAST",20180521,20180615)</f>
        <v/>
      </c>
      <c r="CG2" t="inlineStr"/>
      <c r="CH2">
        <f>BDH("XLF 7/20/18 P27 Equity","PX_LAST",20180618,20180720)</f>
        <v/>
      </c>
      <c r="CI2" t="inlineStr"/>
      <c r="CJ2">
        <f>BDH("XLF 8/17/18 P28 Equity","PX_LAST",20180723,20180817)</f>
        <v/>
      </c>
      <c r="CK2" t="inlineStr"/>
      <c r="CL2">
        <f>BDH("XLF 9/21/18 P28 Equity","PX_LAST",20180820,20180921)</f>
        <v/>
      </c>
      <c r="CM2" t="inlineStr"/>
      <c r="CN2">
        <f>BDH("XLF 10/19/18 P28 Equity","PX_LAST",20180924,20181019)</f>
        <v/>
      </c>
      <c r="CO2" t="inlineStr"/>
      <c r="CP2">
        <f>BDH("XLF 11/16/18 P26 Equity","PX_LAST",20181022,20181116)</f>
        <v/>
      </c>
      <c r="CQ2" t="inlineStr"/>
      <c r="CR2">
        <f>BDH("XLF 12/21/18 P27 Equity","PX_LAST",20181119,20181221)</f>
        <v/>
      </c>
      <c r="CS2" t="inlineStr"/>
      <c r="CT2">
        <f>BDH("XLF 1/18/19 P22 Equity","PX_LAST",20181224,20190118)</f>
        <v/>
      </c>
      <c r="CU2" t="inlineStr"/>
      <c r="CV2">
        <f>BDH("XLF 2/15/19 P26 Equity","PX_LAST",20190122,20190215)</f>
        <v/>
      </c>
      <c r="CW2" t="inlineStr"/>
      <c r="CX2">
        <f>BDH("XLF 3/15/19 P26 Equity","PX_LAST",20190219,20190315)</f>
        <v/>
      </c>
      <c r="CY2" t="inlineStr"/>
      <c r="CZ2">
        <f>BDH("XLF 4/18/19 P27 Equity","PX_LAST",20190318,20190418)</f>
        <v/>
      </c>
      <c r="DA2" t="inlineStr"/>
      <c r="DB2">
        <f>BDH("XLF 5/17/19 P27 Equity","PX_LAST",20190422,20190517)</f>
        <v/>
      </c>
      <c r="DC2" t="inlineStr"/>
      <c r="DD2">
        <f>BDH("XLF 6/21/19 P27 Equity","PX_LAST",20190520,20190621)</f>
        <v/>
      </c>
      <c r="DE2" t="inlineStr"/>
      <c r="DF2">
        <f>BDH("XLF 7/19/19 P27 Equity","PX_LAST",20190624,20190719)</f>
        <v/>
      </c>
      <c r="DG2" t="inlineStr"/>
      <c r="DH2">
        <f>BDH("XLF 8/16/19 P28 Equity","PX_LAST",20190722,20190816)</f>
        <v/>
      </c>
      <c r="DI2" t="inlineStr"/>
      <c r="DJ2">
        <f>BDH("XLF 9/20/19 P27 Equity","PX_LAST",20190819,20190920)</f>
        <v/>
      </c>
      <c r="DK2" t="inlineStr"/>
      <c r="DL2">
        <f>BDH("XLF 10/18/19 P28 Equity","PX_LAST",20190923,20191018)</f>
        <v/>
      </c>
      <c r="DM2" t="inlineStr"/>
      <c r="DN2">
        <f>BDH("XLF 11/15/19 P28 Equity","PX_LAST",20191021,20191115)</f>
        <v/>
      </c>
      <c r="DO2" t="inlineStr"/>
      <c r="DP2">
        <f>BDH("XLF 12/20/19 P30 Equity","PX_LAST",20191118,20191220)</f>
        <v/>
      </c>
      <c r="DQ2" t="inlineStr"/>
      <c r="DR2">
        <f>BDH("XLF 1/17/20 P31 Equity","PX_LAST",20191223,20200117)</f>
        <v/>
      </c>
      <c r="DS2" t="inlineStr"/>
      <c r="DT2">
        <f>BDH("XLF 2/21/20 P31 Equity","PX_LAST",20200121,20200221)</f>
        <v/>
      </c>
      <c r="DU2" t="inlineStr"/>
      <c r="DV2">
        <f>BDH("XLF 3/20/20 P30 Equity","PX_LAST",20200224,20200320)</f>
        <v/>
      </c>
      <c r="DW2" t="inlineStr"/>
      <c r="DX2">
        <f>BDH("XLF 4/17/20 P18 Equity","PX_LAST",20200323,20200417)</f>
        <v/>
      </c>
      <c r="DY2" t="inlineStr"/>
      <c r="DZ2">
        <f>BDH("XLF 5/15/20 P22 Equity","PX_LAST",20200420,20200515)</f>
        <v/>
      </c>
      <c r="EA2" t="inlineStr"/>
      <c r="EB2">
        <f>BDH("XLF 6/19/20 P22 Equity","PX_LAST",20200518,20200619)</f>
        <v/>
      </c>
      <c r="EC2" t="inlineStr"/>
      <c r="ED2">
        <f>BDH("XLF 7/17/20 P24 Equity","PX_LAST",20200622,20200717)</f>
        <v/>
      </c>
      <c r="EE2" t="inlineStr"/>
      <c r="EF2">
        <f>BDH("XLF 8/21/20 P24 Equity","PX_LAST",20200720,20200821)</f>
        <v/>
      </c>
      <c r="EG2" t="inlineStr"/>
      <c r="EH2">
        <f>BDH("XLF 9/18/20 P25 Equity","PX_LAST",20200824,20200918)</f>
        <v/>
      </c>
      <c r="EI2" t="inlineStr"/>
      <c r="EJ2">
        <f>BDH("XLF 10/16/20 P24 Equity","PX_LAST",20200921,20201016)</f>
        <v/>
      </c>
      <c r="EK2" t="inlineStr"/>
      <c r="EL2">
        <f>BDH("XLF 11/20/20 P25 Equity","PX_LAST",20201019,20201120)</f>
        <v/>
      </c>
      <c r="EM2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XLY 1/17/15 C72</t>
        </is>
      </c>
      <c r="C1" s="1" t="inlineStr"/>
      <c r="D1" s="1" t="inlineStr">
        <is>
          <t>XLY 2/20/15 C69</t>
        </is>
      </c>
      <c r="E1" s="1" t="inlineStr"/>
      <c r="F1" s="1" t="inlineStr">
        <is>
          <t>XLY 3/20/15 C75</t>
        </is>
      </c>
      <c r="G1" s="1" t="inlineStr"/>
      <c r="H1" s="1" t="inlineStr">
        <is>
          <t>XLY 4/17/15 C77</t>
        </is>
      </c>
      <c r="I1" s="1" t="inlineStr"/>
      <c r="J1" s="1" t="inlineStr">
        <is>
          <t>XLY 5/15/15 C76</t>
        </is>
      </c>
      <c r="K1" s="1" t="inlineStr"/>
      <c r="L1" s="1" t="inlineStr">
        <is>
          <t>XLY 6/19/15 C77</t>
        </is>
      </c>
      <c r="M1" s="1" t="inlineStr"/>
      <c r="N1" s="1" t="inlineStr">
        <is>
          <t>XLY 7/17/15 C78</t>
        </is>
      </c>
      <c r="O1" s="1" t="inlineStr"/>
      <c r="P1" s="1" t="inlineStr">
        <is>
          <t>XLY 8/21/15 C79</t>
        </is>
      </c>
      <c r="Q1" s="1" t="inlineStr"/>
      <c r="R1" s="1" t="inlineStr">
        <is>
          <t>XLY 9/18/15 C71</t>
        </is>
      </c>
      <c r="S1" s="1" t="inlineStr"/>
      <c r="T1" s="1" t="inlineStr">
        <is>
          <t>XLY 10/16/15 C76</t>
        </is>
      </c>
      <c r="U1" s="1" t="inlineStr"/>
      <c r="V1" s="1" t="inlineStr">
        <is>
          <t>XLY 11/20/15 C79</t>
        </is>
      </c>
      <c r="W1" s="1" t="inlineStr"/>
      <c r="X1" s="1" t="inlineStr">
        <is>
          <t>XLY 12/18/15 C82</t>
        </is>
      </c>
      <c r="Y1" s="1" t="inlineStr"/>
      <c r="Z1" s="1" t="inlineStr">
        <is>
          <t>XLY 1/15/16 C78</t>
        </is>
      </c>
      <c r="AA1" s="1" t="inlineStr"/>
      <c r="AB1" s="1" t="inlineStr">
        <is>
          <t>XLY 2/19/16 C72</t>
        </is>
      </c>
      <c r="AC1" s="1" t="inlineStr"/>
      <c r="AD1" s="1" t="inlineStr">
        <is>
          <t>XLY 3/18/16 C74</t>
        </is>
      </c>
      <c r="AE1" s="1" t="inlineStr"/>
      <c r="AF1" s="1" t="inlineStr">
        <is>
          <t>XLY 4/15/16 C78</t>
        </is>
      </c>
      <c r="AG1" s="1" t="inlineStr"/>
      <c r="AH1" s="1" t="inlineStr">
        <is>
          <t>XLY 5/20/16 C80</t>
        </is>
      </c>
      <c r="AI1" s="1" t="inlineStr"/>
      <c r="AJ1" s="1" t="inlineStr">
        <is>
          <t>XLY 6/17/16 C77</t>
        </is>
      </c>
      <c r="AK1" s="1" t="inlineStr"/>
      <c r="AL1" s="1" t="inlineStr">
        <is>
          <t>XLY 7/15/16 C79</t>
        </is>
      </c>
      <c r="AM1" s="1" t="inlineStr"/>
      <c r="AN1" s="1" t="inlineStr">
        <is>
          <t>XLY 8/19/16 C81</t>
        </is>
      </c>
      <c r="AO1" s="1" t="inlineStr"/>
      <c r="AP1" s="1" t="inlineStr">
        <is>
          <t>XLY 9/16/16 C81</t>
        </is>
      </c>
      <c r="AQ1" s="1" t="inlineStr"/>
      <c r="AR1" s="1" t="inlineStr">
        <is>
          <t>XLY 10/21/16 C78</t>
        </is>
      </c>
      <c r="AS1" s="1" t="inlineStr"/>
      <c r="AT1" s="1" t="inlineStr">
        <is>
          <t>XLY 11/18/16 C80</t>
        </is>
      </c>
      <c r="AU1" s="1" t="inlineStr"/>
      <c r="AV1" s="1" t="inlineStr">
        <is>
          <t>XLY 12/16/16 C82</t>
        </is>
      </c>
      <c r="AW1" s="1" t="inlineStr"/>
      <c r="AX1" s="1" t="inlineStr">
        <is>
          <t>XLY 1/20/17 C83</t>
        </is>
      </c>
      <c r="AY1" s="1" t="inlineStr"/>
      <c r="AZ1" s="1" t="inlineStr">
        <is>
          <t>XLY 2/17/17 C84</t>
        </is>
      </c>
      <c r="BA1" s="1" t="inlineStr"/>
      <c r="BB1" s="1" t="inlineStr">
        <is>
          <t>XLY 3/17/17 C87</t>
        </is>
      </c>
      <c r="BC1" s="1" t="inlineStr"/>
      <c r="BD1" s="1" t="inlineStr">
        <is>
          <t>XLY 4/21/17 C87</t>
        </is>
      </c>
      <c r="BE1" s="1" t="inlineStr"/>
      <c r="BF1" s="1" t="inlineStr">
        <is>
          <t>XLY 5/19/17 C89</t>
        </is>
      </c>
      <c r="BG1" s="1" t="inlineStr"/>
      <c r="BH1" s="1" t="inlineStr">
        <is>
          <t>XLY 6/16/17 C90</t>
        </is>
      </c>
      <c r="BI1" s="1" t="inlineStr"/>
      <c r="BJ1" s="1" t="inlineStr">
        <is>
          <t>XLY 7/21/17 C91</t>
        </is>
      </c>
      <c r="BK1" s="1" t="inlineStr"/>
      <c r="BL1" s="1" t="inlineStr">
        <is>
          <t>XLY 8/18/17 C91</t>
        </is>
      </c>
      <c r="BM1" s="1" t="inlineStr"/>
      <c r="BN1" s="1" t="inlineStr">
        <is>
          <t>XLY 9/15/17 C88</t>
        </is>
      </c>
      <c r="BO1" s="1" t="inlineStr"/>
      <c r="BP1" s="1" t="inlineStr">
        <is>
          <t>XLY 10/20/17 C89</t>
        </is>
      </c>
      <c r="BQ1" s="1" t="inlineStr"/>
      <c r="BR1" s="1" t="inlineStr">
        <is>
          <t>XLY 11/17/17 C91</t>
        </is>
      </c>
      <c r="BS1" s="1" t="inlineStr"/>
      <c r="BT1" s="1" t="inlineStr">
        <is>
          <t>XLY 12/15/17 C94</t>
        </is>
      </c>
      <c r="BU1" s="1" t="inlineStr"/>
      <c r="BV1" s="1" t="inlineStr">
        <is>
          <t>XLY 1/19/18 C99</t>
        </is>
      </c>
      <c r="BW1" s="1" t="inlineStr"/>
      <c r="BX1" s="1" t="inlineStr">
        <is>
          <t>XLY 2/16/18 C107</t>
        </is>
      </c>
      <c r="BY1" s="1" t="inlineStr"/>
      <c r="BZ1" s="1" t="inlineStr">
        <is>
          <t>XLY 3/16/18 C104</t>
        </is>
      </c>
      <c r="CA1" s="1" t="inlineStr"/>
      <c r="CB1" s="1" t="inlineStr">
        <is>
          <t>XLY 4/20/18 C104</t>
        </is>
      </c>
      <c r="CC1" s="1" t="inlineStr"/>
      <c r="CD1" s="1" t="inlineStr">
        <is>
          <t>XLY 5/18/18 C103</t>
        </is>
      </c>
      <c r="CE1" s="1" t="inlineStr"/>
      <c r="CF1" s="1" t="inlineStr">
        <is>
          <t>XLY 6/15/18 C105</t>
        </is>
      </c>
      <c r="CG1" s="1" t="inlineStr"/>
      <c r="CH1" s="1" t="inlineStr">
        <is>
          <t>XLY 7/20/18 C112</t>
        </is>
      </c>
      <c r="CI1" s="1" t="inlineStr"/>
      <c r="CJ1" s="1" t="inlineStr">
        <is>
          <t>XLY 8/17/18 C112</t>
        </is>
      </c>
      <c r="CK1" s="1" t="inlineStr"/>
      <c r="CL1" s="1" t="inlineStr">
        <is>
          <t>XLY 9/21/18 C113</t>
        </is>
      </c>
      <c r="CM1" s="1" t="inlineStr"/>
      <c r="CN1" s="1" t="inlineStr">
        <is>
          <t>XLY 10/19/18 C116</t>
        </is>
      </c>
      <c r="CO1" s="1" t="inlineStr"/>
      <c r="CP1" s="1" t="inlineStr">
        <is>
          <t>XLY 11/16/18 C107</t>
        </is>
      </c>
      <c r="CQ1" s="1" t="inlineStr"/>
      <c r="CR1" s="1" t="inlineStr">
        <is>
          <t>XLY 12/21/18 C104</t>
        </is>
      </c>
      <c r="CS1" s="1" t="inlineStr"/>
      <c r="CT1" s="1" t="inlineStr">
        <is>
          <t>XLY 1/18/19 C92</t>
        </is>
      </c>
      <c r="CU1" s="1" t="inlineStr"/>
      <c r="CV1" s="1" t="inlineStr">
        <is>
          <t>XLY 2/15/19 C105</t>
        </is>
      </c>
      <c r="CW1" s="1" t="inlineStr"/>
      <c r="CX1" s="1" t="inlineStr">
        <is>
          <t>XLY 3/15/19 C111</t>
        </is>
      </c>
      <c r="CY1" s="1" t="inlineStr"/>
      <c r="CZ1" s="1" t="inlineStr">
        <is>
          <t>XLY 4/18/19 C112</t>
        </is>
      </c>
      <c r="DA1" s="1" t="inlineStr"/>
      <c r="DB1" s="1" t="inlineStr">
        <is>
          <t>XLY 5/17/19 C119</t>
        </is>
      </c>
      <c r="DC1" s="1" t="inlineStr"/>
      <c r="DD1" s="1" t="inlineStr">
        <is>
          <t>XLY 6/21/19 C115</t>
        </is>
      </c>
      <c r="DE1" s="1" t="inlineStr"/>
      <c r="DF1" s="1" t="inlineStr">
        <is>
          <t>XLY 7/19/19 C119</t>
        </is>
      </c>
      <c r="DG1" s="1" t="inlineStr"/>
      <c r="DH1" s="1" t="inlineStr">
        <is>
          <t>XLY 8/16/19 C122</t>
        </is>
      </c>
      <c r="DI1" s="1" t="inlineStr"/>
      <c r="DJ1" s="1" t="inlineStr">
        <is>
          <t>XLY 9/20/19 C117</t>
        </is>
      </c>
      <c r="DK1" s="1" t="inlineStr"/>
      <c r="DL1" s="1" t="inlineStr">
        <is>
          <t>XLY 10/18/19 C121</t>
        </is>
      </c>
      <c r="DM1" s="1" t="inlineStr"/>
      <c r="DN1" s="1" t="inlineStr">
        <is>
          <t>XLY 11/15/19 C123</t>
        </is>
      </c>
      <c r="DO1" s="1" t="inlineStr"/>
      <c r="DP1" s="1" t="inlineStr">
        <is>
          <t>XLY 12/20/19 C122</t>
        </is>
      </c>
      <c r="DQ1" s="1" t="inlineStr"/>
      <c r="DR1" s="1" t="inlineStr">
        <is>
          <t>XLY 1/17/20 C124</t>
        </is>
      </c>
      <c r="DS1" s="1" t="inlineStr"/>
      <c r="DT1" s="1" t="inlineStr">
        <is>
          <t>XLY 2/21/20 C128</t>
        </is>
      </c>
      <c r="DU1" s="1" t="inlineStr"/>
      <c r="DV1" s="1" t="inlineStr">
        <is>
          <t>XLY 3/20/20 C126</t>
        </is>
      </c>
      <c r="DW1" s="1" t="inlineStr"/>
      <c r="DX1" s="1" t="inlineStr">
        <is>
          <t>XLY 4/17/20 C88</t>
        </is>
      </c>
      <c r="DY1" s="1" t="inlineStr"/>
      <c r="DZ1" s="1" t="inlineStr">
        <is>
          <t>XLY 5/15/20 C111</t>
        </is>
      </c>
      <c r="EA1" s="1" t="inlineStr"/>
      <c r="EB1" s="1" t="inlineStr">
        <is>
          <t>XLY 6/19/20 C120</t>
        </is>
      </c>
      <c r="EC1" s="1" t="inlineStr"/>
      <c r="ED1" s="1" t="inlineStr">
        <is>
          <t>XLY 7/17/20 C128</t>
        </is>
      </c>
      <c r="EE1" s="1" t="inlineStr"/>
      <c r="EF1" s="1" t="inlineStr">
        <is>
          <t>XLY 8/21/20 C136</t>
        </is>
      </c>
      <c r="EG1" s="1" t="inlineStr"/>
      <c r="EH1" s="1" t="inlineStr">
        <is>
          <t>XLY 9/18/20 C148</t>
        </is>
      </c>
      <c r="EI1" s="1" t="inlineStr"/>
      <c r="EJ1" s="1" t="inlineStr">
        <is>
          <t>XLY 10/16/20 C142</t>
        </is>
      </c>
      <c r="EK1" s="1" t="inlineStr"/>
      <c r="EL1" s="1" t="inlineStr">
        <is>
          <t>XLY 11/20/20 C151</t>
        </is>
      </c>
      <c r="EM1" s="1" t="inlineStr"/>
    </row>
    <row r="2">
      <c r="A2" s="1" t="n">
        <v>0</v>
      </c>
      <c r="B2">
        <f>BDH("XLY 1/17/15 C72 Equity","PX_LAST",20150102,20150117)</f>
        <v/>
      </c>
      <c r="C2" t="inlineStr"/>
      <c r="D2">
        <f>BDH("XLY 2/20/15 C69 Equity","PX_LAST",20150120,20150220)</f>
        <v/>
      </c>
      <c r="E2" t="inlineStr"/>
      <c r="F2">
        <f>BDH("XLY 3/20/15 C75 Equity","PX_LAST",20150223,20150320)</f>
        <v/>
      </c>
      <c r="G2" t="inlineStr"/>
      <c r="H2">
        <f>BDH("XLY 4/17/15 C77 Equity","PX_LAST",20150323,20150417)</f>
        <v/>
      </c>
      <c r="I2" t="inlineStr"/>
      <c r="J2">
        <f>BDH("XLY 5/15/15 C76 Equity","PX_LAST",20150420,20150515)</f>
        <v/>
      </c>
      <c r="K2" t="inlineStr"/>
      <c r="L2">
        <f>BDH("XLY 6/19/15 C77 Equity","PX_LAST",20150518,20150619)</f>
        <v/>
      </c>
      <c r="M2" t="inlineStr"/>
      <c r="N2">
        <f>BDH("XLY 7/17/15 C78 Equity","PX_LAST",20150622,20150717)</f>
        <v/>
      </c>
      <c r="O2" t="inlineStr"/>
      <c r="P2">
        <f>BDH("XLY 8/21/15 C79 Equity","PX_LAST",20150720,20150821)</f>
        <v/>
      </c>
      <c r="Q2" t="inlineStr"/>
      <c r="R2">
        <f>BDH("XLY 9/18/15 C71 Equity","PX_LAST",20150824,20150918)</f>
        <v/>
      </c>
      <c r="S2" t="inlineStr"/>
      <c r="T2">
        <f>BDH("XLY 10/16/15 C76 Equity","PX_LAST",20150921,20151016)</f>
        <v/>
      </c>
      <c r="U2" t="inlineStr"/>
      <c r="V2">
        <f>BDH("XLY 11/20/15 C79 Equity","PX_LAST",20151019,20151120)</f>
        <v/>
      </c>
      <c r="W2" t="inlineStr"/>
      <c r="X2">
        <f>BDH("XLY 12/18/15 C82 Equity","PX_LAST",20151123,20151218)</f>
        <v/>
      </c>
      <c r="Y2" t="inlineStr"/>
      <c r="Z2">
        <f>BDH("XLY 1/15/16 C78 Equity","PX_LAST",20151221,20160115)</f>
        <v/>
      </c>
      <c r="AA2" t="inlineStr"/>
      <c r="AB2">
        <f>BDH("XLY 2/19/16 C72 Equity","PX_LAST",20160119,20160219)</f>
        <v/>
      </c>
      <c r="AC2" t="inlineStr"/>
      <c r="AD2">
        <f>BDH("XLY 3/18/16 C74 Equity","PX_LAST",20160222,20160318)</f>
        <v/>
      </c>
      <c r="AE2" t="inlineStr"/>
      <c r="AF2">
        <f>BDH("XLY 4/15/16 C78 Equity","PX_LAST",20160321,20160415)</f>
        <v/>
      </c>
      <c r="AG2" t="inlineStr"/>
      <c r="AH2">
        <f>BDH("XLY 5/20/16 C80 Equity","PX_LAST",20160418,20160520)</f>
        <v/>
      </c>
      <c r="AI2" t="inlineStr"/>
      <c r="AJ2">
        <f>BDH("XLY 6/17/16 C77 Equity","PX_LAST",20160523,20160617)</f>
        <v/>
      </c>
      <c r="AK2" t="inlineStr"/>
      <c r="AL2">
        <f>BDH("XLY 7/15/16 C79 Equity","PX_LAST",20160620,20160715)</f>
        <v/>
      </c>
      <c r="AM2" t="inlineStr"/>
      <c r="AN2">
        <f>BDH("XLY 8/19/16 C81 Equity","PX_LAST",20160718,20160819)</f>
        <v/>
      </c>
      <c r="AO2" t="inlineStr"/>
      <c r="AP2">
        <f>BDH("XLY 9/16/16 C81 Equity","PX_LAST",20160822,20160916)</f>
        <v/>
      </c>
      <c r="AQ2" t="inlineStr"/>
      <c r="AR2">
        <f>BDH("XLY 10/21/16 C78 Equity","PX_LAST",20160919,20161021)</f>
        <v/>
      </c>
      <c r="AS2" t="inlineStr"/>
      <c r="AT2">
        <f>BDH("XLY 11/18/16 C80 Equity","PX_LAST",20161024,20161118)</f>
        <v/>
      </c>
      <c r="AU2" t="inlineStr"/>
      <c r="AV2">
        <f>BDH("XLY 12/16/16 C82 Equity","PX_LAST",20161121,20161216)</f>
        <v/>
      </c>
      <c r="AW2" t="inlineStr"/>
      <c r="AX2">
        <f>BDH("XLY 1/20/17 C83 Equity","PX_LAST",20161219,20170120)</f>
        <v/>
      </c>
      <c r="AY2" t="inlineStr"/>
      <c r="AZ2">
        <f>BDH("XLY 2/17/17 C84 Equity","PX_LAST",20170123,20170217)</f>
        <v/>
      </c>
      <c r="BA2" t="inlineStr"/>
      <c r="BB2">
        <f>BDH("XLY 3/17/17 C87 Equity","PX_LAST",20170221,20170317)</f>
        <v/>
      </c>
      <c r="BC2" t="inlineStr"/>
      <c r="BD2">
        <f>BDH("XLY 4/21/17 C87 Equity","PX_LAST",20170320,20170421)</f>
        <v/>
      </c>
      <c r="BE2" t="inlineStr"/>
      <c r="BF2">
        <f>BDH("XLY 5/19/17 C89 Equity","PX_LAST",20170424,20170519)</f>
        <v/>
      </c>
      <c r="BG2" t="inlineStr"/>
      <c r="BH2">
        <f>BDH("XLY 6/16/17 C90 Equity","PX_LAST",20170522,20170616)</f>
        <v/>
      </c>
      <c r="BI2" t="inlineStr"/>
      <c r="BJ2">
        <f>BDH("XLY 7/21/17 C91 Equity","PX_LAST",20170619,20170721)</f>
        <v/>
      </c>
      <c r="BK2" t="inlineStr"/>
      <c r="BL2">
        <f>BDH("XLY 8/18/17 C91 Equity","PX_LAST",20170724,20170818)</f>
        <v/>
      </c>
      <c r="BM2" t="inlineStr"/>
      <c r="BN2">
        <f>BDH("XLY 9/15/17 C88 Equity","PX_LAST",20170821,20170915)</f>
        <v/>
      </c>
      <c r="BO2" t="inlineStr"/>
      <c r="BP2">
        <f>BDH("XLY 10/20/17 C89 Equity","PX_LAST",20170918,20171020)</f>
        <v/>
      </c>
      <c r="BQ2" t="inlineStr"/>
      <c r="BR2">
        <f>BDH("XLY 11/17/17 C91 Equity","PX_LAST",20171023,20171117)</f>
        <v/>
      </c>
      <c r="BS2" t="inlineStr"/>
      <c r="BT2">
        <f>BDH("XLY 12/15/17 C94 Equity","PX_LAST",20171120,20171215)</f>
        <v/>
      </c>
      <c r="BU2" t="inlineStr"/>
      <c r="BV2">
        <f>BDH("XLY 1/19/18 C99 Equity","PX_LAST",20171218,20180119)</f>
        <v/>
      </c>
      <c r="BW2" t="inlineStr"/>
      <c r="BX2">
        <f>BDH("XLY 2/16/18 C107 Equity","PX_LAST",20180122,20180216)</f>
        <v/>
      </c>
      <c r="BY2" t="inlineStr"/>
      <c r="BZ2">
        <f>BDH("XLY 3/16/18 C104 Equity","PX_LAST",20180220,20180316)</f>
        <v/>
      </c>
      <c r="CA2" t="inlineStr"/>
      <c r="CB2">
        <f>BDH("XLY 4/20/18 C104 Equity","PX_LAST",20180319,20180420)</f>
        <v/>
      </c>
      <c r="CC2" t="inlineStr"/>
      <c r="CD2">
        <f>BDH("XLY 5/18/18 C103 Equity","PX_LAST",20180423,20180518)</f>
        <v/>
      </c>
      <c r="CE2" t="inlineStr"/>
      <c r="CF2">
        <f>BDH("XLY 6/15/18 C105 Equity","PX_LAST",20180521,20180615)</f>
        <v/>
      </c>
      <c r="CG2" t="inlineStr"/>
      <c r="CH2">
        <f>BDH("XLY 7/20/18 C112 Equity","PX_LAST",20180618,20180720)</f>
        <v/>
      </c>
      <c r="CI2" t="inlineStr"/>
      <c r="CJ2">
        <f>BDH("XLY 8/17/18 C112 Equity","PX_LAST",20180723,20180817)</f>
        <v/>
      </c>
      <c r="CK2" t="inlineStr"/>
      <c r="CL2">
        <f>BDH("XLY 9/21/18 C113 Equity","PX_LAST",20180820,20180921)</f>
        <v/>
      </c>
      <c r="CM2" t="inlineStr"/>
      <c r="CN2">
        <f>BDH("XLY 10/19/18 C116 Equity","PX_LAST",20180924,20181019)</f>
        <v/>
      </c>
      <c r="CO2" t="inlineStr"/>
      <c r="CP2">
        <f>BDH("XLY 11/16/18 C107 Equity","PX_LAST",20181022,20181116)</f>
        <v/>
      </c>
      <c r="CQ2" t="inlineStr"/>
      <c r="CR2">
        <f>BDH("XLY 12/21/18 C104 Equity","PX_LAST",20181119,20181221)</f>
        <v/>
      </c>
      <c r="CS2" t="inlineStr"/>
      <c r="CT2">
        <f>BDH("XLY 1/18/19 C92 Equity","PX_LAST",20181224,20190118)</f>
        <v/>
      </c>
      <c r="CU2" t="inlineStr"/>
      <c r="CV2">
        <f>BDH("XLY 2/15/19 C105 Equity","PX_LAST",20190122,20190215)</f>
        <v/>
      </c>
      <c r="CW2" t="inlineStr"/>
      <c r="CX2">
        <f>BDH("XLY 3/15/19 C111 Equity","PX_LAST",20190219,20190315)</f>
        <v/>
      </c>
      <c r="CY2" t="inlineStr"/>
      <c r="CZ2">
        <f>BDH("XLY 4/18/19 C112 Equity","PX_LAST",20190318,20190418)</f>
        <v/>
      </c>
      <c r="DA2" t="inlineStr"/>
      <c r="DB2">
        <f>BDH("XLY 5/17/19 C119 Equity","PX_LAST",20190422,20190517)</f>
        <v/>
      </c>
      <c r="DC2" t="inlineStr"/>
      <c r="DD2">
        <f>BDH("XLY 6/21/19 C115 Equity","PX_LAST",20190520,20190621)</f>
        <v/>
      </c>
      <c r="DE2" t="inlineStr"/>
      <c r="DF2">
        <f>BDH("XLY 7/19/19 C119 Equity","PX_LAST",20190624,20190719)</f>
        <v/>
      </c>
      <c r="DG2" t="inlineStr"/>
      <c r="DH2">
        <f>BDH("XLY 8/16/19 C122 Equity","PX_LAST",20190722,20190816)</f>
        <v/>
      </c>
      <c r="DI2" t="inlineStr"/>
      <c r="DJ2">
        <f>BDH("XLY 9/20/19 C117 Equity","PX_LAST",20190819,20190920)</f>
        <v/>
      </c>
      <c r="DK2" t="inlineStr"/>
      <c r="DL2">
        <f>BDH("XLY 10/18/19 C121 Equity","PX_LAST",20190923,20191018)</f>
        <v/>
      </c>
      <c r="DM2" t="inlineStr"/>
      <c r="DN2">
        <f>BDH("XLY 11/15/19 C123 Equity","PX_LAST",20191021,20191115)</f>
        <v/>
      </c>
      <c r="DO2" t="inlineStr"/>
      <c r="DP2">
        <f>BDH("XLY 12/20/19 C122 Equity","PX_LAST",20191118,20191220)</f>
        <v/>
      </c>
      <c r="DQ2" t="inlineStr"/>
      <c r="DR2">
        <f>BDH("XLY 1/17/20 C124 Equity","PX_LAST",20191223,20200117)</f>
        <v/>
      </c>
      <c r="DS2" t="inlineStr"/>
      <c r="DT2">
        <f>BDH("XLY 2/21/20 C128 Equity","PX_LAST",20200121,20200221)</f>
        <v/>
      </c>
      <c r="DU2" t="inlineStr"/>
      <c r="DV2">
        <f>BDH("XLY 3/20/20 C126 Equity","PX_LAST",20200224,20200320)</f>
        <v/>
      </c>
      <c r="DW2" t="inlineStr"/>
      <c r="DX2">
        <f>BDH("XLY 4/17/20 C88 Equity","PX_LAST",20200323,20200417)</f>
        <v/>
      </c>
      <c r="DY2" t="inlineStr"/>
      <c r="DZ2">
        <f>BDH("XLY 5/15/20 C111 Equity","PX_LAST",20200420,20200515)</f>
        <v/>
      </c>
      <c r="EA2" t="inlineStr"/>
      <c r="EB2">
        <f>BDH("XLY 6/19/20 C120 Equity","PX_LAST",20200518,20200619)</f>
        <v/>
      </c>
      <c r="EC2" t="inlineStr"/>
      <c r="ED2">
        <f>BDH("XLY 7/17/20 C128 Equity","PX_LAST",20200622,20200717)</f>
        <v/>
      </c>
      <c r="EE2" t="inlineStr"/>
      <c r="EF2">
        <f>BDH("XLY 8/21/20 C136 Equity","PX_LAST",20200720,20200821)</f>
        <v/>
      </c>
      <c r="EG2" t="inlineStr"/>
      <c r="EH2">
        <f>BDH("XLY 9/18/20 C148 Equity","PX_LAST",20200824,20200918)</f>
        <v/>
      </c>
      <c r="EI2" t="inlineStr"/>
      <c r="EJ2">
        <f>BDH("XLY 10/16/20 C142 Equity","PX_LAST",20200921,20201016)</f>
        <v/>
      </c>
      <c r="EK2" t="inlineStr"/>
      <c r="EL2">
        <f>BDH("XLY 11/20/20 C151 Equity","PX_LAST",20201019,20201120)</f>
        <v/>
      </c>
      <c r="EM2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XLY 1/17/15 P72</t>
        </is>
      </c>
      <c r="C1" s="1" t="inlineStr"/>
      <c r="D1" s="1" t="inlineStr">
        <is>
          <t>XLY 2/20/15 P69</t>
        </is>
      </c>
      <c r="E1" s="1" t="inlineStr"/>
      <c r="F1" s="1" t="inlineStr">
        <is>
          <t>XLY 3/20/15 P75</t>
        </is>
      </c>
      <c r="G1" s="1" t="inlineStr"/>
      <c r="H1" s="1" t="inlineStr">
        <is>
          <t>XLY 4/17/15 P77</t>
        </is>
      </c>
      <c r="I1" s="1" t="inlineStr"/>
      <c r="J1" s="1" t="inlineStr">
        <is>
          <t>XLY 5/15/15 P76</t>
        </is>
      </c>
      <c r="K1" s="1" t="inlineStr"/>
      <c r="L1" s="1" t="inlineStr">
        <is>
          <t>XLY 6/19/15 P77</t>
        </is>
      </c>
      <c r="M1" s="1" t="inlineStr"/>
      <c r="N1" s="1" t="inlineStr">
        <is>
          <t>XLY 7/17/15 P78</t>
        </is>
      </c>
      <c r="O1" s="1" t="inlineStr"/>
      <c r="P1" s="1" t="inlineStr">
        <is>
          <t>XLY 8/21/15 P79</t>
        </is>
      </c>
      <c r="Q1" s="1" t="inlineStr"/>
      <c r="R1" s="1" t="inlineStr">
        <is>
          <t>XLY 9/18/15 P71</t>
        </is>
      </c>
      <c r="S1" s="1" t="inlineStr"/>
      <c r="T1" s="1" t="inlineStr">
        <is>
          <t>XLY 10/16/15 P76</t>
        </is>
      </c>
      <c r="U1" s="1" t="inlineStr"/>
      <c r="V1" s="1" t="inlineStr">
        <is>
          <t>XLY 11/20/15 P79</t>
        </is>
      </c>
      <c r="W1" s="1" t="inlineStr"/>
      <c r="X1" s="1" t="inlineStr">
        <is>
          <t>XLY 12/18/15 P82</t>
        </is>
      </c>
      <c r="Y1" s="1" t="inlineStr"/>
      <c r="Z1" s="1" t="inlineStr">
        <is>
          <t>XLY 1/15/16 P78</t>
        </is>
      </c>
      <c r="AA1" s="1" t="inlineStr"/>
      <c r="AB1" s="1" t="inlineStr">
        <is>
          <t>XLY 2/19/16 P72</t>
        </is>
      </c>
      <c r="AC1" s="1" t="inlineStr"/>
      <c r="AD1" s="1" t="inlineStr">
        <is>
          <t>XLY 3/18/16 P74</t>
        </is>
      </c>
      <c r="AE1" s="1" t="inlineStr"/>
      <c r="AF1" s="1" t="inlineStr">
        <is>
          <t>XLY 4/15/16 P78</t>
        </is>
      </c>
      <c r="AG1" s="1" t="inlineStr"/>
      <c r="AH1" s="1" t="inlineStr">
        <is>
          <t>XLY 5/20/16 P80</t>
        </is>
      </c>
      <c r="AI1" s="1" t="inlineStr"/>
      <c r="AJ1" s="1" t="inlineStr">
        <is>
          <t>XLY 6/17/16 P77</t>
        </is>
      </c>
      <c r="AK1" s="1" t="inlineStr"/>
      <c r="AL1" s="1" t="inlineStr">
        <is>
          <t>XLY 7/15/16 P79</t>
        </is>
      </c>
      <c r="AM1" s="1" t="inlineStr"/>
      <c r="AN1" s="1" t="inlineStr">
        <is>
          <t>XLY 8/19/16 P81</t>
        </is>
      </c>
      <c r="AO1" s="1" t="inlineStr"/>
      <c r="AP1" s="1" t="inlineStr">
        <is>
          <t>XLY 9/16/16 P81</t>
        </is>
      </c>
      <c r="AQ1" s="1" t="inlineStr"/>
      <c r="AR1" s="1" t="inlineStr">
        <is>
          <t>XLY 10/21/16 P78</t>
        </is>
      </c>
      <c r="AS1" s="1" t="inlineStr"/>
      <c r="AT1" s="1" t="inlineStr">
        <is>
          <t>XLY 11/18/16 P80</t>
        </is>
      </c>
      <c r="AU1" s="1" t="inlineStr"/>
      <c r="AV1" s="1" t="inlineStr">
        <is>
          <t>XLY 12/16/16 P82</t>
        </is>
      </c>
      <c r="AW1" s="1" t="inlineStr"/>
      <c r="AX1" s="1" t="inlineStr">
        <is>
          <t>XLY 1/20/17 P83</t>
        </is>
      </c>
      <c r="AY1" s="1" t="inlineStr"/>
      <c r="AZ1" s="1" t="inlineStr">
        <is>
          <t>XLY 2/17/17 P84</t>
        </is>
      </c>
      <c r="BA1" s="1" t="inlineStr"/>
      <c r="BB1" s="1" t="inlineStr">
        <is>
          <t>XLY 3/17/17 P87</t>
        </is>
      </c>
      <c r="BC1" s="1" t="inlineStr"/>
      <c r="BD1" s="1" t="inlineStr">
        <is>
          <t>XLY 4/21/17 P87</t>
        </is>
      </c>
      <c r="BE1" s="1" t="inlineStr"/>
      <c r="BF1" s="1" t="inlineStr">
        <is>
          <t>XLY 5/19/17 P89</t>
        </is>
      </c>
      <c r="BG1" s="1" t="inlineStr"/>
      <c r="BH1" s="1" t="inlineStr">
        <is>
          <t>XLY 6/16/17 P90</t>
        </is>
      </c>
      <c r="BI1" s="1" t="inlineStr"/>
      <c r="BJ1" s="1" t="inlineStr">
        <is>
          <t>XLY 7/21/17 P91</t>
        </is>
      </c>
      <c r="BK1" s="1" t="inlineStr"/>
      <c r="BL1" s="1" t="inlineStr">
        <is>
          <t>XLY 8/18/17 P91</t>
        </is>
      </c>
      <c r="BM1" s="1" t="inlineStr"/>
      <c r="BN1" s="1" t="inlineStr">
        <is>
          <t>XLY 9/15/17 P88</t>
        </is>
      </c>
      <c r="BO1" s="1" t="inlineStr"/>
      <c r="BP1" s="1" t="inlineStr">
        <is>
          <t>XLY 10/20/17 P89</t>
        </is>
      </c>
      <c r="BQ1" s="1" t="inlineStr"/>
      <c r="BR1" s="1" t="inlineStr">
        <is>
          <t>XLY 11/17/17 P91</t>
        </is>
      </c>
      <c r="BS1" s="1" t="inlineStr"/>
      <c r="BT1" s="1" t="inlineStr">
        <is>
          <t>XLY 12/15/17 P94</t>
        </is>
      </c>
      <c r="BU1" s="1" t="inlineStr"/>
      <c r="BV1" s="1" t="inlineStr">
        <is>
          <t>XLY 1/19/18 P99</t>
        </is>
      </c>
      <c r="BW1" s="1" t="inlineStr"/>
      <c r="BX1" s="1" t="inlineStr">
        <is>
          <t>XLY 2/16/18 P107</t>
        </is>
      </c>
      <c r="BY1" s="1" t="inlineStr"/>
      <c r="BZ1" s="1" t="inlineStr">
        <is>
          <t>XLY 3/16/18 P104</t>
        </is>
      </c>
      <c r="CA1" s="1" t="inlineStr"/>
      <c r="CB1" s="1" t="inlineStr">
        <is>
          <t>XLY 4/20/18 P104</t>
        </is>
      </c>
      <c r="CC1" s="1" t="inlineStr"/>
      <c r="CD1" s="1" t="inlineStr">
        <is>
          <t>XLY 5/18/18 P103</t>
        </is>
      </c>
      <c r="CE1" s="1" t="inlineStr"/>
      <c r="CF1" s="1" t="inlineStr">
        <is>
          <t>XLY 6/15/18 P105</t>
        </is>
      </c>
      <c r="CG1" s="1" t="inlineStr"/>
      <c r="CH1" s="1" t="inlineStr">
        <is>
          <t>XLY 7/20/18 P112</t>
        </is>
      </c>
      <c r="CI1" s="1" t="inlineStr"/>
      <c r="CJ1" s="1" t="inlineStr">
        <is>
          <t>XLY 8/17/18 P112</t>
        </is>
      </c>
      <c r="CK1" s="1" t="inlineStr"/>
      <c r="CL1" s="1" t="inlineStr">
        <is>
          <t>XLY 9/21/18 P113</t>
        </is>
      </c>
      <c r="CM1" s="1" t="inlineStr"/>
      <c r="CN1" s="1" t="inlineStr">
        <is>
          <t>XLY 10/19/18 P116</t>
        </is>
      </c>
      <c r="CO1" s="1" t="inlineStr"/>
      <c r="CP1" s="1" t="inlineStr">
        <is>
          <t>XLY 11/16/18 P107</t>
        </is>
      </c>
      <c r="CQ1" s="1" t="inlineStr"/>
      <c r="CR1" s="1" t="inlineStr">
        <is>
          <t>XLY 12/21/18 P104</t>
        </is>
      </c>
      <c r="CS1" s="1" t="inlineStr"/>
      <c r="CT1" s="1" t="inlineStr">
        <is>
          <t>XLY 1/18/19 P92</t>
        </is>
      </c>
      <c r="CU1" s="1" t="inlineStr"/>
      <c r="CV1" s="1" t="inlineStr">
        <is>
          <t>XLY 2/15/19 P105</t>
        </is>
      </c>
      <c r="CW1" s="1" t="inlineStr"/>
      <c r="CX1" s="1" t="inlineStr">
        <is>
          <t>XLY 3/15/19 P111</t>
        </is>
      </c>
      <c r="CY1" s="1" t="inlineStr"/>
      <c r="CZ1" s="1" t="inlineStr">
        <is>
          <t>XLY 4/18/19 P112</t>
        </is>
      </c>
      <c r="DA1" s="1" t="inlineStr"/>
      <c r="DB1" s="1" t="inlineStr">
        <is>
          <t>XLY 5/17/19 P119</t>
        </is>
      </c>
      <c r="DC1" s="1" t="inlineStr"/>
      <c r="DD1" s="1" t="inlineStr">
        <is>
          <t>XLY 6/21/19 P115</t>
        </is>
      </c>
      <c r="DE1" s="1" t="inlineStr"/>
      <c r="DF1" s="1" t="inlineStr">
        <is>
          <t>XLY 7/19/19 P119</t>
        </is>
      </c>
      <c r="DG1" s="1" t="inlineStr"/>
      <c r="DH1" s="1" t="inlineStr">
        <is>
          <t>XLY 8/16/19 P122</t>
        </is>
      </c>
      <c r="DI1" s="1" t="inlineStr"/>
      <c r="DJ1" s="1" t="inlineStr">
        <is>
          <t>XLY 9/20/19 P117</t>
        </is>
      </c>
      <c r="DK1" s="1" t="inlineStr"/>
      <c r="DL1" s="1" t="inlineStr">
        <is>
          <t>XLY 10/18/19 P121</t>
        </is>
      </c>
      <c r="DM1" s="1" t="inlineStr"/>
      <c r="DN1" s="1" t="inlineStr">
        <is>
          <t>XLY 11/15/19 P123</t>
        </is>
      </c>
      <c r="DO1" s="1" t="inlineStr"/>
      <c r="DP1" s="1" t="inlineStr">
        <is>
          <t>XLY 12/20/19 P122</t>
        </is>
      </c>
      <c r="DQ1" s="1" t="inlineStr"/>
      <c r="DR1" s="1" t="inlineStr">
        <is>
          <t>XLY 1/17/20 P124</t>
        </is>
      </c>
      <c r="DS1" s="1" t="inlineStr"/>
      <c r="DT1" s="1" t="inlineStr">
        <is>
          <t>XLY 2/21/20 P128</t>
        </is>
      </c>
      <c r="DU1" s="1" t="inlineStr"/>
      <c r="DV1" s="1" t="inlineStr">
        <is>
          <t>XLY 3/20/20 P126</t>
        </is>
      </c>
      <c r="DW1" s="1" t="inlineStr"/>
      <c r="DX1" s="1" t="inlineStr">
        <is>
          <t>XLY 4/17/20 P88</t>
        </is>
      </c>
      <c r="DY1" s="1" t="inlineStr"/>
      <c r="DZ1" s="1" t="inlineStr">
        <is>
          <t>XLY 5/15/20 P111</t>
        </is>
      </c>
      <c r="EA1" s="1" t="inlineStr"/>
      <c r="EB1" s="1" t="inlineStr">
        <is>
          <t>XLY 6/19/20 P120</t>
        </is>
      </c>
      <c r="EC1" s="1" t="inlineStr"/>
      <c r="ED1" s="1" t="inlineStr">
        <is>
          <t>XLY 7/17/20 P128</t>
        </is>
      </c>
      <c r="EE1" s="1" t="inlineStr"/>
      <c r="EF1" s="1" t="inlineStr">
        <is>
          <t>XLY 8/21/20 P136</t>
        </is>
      </c>
      <c r="EG1" s="1" t="inlineStr"/>
      <c r="EH1" s="1" t="inlineStr">
        <is>
          <t>XLY 9/18/20 P148</t>
        </is>
      </c>
      <c r="EI1" s="1" t="inlineStr"/>
      <c r="EJ1" s="1" t="inlineStr">
        <is>
          <t>XLY 10/16/20 P142</t>
        </is>
      </c>
      <c r="EK1" s="1" t="inlineStr"/>
      <c r="EL1" s="1" t="inlineStr">
        <is>
          <t>XLY 11/20/20 P151</t>
        </is>
      </c>
      <c r="EM1" s="1" t="inlineStr"/>
    </row>
    <row r="2">
      <c r="A2" s="1" t="n">
        <v>0</v>
      </c>
      <c r="B2">
        <f>BDH("XLY 1/17/15 P72 Equity","PX_LAST",20150102,20150117)</f>
        <v/>
      </c>
      <c r="C2" t="inlineStr"/>
      <c r="D2">
        <f>BDH("XLY 2/20/15 P69 Equity","PX_LAST",20150120,20150220)</f>
        <v/>
      </c>
      <c r="E2" t="inlineStr"/>
      <c r="F2">
        <f>BDH("XLY 3/20/15 P75 Equity","PX_LAST",20150223,20150320)</f>
        <v/>
      </c>
      <c r="G2" t="inlineStr"/>
      <c r="H2">
        <f>BDH("XLY 4/17/15 P77 Equity","PX_LAST",20150323,20150417)</f>
        <v/>
      </c>
      <c r="I2" t="inlineStr"/>
      <c r="J2">
        <f>BDH("XLY 5/15/15 P76 Equity","PX_LAST",20150420,20150515)</f>
        <v/>
      </c>
      <c r="K2" t="inlineStr"/>
      <c r="L2">
        <f>BDH("XLY 6/19/15 P77 Equity","PX_LAST",20150518,20150619)</f>
        <v/>
      </c>
      <c r="M2" t="inlineStr"/>
      <c r="N2">
        <f>BDH("XLY 7/17/15 P78 Equity","PX_LAST",20150622,20150717)</f>
        <v/>
      </c>
      <c r="O2" t="inlineStr"/>
      <c r="P2">
        <f>BDH("XLY 8/21/15 P79 Equity","PX_LAST",20150720,20150821)</f>
        <v/>
      </c>
      <c r="Q2" t="inlineStr"/>
      <c r="R2">
        <f>BDH("XLY 9/18/15 P71 Equity","PX_LAST",20150824,20150918)</f>
        <v/>
      </c>
      <c r="S2" t="inlineStr"/>
      <c r="T2">
        <f>BDH("XLY 10/16/15 P76 Equity","PX_LAST",20150921,20151016)</f>
        <v/>
      </c>
      <c r="U2" t="inlineStr"/>
      <c r="V2">
        <f>BDH("XLY 11/20/15 P79 Equity","PX_LAST",20151019,20151120)</f>
        <v/>
      </c>
      <c r="W2" t="inlineStr"/>
      <c r="X2">
        <f>BDH("XLY 12/18/15 P82 Equity","PX_LAST",20151123,20151218)</f>
        <v/>
      </c>
      <c r="Y2" t="inlineStr"/>
      <c r="Z2">
        <f>BDH("XLY 1/15/16 P78 Equity","PX_LAST",20151221,20160115)</f>
        <v/>
      </c>
      <c r="AA2" t="inlineStr"/>
      <c r="AB2">
        <f>BDH("XLY 2/19/16 P72 Equity","PX_LAST",20160119,20160219)</f>
        <v/>
      </c>
      <c r="AC2" t="inlineStr"/>
      <c r="AD2">
        <f>BDH("XLY 3/18/16 P74 Equity","PX_LAST",20160222,20160318)</f>
        <v/>
      </c>
      <c r="AE2" t="inlineStr"/>
      <c r="AF2">
        <f>BDH("XLY 4/15/16 P78 Equity","PX_LAST",20160321,20160415)</f>
        <v/>
      </c>
      <c r="AG2" t="inlineStr"/>
      <c r="AH2">
        <f>BDH("XLY 5/20/16 P80 Equity","PX_LAST",20160418,20160520)</f>
        <v/>
      </c>
      <c r="AI2" t="inlineStr"/>
      <c r="AJ2">
        <f>BDH("XLY 6/17/16 P77 Equity","PX_LAST",20160523,20160617)</f>
        <v/>
      </c>
      <c r="AK2" t="inlineStr"/>
      <c r="AL2">
        <f>BDH("XLY 7/15/16 P79 Equity","PX_LAST",20160620,20160715)</f>
        <v/>
      </c>
      <c r="AM2" t="inlineStr"/>
      <c r="AN2">
        <f>BDH("XLY 8/19/16 P81 Equity","PX_LAST",20160718,20160819)</f>
        <v/>
      </c>
      <c r="AO2" t="inlineStr"/>
      <c r="AP2">
        <f>BDH("XLY 9/16/16 P81 Equity","PX_LAST",20160822,20160916)</f>
        <v/>
      </c>
      <c r="AQ2" t="inlineStr"/>
      <c r="AR2">
        <f>BDH("XLY 10/21/16 P78 Equity","PX_LAST",20160919,20161021)</f>
        <v/>
      </c>
      <c r="AS2" t="inlineStr"/>
      <c r="AT2">
        <f>BDH("XLY 11/18/16 P80 Equity","PX_LAST",20161024,20161118)</f>
        <v/>
      </c>
      <c r="AU2" t="inlineStr"/>
      <c r="AV2">
        <f>BDH("XLY 12/16/16 P82 Equity","PX_LAST",20161121,20161216)</f>
        <v/>
      </c>
      <c r="AW2" t="inlineStr"/>
      <c r="AX2">
        <f>BDH("XLY 1/20/17 P83 Equity","PX_LAST",20161219,20170120)</f>
        <v/>
      </c>
      <c r="AY2" t="inlineStr"/>
      <c r="AZ2">
        <f>BDH("XLY 2/17/17 P84 Equity","PX_LAST",20170123,20170217)</f>
        <v/>
      </c>
      <c r="BA2" t="inlineStr"/>
      <c r="BB2">
        <f>BDH("XLY 3/17/17 P87 Equity","PX_LAST",20170221,20170317)</f>
        <v/>
      </c>
      <c r="BC2" t="inlineStr"/>
      <c r="BD2">
        <f>BDH("XLY 4/21/17 P87 Equity","PX_LAST",20170320,20170421)</f>
        <v/>
      </c>
      <c r="BE2" t="inlineStr"/>
      <c r="BF2">
        <f>BDH("XLY 5/19/17 P89 Equity","PX_LAST",20170424,20170519)</f>
        <v/>
      </c>
      <c r="BG2" t="inlineStr"/>
      <c r="BH2">
        <f>BDH("XLY 6/16/17 P90 Equity","PX_LAST",20170522,20170616)</f>
        <v/>
      </c>
      <c r="BI2" t="inlineStr"/>
      <c r="BJ2">
        <f>BDH("XLY 7/21/17 P91 Equity","PX_LAST",20170619,20170721)</f>
        <v/>
      </c>
      <c r="BK2" t="inlineStr"/>
      <c r="BL2">
        <f>BDH("XLY 8/18/17 P91 Equity","PX_LAST",20170724,20170818)</f>
        <v/>
      </c>
      <c r="BM2" t="inlineStr"/>
      <c r="BN2">
        <f>BDH("XLY 9/15/17 P88 Equity","PX_LAST",20170821,20170915)</f>
        <v/>
      </c>
      <c r="BO2" t="inlineStr"/>
      <c r="BP2">
        <f>BDH("XLY 10/20/17 P89 Equity","PX_LAST",20170918,20171020)</f>
        <v/>
      </c>
      <c r="BQ2" t="inlineStr"/>
      <c r="BR2">
        <f>BDH("XLY 11/17/17 P91 Equity","PX_LAST",20171023,20171117)</f>
        <v/>
      </c>
      <c r="BS2" t="inlineStr"/>
      <c r="BT2">
        <f>BDH("XLY 12/15/17 P94 Equity","PX_LAST",20171120,20171215)</f>
        <v/>
      </c>
      <c r="BU2" t="inlineStr"/>
      <c r="BV2">
        <f>BDH("XLY 1/19/18 P99 Equity","PX_LAST",20171218,20180119)</f>
        <v/>
      </c>
      <c r="BW2" t="inlineStr"/>
      <c r="BX2">
        <f>BDH("XLY 2/16/18 P107 Equity","PX_LAST",20180122,20180216)</f>
        <v/>
      </c>
      <c r="BY2" t="inlineStr"/>
      <c r="BZ2">
        <f>BDH("XLY 3/16/18 P104 Equity","PX_LAST",20180220,20180316)</f>
        <v/>
      </c>
      <c r="CA2" t="inlineStr"/>
      <c r="CB2">
        <f>BDH("XLY 4/20/18 P104 Equity","PX_LAST",20180319,20180420)</f>
        <v/>
      </c>
      <c r="CC2" t="inlineStr"/>
      <c r="CD2">
        <f>BDH("XLY 5/18/18 P103 Equity","PX_LAST",20180423,20180518)</f>
        <v/>
      </c>
      <c r="CE2" t="inlineStr"/>
      <c r="CF2">
        <f>BDH("XLY 6/15/18 P105 Equity","PX_LAST",20180521,20180615)</f>
        <v/>
      </c>
      <c r="CG2" t="inlineStr"/>
      <c r="CH2">
        <f>BDH("XLY 7/20/18 P112 Equity","PX_LAST",20180618,20180720)</f>
        <v/>
      </c>
      <c r="CI2" t="inlineStr"/>
      <c r="CJ2">
        <f>BDH("XLY 8/17/18 P112 Equity","PX_LAST",20180723,20180817)</f>
        <v/>
      </c>
      <c r="CK2" t="inlineStr"/>
      <c r="CL2">
        <f>BDH("XLY 9/21/18 P113 Equity","PX_LAST",20180820,20180921)</f>
        <v/>
      </c>
      <c r="CM2" t="inlineStr"/>
      <c r="CN2">
        <f>BDH("XLY 10/19/18 P116 Equity","PX_LAST",20180924,20181019)</f>
        <v/>
      </c>
      <c r="CO2" t="inlineStr"/>
      <c r="CP2">
        <f>BDH("XLY 11/16/18 P107 Equity","PX_LAST",20181022,20181116)</f>
        <v/>
      </c>
      <c r="CQ2" t="inlineStr"/>
      <c r="CR2">
        <f>BDH("XLY 12/21/18 P104 Equity","PX_LAST",20181119,20181221)</f>
        <v/>
      </c>
      <c r="CS2" t="inlineStr"/>
      <c r="CT2">
        <f>BDH("XLY 1/18/19 P92 Equity","PX_LAST",20181224,20190118)</f>
        <v/>
      </c>
      <c r="CU2" t="inlineStr"/>
      <c r="CV2">
        <f>BDH("XLY 2/15/19 P105 Equity","PX_LAST",20190122,20190215)</f>
        <v/>
      </c>
      <c r="CW2" t="inlineStr"/>
      <c r="CX2">
        <f>BDH("XLY 3/15/19 P111 Equity","PX_LAST",20190219,20190315)</f>
        <v/>
      </c>
      <c r="CY2" t="inlineStr"/>
      <c r="CZ2">
        <f>BDH("XLY 4/18/19 P112 Equity","PX_LAST",20190318,20190418)</f>
        <v/>
      </c>
      <c r="DA2" t="inlineStr"/>
      <c r="DB2">
        <f>BDH("XLY 5/17/19 P119 Equity","PX_LAST",20190422,20190517)</f>
        <v/>
      </c>
      <c r="DC2" t="inlineStr"/>
      <c r="DD2">
        <f>BDH("XLY 6/21/19 P115 Equity","PX_LAST",20190520,20190621)</f>
        <v/>
      </c>
      <c r="DE2" t="inlineStr"/>
      <c r="DF2">
        <f>BDH("XLY 7/19/19 P119 Equity","PX_LAST",20190624,20190719)</f>
        <v/>
      </c>
      <c r="DG2" t="inlineStr"/>
      <c r="DH2">
        <f>BDH("XLY 8/16/19 P122 Equity","PX_LAST",20190722,20190816)</f>
        <v/>
      </c>
      <c r="DI2" t="inlineStr"/>
      <c r="DJ2">
        <f>BDH("XLY 9/20/19 P117 Equity","PX_LAST",20190819,20190920)</f>
        <v/>
      </c>
      <c r="DK2" t="inlineStr"/>
      <c r="DL2">
        <f>BDH("XLY 10/18/19 P121 Equity","PX_LAST",20190923,20191018)</f>
        <v/>
      </c>
      <c r="DM2" t="inlineStr"/>
      <c r="DN2">
        <f>BDH("XLY 11/15/19 P123 Equity","PX_LAST",20191021,20191115)</f>
        <v/>
      </c>
      <c r="DO2" t="inlineStr"/>
      <c r="DP2">
        <f>BDH("XLY 12/20/19 P122 Equity","PX_LAST",20191118,20191220)</f>
        <v/>
      </c>
      <c r="DQ2" t="inlineStr"/>
      <c r="DR2">
        <f>BDH("XLY 1/17/20 P124 Equity","PX_LAST",20191223,20200117)</f>
        <v/>
      </c>
      <c r="DS2" t="inlineStr"/>
      <c r="DT2">
        <f>BDH("XLY 2/21/20 P128 Equity","PX_LAST",20200121,20200221)</f>
        <v/>
      </c>
      <c r="DU2" t="inlineStr"/>
      <c r="DV2">
        <f>BDH("XLY 3/20/20 P126 Equity","PX_LAST",20200224,20200320)</f>
        <v/>
      </c>
      <c r="DW2" t="inlineStr"/>
      <c r="DX2">
        <f>BDH("XLY 4/17/20 P88 Equity","PX_LAST",20200323,20200417)</f>
        <v/>
      </c>
      <c r="DY2" t="inlineStr"/>
      <c r="DZ2">
        <f>BDH("XLY 5/15/20 P111 Equity","PX_LAST",20200420,20200515)</f>
        <v/>
      </c>
      <c r="EA2" t="inlineStr"/>
      <c r="EB2">
        <f>BDH("XLY 6/19/20 P120 Equity","PX_LAST",20200518,20200619)</f>
        <v/>
      </c>
      <c r="EC2" t="inlineStr"/>
      <c r="ED2">
        <f>BDH("XLY 7/17/20 P128 Equity","PX_LAST",20200622,20200717)</f>
        <v/>
      </c>
      <c r="EE2" t="inlineStr"/>
      <c r="EF2">
        <f>BDH("XLY 8/21/20 P136 Equity","PX_LAST",20200720,20200821)</f>
        <v/>
      </c>
      <c r="EG2" t="inlineStr"/>
      <c r="EH2">
        <f>BDH("XLY 9/18/20 P148 Equity","PX_LAST",20200824,20200918)</f>
        <v/>
      </c>
      <c r="EI2" t="inlineStr"/>
      <c r="EJ2">
        <f>BDH("XLY 10/16/20 P142 Equity","PX_LAST",20200921,20201016)</f>
        <v/>
      </c>
      <c r="EK2" t="inlineStr"/>
      <c r="EL2">
        <f>BDH("XLY 11/20/20 P151 Equity","PX_LAST",20201019,20201120)</f>
        <v/>
      </c>
      <c r="EM2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M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XLV 1/17/15 C69</t>
        </is>
      </c>
      <c r="C1" s="1" t="inlineStr"/>
      <c r="D1" s="1" t="inlineStr">
        <is>
          <t>XLV 2/20/15 C70</t>
        </is>
      </c>
      <c r="E1" s="1" t="inlineStr"/>
      <c r="F1" s="1" t="inlineStr">
        <is>
          <t>XLV 3/20/15 C73</t>
        </is>
      </c>
      <c r="G1" s="1" t="inlineStr"/>
      <c r="H1" s="1" t="inlineStr">
        <is>
          <t>XLV 4/17/15 C75</t>
        </is>
      </c>
      <c r="I1" s="1" t="inlineStr"/>
      <c r="J1" s="1" t="inlineStr">
        <is>
          <t>XLV 5/15/15 C74</t>
        </is>
      </c>
      <c r="K1" s="1" t="inlineStr"/>
      <c r="L1" s="1" t="inlineStr">
        <is>
          <t>XLV 6/19/15 C75</t>
        </is>
      </c>
      <c r="M1" s="1" t="inlineStr"/>
      <c r="N1" s="1" t="inlineStr">
        <is>
          <t>XLV 7/17/15 C76</t>
        </is>
      </c>
      <c r="O1" s="1" t="inlineStr"/>
      <c r="P1" s="1" t="inlineStr">
        <is>
          <t>XLV 8/21/15 C77</t>
        </is>
      </c>
      <c r="Q1" s="1" t="inlineStr"/>
      <c r="R1" s="1" t="inlineStr">
        <is>
          <t>XLV 9/18/15 C69</t>
        </is>
      </c>
      <c r="S1" s="1" t="inlineStr"/>
      <c r="T1" s="1" t="inlineStr">
        <is>
          <t>XLV 10/16/15 C70</t>
        </is>
      </c>
      <c r="U1" s="1" t="inlineStr"/>
      <c r="V1" s="1" t="inlineStr">
        <is>
          <t>XLV 11/20/15 C70</t>
        </is>
      </c>
      <c r="W1" s="1" t="inlineStr"/>
      <c r="X1" s="1" t="inlineStr">
        <is>
          <t>XLV 12/18/15 C71</t>
        </is>
      </c>
      <c r="Y1" s="1" t="inlineStr"/>
      <c r="Z1" s="1" t="inlineStr">
        <is>
          <t>XLV 1/15/16 C71</t>
        </is>
      </c>
      <c r="AA1" s="1" t="inlineStr"/>
      <c r="AB1" s="1" t="inlineStr">
        <is>
          <t>XLV 2/19/16 C67</t>
        </is>
      </c>
      <c r="AC1" s="1" t="inlineStr"/>
      <c r="AD1" s="1" t="inlineStr">
        <is>
          <t>XLV 3/18/16 C67</t>
        </is>
      </c>
      <c r="AE1" s="1" t="inlineStr"/>
      <c r="AF1" s="1" t="inlineStr">
        <is>
          <t>XLV 4/15/16 C67</t>
        </is>
      </c>
      <c r="AG1" s="1" t="inlineStr"/>
      <c r="AH1" s="1" t="inlineStr">
        <is>
          <t>XLV 5/20/16 C71</t>
        </is>
      </c>
      <c r="AI1" s="1" t="inlineStr"/>
      <c r="AJ1" s="1" t="inlineStr">
        <is>
          <t>XLV 6/17/16 C69</t>
        </is>
      </c>
      <c r="AK1" s="1" t="inlineStr"/>
      <c r="AL1" s="1" t="inlineStr">
        <is>
          <t>XLV 7/15/16 C70</t>
        </is>
      </c>
      <c r="AM1" s="1" t="inlineStr"/>
      <c r="AN1" s="1" t="inlineStr">
        <is>
          <t>XLV 8/19/16 C74</t>
        </is>
      </c>
      <c r="AO1" s="1" t="inlineStr"/>
      <c r="AP1" s="1" t="inlineStr">
        <is>
          <t>XLV 9/16/16 C75</t>
        </is>
      </c>
      <c r="AQ1" s="1" t="inlineStr"/>
      <c r="AR1" s="1" t="inlineStr">
        <is>
          <t>XLV 10/21/16 C72</t>
        </is>
      </c>
      <c r="AS1" s="1" t="inlineStr"/>
      <c r="AT1" s="1" t="inlineStr">
        <is>
          <t>XLV 11/18/16 C70</t>
        </is>
      </c>
      <c r="AU1" s="1" t="inlineStr"/>
      <c r="AV1" s="1" t="inlineStr">
        <is>
          <t>XLV 12/16/16 C70</t>
        </is>
      </c>
      <c r="AW1" s="1" t="inlineStr"/>
      <c r="AX1" s="1" t="inlineStr">
        <is>
          <t>XLV 1/20/17 C69</t>
        </is>
      </c>
      <c r="AY1" s="1" t="inlineStr"/>
      <c r="AZ1" s="1" t="inlineStr">
        <is>
          <t>XLV 2/17/17 C70</t>
        </is>
      </c>
      <c r="BA1" s="1" t="inlineStr"/>
      <c r="BB1" s="1" t="inlineStr">
        <is>
          <t>XLV 3/17/17 C74</t>
        </is>
      </c>
      <c r="BC1" s="1" t="inlineStr"/>
      <c r="BD1" s="1" t="inlineStr">
        <is>
          <t>XLV 4/21/17 C75</t>
        </is>
      </c>
      <c r="BE1" s="1" t="inlineStr"/>
      <c r="BF1" s="1" t="inlineStr">
        <is>
          <t>XLV 5/19/17 C74</t>
        </is>
      </c>
      <c r="BG1" s="1" t="inlineStr"/>
      <c r="BH1" s="1" t="inlineStr">
        <is>
          <t>XLV 6/16/17 C75</t>
        </is>
      </c>
      <c r="BI1" s="1" t="inlineStr"/>
      <c r="BJ1" s="1" t="inlineStr">
        <is>
          <t>XLV 7/21/17 C78</t>
        </is>
      </c>
      <c r="BK1" s="1" t="inlineStr"/>
      <c r="BL1" s="1" t="inlineStr">
        <is>
          <t>XLV 8/18/17 C81</t>
        </is>
      </c>
      <c r="BM1" s="1" t="inlineStr"/>
      <c r="BN1" s="1" t="inlineStr">
        <is>
          <t>XLV 9/15/17 C78</t>
        </is>
      </c>
      <c r="BO1" s="1" t="inlineStr"/>
      <c r="BP1" s="1" t="inlineStr">
        <is>
          <t>XLV 10/20/17 C83</t>
        </is>
      </c>
      <c r="BQ1" s="1" t="inlineStr"/>
      <c r="BR1" s="1" t="inlineStr">
        <is>
          <t>XLV 11/17/17 C84</t>
        </is>
      </c>
      <c r="BS1" s="1" t="inlineStr"/>
      <c r="BT1" s="1" t="inlineStr">
        <is>
          <t>XLV 12/15/17 C81</t>
        </is>
      </c>
      <c r="BU1" s="1" t="inlineStr"/>
      <c r="BV1" s="1" t="inlineStr">
        <is>
          <t>XLV 1/19/18 C84</t>
        </is>
      </c>
      <c r="BW1" s="1" t="inlineStr"/>
      <c r="BX1" s="1" t="inlineStr">
        <is>
          <t>XLV 2/16/18 C89</t>
        </is>
      </c>
      <c r="BY1" s="1" t="inlineStr"/>
      <c r="BZ1" s="1" t="inlineStr">
        <is>
          <t>XLV 3/16/18 C84</t>
        </is>
      </c>
      <c r="CA1" s="1" t="inlineStr"/>
      <c r="CB1" s="1" t="inlineStr">
        <is>
          <t>XLV 4/20/18 C84</t>
        </is>
      </c>
      <c r="CC1" s="1" t="inlineStr"/>
      <c r="CD1" s="1" t="inlineStr">
        <is>
          <t>XLV 5/18/18 C82</t>
        </is>
      </c>
      <c r="CE1" s="1" t="inlineStr"/>
      <c r="CF1" s="1" t="inlineStr">
        <is>
          <t>XLV 6/15/18 C83</t>
        </is>
      </c>
      <c r="CG1" s="1" t="inlineStr"/>
      <c r="CH1" s="1" t="inlineStr">
        <is>
          <t>XLV 7/20/18 C85</t>
        </is>
      </c>
      <c r="CI1" s="1" t="inlineStr"/>
      <c r="CJ1" s="1" t="inlineStr">
        <is>
          <t>XLV 8/17/18 C87</t>
        </is>
      </c>
      <c r="CK1" s="1" t="inlineStr"/>
      <c r="CL1" s="1" t="inlineStr">
        <is>
          <t>XLV 9/21/18 C91</t>
        </is>
      </c>
      <c r="CM1" s="1" t="inlineStr"/>
      <c r="CN1" s="1" t="inlineStr">
        <is>
          <t>XLV 10/19/18 C94</t>
        </is>
      </c>
      <c r="CO1" s="1" t="inlineStr"/>
      <c r="CP1" s="1" t="inlineStr">
        <is>
          <t>XLV 11/16/18 C91</t>
        </is>
      </c>
      <c r="CQ1" s="1" t="inlineStr"/>
      <c r="CR1" s="1" t="inlineStr">
        <is>
          <t>XLV 12/21/18 C91</t>
        </is>
      </c>
      <c r="CS1" s="1" t="inlineStr"/>
      <c r="CT1" s="1" t="inlineStr">
        <is>
          <t>XLV 1/18/19 C81</t>
        </is>
      </c>
      <c r="CU1" s="1" t="inlineStr"/>
      <c r="CV1" s="1" t="inlineStr">
        <is>
          <t>XLV 2/15/19 C89</t>
        </is>
      </c>
      <c r="CW1" s="1" t="inlineStr"/>
      <c r="CX1" s="1" t="inlineStr">
        <is>
          <t>XLV 3/15/19 C93</t>
        </is>
      </c>
      <c r="CY1" s="1" t="inlineStr"/>
      <c r="CZ1" s="1" t="inlineStr">
        <is>
          <t>XLV 4/18/19 C92</t>
        </is>
      </c>
      <c r="DA1" s="1" t="inlineStr"/>
      <c r="DB1" s="1" t="inlineStr">
        <is>
          <t>XLV 5/17/19 C86</t>
        </is>
      </c>
      <c r="DC1" s="1" t="inlineStr"/>
      <c r="DD1" s="1" t="inlineStr">
        <is>
          <t>XLV 6/21/19 C88</t>
        </is>
      </c>
      <c r="DE1" s="1" t="inlineStr"/>
      <c r="DF1" s="1" t="inlineStr">
        <is>
          <t>XLV 7/19/19 C93</t>
        </is>
      </c>
      <c r="DG1" s="1" t="inlineStr"/>
      <c r="DH1" s="1" t="inlineStr">
        <is>
          <t>XLV 8/16/19 C92</t>
        </is>
      </c>
      <c r="DI1" s="1" t="inlineStr"/>
      <c r="DJ1" s="1" t="inlineStr">
        <is>
          <t>XLV 9/20/19 C91</t>
        </is>
      </c>
      <c r="DK1" s="1" t="inlineStr"/>
      <c r="DL1" s="1" t="inlineStr">
        <is>
          <t>XLV 10/18/19 C92</t>
        </is>
      </c>
      <c r="DM1" s="1" t="inlineStr"/>
      <c r="DN1" s="1" t="inlineStr">
        <is>
          <t>XLV 11/15/19 C92</t>
        </is>
      </c>
      <c r="DO1" s="1" t="inlineStr"/>
      <c r="DP1" s="1" t="inlineStr">
        <is>
          <t>XLV 12/20/19 C97</t>
        </is>
      </c>
      <c r="DQ1" s="1" t="inlineStr"/>
      <c r="DR1" s="1" t="inlineStr">
        <is>
          <t>XLV 1/17/20 C103</t>
        </is>
      </c>
      <c r="DS1" s="1" t="inlineStr"/>
      <c r="DT1" s="1" t="inlineStr">
        <is>
          <t>XLV 2/21/20 C105</t>
        </is>
      </c>
      <c r="DU1" s="1" t="inlineStr"/>
      <c r="DV1" s="1" t="inlineStr">
        <is>
          <t>XLV 3/20/20 C100</t>
        </is>
      </c>
      <c r="DW1" s="1" t="inlineStr"/>
      <c r="DX1" s="1" t="inlineStr">
        <is>
          <t>XLV 4/17/20 C75</t>
        </is>
      </c>
      <c r="DY1" s="1" t="inlineStr"/>
      <c r="DZ1" s="1" t="inlineStr">
        <is>
          <t>XLV 5/15/20 C100</t>
        </is>
      </c>
      <c r="EA1" s="1" t="inlineStr"/>
      <c r="EB1" s="1" t="inlineStr">
        <is>
          <t>XLV 6/19/20 C101</t>
        </is>
      </c>
      <c r="EC1" s="1" t="inlineStr"/>
      <c r="ED1" s="1" t="inlineStr">
        <is>
          <t>XLV 7/17/20 C100</t>
        </is>
      </c>
      <c r="EE1" s="1" t="inlineStr"/>
      <c r="EF1" s="1" t="inlineStr">
        <is>
          <t>XLV 8/21/20 C106</t>
        </is>
      </c>
      <c r="EG1" s="1" t="inlineStr"/>
      <c r="EH1" s="1" t="inlineStr">
        <is>
          <t>XLV 9/18/20 C106</t>
        </is>
      </c>
      <c r="EI1" s="1" t="inlineStr"/>
      <c r="EJ1" s="1" t="inlineStr">
        <is>
          <t>XLV 10/16/20 C103</t>
        </is>
      </c>
      <c r="EK1" s="1" t="inlineStr"/>
      <c r="EL1" s="1" t="inlineStr">
        <is>
          <t>XLV 11/20/20 C106</t>
        </is>
      </c>
      <c r="EM1" s="1" t="inlineStr"/>
    </row>
    <row r="2">
      <c r="A2" s="1" t="n">
        <v>0</v>
      </c>
      <c r="B2">
        <f>BDH("XLV 1/17/15 C69 Equity","PX_LAST",20150102,20150117)</f>
        <v/>
      </c>
      <c r="C2" t="inlineStr"/>
      <c r="D2">
        <f>BDH("XLV 2/20/15 C70 Equity","PX_LAST",20150120,20150220)</f>
        <v/>
      </c>
      <c r="E2" t="inlineStr"/>
      <c r="F2">
        <f>BDH("XLV 3/20/15 C73 Equity","PX_LAST",20150223,20150320)</f>
        <v/>
      </c>
      <c r="G2" t="inlineStr"/>
      <c r="H2">
        <f>BDH("XLV 4/17/15 C75 Equity","PX_LAST",20150323,20150417)</f>
        <v/>
      </c>
      <c r="I2" t="inlineStr"/>
      <c r="J2">
        <f>BDH("XLV 5/15/15 C74 Equity","PX_LAST",20150420,20150515)</f>
        <v/>
      </c>
      <c r="K2" t="inlineStr"/>
      <c r="L2">
        <f>BDH("XLV 6/19/15 C75 Equity","PX_LAST",20150518,20150619)</f>
        <v/>
      </c>
      <c r="M2" t="inlineStr"/>
      <c r="N2">
        <f>BDH("XLV 7/17/15 C76 Equity","PX_LAST",20150622,20150717)</f>
        <v/>
      </c>
      <c r="O2" t="inlineStr"/>
      <c r="P2">
        <f>BDH("XLV 8/21/15 C77 Equity","PX_LAST",20150720,20150821)</f>
        <v/>
      </c>
      <c r="Q2" t="inlineStr"/>
      <c r="R2">
        <f>BDH("XLV 9/18/15 C69 Equity","PX_LAST",20150824,20150918)</f>
        <v/>
      </c>
      <c r="S2" t="inlineStr"/>
      <c r="T2">
        <f>BDH("XLV 10/16/15 C70 Equity","PX_LAST",20150921,20151016)</f>
        <v/>
      </c>
      <c r="U2" t="inlineStr"/>
      <c r="V2">
        <f>BDH("XLV 11/20/15 C70 Equity","PX_LAST",20151019,20151120)</f>
        <v/>
      </c>
      <c r="W2" t="inlineStr"/>
      <c r="X2">
        <f>BDH("XLV 12/18/15 C71 Equity","PX_LAST",20151123,20151218)</f>
        <v/>
      </c>
      <c r="Y2" t="inlineStr"/>
      <c r="Z2">
        <f>BDH("XLV 1/15/16 C71 Equity","PX_LAST",20151221,20160115)</f>
        <v/>
      </c>
      <c r="AA2" t="inlineStr"/>
      <c r="AB2">
        <f>BDH("XLV 2/19/16 C67 Equity","PX_LAST",20160119,20160219)</f>
        <v/>
      </c>
      <c r="AC2" t="inlineStr"/>
      <c r="AD2">
        <f>BDH("XLV 3/18/16 C67 Equity","PX_LAST",20160222,20160318)</f>
        <v/>
      </c>
      <c r="AE2" t="inlineStr"/>
      <c r="AF2">
        <f>BDH("XLV 4/15/16 C67 Equity","PX_LAST",20160321,20160415)</f>
        <v/>
      </c>
      <c r="AG2" t="inlineStr"/>
      <c r="AH2">
        <f>BDH("XLV 5/20/16 C71 Equity","PX_LAST",20160418,20160520)</f>
        <v/>
      </c>
      <c r="AI2" t="inlineStr"/>
      <c r="AJ2">
        <f>BDH("XLV 6/17/16 C69 Equity","PX_LAST",20160523,20160617)</f>
        <v/>
      </c>
      <c r="AK2" t="inlineStr"/>
      <c r="AL2">
        <f>BDH("XLV 7/15/16 C70 Equity","PX_LAST",20160620,20160715)</f>
        <v/>
      </c>
      <c r="AM2" t="inlineStr"/>
      <c r="AN2">
        <f>BDH("XLV 8/19/16 C74 Equity","PX_LAST",20160718,20160819)</f>
        <v/>
      </c>
      <c r="AO2" t="inlineStr"/>
      <c r="AP2">
        <f>BDH("XLV 9/16/16 C75 Equity","PX_LAST",20160822,20160916)</f>
        <v/>
      </c>
      <c r="AQ2" t="inlineStr"/>
      <c r="AR2">
        <f>BDH("XLV 10/21/16 C72 Equity","PX_LAST",20160919,20161021)</f>
        <v/>
      </c>
      <c r="AS2" t="inlineStr"/>
      <c r="AT2">
        <f>BDH("XLV 11/18/16 C70 Equity","PX_LAST",20161024,20161118)</f>
        <v/>
      </c>
      <c r="AU2" t="inlineStr"/>
      <c r="AV2">
        <f>BDH("XLV 12/16/16 C70 Equity","PX_LAST",20161121,20161216)</f>
        <v/>
      </c>
      <c r="AW2" t="inlineStr"/>
      <c r="AX2">
        <f>BDH("XLV 1/20/17 C69 Equity","PX_LAST",20161219,20170120)</f>
        <v/>
      </c>
      <c r="AY2" t="inlineStr"/>
      <c r="AZ2">
        <f>BDH("XLV 2/17/17 C70 Equity","PX_LAST",20170123,20170217)</f>
        <v/>
      </c>
      <c r="BA2" t="inlineStr"/>
      <c r="BB2">
        <f>BDH("XLV 3/17/17 C74 Equity","PX_LAST",20170221,20170317)</f>
        <v/>
      </c>
      <c r="BC2" t="inlineStr"/>
      <c r="BD2">
        <f>BDH("XLV 4/21/17 C75 Equity","PX_LAST",20170320,20170421)</f>
        <v/>
      </c>
      <c r="BE2" t="inlineStr"/>
      <c r="BF2">
        <f>BDH("XLV 5/19/17 C74 Equity","PX_LAST",20170424,20170519)</f>
        <v/>
      </c>
      <c r="BG2" t="inlineStr"/>
      <c r="BH2">
        <f>BDH("XLV 6/16/17 C75 Equity","PX_LAST",20170522,20170616)</f>
        <v/>
      </c>
      <c r="BI2" t="inlineStr"/>
      <c r="BJ2">
        <f>BDH("XLV 7/21/17 C78 Equity","PX_LAST",20170619,20170721)</f>
        <v/>
      </c>
      <c r="BK2" t="inlineStr"/>
      <c r="BL2">
        <f>BDH("XLV 8/18/17 C81 Equity","PX_LAST",20170724,20170818)</f>
        <v/>
      </c>
      <c r="BM2" t="inlineStr"/>
      <c r="BN2">
        <f>BDH("XLV 9/15/17 C78 Equity","PX_LAST",20170821,20170915)</f>
        <v/>
      </c>
      <c r="BO2" t="inlineStr"/>
      <c r="BP2">
        <f>BDH("XLV 10/20/17 C83 Equity","PX_LAST",20170918,20171020)</f>
        <v/>
      </c>
      <c r="BQ2" t="inlineStr"/>
      <c r="BR2">
        <f>BDH("XLV 11/17/17 C84 Equity","PX_LAST",20171023,20171117)</f>
        <v/>
      </c>
      <c r="BS2" t="inlineStr"/>
      <c r="BT2">
        <f>BDH("XLV 12/15/17 C81 Equity","PX_LAST",20171120,20171215)</f>
        <v/>
      </c>
      <c r="BU2" t="inlineStr"/>
      <c r="BV2">
        <f>BDH("XLV 1/19/18 C84 Equity","PX_LAST",20171218,20180119)</f>
        <v/>
      </c>
      <c r="BW2" t="inlineStr"/>
      <c r="BX2">
        <f>BDH("XLV 2/16/18 C89 Equity","PX_LAST",20180122,20180216)</f>
        <v/>
      </c>
      <c r="BY2" t="inlineStr"/>
      <c r="BZ2">
        <f>BDH("XLV 3/16/18 C84 Equity","PX_LAST",20180220,20180316)</f>
        <v/>
      </c>
      <c r="CA2" t="inlineStr"/>
      <c r="CB2">
        <f>BDH("XLV 4/20/18 C84 Equity","PX_LAST",20180319,20180420)</f>
        <v/>
      </c>
      <c r="CC2" t="inlineStr"/>
      <c r="CD2">
        <f>BDH("XLV 5/18/18 C82 Equity","PX_LAST",20180423,20180518)</f>
        <v/>
      </c>
      <c r="CE2" t="inlineStr"/>
      <c r="CF2">
        <f>BDH("XLV 6/15/18 C83 Equity","PX_LAST",20180521,20180615)</f>
        <v/>
      </c>
      <c r="CG2" t="inlineStr"/>
      <c r="CH2">
        <f>BDH("XLV 7/20/18 C85 Equity","PX_LAST",20180618,20180720)</f>
        <v/>
      </c>
      <c r="CI2" t="inlineStr"/>
      <c r="CJ2">
        <f>BDH("XLV 8/17/18 C87 Equity","PX_LAST",20180723,20180817)</f>
        <v/>
      </c>
      <c r="CK2" t="inlineStr"/>
      <c r="CL2">
        <f>BDH("XLV 9/21/18 C91 Equity","PX_LAST",20180820,20180921)</f>
        <v/>
      </c>
      <c r="CM2" t="inlineStr"/>
      <c r="CN2">
        <f>BDH("XLV 10/19/18 C94 Equity","PX_LAST",20180924,20181019)</f>
        <v/>
      </c>
      <c r="CO2" t="inlineStr"/>
      <c r="CP2">
        <f>BDH("XLV 11/16/18 C91 Equity","PX_LAST",20181022,20181116)</f>
        <v/>
      </c>
      <c r="CQ2" t="inlineStr"/>
      <c r="CR2">
        <f>BDH("XLV 12/21/18 C91 Equity","PX_LAST",20181119,20181221)</f>
        <v/>
      </c>
      <c r="CS2" t="inlineStr"/>
      <c r="CT2">
        <f>BDH("XLV 1/18/19 C81 Equity","PX_LAST",20181224,20190118)</f>
        <v/>
      </c>
      <c r="CU2" t="inlineStr"/>
      <c r="CV2">
        <f>BDH("XLV 2/15/19 C89 Equity","PX_LAST",20190122,20190215)</f>
        <v/>
      </c>
      <c r="CW2" t="inlineStr"/>
      <c r="CX2">
        <f>BDH("XLV 3/15/19 C93 Equity","PX_LAST",20190219,20190315)</f>
        <v/>
      </c>
      <c r="CY2" t="inlineStr"/>
      <c r="CZ2">
        <f>BDH("XLV 4/18/19 C92 Equity","PX_LAST",20190318,20190418)</f>
        <v/>
      </c>
      <c r="DA2" t="inlineStr"/>
      <c r="DB2">
        <f>BDH("XLV 5/17/19 C86 Equity","PX_LAST",20190422,20190517)</f>
        <v/>
      </c>
      <c r="DC2" t="inlineStr"/>
      <c r="DD2">
        <f>BDH("XLV 6/21/19 C88 Equity","PX_LAST",20190520,20190621)</f>
        <v/>
      </c>
      <c r="DE2" t="inlineStr"/>
      <c r="DF2">
        <f>BDH("XLV 7/19/19 C93 Equity","PX_LAST",20190624,20190719)</f>
        <v/>
      </c>
      <c r="DG2" t="inlineStr"/>
      <c r="DH2">
        <f>BDH("XLV 8/16/19 C92 Equity","PX_LAST",20190722,20190816)</f>
        <v/>
      </c>
      <c r="DI2" t="inlineStr"/>
      <c r="DJ2">
        <f>BDH("XLV 9/20/19 C91 Equity","PX_LAST",20190819,20190920)</f>
        <v/>
      </c>
      <c r="DK2" t="inlineStr"/>
      <c r="DL2">
        <f>BDH("XLV 10/18/19 C92 Equity","PX_LAST",20190923,20191018)</f>
        <v/>
      </c>
      <c r="DM2" t="inlineStr"/>
      <c r="DN2">
        <f>BDH("XLV 11/15/19 C92 Equity","PX_LAST",20191021,20191115)</f>
        <v/>
      </c>
      <c r="DO2" t="inlineStr"/>
      <c r="DP2">
        <f>BDH("XLV 12/20/19 C97 Equity","PX_LAST",20191118,20191220)</f>
        <v/>
      </c>
      <c r="DQ2" t="inlineStr"/>
      <c r="DR2">
        <f>BDH("XLV 1/17/20 C103 Equity","PX_LAST",20191223,20200117)</f>
        <v/>
      </c>
      <c r="DS2" t="inlineStr"/>
      <c r="DT2">
        <f>BDH("XLV 2/21/20 C105 Equity","PX_LAST",20200121,20200221)</f>
        <v/>
      </c>
      <c r="DU2" t="inlineStr"/>
      <c r="DV2">
        <f>BDH("XLV 3/20/20 C100 Equity","PX_LAST",20200224,20200320)</f>
        <v/>
      </c>
      <c r="DW2" t="inlineStr"/>
      <c r="DX2">
        <f>BDH("XLV 4/17/20 C75 Equity","PX_LAST",20200323,20200417)</f>
        <v/>
      </c>
      <c r="DY2" t="inlineStr"/>
      <c r="DZ2">
        <f>BDH("XLV 5/15/20 C100 Equity","PX_LAST",20200420,20200515)</f>
        <v/>
      </c>
      <c r="EA2" t="inlineStr"/>
      <c r="EB2">
        <f>BDH("XLV 6/19/20 C101 Equity","PX_LAST",20200518,20200619)</f>
        <v/>
      </c>
      <c r="EC2" t="inlineStr"/>
      <c r="ED2">
        <f>BDH("XLV 7/17/20 C100 Equity","PX_LAST",20200622,20200717)</f>
        <v/>
      </c>
      <c r="EE2" t="inlineStr"/>
      <c r="EF2">
        <f>BDH("XLV 8/21/20 C106 Equity","PX_LAST",20200720,20200821)</f>
        <v/>
      </c>
      <c r="EG2" t="inlineStr"/>
      <c r="EH2">
        <f>BDH("XLV 9/18/20 C106 Equity","PX_LAST",20200824,20200918)</f>
        <v/>
      </c>
      <c r="EI2" t="inlineStr"/>
      <c r="EJ2">
        <f>BDH("XLV 10/16/20 C103 Equity","PX_LAST",20200921,20201016)</f>
        <v/>
      </c>
      <c r="EK2" t="inlineStr"/>
      <c r="EL2">
        <f>BDH("XLV 11/20/20 C106 Equity","PX_LAST",20201019,20201120)</f>
        <v/>
      </c>
      <c r="EM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2020-11-28T20:22:02Z</dcterms:created>
  <dcterms:modified xmlns:dcterms="http://purl.org/dc/terms/" xmlns:xsi="http://www.w3.org/2001/XMLSchema-instance" xsi:type="dcterms:W3CDTF">2020-11-28T20:22:02Z</dcterms:modified>
</cp:coreProperties>
</file>