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060" tabRatio="500" activeTab="1"/>
  </bookViews>
  <sheets>
    <sheet name="LINE RATE" sheetId="1" r:id="rId1"/>
    <sheet name="SHORT-TRANS" sheetId="2" r:id="rId2"/>
    <sheet name="SHORT-TRANS (2)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9" i="2" l="1"/>
  <c r="I49" i="2"/>
  <c r="H49" i="2"/>
  <c r="G49" i="2"/>
  <c r="F49" i="2"/>
  <c r="E49" i="2"/>
  <c r="D49" i="2"/>
  <c r="C49" i="2"/>
  <c r="B49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D40" i="2"/>
  <c r="E40" i="2"/>
  <c r="F40" i="2"/>
  <c r="G40" i="2"/>
  <c r="H40" i="2"/>
  <c r="I40" i="2"/>
  <c r="J40" i="2"/>
  <c r="J41" i="2"/>
  <c r="J42" i="2"/>
  <c r="J43" i="2"/>
  <c r="J44" i="2"/>
  <c r="J45" i="2"/>
  <c r="J46" i="2"/>
  <c r="J47" i="2"/>
  <c r="J48" i="2"/>
  <c r="I41" i="2"/>
  <c r="I42" i="2"/>
  <c r="I43" i="2"/>
  <c r="I44" i="2"/>
  <c r="I45" i="2"/>
  <c r="I46" i="2"/>
  <c r="I47" i="2"/>
  <c r="I48" i="2"/>
  <c r="H41" i="2"/>
  <c r="H42" i="2"/>
  <c r="H43" i="2"/>
  <c r="H44" i="2"/>
  <c r="H45" i="2"/>
  <c r="H46" i="2"/>
  <c r="H47" i="2"/>
  <c r="H48" i="2"/>
  <c r="G41" i="2"/>
  <c r="G42" i="2"/>
  <c r="G43" i="2"/>
  <c r="G44" i="2"/>
  <c r="G45" i="2"/>
  <c r="G46" i="2"/>
  <c r="G47" i="2"/>
  <c r="G48" i="2"/>
  <c r="F41" i="2"/>
  <c r="F42" i="2"/>
  <c r="F43" i="2"/>
  <c r="F44" i="2"/>
  <c r="F45" i="2"/>
  <c r="F46" i="2"/>
  <c r="F47" i="2"/>
  <c r="F48" i="2"/>
  <c r="E41" i="2"/>
  <c r="E42" i="2"/>
  <c r="E43" i="2"/>
  <c r="E44" i="2"/>
  <c r="E45" i="2"/>
  <c r="E46" i="2"/>
  <c r="E47" i="2"/>
  <c r="E48" i="2"/>
  <c r="D41" i="2"/>
  <c r="D42" i="2"/>
  <c r="D43" i="2"/>
  <c r="D44" i="2"/>
  <c r="D45" i="2"/>
  <c r="D46" i="2"/>
  <c r="D47" i="2"/>
  <c r="D48" i="2"/>
  <c r="C41" i="2"/>
  <c r="C42" i="2"/>
  <c r="C43" i="2"/>
  <c r="C44" i="2"/>
  <c r="C45" i="2"/>
  <c r="C46" i="2"/>
  <c r="C47" i="2"/>
  <c r="C48" i="2"/>
  <c r="B41" i="2"/>
  <c r="B42" i="2"/>
  <c r="B43" i="2"/>
  <c r="B44" i="2"/>
  <c r="B45" i="2"/>
  <c r="B46" i="2"/>
  <c r="B47" i="2"/>
  <c r="B48" i="2"/>
  <c r="B31" i="2"/>
  <c r="J31" i="2"/>
  <c r="J32" i="2"/>
  <c r="J30" i="2"/>
  <c r="J33" i="2"/>
  <c r="J34" i="2"/>
  <c r="J35" i="2"/>
  <c r="I31" i="2"/>
  <c r="I32" i="2"/>
  <c r="I30" i="2"/>
  <c r="I33" i="2"/>
  <c r="I34" i="2"/>
  <c r="I35" i="2"/>
  <c r="H31" i="2"/>
  <c r="H32" i="2"/>
  <c r="H30" i="2"/>
  <c r="H33" i="2"/>
  <c r="H34" i="2"/>
  <c r="H35" i="2"/>
  <c r="G31" i="2"/>
  <c r="G32" i="2"/>
  <c r="G30" i="2"/>
  <c r="G33" i="2"/>
  <c r="G34" i="2"/>
  <c r="G35" i="2"/>
  <c r="F31" i="2"/>
  <c r="F32" i="2"/>
  <c r="F30" i="2"/>
  <c r="F33" i="2"/>
  <c r="F34" i="2"/>
  <c r="F35" i="2"/>
  <c r="E31" i="2"/>
  <c r="E32" i="2"/>
  <c r="E30" i="2"/>
  <c r="E33" i="2"/>
  <c r="E34" i="2"/>
  <c r="E35" i="2"/>
  <c r="D31" i="2"/>
  <c r="D32" i="2"/>
  <c r="D30" i="2"/>
  <c r="D33" i="2"/>
  <c r="D34" i="2"/>
  <c r="D35" i="2"/>
  <c r="C31" i="2"/>
  <c r="C32" i="2"/>
  <c r="C30" i="2"/>
  <c r="C33" i="2"/>
  <c r="C34" i="2"/>
  <c r="C35" i="2"/>
  <c r="B32" i="2"/>
  <c r="B30" i="2"/>
  <c r="B33" i="2"/>
  <c r="B34" i="2"/>
  <c r="B35" i="2"/>
  <c r="B51" i="3"/>
  <c r="C17" i="3"/>
  <c r="C53" i="3"/>
  <c r="C54" i="3"/>
  <c r="C52" i="3"/>
  <c r="C55" i="3"/>
  <c r="C56" i="3"/>
  <c r="C58" i="3"/>
  <c r="D53" i="3"/>
  <c r="D54" i="3"/>
  <c r="D52" i="3"/>
  <c r="D55" i="3"/>
  <c r="D56" i="3"/>
  <c r="D58" i="3"/>
  <c r="B59" i="3"/>
  <c r="D63" i="3"/>
  <c r="C63" i="3"/>
  <c r="D62" i="3"/>
  <c r="C62" i="3"/>
  <c r="D61" i="3"/>
  <c r="C61" i="3"/>
  <c r="C41" i="3"/>
  <c r="C42" i="3"/>
  <c r="C40" i="3"/>
  <c r="C43" i="3"/>
  <c r="C44" i="3"/>
  <c r="C46" i="3"/>
  <c r="D41" i="3"/>
  <c r="D42" i="3"/>
  <c r="D40" i="3"/>
  <c r="D43" i="3"/>
  <c r="D44" i="3"/>
  <c r="D46" i="3"/>
  <c r="B47" i="3"/>
  <c r="J28" i="3"/>
  <c r="J31" i="3"/>
  <c r="E8" i="3"/>
  <c r="D23" i="3"/>
  <c r="J32" i="3"/>
  <c r="J29" i="3"/>
  <c r="J33" i="3"/>
  <c r="J34" i="3"/>
  <c r="D24" i="3"/>
  <c r="L34" i="3"/>
  <c r="I28" i="3"/>
  <c r="I31" i="3"/>
  <c r="C23" i="3"/>
  <c r="I32" i="3"/>
  <c r="I29" i="3"/>
  <c r="I33" i="3"/>
  <c r="I34" i="3"/>
  <c r="K34" i="3"/>
  <c r="D25" i="3"/>
  <c r="D26" i="3"/>
  <c r="D34" i="3"/>
  <c r="C24" i="3"/>
  <c r="C25" i="3"/>
  <c r="C26" i="3"/>
  <c r="C34" i="3"/>
  <c r="D33" i="3"/>
  <c r="C33" i="3"/>
  <c r="D32" i="3"/>
  <c r="C32" i="3"/>
  <c r="K31" i="3"/>
  <c r="C28" i="3"/>
  <c r="D28" i="3"/>
  <c r="B29" i="3"/>
  <c r="B31" i="3"/>
  <c r="C15" i="3"/>
  <c r="D6" i="3"/>
  <c r="M26" i="1"/>
  <c r="M25" i="1"/>
  <c r="L25" i="1"/>
  <c r="L26" i="1"/>
  <c r="M10" i="1"/>
  <c r="M11" i="1"/>
  <c r="M13" i="1"/>
  <c r="M14" i="1"/>
  <c r="M16" i="1"/>
  <c r="L10" i="1"/>
  <c r="L11" i="1"/>
  <c r="L13" i="1"/>
  <c r="L14" i="1"/>
  <c r="L16" i="1"/>
  <c r="K10" i="1"/>
  <c r="K11" i="1"/>
  <c r="K13" i="1"/>
  <c r="K14" i="1"/>
  <c r="K16" i="1"/>
  <c r="M15" i="1"/>
  <c r="L15" i="1"/>
  <c r="K15" i="1"/>
  <c r="J11" i="1"/>
  <c r="J13" i="1"/>
  <c r="J14" i="1"/>
  <c r="J16" i="1"/>
  <c r="J15" i="1"/>
  <c r="J10" i="1"/>
  <c r="J9" i="1"/>
  <c r="G13" i="1"/>
  <c r="B14" i="1"/>
  <c r="E12" i="2"/>
  <c r="D10" i="2"/>
  <c r="B22" i="1"/>
  <c r="G40" i="1"/>
  <c r="G39" i="1"/>
  <c r="G38" i="1"/>
  <c r="G37" i="1"/>
  <c r="G36" i="1"/>
  <c r="G35" i="1"/>
  <c r="G34" i="1"/>
  <c r="E40" i="1"/>
  <c r="F40" i="1"/>
  <c r="E39" i="1"/>
  <c r="F39" i="1"/>
  <c r="E38" i="1"/>
  <c r="F38" i="1"/>
  <c r="E37" i="1"/>
  <c r="F37" i="1"/>
  <c r="E36" i="1"/>
  <c r="F36" i="1"/>
  <c r="E35" i="1"/>
  <c r="F35" i="1"/>
  <c r="F34" i="1"/>
  <c r="E34" i="1"/>
  <c r="B43" i="1"/>
  <c r="B28" i="1"/>
  <c r="D40" i="1"/>
  <c r="D39" i="1"/>
  <c r="D38" i="1"/>
  <c r="D37" i="1"/>
  <c r="D36" i="1"/>
  <c r="D35" i="1"/>
  <c r="D34" i="1"/>
  <c r="B23" i="1"/>
  <c r="B21" i="1"/>
  <c r="C40" i="1"/>
  <c r="C39" i="1"/>
  <c r="C38" i="1"/>
  <c r="C37" i="1"/>
  <c r="C36" i="1"/>
  <c r="C35" i="1"/>
  <c r="C34" i="1"/>
  <c r="B34" i="1"/>
  <c r="B35" i="1"/>
  <c r="B40" i="1"/>
  <c r="B39" i="1"/>
  <c r="B38" i="1"/>
  <c r="B37" i="1"/>
  <c r="B36" i="1"/>
  <c r="B32" i="1"/>
  <c r="B29" i="1"/>
  <c r="B30" i="1"/>
  <c r="B5" i="1"/>
  <c r="B9" i="1"/>
  <c r="B10" i="1"/>
  <c r="B11" i="1"/>
  <c r="B13" i="1"/>
  <c r="B16" i="1"/>
  <c r="B17" i="1"/>
  <c r="B18" i="1"/>
</calcChain>
</file>

<file path=xl/sharedStrings.xml><?xml version="1.0" encoding="utf-8"?>
<sst xmlns="http://schemas.openxmlformats.org/spreadsheetml/2006/main" count="206" uniqueCount="126">
  <si>
    <t>Gbps</t>
  </si>
  <si>
    <t>MTU</t>
  </si>
  <si>
    <t>IPG</t>
  </si>
  <si>
    <t>ns</t>
  </si>
  <si>
    <t>MTU delay</t>
  </si>
  <si>
    <t>MTU+IPG</t>
  </si>
  <si>
    <t>PPS @ MTU</t>
  </si>
  <si>
    <t>M PPS</t>
  </si>
  <si>
    <t>Min+IPG</t>
  </si>
  <si>
    <t>PPS @ Min</t>
  </si>
  <si>
    <t>Layer 1 line rate</t>
  </si>
  <si>
    <t>TCP payload @ MTU</t>
  </si>
  <si>
    <t>Goodput @ MTU</t>
  </si>
  <si>
    <t>Gpbs</t>
  </si>
  <si>
    <t>64B packet</t>
  </si>
  <si>
    <t>Note -- slightly higher on fiber, but we use copper</t>
  </si>
  <si>
    <t>after 64/66 encoding</t>
  </si>
  <si>
    <t>mTCP test (min packet)</t>
  </si>
  <si>
    <t>SYN+RST</t>
  </si>
  <si>
    <t>64B payload</t>
  </si>
  <si>
    <t>PPS</t>
  </si>
  <si>
    <t>M TPS</t>
  </si>
  <si>
    <t>mTCP s=64, n=1 line rate</t>
  </si>
  <si>
    <t>SYNC+RST</t>
  </si>
  <si>
    <t>N*64B</t>
  </si>
  <si>
    <t>Delay</t>
  </si>
  <si>
    <t>TPS</t>
  </si>
  <si>
    <t>Intel max PPS</t>
  </si>
  <si>
    <t>guess</t>
  </si>
  <si>
    <t>BW @ Intel max, 64B</t>
  </si>
  <si>
    <t>Avg. interva@Intel max</t>
  </si>
  <si>
    <t>@Intel PPS</t>
  </si>
  <si>
    <t>packets</t>
  </si>
  <si>
    <t>overhead</t>
  </si>
  <si>
    <t>Ov. PPS</t>
  </si>
  <si>
    <t>Paylo PPS</t>
  </si>
  <si>
    <t>BW</t>
  </si>
  <si>
    <t>BW @ Intel 64+UDP</t>
  </si>
  <si>
    <t>$ sudo tcpdump -i eth11 -c 100 'host 192.168.21.11'</t>
  </si>
  <si>
    <t>18:03:05.059502 IP 192.168.21.11.47976 &gt; 192.168.21.1.9876: Flags [S], seq 3160856865, win 29200, options [mss 1460,sackOK,TS val 36422055 ecr 0,nop,wscale 7], length 0</t>
  </si>
  <si>
    <t>18:03:05.059506 IP 192.168.21.1.9876 &gt; 192.168.21.11.47976: Flags [S.], seq 318400938, ack 3160856866, win 28960, options [mss 1460,sackOK,TS val 14560313 ecr 36422055,nop,wscale 7], length 0</t>
  </si>
  <si>
    <t>18:03:05.059541 IP 192.168.21.11.47976 &gt; 192.168.21.1.9876: Flags [.], ack 1, win 229, options [nop,nop,TS val 36422055 ecr 14560313], length 0</t>
  </si>
  <si>
    <t>18:03:05.059636 IP 192.168.21.11.47976 &gt; 192.168.21.1.9876: Flags [P.], seq 1:65, ack 1, win 229, options [nop,nop,TS val 36422055 ecr 14560313], length 64</t>
  </si>
  <si>
    <t>18:03:05.059641 IP 192.168.21.1.9876 &gt; 192.168.21.11.47976: Flags [.], ack 65, win 227, options [nop,nop,TS val 14560313 ecr 36422055], length 0</t>
  </si>
  <si>
    <t>18:03:05.059671 IP 192.168.21.1.9876 &gt; 192.168.21.11.47976: Flags [P.], seq 1:65, ack 65, win 227, options [nop,nop,TS val 14560313 ecr 36422055], length 64</t>
  </si>
  <si>
    <t>18:03:05.059707 IP 192.168.21.11.47976 &gt; 192.168.21.1.9876: Flags [.], ack 65, win 229, options [nop,nop,TS val 36422055 ecr 14560313], length 0</t>
  </si>
  <si>
    <t>18:03:05.059710 IP 192.168.21.11.47976 &gt; 192.168.21.1.9876: Flags [R.], seq 65, ack 65, win 229, options [nop,nop,TS val 36422055 ecr 14560313], length 0</t>
  </si>
  <si>
    <t>Cl-&gt;Srv</t>
  </si>
  <si>
    <t>Srv-Client</t>
  </si>
  <si>
    <t>SYN</t>
  </si>
  <si>
    <t>SYN/ACK</t>
  </si>
  <si>
    <t>ACK</t>
  </si>
  <si>
    <t>DATA</t>
  </si>
  <si>
    <t>Cl-Srv</t>
  </si>
  <si>
    <t>Srv-&gt;Cl</t>
  </si>
  <si>
    <t>RST</t>
  </si>
  <si>
    <t>$ grep eth11 /proc/net/dev</t>
  </si>
  <si>
    <t>bytes recv'd = 665803654</t>
  </si>
  <si>
    <t>pkts recv'd = 8281185</t>
  </si>
  <si>
    <t>bytes sent = 447105314</t>
  </si>
  <si>
    <t>pkts sent = 4968021</t>
  </si>
  <si>
    <t>Bottom-up model of a transaction (on server)</t>
  </si>
  <si>
    <t>Received</t>
  </si>
  <si>
    <t>Sent</t>
  </si>
  <si>
    <t>Packets</t>
  </si>
  <si>
    <t>Bytes</t>
  </si>
  <si>
    <t>IPG time [ns]</t>
  </si>
  <si>
    <t>Packet Wire time [ns]</t>
  </si>
  <si>
    <t>Total wire time [ns]</t>
  </si>
  <si>
    <t xml:space="preserve">Max TPS@10GbE </t>
  </si>
  <si>
    <t>Max TPS@bottleneck</t>
  </si>
  <si>
    <t>%</t>
  </si>
  <si>
    <t>MPPS @ measured</t>
  </si>
  <si>
    <t>Measured MTPS</t>
  </si>
  <si>
    <t>Mbytes</t>
  </si>
  <si>
    <t>total wire time [ms]</t>
  </si>
  <si>
    <t>Top-down, reported on server</t>
  </si>
  <si>
    <t>Measured</t>
  </si>
  <si>
    <t>Transactions</t>
  </si>
  <si>
    <t>Bytes expected</t>
  </si>
  <si>
    <t>Difference</t>
  </si>
  <si>
    <t>Error</t>
  </si>
  <si>
    <t>N</t>
  </si>
  <si>
    <t>With N RPC per connection (assume existing DATA/ACK model)</t>
  </si>
  <si>
    <t>With N RPC per connection (assuming ideal DATA/ACK behavior)</t>
  </si>
  <si>
    <t>Goodput @ MAX (Gbps)</t>
  </si>
  <si>
    <t>Packet bytes @ MAX (Gpb)</t>
  </si>
  <si>
    <t>Wire time @ MAX %)</t>
  </si>
  <si>
    <t>Packet size assumptios</t>
  </si>
  <si>
    <t>Linux</t>
  </si>
  <si>
    <t>Data</t>
  </si>
  <si>
    <t>IX</t>
  </si>
  <si>
    <t>Throughput @ MTU</t>
  </si>
  <si>
    <t>Ethernet line rate</t>
  </si>
  <si>
    <t>NetPIPE bandwidth -- line rate</t>
  </si>
  <si>
    <t>Payload</t>
  </si>
  <si>
    <t>Line rate based on payload</t>
  </si>
  <si>
    <t>Header</t>
  </si>
  <si>
    <t>Packet size</t>
  </si>
  <si>
    <t>Packet wire[ns]</t>
  </si>
  <si>
    <t>IPG[ns]</t>
  </si>
  <si>
    <t>Packet+IPG</t>
  </si>
  <si>
    <t>PPS [M]</t>
  </si>
  <si>
    <t>Bytes throughput [Gbps]</t>
  </si>
  <si>
    <t>Goodput [Gpbs]</t>
  </si>
  <si>
    <t>Short benchmark -- IX</t>
  </si>
  <si>
    <t>Note -- Linux has larger TCP headers (SOCK option, …)</t>
  </si>
  <si>
    <t>54+size</t>
  </si>
  <si>
    <t>RPC-REPLY</t>
  </si>
  <si>
    <t>RPC-REQ</t>
  </si>
  <si>
    <t>#roundtrips</t>
  </si>
  <si>
    <t>#packets</t>
  </si>
  <si>
    <t>n times</t>
  </si>
  <si>
    <t>1 time</t>
  </si>
  <si>
    <t># bytes</t>
  </si>
  <si>
    <t>Packet wire time[ns]</t>
  </si>
  <si>
    <t>total time [ns]</t>
  </si>
  <si>
    <t>SHORT-SIZE benchmark</t>
  </si>
  <si>
    <t>#rountrips=1</t>
  </si>
  <si>
    <t>size</t>
  </si>
  <si>
    <t>size/MTU</t>
  </si>
  <si>
    <t>Packet wire time [ns]</t>
  </si>
  <si>
    <t>Total time [ns]</t>
  </si>
  <si>
    <t>M. TPS</t>
  </si>
  <si>
    <t>SHORT-ROUNDTRIP BENCHMARKS Size=</t>
  </si>
  <si>
    <t>Received is the bottlenecks; measuing goodput on Server RX.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</si>
</sst>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9" fontId="0" fillId="0" borderId="0" xfId="37" applyFont="1"/>
    <xf numFmtId="166" fontId="0" fillId="0" borderId="0" xfId="37" applyNumberFormat="1" applyFont="1"/>
    <xf numFmtId="0" fontId="0" fillId="2" borderId="0" xfId="0" applyFill="1"/>
    <xf numFmtId="0" fontId="5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4" fillId="2" borderId="4" xfId="0" applyFont="1" applyFill="1" applyBorder="1"/>
    <xf numFmtId="0" fontId="4" fillId="0" borderId="4" xfId="0" applyFont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4" fillId="2" borderId="6" xfId="0" applyNumberFormat="1" applyFont="1" applyFill="1" applyBorder="1"/>
    <xf numFmtId="2" fontId="0" fillId="2" borderId="0" xfId="0" applyNumberFormat="1" applyFill="1" applyBorder="1"/>
    <xf numFmtId="2" fontId="4" fillId="2" borderId="4" xfId="0" applyNumberFormat="1" applyFont="1" applyFill="1" applyBorder="1"/>
    <xf numFmtId="2" fontId="0" fillId="2" borderId="5" xfId="0" applyNumberFormat="1" applyFill="1" applyBorder="1"/>
    <xf numFmtId="2" fontId="0" fillId="2" borderId="4" xfId="0" applyNumberFormat="1" applyFill="1" applyBorder="1"/>
    <xf numFmtId="0" fontId="4" fillId="0" borderId="4" xfId="0" applyFont="1" applyFill="1" applyBorder="1"/>
  </cellXfs>
  <cellStyles count="1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Normal" xfId="0" builtinId="0"/>
    <cellStyle name="Percent" xfId="3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9"/>
  <sheetViews>
    <sheetView topLeftCell="A9" workbookViewId="0">
      <selection activeCell="L25" sqref="L25"/>
    </sheetView>
  </sheetViews>
  <sheetFormatPr baseColWidth="10" defaultRowHeight="15" x14ac:dyDescent="0"/>
  <cols>
    <col min="1" max="1" width="18.5" customWidth="1"/>
    <col min="2" max="2" width="31.33203125" customWidth="1"/>
    <col min="3" max="3" width="21.6640625" customWidth="1"/>
    <col min="4" max="4" width="16" customWidth="1"/>
    <col min="9" max="9" width="16.83203125" customWidth="1"/>
    <col min="10" max="10" width="14.6640625" customWidth="1"/>
  </cols>
  <sheetData>
    <row r="4" spans="1:13">
      <c r="A4" t="s">
        <v>10</v>
      </c>
      <c r="B4" s="1">
        <v>10.3125</v>
      </c>
      <c r="C4" t="s">
        <v>0</v>
      </c>
      <c r="D4" t="s">
        <v>15</v>
      </c>
    </row>
    <row r="5" spans="1:13">
      <c r="A5" t="s">
        <v>16</v>
      </c>
      <c r="B5" s="1">
        <f>B4*64/66</f>
        <v>10</v>
      </c>
      <c r="C5" t="s">
        <v>0</v>
      </c>
      <c r="I5" t="s">
        <v>96</v>
      </c>
    </row>
    <row r="6" spans="1:13">
      <c r="B6" s="1"/>
    </row>
    <row r="7" spans="1:13">
      <c r="A7" t="s">
        <v>1</v>
      </c>
      <c r="B7" s="1">
        <v>1514</v>
      </c>
      <c r="J7" t="s">
        <v>95</v>
      </c>
    </row>
    <row r="8" spans="1:13">
      <c r="A8" t="s">
        <v>2</v>
      </c>
      <c r="B8" s="1">
        <v>9.6</v>
      </c>
      <c r="C8" t="s">
        <v>3</v>
      </c>
      <c r="J8">
        <v>1</v>
      </c>
      <c r="K8">
        <v>64</v>
      </c>
      <c r="L8">
        <v>1024</v>
      </c>
      <c r="M8">
        <v>1460</v>
      </c>
    </row>
    <row r="9" spans="1:13">
      <c r="A9" t="s">
        <v>4</v>
      </c>
      <c r="B9" s="1">
        <f>B7*8/B5</f>
        <v>1211.2</v>
      </c>
      <c r="C9" t="s">
        <v>3</v>
      </c>
      <c r="I9" t="s">
        <v>97</v>
      </c>
      <c r="J9">
        <f>54+9</f>
        <v>63</v>
      </c>
      <c r="K9">
        <v>54</v>
      </c>
      <c r="L9">
        <v>54</v>
      </c>
      <c r="M9">
        <v>54</v>
      </c>
    </row>
    <row r="10" spans="1:13">
      <c r="A10" t="s">
        <v>5</v>
      </c>
      <c r="B10" s="1">
        <f>B9+B8</f>
        <v>1220.8</v>
      </c>
      <c r="C10" t="s">
        <v>3</v>
      </c>
      <c r="I10" t="s">
        <v>98</v>
      </c>
      <c r="J10">
        <f>J8+J9</f>
        <v>64</v>
      </c>
      <c r="K10">
        <f t="shared" ref="K10:M10" si="0">K8+K9</f>
        <v>118</v>
      </c>
      <c r="L10">
        <f t="shared" si="0"/>
        <v>1078</v>
      </c>
      <c r="M10">
        <f t="shared" si="0"/>
        <v>1514</v>
      </c>
    </row>
    <row r="11" spans="1:13">
      <c r="A11" t="s">
        <v>6</v>
      </c>
      <c r="B11" s="1">
        <f>1000/B10</f>
        <v>0.81913499344692009</v>
      </c>
      <c r="C11" t="s">
        <v>7</v>
      </c>
      <c r="I11" t="s">
        <v>99</v>
      </c>
      <c r="J11">
        <f>J10*8/$B$5</f>
        <v>51.2</v>
      </c>
      <c r="K11">
        <f t="shared" ref="K11:M11" si="1">K10*8/$B$5</f>
        <v>94.4</v>
      </c>
      <c r="L11">
        <f t="shared" si="1"/>
        <v>862.4</v>
      </c>
      <c r="M11">
        <f t="shared" si="1"/>
        <v>1211.2</v>
      </c>
    </row>
    <row r="12" spans="1:13">
      <c r="A12" t="s">
        <v>11</v>
      </c>
      <c r="B12" s="1">
        <v>1460</v>
      </c>
      <c r="I12" t="s">
        <v>100</v>
      </c>
      <c r="J12">
        <v>9.6</v>
      </c>
      <c r="K12">
        <v>9.6</v>
      </c>
      <c r="L12">
        <v>9.6</v>
      </c>
      <c r="M12">
        <v>9.6</v>
      </c>
    </row>
    <row r="13" spans="1:13">
      <c r="A13" s="2" t="s">
        <v>12</v>
      </c>
      <c r="B13" s="3">
        <f>B12*B11*8/1000</f>
        <v>9.5674967234600263</v>
      </c>
      <c r="C13" s="2" t="s">
        <v>13</v>
      </c>
      <c r="D13" t="s">
        <v>94</v>
      </c>
      <c r="G13">
        <f>B13*4</f>
        <v>38.269986893840105</v>
      </c>
      <c r="I13" t="s">
        <v>101</v>
      </c>
      <c r="J13">
        <f>J11+J12</f>
        <v>60.800000000000004</v>
      </c>
      <c r="K13">
        <f t="shared" ref="K13:M13" si="2">K11+K12</f>
        <v>104</v>
      </c>
      <c r="L13">
        <f t="shared" si="2"/>
        <v>872</v>
      </c>
      <c r="M13">
        <f t="shared" si="2"/>
        <v>1220.8</v>
      </c>
    </row>
    <row r="14" spans="1:13">
      <c r="A14" t="s">
        <v>92</v>
      </c>
      <c r="B14" s="1">
        <f>1514*B11*8/1000</f>
        <v>9.921363040629096</v>
      </c>
      <c r="C14" t="s">
        <v>0</v>
      </c>
      <c r="D14" t="s">
        <v>93</v>
      </c>
      <c r="I14" t="s">
        <v>102</v>
      </c>
      <c r="J14" s="1">
        <f>1000/J13</f>
        <v>16.44736842105263</v>
      </c>
      <c r="K14" s="1">
        <f t="shared" ref="K14:M14" si="3">1000/K13</f>
        <v>9.615384615384615</v>
      </c>
      <c r="L14" s="1">
        <f t="shared" si="3"/>
        <v>1.1467889908256881</v>
      </c>
      <c r="M14" s="1">
        <f t="shared" si="3"/>
        <v>0.81913499344692009</v>
      </c>
    </row>
    <row r="15" spans="1:13">
      <c r="B15" s="1"/>
      <c r="I15" t="s">
        <v>103</v>
      </c>
      <c r="J15" s="1">
        <f>J10*J14*8/1000</f>
        <v>8.4210526315789469</v>
      </c>
      <c r="K15" s="1">
        <f t="shared" ref="K15:M15" si="4">K10*K14*8/1000</f>
        <v>9.0769230769230766</v>
      </c>
      <c r="L15" s="1">
        <f t="shared" si="4"/>
        <v>9.8899082568807337</v>
      </c>
      <c r="M15" s="1">
        <f t="shared" si="4"/>
        <v>9.921363040629096</v>
      </c>
    </row>
    <row r="16" spans="1:13">
      <c r="A16" t="s">
        <v>14</v>
      </c>
      <c r="B16" s="1">
        <f>64*8/B5</f>
        <v>51.2</v>
      </c>
      <c r="C16" t="s">
        <v>3</v>
      </c>
      <c r="I16" t="s">
        <v>104</v>
      </c>
      <c r="J16" s="1">
        <f>J8*J14*8/1000</f>
        <v>0.13157894736842105</v>
      </c>
      <c r="K16" s="1">
        <f t="shared" ref="K16:M16" si="5">K8*K14*8/1000</f>
        <v>4.9230769230769225</v>
      </c>
      <c r="L16" s="1">
        <f t="shared" si="5"/>
        <v>9.3944954128440372</v>
      </c>
      <c r="M16" s="1">
        <f t="shared" si="5"/>
        <v>9.5674967234600263</v>
      </c>
    </row>
    <row r="17" spans="1:13">
      <c r="A17" t="s">
        <v>8</v>
      </c>
      <c r="B17" s="1">
        <f>B16+B8</f>
        <v>60.800000000000004</v>
      </c>
      <c r="C17" t="s">
        <v>3</v>
      </c>
    </row>
    <row r="18" spans="1:13">
      <c r="A18" t="s">
        <v>9</v>
      </c>
      <c r="B18" s="1">
        <f>1000/B17</f>
        <v>16.44736842105263</v>
      </c>
      <c r="C18" t="s">
        <v>7</v>
      </c>
    </row>
    <row r="19" spans="1:13">
      <c r="B19" s="1"/>
    </row>
    <row r="20" spans="1:13">
      <c r="A20" t="s">
        <v>27</v>
      </c>
      <c r="B20">
        <v>6.5</v>
      </c>
      <c r="C20" t="s">
        <v>28</v>
      </c>
    </row>
    <row r="21" spans="1:13">
      <c r="A21" t="s">
        <v>29</v>
      </c>
      <c r="B21">
        <f>B20*64*8/1000</f>
        <v>3.3279999999999998</v>
      </c>
      <c r="C21" t="s">
        <v>13</v>
      </c>
    </row>
    <row r="22" spans="1:13">
      <c r="A22" t="s">
        <v>37</v>
      </c>
      <c r="B22">
        <f>B20*(64+42)*8/1000</f>
        <v>5.5119999999999996</v>
      </c>
    </row>
    <row r="23" spans="1:13">
      <c r="A23" t="s">
        <v>30</v>
      </c>
      <c r="B23">
        <f>1000/B20</f>
        <v>153.84615384615384</v>
      </c>
      <c r="C23" t="s">
        <v>3</v>
      </c>
    </row>
    <row r="25" spans="1:13">
      <c r="A25" t="s">
        <v>17</v>
      </c>
      <c r="K25">
        <v>470</v>
      </c>
      <c r="L25">
        <f>K25/2</f>
        <v>235</v>
      </c>
      <c r="M25">
        <f>K25/3</f>
        <v>156.66666666666666</v>
      </c>
    </row>
    <row r="26" spans="1:13">
      <c r="K26">
        <v>6.52</v>
      </c>
      <c r="L26">
        <f>K26/2</f>
        <v>3.26</v>
      </c>
      <c r="M26">
        <f>K26/3</f>
        <v>2.1733333333333333</v>
      </c>
    </row>
    <row r="27" spans="1:13">
      <c r="A27" t="s">
        <v>18</v>
      </c>
      <c r="B27">
        <v>3</v>
      </c>
      <c r="C27" t="s">
        <v>32</v>
      </c>
    </row>
    <row r="28" spans="1:13">
      <c r="A28" t="s">
        <v>18</v>
      </c>
      <c r="B28">
        <f>B27*(B17)</f>
        <v>182.4</v>
      </c>
      <c r="C28" t="s">
        <v>3</v>
      </c>
    </row>
    <row r="29" spans="1:13">
      <c r="A29" t="s">
        <v>19</v>
      </c>
      <c r="B29">
        <f>(64+54)*8/B5+B8</f>
        <v>104</v>
      </c>
      <c r="C29" t="s">
        <v>3</v>
      </c>
    </row>
    <row r="30" spans="1:13">
      <c r="A30" s="2" t="s">
        <v>20</v>
      </c>
      <c r="B30" s="2">
        <f>1000/(B28+B29)</f>
        <v>3.4916201117318439</v>
      </c>
      <c r="C30" s="2" t="s">
        <v>21</v>
      </c>
      <c r="D30" t="s">
        <v>22</v>
      </c>
    </row>
    <row r="32" spans="1:13">
      <c r="A32" t="s">
        <v>23</v>
      </c>
      <c r="B32">
        <f>B28</f>
        <v>182.4</v>
      </c>
    </row>
    <row r="33" spans="1:7">
      <c r="A33" t="s">
        <v>24</v>
      </c>
      <c r="B33" t="s">
        <v>25</v>
      </c>
      <c r="C33" t="s">
        <v>26</v>
      </c>
      <c r="D33" s="4" t="s">
        <v>31</v>
      </c>
      <c r="E33" t="s">
        <v>34</v>
      </c>
      <c r="F33" t="s">
        <v>35</v>
      </c>
      <c r="G33" t="s">
        <v>36</v>
      </c>
    </row>
    <row r="34" spans="1:7">
      <c r="A34">
        <v>1</v>
      </c>
      <c r="B34">
        <f t="shared" ref="B34:B40" si="6">B$29*A34</f>
        <v>104</v>
      </c>
      <c r="C34">
        <f>1000/(B34+B$28)*A34</f>
        <v>3.4916201117318439</v>
      </c>
      <c r="D34">
        <f>B$20*A34/(A34+B$27)</f>
        <v>1.625</v>
      </c>
      <c r="E34">
        <f>B$20*B$27/(B$27+A34)</f>
        <v>4.875</v>
      </c>
      <c r="F34">
        <f>B$20*A34/(A34+B$27)</f>
        <v>1.625</v>
      </c>
      <c r="G34">
        <f>(E34*64+F34*118)*8/1000</f>
        <v>4.03</v>
      </c>
    </row>
    <row r="35" spans="1:7">
      <c r="A35">
        <v>2</v>
      </c>
      <c r="B35">
        <f t="shared" si="6"/>
        <v>208</v>
      </c>
      <c r="C35">
        <f t="shared" ref="C35:C40" si="7">1000/(B35+B$28)*A35</f>
        <v>5.1229508196721314</v>
      </c>
      <c r="D35">
        <f t="shared" ref="D35:D40" si="8">B$20*A35/(A35+B$27)</f>
        <v>2.6</v>
      </c>
      <c r="E35">
        <f t="shared" ref="E35:E40" si="9">B$20*B$27/(B$27+A35)</f>
        <v>3.9</v>
      </c>
      <c r="F35">
        <f t="shared" ref="F35:F40" si="10">B$20*A35/(A35+B$27)</f>
        <v>2.6</v>
      </c>
      <c r="G35">
        <f t="shared" ref="G35:G40" si="11">(E35*64+F35*118)*8/1000</f>
        <v>4.4512</v>
      </c>
    </row>
    <row r="36" spans="1:7">
      <c r="A36">
        <v>4</v>
      </c>
      <c r="B36">
        <f t="shared" si="6"/>
        <v>416</v>
      </c>
      <c r="C36">
        <f t="shared" si="7"/>
        <v>6.6844919786096257</v>
      </c>
      <c r="D36">
        <f t="shared" si="8"/>
        <v>3.7142857142857144</v>
      </c>
      <c r="E36">
        <f t="shared" si="9"/>
        <v>2.7857142857142856</v>
      </c>
      <c r="F36">
        <f t="shared" si="10"/>
        <v>3.7142857142857144</v>
      </c>
      <c r="G36">
        <f t="shared" si="11"/>
        <v>4.9325714285714284</v>
      </c>
    </row>
    <row r="37" spans="1:7">
      <c r="A37">
        <v>8</v>
      </c>
      <c r="B37">
        <f t="shared" si="6"/>
        <v>832</v>
      </c>
      <c r="C37">
        <f t="shared" si="7"/>
        <v>7.8864353312302837</v>
      </c>
      <c r="D37">
        <f t="shared" si="8"/>
        <v>4.7272727272727275</v>
      </c>
      <c r="E37">
        <f t="shared" si="9"/>
        <v>1.7727272727272727</v>
      </c>
      <c r="F37">
        <f t="shared" si="10"/>
        <v>4.7272727272727275</v>
      </c>
      <c r="G37">
        <f t="shared" si="11"/>
        <v>5.3701818181818188</v>
      </c>
    </row>
    <row r="38" spans="1:7">
      <c r="A38">
        <v>32</v>
      </c>
      <c r="B38">
        <f t="shared" si="6"/>
        <v>3328</v>
      </c>
      <c r="C38">
        <f t="shared" si="7"/>
        <v>9.115770282588878</v>
      </c>
      <c r="D38">
        <f t="shared" si="8"/>
        <v>5.9428571428571431</v>
      </c>
      <c r="E38">
        <f t="shared" si="9"/>
        <v>0.55714285714285716</v>
      </c>
      <c r="F38">
        <f t="shared" si="10"/>
        <v>5.9428571428571431</v>
      </c>
      <c r="G38">
        <f t="shared" si="11"/>
        <v>5.895314285714286</v>
      </c>
    </row>
    <row r="39" spans="1:7">
      <c r="A39">
        <v>64</v>
      </c>
      <c r="B39">
        <f t="shared" si="6"/>
        <v>6656</v>
      </c>
      <c r="C39">
        <f t="shared" si="7"/>
        <v>9.3589143659335523</v>
      </c>
      <c r="D39">
        <f t="shared" si="8"/>
        <v>6.2089552238805972</v>
      </c>
      <c r="E39">
        <f t="shared" si="9"/>
        <v>0.29104477611940299</v>
      </c>
      <c r="F39">
        <f t="shared" si="10"/>
        <v>6.2089552238805972</v>
      </c>
      <c r="G39">
        <f t="shared" si="11"/>
        <v>6.0102686567164181</v>
      </c>
    </row>
    <row r="40" spans="1:7">
      <c r="A40">
        <v>128</v>
      </c>
      <c r="B40">
        <f t="shared" si="6"/>
        <v>13312</v>
      </c>
      <c r="C40">
        <f t="shared" si="7"/>
        <v>9.485416172634574</v>
      </c>
      <c r="D40">
        <f t="shared" si="8"/>
        <v>6.3511450381679388</v>
      </c>
      <c r="E40">
        <f t="shared" si="9"/>
        <v>0.14885496183206107</v>
      </c>
      <c r="F40">
        <f t="shared" si="10"/>
        <v>6.3511450381679388</v>
      </c>
      <c r="G40">
        <f t="shared" si="11"/>
        <v>6.0716946564885497</v>
      </c>
    </row>
    <row r="42" spans="1:7">
      <c r="B42" t="s">
        <v>33</v>
      </c>
    </row>
    <row r="43" spans="1:7">
      <c r="A43">
        <v>1</v>
      </c>
      <c r="B43">
        <f>B27/(A43+B27)</f>
        <v>0.75</v>
      </c>
    </row>
    <row r="44" spans="1:7">
      <c r="A44">
        <v>2</v>
      </c>
    </row>
    <row r="45" spans="1:7">
      <c r="A45">
        <v>4</v>
      </c>
    </row>
    <row r="46" spans="1:7">
      <c r="A46">
        <v>8</v>
      </c>
    </row>
    <row r="47" spans="1:7">
      <c r="A47">
        <v>32</v>
      </c>
    </row>
    <row r="48" spans="1:7">
      <c r="A48">
        <v>64</v>
      </c>
    </row>
    <row r="49" spans="1:1">
      <c r="A49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3"/>
  <sheetViews>
    <sheetView tabSelected="1" topLeftCell="A14" workbookViewId="0">
      <selection activeCell="B49" sqref="B49:J49"/>
    </sheetView>
  </sheetViews>
  <sheetFormatPr baseColWidth="10" defaultRowHeight="15" x14ac:dyDescent="0"/>
  <cols>
    <col min="1" max="1" width="23.33203125" customWidth="1"/>
    <col min="2" max="2" width="8.5" customWidth="1"/>
    <col min="3" max="3" width="9" customWidth="1"/>
    <col min="4" max="4" width="11.1640625" customWidth="1"/>
  </cols>
  <sheetData>
    <row r="3" spans="2:6" ht="18">
      <c r="B3" s="10" t="s">
        <v>105</v>
      </c>
    </row>
    <row r="4" spans="2:6">
      <c r="B4" t="s">
        <v>106</v>
      </c>
    </row>
    <row r="6" spans="2:6">
      <c r="B6" t="s">
        <v>53</v>
      </c>
      <c r="C6" t="s">
        <v>54</v>
      </c>
      <c r="D6" t="s">
        <v>47</v>
      </c>
      <c r="E6" t="s">
        <v>48</v>
      </c>
      <c r="F6" t="s">
        <v>38</v>
      </c>
    </row>
    <row r="7" spans="2:6">
      <c r="B7" t="s">
        <v>49</v>
      </c>
      <c r="D7">
        <v>74</v>
      </c>
      <c r="F7" t="s">
        <v>39</v>
      </c>
    </row>
    <row r="8" spans="2:6">
      <c r="C8" t="s">
        <v>50</v>
      </c>
      <c r="E8">
        <v>74</v>
      </c>
      <c r="F8" t="s">
        <v>40</v>
      </c>
    </row>
    <row r="9" spans="2:6">
      <c r="B9" t="s">
        <v>51</v>
      </c>
      <c r="D9">
        <v>74</v>
      </c>
      <c r="F9" t="s">
        <v>41</v>
      </c>
    </row>
    <row r="10" spans="2:6">
      <c r="B10" t="s">
        <v>52</v>
      </c>
      <c r="D10">
        <f>74+64</f>
        <v>138</v>
      </c>
      <c r="F10" t="s">
        <v>42</v>
      </c>
    </row>
    <row r="11" spans="2:6">
      <c r="C11" t="s">
        <v>51</v>
      </c>
      <c r="E11">
        <v>74</v>
      </c>
      <c r="F11" t="s">
        <v>43</v>
      </c>
    </row>
    <row r="12" spans="2:6">
      <c r="C12" t="s">
        <v>52</v>
      </c>
      <c r="E12">
        <f>74+64</f>
        <v>138</v>
      </c>
      <c r="F12" t="s">
        <v>44</v>
      </c>
    </row>
    <row r="13" spans="2:6">
      <c r="B13" t="s">
        <v>51</v>
      </c>
      <c r="D13">
        <v>74</v>
      </c>
      <c r="F13" t="s">
        <v>45</v>
      </c>
    </row>
    <row r="14" spans="2:6">
      <c r="B14" t="s">
        <v>55</v>
      </c>
      <c r="D14">
        <v>74</v>
      </c>
      <c r="F14" t="s">
        <v>46</v>
      </c>
    </row>
    <row r="17" spans="1:10">
      <c r="A17" t="s">
        <v>88</v>
      </c>
    </row>
    <row r="18" spans="1:10">
      <c r="B18" t="s">
        <v>62</v>
      </c>
      <c r="C18" t="s">
        <v>63</v>
      </c>
    </row>
    <row r="19" spans="1:10">
      <c r="A19" t="s">
        <v>49</v>
      </c>
      <c r="B19">
        <v>74</v>
      </c>
    </row>
    <row r="20" spans="1:10">
      <c r="A20" t="s">
        <v>50</v>
      </c>
      <c r="C20">
        <v>64</v>
      </c>
    </row>
    <row r="21" spans="1:10">
      <c r="A21" t="s">
        <v>51</v>
      </c>
      <c r="B21">
        <v>64</v>
      </c>
    </row>
    <row r="22" spans="1:10">
      <c r="A22" t="s">
        <v>109</v>
      </c>
      <c r="B22" s="4" t="s">
        <v>107</v>
      </c>
      <c r="D22" t="s">
        <v>112</v>
      </c>
    </row>
    <row r="23" spans="1:10">
      <c r="A23" t="s">
        <v>108</v>
      </c>
      <c r="B23" s="4"/>
      <c r="C23" t="s">
        <v>107</v>
      </c>
      <c r="D23" t="s">
        <v>112</v>
      </c>
    </row>
    <row r="24" spans="1:10">
      <c r="A24" t="s">
        <v>51</v>
      </c>
      <c r="B24" s="4">
        <v>64</v>
      </c>
      <c r="D24" t="s">
        <v>113</v>
      </c>
    </row>
    <row r="25" spans="1:10">
      <c r="A25" t="s">
        <v>55</v>
      </c>
      <c r="B25">
        <v>64</v>
      </c>
    </row>
    <row r="26" spans="1:10">
      <c r="A26" t="s">
        <v>125</v>
      </c>
    </row>
    <row r="28" spans="1:10">
      <c r="A28" s="11" t="s">
        <v>124</v>
      </c>
      <c r="B28" s="12">
        <v>64</v>
      </c>
      <c r="C28" s="12"/>
      <c r="D28" s="12"/>
      <c r="E28" s="12"/>
      <c r="F28" s="12"/>
      <c r="G28" s="12"/>
      <c r="H28" s="12"/>
      <c r="I28" s="12"/>
      <c r="J28" s="13"/>
    </row>
    <row r="29" spans="1:10">
      <c r="A29" s="14" t="s">
        <v>110</v>
      </c>
      <c r="B29" s="15">
        <v>1</v>
      </c>
      <c r="C29" s="15">
        <v>2</v>
      </c>
      <c r="D29" s="15">
        <v>4</v>
      </c>
      <c r="E29" s="15">
        <v>8</v>
      </c>
      <c r="F29" s="15">
        <v>16</v>
      </c>
      <c r="G29" s="15">
        <v>32</v>
      </c>
      <c r="H29" s="15">
        <v>64</v>
      </c>
      <c r="I29" s="15">
        <v>128</v>
      </c>
      <c r="J29" s="16">
        <v>256</v>
      </c>
    </row>
    <row r="30" spans="1:10">
      <c r="A30" s="17" t="s">
        <v>111</v>
      </c>
      <c r="B30" s="18">
        <f>4+(B29)</f>
        <v>5</v>
      </c>
      <c r="C30" s="18">
        <f t="shared" ref="C30:G30" si="0">4+(C29)</f>
        <v>6</v>
      </c>
      <c r="D30" s="18">
        <f t="shared" si="0"/>
        <v>8</v>
      </c>
      <c r="E30" s="18">
        <f t="shared" si="0"/>
        <v>12</v>
      </c>
      <c r="F30" s="18">
        <f t="shared" si="0"/>
        <v>20</v>
      </c>
      <c r="G30" s="18">
        <f t="shared" si="0"/>
        <v>36</v>
      </c>
      <c r="H30" s="18">
        <f t="shared" ref="H30" si="1">4+(H29)</f>
        <v>68</v>
      </c>
      <c r="I30" s="18">
        <f t="shared" ref="I30" si="2">4+(I29)</f>
        <v>132</v>
      </c>
      <c r="J30" s="19">
        <f t="shared" ref="J30" si="3">4+(J29)</f>
        <v>260</v>
      </c>
    </row>
    <row r="31" spans="1:10">
      <c r="A31" s="17" t="s">
        <v>114</v>
      </c>
      <c r="B31" s="18">
        <f>74+3*64+B29*118</f>
        <v>384</v>
      </c>
      <c r="C31" s="18">
        <f t="shared" ref="C31:G31" si="4">74+3*64+C29*118</f>
        <v>502</v>
      </c>
      <c r="D31" s="18">
        <f t="shared" si="4"/>
        <v>738</v>
      </c>
      <c r="E31" s="18">
        <f t="shared" si="4"/>
        <v>1210</v>
      </c>
      <c r="F31" s="18">
        <f t="shared" si="4"/>
        <v>2154</v>
      </c>
      <c r="G31" s="18">
        <f t="shared" si="4"/>
        <v>4042</v>
      </c>
      <c r="H31" s="18">
        <f t="shared" ref="H31:J31" si="5">74+3*64+H29*118</f>
        <v>7818</v>
      </c>
      <c r="I31" s="18">
        <f t="shared" si="5"/>
        <v>15370</v>
      </c>
      <c r="J31" s="19">
        <f t="shared" si="5"/>
        <v>30474</v>
      </c>
    </row>
    <row r="32" spans="1:10">
      <c r="A32" s="17" t="s">
        <v>115</v>
      </c>
      <c r="B32" s="18">
        <f>B31*8/10</f>
        <v>307.2</v>
      </c>
      <c r="C32" s="18">
        <f t="shared" ref="C32:G32" si="6">C31*8/10</f>
        <v>401.6</v>
      </c>
      <c r="D32" s="18">
        <f t="shared" si="6"/>
        <v>590.4</v>
      </c>
      <c r="E32" s="18">
        <f t="shared" si="6"/>
        <v>968</v>
      </c>
      <c r="F32" s="18">
        <f t="shared" si="6"/>
        <v>1723.2</v>
      </c>
      <c r="G32" s="18">
        <f t="shared" si="6"/>
        <v>3233.6</v>
      </c>
      <c r="H32" s="18">
        <f t="shared" ref="H32" si="7">H31*8/10</f>
        <v>6254.4</v>
      </c>
      <c r="I32" s="18">
        <f t="shared" ref="I32" si="8">I31*8/10</f>
        <v>12296</v>
      </c>
      <c r="J32" s="19">
        <f t="shared" ref="J32" si="9">J31*8/10</f>
        <v>24379.200000000001</v>
      </c>
    </row>
    <row r="33" spans="1:10">
      <c r="A33" s="17" t="s">
        <v>66</v>
      </c>
      <c r="B33" s="18">
        <f>B30*9.6</f>
        <v>48</v>
      </c>
      <c r="C33" s="18">
        <f t="shared" ref="C33:G33" si="10">C30*9.6</f>
        <v>57.599999999999994</v>
      </c>
      <c r="D33" s="18">
        <f t="shared" si="10"/>
        <v>76.8</v>
      </c>
      <c r="E33" s="18">
        <f t="shared" si="10"/>
        <v>115.19999999999999</v>
      </c>
      <c r="F33" s="18">
        <f t="shared" si="10"/>
        <v>192</v>
      </c>
      <c r="G33" s="18">
        <f t="shared" si="10"/>
        <v>345.59999999999997</v>
      </c>
      <c r="H33" s="18">
        <f t="shared" ref="H33:J33" si="11">H30*9.6</f>
        <v>652.79999999999995</v>
      </c>
      <c r="I33" s="18">
        <f t="shared" si="11"/>
        <v>1267.2</v>
      </c>
      <c r="J33" s="19">
        <f t="shared" si="11"/>
        <v>2496</v>
      </c>
    </row>
    <row r="34" spans="1:10">
      <c r="A34" s="17" t="s">
        <v>116</v>
      </c>
      <c r="B34" s="18">
        <f>B32+B33</f>
        <v>355.2</v>
      </c>
      <c r="C34" s="18">
        <f t="shared" ref="C34:G34" si="12">C32+C33</f>
        <v>459.20000000000005</v>
      </c>
      <c r="D34" s="18">
        <f t="shared" si="12"/>
        <v>667.19999999999993</v>
      </c>
      <c r="E34" s="18">
        <f t="shared" si="12"/>
        <v>1083.2</v>
      </c>
      <c r="F34" s="18">
        <f t="shared" si="12"/>
        <v>1915.2</v>
      </c>
      <c r="G34" s="18">
        <f t="shared" si="12"/>
        <v>3579.2</v>
      </c>
      <c r="H34" s="18">
        <f t="shared" ref="H34" si="13">H32+H33</f>
        <v>6907.2</v>
      </c>
      <c r="I34" s="18">
        <f t="shared" ref="I34" si="14">I32+I33</f>
        <v>13563.2</v>
      </c>
      <c r="J34" s="19">
        <f t="shared" ref="J34" si="15">J32+J33</f>
        <v>26875.200000000001</v>
      </c>
    </row>
    <row r="35" spans="1:10">
      <c r="A35" s="29" t="s">
        <v>123</v>
      </c>
      <c r="B35" s="26">
        <f>1000*B29/B34</f>
        <v>2.8153153153153152</v>
      </c>
      <c r="C35" s="26">
        <f t="shared" ref="C35:G35" si="16">1000*C29/C34</f>
        <v>4.3554006968641108</v>
      </c>
      <c r="D35" s="26">
        <f t="shared" si="16"/>
        <v>5.9952038369304566</v>
      </c>
      <c r="E35" s="26">
        <f t="shared" si="16"/>
        <v>7.385524372230428</v>
      </c>
      <c r="F35" s="26">
        <f t="shared" si="16"/>
        <v>8.3542188805346704</v>
      </c>
      <c r="G35" s="26">
        <f t="shared" si="16"/>
        <v>8.9405453732677707</v>
      </c>
      <c r="H35" s="26">
        <f t="shared" ref="H35" si="17">1000*H29/H34</f>
        <v>9.26569376882094</v>
      </c>
      <c r="I35" s="26">
        <f t="shared" ref="I35" si="18">1000*I29/I34</f>
        <v>9.437300931933466</v>
      </c>
      <c r="J35" s="28">
        <f t="shared" ref="J35" si="19">1000*J29/J34</f>
        <v>9.5255105078287787</v>
      </c>
    </row>
    <row r="36" spans="1:10">
      <c r="A36" s="22" t="s">
        <v>104</v>
      </c>
      <c r="B36" s="23">
        <f>B35*64*8/1000</f>
        <v>1.4414414414414414</v>
      </c>
      <c r="C36" s="23">
        <f t="shared" ref="C36:J36" si="20">C35*64*8/1000</f>
        <v>2.2299651567944245</v>
      </c>
      <c r="D36" s="23">
        <f t="shared" si="20"/>
        <v>3.0695443645083937</v>
      </c>
      <c r="E36" s="23">
        <f t="shared" si="20"/>
        <v>3.7813884785819791</v>
      </c>
      <c r="F36" s="23">
        <f t="shared" si="20"/>
        <v>4.2773600668337517</v>
      </c>
      <c r="G36" s="23">
        <f t="shared" si="20"/>
        <v>4.5775592311130984</v>
      </c>
      <c r="H36" s="23">
        <f t="shared" si="20"/>
        <v>4.744035209636321</v>
      </c>
      <c r="I36" s="23">
        <f t="shared" si="20"/>
        <v>4.8318980771499342</v>
      </c>
      <c r="J36" s="24">
        <f t="shared" si="20"/>
        <v>4.8770613800083344</v>
      </c>
    </row>
    <row r="37" spans="1:10">
      <c r="A37" s="26" t="s">
        <v>7</v>
      </c>
      <c r="B37" s="26">
        <f>B35*B30/B29</f>
        <v>14.076576576576576</v>
      </c>
      <c r="C37" s="26">
        <f t="shared" ref="C37:J37" si="21">C35*C30/C29</f>
        <v>13.066202090592332</v>
      </c>
      <c r="D37" s="26">
        <f t="shared" si="21"/>
        <v>11.990407673860913</v>
      </c>
      <c r="E37" s="26">
        <f t="shared" si="21"/>
        <v>11.078286558345642</v>
      </c>
      <c r="F37" s="26">
        <f t="shared" si="21"/>
        <v>10.442773600668339</v>
      </c>
      <c r="G37" s="26">
        <f t="shared" si="21"/>
        <v>10.058113544926242</v>
      </c>
      <c r="H37" s="26">
        <f t="shared" si="21"/>
        <v>9.8447996293722486</v>
      </c>
      <c r="I37" s="26">
        <f t="shared" si="21"/>
        <v>9.7322165860563867</v>
      </c>
      <c r="J37" s="26">
        <f t="shared" si="21"/>
        <v>9.6743466095136039</v>
      </c>
    </row>
    <row r="39" spans="1:10">
      <c r="A39" s="11" t="s">
        <v>117</v>
      </c>
      <c r="B39" s="12" t="s">
        <v>118</v>
      </c>
      <c r="C39" s="12"/>
      <c r="D39" s="12"/>
      <c r="E39" s="12"/>
      <c r="F39" s="12"/>
      <c r="G39" s="12"/>
      <c r="H39" s="12"/>
      <c r="I39" s="12"/>
      <c r="J39" s="13"/>
    </row>
    <row r="40" spans="1:10">
      <c r="A40" s="20" t="s">
        <v>119</v>
      </c>
      <c r="B40" s="15">
        <v>64</v>
      </c>
      <c r="C40" s="15">
        <v>128</v>
      </c>
      <c r="D40" s="15">
        <f>C40*2</f>
        <v>256</v>
      </c>
      <c r="E40" s="15">
        <f t="shared" ref="E40:J40" si="22">D40*2</f>
        <v>512</v>
      </c>
      <c r="F40" s="15">
        <f t="shared" si="22"/>
        <v>1024</v>
      </c>
      <c r="G40" s="15">
        <f t="shared" si="22"/>
        <v>2048</v>
      </c>
      <c r="H40" s="15">
        <f t="shared" si="22"/>
        <v>4096</v>
      </c>
      <c r="I40" s="15">
        <f t="shared" si="22"/>
        <v>8192</v>
      </c>
      <c r="J40" s="16">
        <f t="shared" si="22"/>
        <v>16384</v>
      </c>
    </row>
    <row r="41" spans="1:10">
      <c r="A41" s="21" t="s">
        <v>120</v>
      </c>
      <c r="B41" s="18">
        <f>B40/1460</f>
        <v>4.3835616438356165E-2</v>
      </c>
      <c r="C41" s="18">
        <f t="shared" ref="C41:J41" si="23">C40/1460</f>
        <v>8.7671232876712329E-2</v>
      </c>
      <c r="D41" s="18">
        <f t="shared" si="23"/>
        <v>0.17534246575342466</v>
      </c>
      <c r="E41" s="18">
        <f t="shared" si="23"/>
        <v>0.35068493150684932</v>
      </c>
      <c r="F41" s="18">
        <f t="shared" si="23"/>
        <v>0.70136986301369864</v>
      </c>
      <c r="G41" s="18">
        <f t="shared" si="23"/>
        <v>1.4027397260273973</v>
      </c>
      <c r="H41" s="18">
        <f t="shared" si="23"/>
        <v>2.8054794520547945</v>
      </c>
      <c r="I41" s="18">
        <f t="shared" si="23"/>
        <v>5.6109589041095891</v>
      </c>
      <c r="J41" s="19">
        <f t="shared" si="23"/>
        <v>11.221917808219178</v>
      </c>
    </row>
    <row r="42" spans="1:10">
      <c r="A42" s="17" t="s">
        <v>111</v>
      </c>
      <c r="B42" s="18">
        <f>4+ROUNDUP(B41,0)</f>
        <v>5</v>
      </c>
      <c r="C42" s="18">
        <f t="shared" ref="C42:J42" si="24">4+ROUNDUP(C41,0)</f>
        <v>5</v>
      </c>
      <c r="D42" s="18">
        <f t="shared" si="24"/>
        <v>5</v>
      </c>
      <c r="E42" s="18">
        <f t="shared" si="24"/>
        <v>5</v>
      </c>
      <c r="F42" s="18">
        <f t="shared" si="24"/>
        <v>5</v>
      </c>
      <c r="G42" s="18">
        <f t="shared" si="24"/>
        <v>6</v>
      </c>
      <c r="H42" s="18">
        <f t="shared" si="24"/>
        <v>7</v>
      </c>
      <c r="I42" s="18">
        <f t="shared" si="24"/>
        <v>10</v>
      </c>
      <c r="J42" s="19">
        <f t="shared" si="24"/>
        <v>16</v>
      </c>
    </row>
    <row r="43" spans="1:10">
      <c r="A43" s="21" t="s">
        <v>119</v>
      </c>
      <c r="B43" s="18">
        <f>384-64+56*(B42-5)+B40</f>
        <v>384</v>
      </c>
      <c r="C43" s="18">
        <f t="shared" ref="C43:J43" si="25">384-64+56*(C42-5)+C40</f>
        <v>448</v>
      </c>
      <c r="D43" s="18">
        <f t="shared" si="25"/>
        <v>576</v>
      </c>
      <c r="E43" s="18">
        <f t="shared" si="25"/>
        <v>832</v>
      </c>
      <c r="F43" s="18">
        <f t="shared" si="25"/>
        <v>1344</v>
      </c>
      <c r="G43" s="18">
        <f t="shared" si="25"/>
        <v>2424</v>
      </c>
      <c r="H43" s="18">
        <f t="shared" si="25"/>
        <v>4528</v>
      </c>
      <c r="I43" s="18">
        <f t="shared" si="25"/>
        <v>8792</v>
      </c>
      <c r="J43" s="19">
        <f t="shared" si="25"/>
        <v>17320</v>
      </c>
    </row>
    <row r="44" spans="1:10">
      <c r="A44" s="21" t="s">
        <v>121</v>
      </c>
      <c r="B44" s="18">
        <f>B43*8/10</f>
        <v>307.2</v>
      </c>
      <c r="C44" s="18">
        <f t="shared" ref="C44:J44" si="26">C43*8/10</f>
        <v>358.4</v>
      </c>
      <c r="D44" s="18">
        <f t="shared" si="26"/>
        <v>460.8</v>
      </c>
      <c r="E44" s="18">
        <f t="shared" si="26"/>
        <v>665.6</v>
      </c>
      <c r="F44" s="18">
        <f t="shared" si="26"/>
        <v>1075.2</v>
      </c>
      <c r="G44" s="18">
        <f t="shared" si="26"/>
        <v>1939.2</v>
      </c>
      <c r="H44" s="18">
        <f t="shared" si="26"/>
        <v>3622.4</v>
      </c>
      <c r="I44" s="18">
        <f t="shared" si="26"/>
        <v>7033.6</v>
      </c>
      <c r="J44" s="19">
        <f t="shared" si="26"/>
        <v>13856</v>
      </c>
    </row>
    <row r="45" spans="1:10">
      <c r="A45" s="21" t="s">
        <v>66</v>
      </c>
      <c r="B45" s="18">
        <f>B42*9.6</f>
        <v>48</v>
      </c>
      <c r="C45" s="18">
        <f t="shared" ref="C45:J45" si="27">C42*9.6</f>
        <v>48</v>
      </c>
      <c r="D45" s="18">
        <f t="shared" si="27"/>
        <v>48</v>
      </c>
      <c r="E45" s="18">
        <f t="shared" si="27"/>
        <v>48</v>
      </c>
      <c r="F45" s="18">
        <f t="shared" si="27"/>
        <v>48</v>
      </c>
      <c r="G45" s="18">
        <f t="shared" si="27"/>
        <v>57.599999999999994</v>
      </c>
      <c r="H45" s="18">
        <f t="shared" si="27"/>
        <v>67.2</v>
      </c>
      <c r="I45" s="18">
        <f t="shared" si="27"/>
        <v>96</v>
      </c>
      <c r="J45" s="19">
        <f t="shared" si="27"/>
        <v>153.6</v>
      </c>
    </row>
    <row r="46" spans="1:10">
      <c r="A46" s="21" t="s">
        <v>122</v>
      </c>
      <c r="B46" s="18">
        <f>B44+B45</f>
        <v>355.2</v>
      </c>
      <c r="C46" s="18">
        <f t="shared" ref="C46:J46" si="28">C44+C45</f>
        <v>406.4</v>
      </c>
      <c r="D46" s="18">
        <f t="shared" si="28"/>
        <v>508.8</v>
      </c>
      <c r="E46" s="18">
        <f t="shared" si="28"/>
        <v>713.6</v>
      </c>
      <c r="F46" s="18">
        <f t="shared" si="28"/>
        <v>1123.2</v>
      </c>
      <c r="G46" s="18">
        <f t="shared" si="28"/>
        <v>1996.8</v>
      </c>
      <c r="H46" s="18">
        <f t="shared" si="28"/>
        <v>3689.6</v>
      </c>
      <c r="I46" s="18">
        <f t="shared" si="28"/>
        <v>7129.6</v>
      </c>
      <c r="J46" s="19">
        <f t="shared" si="28"/>
        <v>14009.6</v>
      </c>
    </row>
    <row r="47" spans="1:10">
      <c r="A47" s="27" t="s">
        <v>21</v>
      </c>
      <c r="B47" s="26">
        <f>1000/B46</f>
        <v>2.8153153153153152</v>
      </c>
      <c r="C47" s="26">
        <f t="shared" ref="C47:J47" si="29">1000/C46</f>
        <v>2.4606299212598426</v>
      </c>
      <c r="D47" s="26">
        <f t="shared" si="29"/>
        <v>1.9654088050314464</v>
      </c>
      <c r="E47" s="26">
        <f t="shared" si="29"/>
        <v>1.4013452914798206</v>
      </c>
      <c r="F47" s="26">
        <f t="shared" si="29"/>
        <v>0.8903133903133903</v>
      </c>
      <c r="G47" s="26">
        <f t="shared" si="29"/>
        <v>0.50080128205128205</v>
      </c>
      <c r="H47" s="26">
        <f t="shared" si="29"/>
        <v>0.2710320901994796</v>
      </c>
      <c r="I47" s="26">
        <f t="shared" si="29"/>
        <v>0.14026032315978457</v>
      </c>
      <c r="J47" s="28">
        <f t="shared" si="29"/>
        <v>7.1379625399725907E-2</v>
      </c>
    </row>
    <row r="48" spans="1:10">
      <c r="A48" s="25" t="s">
        <v>104</v>
      </c>
      <c r="B48" s="23">
        <f>B47*B40*8/1000</f>
        <v>1.4414414414414414</v>
      </c>
      <c r="C48" s="23">
        <f t="shared" ref="C48:J48" si="30">C47*C40*8/1000</f>
        <v>2.5196850393700787</v>
      </c>
      <c r="D48" s="23">
        <f t="shared" si="30"/>
        <v>4.0251572327044025</v>
      </c>
      <c r="E48" s="23">
        <f t="shared" si="30"/>
        <v>5.739910313901345</v>
      </c>
      <c r="F48" s="23">
        <f t="shared" si="30"/>
        <v>7.2934472934472936</v>
      </c>
      <c r="G48" s="23">
        <f t="shared" si="30"/>
        <v>8.2051282051282044</v>
      </c>
      <c r="H48" s="23">
        <f t="shared" si="30"/>
        <v>8.8811795316565476</v>
      </c>
      <c r="I48" s="23">
        <f t="shared" si="30"/>
        <v>9.1921005385996413</v>
      </c>
      <c r="J48" s="24">
        <f t="shared" si="30"/>
        <v>9.3558702603928747</v>
      </c>
    </row>
    <row r="49" spans="1:12">
      <c r="A49" s="30" t="s">
        <v>7</v>
      </c>
      <c r="B49" s="6">
        <f>B47*B42</f>
        <v>14.076576576576576</v>
      </c>
      <c r="C49" s="6">
        <f t="shared" ref="C49:J49" si="31">C47*C42</f>
        <v>12.303149606299213</v>
      </c>
      <c r="D49" s="6">
        <f t="shared" si="31"/>
        <v>9.8270440251572317</v>
      </c>
      <c r="E49" s="6">
        <f t="shared" si="31"/>
        <v>7.006726457399103</v>
      </c>
      <c r="F49" s="6">
        <f t="shared" si="31"/>
        <v>4.4515669515669511</v>
      </c>
      <c r="G49" s="6">
        <f t="shared" si="31"/>
        <v>3.0048076923076925</v>
      </c>
      <c r="H49" s="6">
        <f t="shared" si="31"/>
        <v>1.8972246313963572</v>
      </c>
      <c r="I49" s="6">
        <f t="shared" si="31"/>
        <v>1.4026032315978456</v>
      </c>
      <c r="J49" s="6">
        <f t="shared" si="31"/>
        <v>1.1420740063956145</v>
      </c>
    </row>
    <row r="50" spans="1:12">
      <c r="A50" s="2"/>
    </row>
    <row r="51" spans="1:12">
      <c r="B51" s="7"/>
      <c r="C51" s="5"/>
      <c r="D51" s="5"/>
      <c r="K51" s="8"/>
    </row>
    <row r="54" spans="1:12">
      <c r="K54" s="7"/>
      <c r="L54" s="7"/>
    </row>
    <row r="58" spans="1:12">
      <c r="A58" s="2"/>
    </row>
    <row r="66" spans="1:4">
      <c r="C66" s="6"/>
      <c r="D66" s="6"/>
    </row>
    <row r="67" spans="1:4">
      <c r="B67" s="6"/>
    </row>
    <row r="70" spans="1:4">
      <c r="A70" s="2"/>
    </row>
    <row r="78" spans="1:4">
      <c r="C78" s="6"/>
      <c r="D78" s="6"/>
    </row>
    <row r="79" spans="1:4">
      <c r="B79" s="6"/>
    </row>
    <row r="83" spans="3:4">
      <c r="C83" s="7"/>
      <c r="D83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workbookViewId="0">
      <selection activeCell="C28" sqref="C28"/>
    </sheetView>
  </sheetViews>
  <sheetFormatPr baseColWidth="10" defaultRowHeight="15" x14ac:dyDescent="0"/>
  <cols>
    <col min="1" max="1" width="23.33203125" customWidth="1"/>
    <col min="2" max="2" width="8.5" customWidth="1"/>
    <col min="3" max="3" width="9" customWidth="1"/>
    <col min="4" max="4" width="11.1640625" customWidth="1"/>
  </cols>
  <sheetData>
    <row r="2" spans="1:6">
      <c r="B2" t="s">
        <v>53</v>
      </c>
      <c r="C2" t="s">
        <v>54</v>
      </c>
      <c r="D2" t="s">
        <v>47</v>
      </c>
      <c r="E2" t="s">
        <v>48</v>
      </c>
      <c r="F2" t="s">
        <v>38</v>
      </c>
    </row>
    <row r="3" spans="1:6">
      <c r="B3" t="s">
        <v>49</v>
      </c>
      <c r="D3">
        <v>74</v>
      </c>
      <c r="F3" t="s">
        <v>39</v>
      </c>
    </row>
    <row r="4" spans="1:6">
      <c r="C4" t="s">
        <v>50</v>
      </c>
      <c r="E4">
        <v>74</v>
      </c>
      <c r="F4" t="s">
        <v>40</v>
      </c>
    </row>
    <row r="5" spans="1:6">
      <c r="B5" t="s">
        <v>51</v>
      </c>
      <c r="D5">
        <v>74</v>
      </c>
      <c r="F5" t="s">
        <v>41</v>
      </c>
    </row>
    <row r="6" spans="1:6">
      <c r="B6" t="s">
        <v>52</v>
      </c>
      <c r="D6">
        <f>74+64</f>
        <v>138</v>
      </c>
      <c r="F6" t="s">
        <v>42</v>
      </c>
    </row>
    <row r="7" spans="1:6">
      <c r="C7" t="s">
        <v>51</v>
      </c>
      <c r="E7">
        <v>74</v>
      </c>
      <c r="F7" t="s">
        <v>43</v>
      </c>
    </row>
    <row r="8" spans="1:6">
      <c r="C8" t="s">
        <v>52</v>
      </c>
      <c r="E8">
        <f>74+64</f>
        <v>138</v>
      </c>
      <c r="F8" t="s">
        <v>44</v>
      </c>
    </row>
    <row r="9" spans="1:6">
      <c r="B9" t="s">
        <v>51</v>
      </c>
      <c r="D9">
        <v>74</v>
      </c>
      <c r="F9" t="s">
        <v>45</v>
      </c>
    </row>
    <row r="10" spans="1:6">
      <c r="B10" t="s">
        <v>55</v>
      </c>
      <c r="D10">
        <v>74</v>
      </c>
      <c r="F10" t="s">
        <v>46</v>
      </c>
    </row>
    <row r="13" spans="1:6">
      <c r="A13" t="s">
        <v>88</v>
      </c>
    </row>
    <row r="14" spans="1:6">
      <c r="A14" t="s">
        <v>89</v>
      </c>
      <c r="B14" t="s">
        <v>51</v>
      </c>
      <c r="C14">
        <v>74</v>
      </c>
    </row>
    <row r="15" spans="1:6">
      <c r="A15" t="s">
        <v>89</v>
      </c>
      <c r="B15" t="s">
        <v>90</v>
      </c>
      <c r="C15">
        <f>138</f>
        <v>138</v>
      </c>
    </row>
    <row r="16" spans="1:6">
      <c r="A16" t="s">
        <v>91</v>
      </c>
      <c r="B16" t="s">
        <v>51</v>
      </c>
      <c r="C16" s="9">
        <v>64</v>
      </c>
    </row>
    <row r="17" spans="1:12">
      <c r="A17" t="s">
        <v>91</v>
      </c>
      <c r="B17" t="s">
        <v>90</v>
      </c>
      <c r="C17" s="9">
        <f>54+64</f>
        <v>118</v>
      </c>
    </row>
    <row r="20" spans="1:12">
      <c r="A20" s="2" t="s">
        <v>61</v>
      </c>
      <c r="H20" s="2" t="s">
        <v>76</v>
      </c>
    </row>
    <row r="21" spans="1:12">
      <c r="C21" t="s">
        <v>62</v>
      </c>
      <c r="D21" t="s">
        <v>63</v>
      </c>
      <c r="H21" t="s">
        <v>56</v>
      </c>
    </row>
    <row r="22" spans="1:12">
      <c r="A22" t="s">
        <v>64</v>
      </c>
      <c r="C22">
        <v>5</v>
      </c>
      <c r="D22">
        <v>3</v>
      </c>
      <c r="H22" t="s">
        <v>57</v>
      </c>
      <c r="K22">
        <v>665803654</v>
      </c>
    </row>
    <row r="23" spans="1:12">
      <c r="A23" t="s">
        <v>65</v>
      </c>
      <c r="C23">
        <f>2*74+2*64+C17+8</f>
        <v>402</v>
      </c>
      <c r="D23">
        <f>SUM(E3:E10)</f>
        <v>286</v>
      </c>
      <c r="H23" t="s">
        <v>58</v>
      </c>
      <c r="K23">
        <v>8281185</v>
      </c>
    </row>
    <row r="24" spans="1:12">
      <c r="A24" t="s">
        <v>67</v>
      </c>
      <c r="C24">
        <f>C23*8/10</f>
        <v>321.60000000000002</v>
      </c>
      <c r="D24">
        <f>D23*8/10</f>
        <v>228.8</v>
      </c>
      <c r="H24" t="s">
        <v>59</v>
      </c>
      <c r="K24">
        <v>447105314</v>
      </c>
    </row>
    <row r="25" spans="1:12">
      <c r="A25" t="s">
        <v>66</v>
      </c>
      <c r="C25">
        <f>C22*9.6</f>
        <v>48</v>
      </c>
      <c r="D25">
        <f>D22*9.6</f>
        <v>28.799999999999997</v>
      </c>
      <c r="H25" t="s">
        <v>60</v>
      </c>
      <c r="K25">
        <v>4968021</v>
      </c>
    </row>
    <row r="26" spans="1:12">
      <c r="A26" t="s">
        <v>68</v>
      </c>
      <c r="C26">
        <f>C24+C25</f>
        <v>369.6</v>
      </c>
      <c r="D26">
        <f>D24+D25</f>
        <v>257.60000000000002</v>
      </c>
    </row>
    <row r="27" spans="1:12">
      <c r="H27" t="s">
        <v>77</v>
      </c>
      <c r="I27" t="s">
        <v>62</v>
      </c>
      <c r="J27" t="s">
        <v>63</v>
      </c>
      <c r="K27" t="s">
        <v>81</v>
      </c>
      <c r="L27" t="s">
        <v>81</v>
      </c>
    </row>
    <row r="28" spans="1:12">
      <c r="A28" t="s">
        <v>69</v>
      </c>
      <c r="C28" s="6">
        <f>1000/C26</f>
        <v>2.7056277056277054</v>
      </c>
      <c r="D28" s="6">
        <f>1000/D26</f>
        <v>3.8819875776397512</v>
      </c>
      <c r="H28" t="s">
        <v>64</v>
      </c>
      <c r="I28">
        <f>K23</f>
        <v>8281185</v>
      </c>
      <c r="J28">
        <f>K25</f>
        <v>4968021</v>
      </c>
    </row>
    <row r="29" spans="1:12">
      <c r="A29" t="s">
        <v>70</v>
      </c>
      <c r="B29" s="6">
        <f>MIN(C28:D28)</f>
        <v>2.7056277056277054</v>
      </c>
      <c r="H29" t="s">
        <v>65</v>
      </c>
      <c r="I29">
        <f>K22</f>
        <v>665803654</v>
      </c>
      <c r="J29">
        <f>K24</f>
        <v>447105314</v>
      </c>
    </row>
    <row r="30" spans="1:12">
      <c r="A30" s="2" t="s">
        <v>73</v>
      </c>
      <c r="B30">
        <v>1.65</v>
      </c>
    </row>
    <row r="31" spans="1:12">
      <c r="A31" t="s">
        <v>71</v>
      </c>
      <c r="B31" s="7">
        <f>B30/B29</f>
        <v>0.60984000000000005</v>
      </c>
      <c r="C31" s="5"/>
      <c r="D31" s="5"/>
      <c r="H31" t="s">
        <v>78</v>
      </c>
      <c r="I31">
        <f>I28/C22</f>
        <v>1656237</v>
      </c>
      <c r="J31">
        <f>J28/D22</f>
        <v>1656007</v>
      </c>
      <c r="K31" s="8">
        <f>(I31-J31)/I31</f>
        <v>1.3886901451905736E-4</v>
      </c>
    </row>
    <row r="32" spans="1:12">
      <c r="A32" t="s">
        <v>72</v>
      </c>
      <c r="C32">
        <f>B30*C22</f>
        <v>8.25</v>
      </c>
      <c r="D32">
        <f>B30*D22</f>
        <v>4.9499999999999993</v>
      </c>
      <c r="H32" t="s">
        <v>79</v>
      </c>
      <c r="I32">
        <f>I31*C23</f>
        <v>665807274</v>
      </c>
      <c r="J32">
        <f>J31*D23</f>
        <v>473618002</v>
      </c>
    </row>
    <row r="33" spans="1:12">
      <c r="A33" t="s">
        <v>74</v>
      </c>
      <c r="C33">
        <f>B30*C23</f>
        <v>663.3</v>
      </c>
      <c r="D33">
        <f>B30*D23</f>
        <v>471.9</v>
      </c>
      <c r="H33" t="s">
        <v>80</v>
      </c>
      <c r="I33">
        <f>I32-I29</f>
        <v>3620</v>
      </c>
      <c r="J33">
        <f>J32-J29</f>
        <v>26512688</v>
      </c>
    </row>
    <row r="34" spans="1:12">
      <c r="A34" t="s">
        <v>75</v>
      </c>
      <c r="C34">
        <f>B30*C26</f>
        <v>609.84</v>
      </c>
      <c r="D34">
        <f>B30*D26</f>
        <v>425.04</v>
      </c>
      <c r="I34">
        <f>I33/I31</f>
        <v>2.1856775328651635E-3</v>
      </c>
      <c r="J34">
        <f>J33/J31</f>
        <v>16.010009619524556</v>
      </c>
      <c r="K34" s="7">
        <f>I34/C23</f>
        <v>5.4370087882217997E-6</v>
      </c>
      <c r="L34" s="7">
        <f>J34/D24</f>
        <v>6.9973818267152779E-2</v>
      </c>
    </row>
    <row r="38" spans="1:12">
      <c r="A38" s="2" t="s">
        <v>83</v>
      </c>
    </row>
    <row r="39" spans="1:12">
      <c r="A39" t="s">
        <v>82</v>
      </c>
      <c r="B39">
        <v>128</v>
      </c>
    </row>
    <row r="40" spans="1:12">
      <c r="A40" t="s">
        <v>64</v>
      </c>
      <c r="C40">
        <f>3+(2*B39)</f>
        <v>259</v>
      </c>
      <c r="D40">
        <f>1+(2*B39)</f>
        <v>257</v>
      </c>
    </row>
    <row r="41" spans="1:12">
      <c r="A41" t="s">
        <v>65</v>
      </c>
      <c r="C41">
        <f>3*C16+B39*C17+B39*C16</f>
        <v>23488</v>
      </c>
      <c r="D41">
        <f>74+B39*74+B39*138</f>
        <v>27210</v>
      </c>
    </row>
    <row r="42" spans="1:12">
      <c r="A42" t="s">
        <v>67</v>
      </c>
      <c r="C42">
        <f>C41*8/10</f>
        <v>18790.400000000001</v>
      </c>
      <c r="D42">
        <f>D41*8/10</f>
        <v>21768</v>
      </c>
    </row>
    <row r="43" spans="1:12">
      <c r="A43" t="s">
        <v>66</v>
      </c>
      <c r="C43">
        <f>C40*9.6</f>
        <v>2486.4</v>
      </c>
      <c r="D43">
        <f>D40*9.6</f>
        <v>2467.1999999999998</v>
      </c>
    </row>
    <row r="44" spans="1:12">
      <c r="A44" t="s">
        <v>68</v>
      </c>
      <c r="C44">
        <f>C42+C43</f>
        <v>21276.800000000003</v>
      </c>
      <c r="D44">
        <f>D42+D43</f>
        <v>24235.200000000001</v>
      </c>
    </row>
    <row r="46" spans="1:12">
      <c r="A46" t="s">
        <v>69</v>
      </c>
      <c r="C46" s="6">
        <f>B39*1000/C44</f>
        <v>6.0159422469544284</v>
      </c>
      <c r="D46" s="6">
        <f>B39*1000/D44</f>
        <v>5.281573909024889</v>
      </c>
    </row>
    <row r="47" spans="1:12">
      <c r="A47" t="s">
        <v>70</v>
      </c>
      <c r="B47" s="6">
        <f>MIN(C46:D46)</f>
        <v>5.281573909024889</v>
      </c>
    </row>
    <row r="50" spans="1:4">
      <c r="A50" s="2" t="s">
        <v>84</v>
      </c>
    </row>
    <row r="51" spans="1:4">
      <c r="A51" t="s">
        <v>82</v>
      </c>
      <c r="B51">
        <f>B39</f>
        <v>128</v>
      </c>
    </row>
    <row r="52" spans="1:4">
      <c r="A52" t="s">
        <v>64</v>
      </c>
      <c r="C52">
        <f>3+1+B39</f>
        <v>132</v>
      </c>
      <c r="D52">
        <f>1+1+B39</f>
        <v>130</v>
      </c>
    </row>
    <row r="53" spans="1:4">
      <c r="A53" t="s">
        <v>65</v>
      </c>
      <c r="C53">
        <f>4*74+B51*C17</f>
        <v>15400</v>
      </c>
      <c r="D53">
        <f>2*74+B51*C17</f>
        <v>15252</v>
      </c>
    </row>
    <row r="54" spans="1:4">
      <c r="A54" t="s">
        <v>67</v>
      </c>
      <c r="C54">
        <f>C53*8/10</f>
        <v>12320</v>
      </c>
      <c r="D54">
        <f>D53*8/10</f>
        <v>12201.6</v>
      </c>
    </row>
    <row r="55" spans="1:4">
      <c r="A55" t="s">
        <v>66</v>
      </c>
      <c r="C55">
        <f>C52*9.6</f>
        <v>1267.2</v>
      </c>
      <c r="D55">
        <f>D52*9.6</f>
        <v>1248</v>
      </c>
    </row>
    <row r="56" spans="1:4">
      <c r="A56" t="s">
        <v>68</v>
      </c>
      <c r="C56">
        <f>C54+C55</f>
        <v>13587.2</v>
      </c>
      <c r="D56">
        <f>D54+D55</f>
        <v>13449.6</v>
      </c>
    </row>
    <row r="58" spans="1:4">
      <c r="A58" t="s">
        <v>69</v>
      </c>
      <c r="C58" s="6">
        <f>B39*1000/C56</f>
        <v>9.4206311822892133</v>
      </c>
      <c r="D58" s="6">
        <f>B39*1000/D56</f>
        <v>9.5170116583392819</v>
      </c>
    </row>
    <row r="59" spans="1:4">
      <c r="A59" t="s">
        <v>70</v>
      </c>
      <c r="B59" s="6">
        <f>MIN(C58:D58)</f>
        <v>9.4206311822892133</v>
      </c>
    </row>
    <row r="61" spans="1:4">
      <c r="A61" t="s">
        <v>85</v>
      </c>
      <c r="C61">
        <f>B59*B51*8/1000</f>
        <v>9.6467263306641549</v>
      </c>
      <c r="D61">
        <f>B59*B51*8/1000</f>
        <v>9.6467263306641549</v>
      </c>
    </row>
    <row r="62" spans="1:4">
      <c r="A62" t="s">
        <v>86</v>
      </c>
      <c r="C62">
        <f>B59*C53/128*8/1000</f>
        <v>9.0673575129533681</v>
      </c>
      <c r="D62">
        <f>B59*D53/128*8/1000</f>
        <v>8.9802166745171927</v>
      </c>
    </row>
    <row r="63" spans="1:4">
      <c r="A63" t="s">
        <v>87</v>
      </c>
      <c r="C63" s="7">
        <f>B59*C56/B51/1000</f>
        <v>1</v>
      </c>
      <c r="D63" s="7">
        <f>B59*D56/B51/1000</f>
        <v>0.9898728214790391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 RATE</vt:lpstr>
      <vt:lpstr>SHORT-TRANS</vt:lpstr>
      <vt:lpstr>SHORT-TRANS (2)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 Bugnion</dc:creator>
  <cp:lastModifiedBy>Edouard Bugnion</cp:lastModifiedBy>
  <dcterms:created xsi:type="dcterms:W3CDTF">2014-03-14T10:48:24Z</dcterms:created>
  <dcterms:modified xsi:type="dcterms:W3CDTF">2014-04-26T18:17:47Z</dcterms:modified>
</cp:coreProperties>
</file>