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/Users/philtubergen/projects/psy_recon/data/"/>
    </mc:Choice>
  </mc:AlternateContent>
  <xr:revisionPtr revIDLastSave="0" documentId="13_ncr:1_{EF305005-F6A2-D240-A316-6C4625FB5967}" xr6:coauthVersionLast="36" xr6:coauthVersionMax="36" xr10:uidLastSave="{00000000-0000-0000-0000-000000000000}"/>
  <bookViews>
    <workbookView xWindow="0" yWindow="0" windowWidth="14360" windowHeight="18000" firstSheet="2" activeTab="6" xr2:uid="{00000000-000D-0000-FFFF-FFFF00000000}"/>
  </bookViews>
  <sheets>
    <sheet name="Overall Composition" sheetId="1" r:id="rId1"/>
    <sheet name="DNA" sheetId="2" r:id="rId2"/>
    <sheet name="RNA" sheetId="3" r:id="rId3"/>
    <sheet name="Protein and Amino Acids" sheetId="4" r:id="rId4"/>
    <sheet name="for figure" sheetId="5" r:id="rId5"/>
    <sheet name="Sheet1" sheetId="7" r:id="rId6"/>
    <sheet name="combined" sheetId="6" r:id="rId7"/>
  </sheets>
  <externalReferences>
    <externalReference r:id="rId8"/>
    <externalReference r:id="rId9"/>
  </externalReferences>
  <calcPr calcId="181029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52" i="6" l="1"/>
  <c r="J53" i="6"/>
  <c r="J8" i="6"/>
  <c r="I3" i="6"/>
  <c r="I4" i="6"/>
  <c r="I5" i="6"/>
  <c r="I8" i="6"/>
  <c r="I9" i="6"/>
  <c r="I10" i="6"/>
  <c r="I11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6" i="6"/>
  <c r="I37" i="6"/>
  <c r="I38" i="6"/>
  <c r="I39" i="6"/>
  <c r="I40" i="6"/>
  <c r="I41" i="6"/>
  <c r="I42" i="6"/>
  <c r="I45" i="6"/>
  <c r="I46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84" i="6"/>
  <c r="I85" i="6"/>
  <c r="I2" i="6"/>
  <c r="C75" i="6"/>
  <c r="C76" i="6"/>
  <c r="C77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50" i="6"/>
  <c r="C49" i="6"/>
  <c r="N9" i="6"/>
  <c r="O8" i="6" l="1"/>
  <c r="G85" i="6"/>
  <c r="G84" i="6"/>
  <c r="E50" i="6"/>
  <c r="E84" i="6"/>
  <c r="E85" i="6"/>
  <c r="E63" i="6"/>
  <c r="E71" i="6"/>
  <c r="E51" i="6"/>
  <c r="E52" i="6"/>
  <c r="E53" i="6"/>
  <c r="E54" i="6"/>
  <c r="E55" i="6"/>
  <c r="E56" i="6"/>
  <c r="E57" i="6"/>
  <c r="E58" i="6"/>
  <c r="E59" i="6"/>
  <c r="E60" i="6"/>
  <c r="E61" i="6"/>
  <c r="E62" i="6"/>
  <c r="E64" i="6"/>
  <c r="E65" i="6"/>
  <c r="E66" i="6"/>
  <c r="E67" i="6"/>
  <c r="E68" i="6"/>
  <c r="E69" i="6"/>
  <c r="E70" i="6"/>
  <c r="E72" i="6"/>
  <c r="E73" i="6"/>
  <c r="E74" i="6"/>
  <c r="E75" i="6"/>
  <c r="E76" i="6"/>
  <c r="E77" i="6"/>
  <c r="E49" i="6"/>
  <c r="E46" i="6"/>
  <c r="E45" i="6"/>
  <c r="O4" i="6"/>
  <c r="O5" i="6"/>
  <c r="O6" i="6"/>
  <c r="O7" i="6"/>
  <c r="O3" i="6"/>
  <c r="E3" i="6"/>
  <c r="E2" i="6"/>
  <c r="E39" i="6"/>
  <c r="E36" i="6"/>
  <c r="E37" i="6"/>
  <c r="E38" i="6"/>
  <c r="E40" i="6"/>
  <c r="E41" i="6"/>
  <c r="E42" i="6"/>
  <c r="E43" i="6" l="1"/>
  <c r="F40" i="6" s="1"/>
  <c r="G40" i="6" s="1"/>
  <c r="H40" i="6" s="1"/>
  <c r="E78" i="6"/>
  <c r="F66" i="6" s="1"/>
  <c r="E86" i="6"/>
  <c r="F85" i="6" s="1"/>
  <c r="F39" i="6"/>
  <c r="G39" i="6" s="1"/>
  <c r="H39" i="6" s="1"/>
  <c r="F37" i="6"/>
  <c r="G37" i="6" s="1"/>
  <c r="H37" i="6" s="1"/>
  <c r="F42" i="6"/>
  <c r="G42" i="6" s="1"/>
  <c r="H42" i="6" s="1"/>
  <c r="F36" i="6"/>
  <c r="G36" i="6" s="1"/>
  <c r="H36" i="6" s="1"/>
  <c r="E47" i="6"/>
  <c r="F46" i="6" s="1"/>
  <c r="G46" i="6" s="1"/>
  <c r="H46" i="6" s="1"/>
  <c r="F41" i="6" l="1"/>
  <c r="G41" i="6" s="1"/>
  <c r="H41" i="6" s="1"/>
  <c r="F38" i="6"/>
  <c r="G38" i="6" s="1"/>
  <c r="H38" i="6" s="1"/>
  <c r="F84" i="6"/>
  <c r="F54" i="6"/>
  <c r="F72" i="6"/>
  <c r="F59" i="6"/>
  <c r="F58" i="6"/>
  <c r="F57" i="6"/>
  <c r="F65" i="6"/>
  <c r="F62" i="6"/>
  <c r="F64" i="6"/>
  <c r="F73" i="6"/>
  <c r="F70" i="6"/>
  <c r="F77" i="6"/>
  <c r="F50" i="6"/>
  <c r="F68" i="6"/>
  <c r="F55" i="6"/>
  <c r="F60" i="6"/>
  <c r="F67" i="6"/>
  <c r="F75" i="6"/>
  <c r="F53" i="6"/>
  <c r="F56" i="6"/>
  <c r="F63" i="6"/>
  <c r="F71" i="6"/>
  <c r="F49" i="6"/>
  <c r="F61" i="6"/>
  <c r="F76" i="6"/>
  <c r="F52" i="6"/>
  <c r="F51" i="6"/>
  <c r="F69" i="6"/>
  <c r="F74" i="6"/>
  <c r="F45" i="6"/>
  <c r="G45" i="6" s="1"/>
  <c r="H45" i="6" s="1"/>
  <c r="E30" i="6" l="1"/>
  <c r="E26" i="6"/>
  <c r="E22" i="6"/>
  <c r="E18" i="6"/>
  <c r="E14" i="6"/>
  <c r="E8" i="6"/>
  <c r="E9" i="6"/>
  <c r="E10" i="6"/>
  <c r="E11" i="6"/>
  <c r="E15" i="6"/>
  <c r="E16" i="6"/>
  <c r="E17" i="6"/>
  <c r="E19" i="6"/>
  <c r="E20" i="6"/>
  <c r="E21" i="6"/>
  <c r="E23" i="6"/>
  <c r="E24" i="6"/>
  <c r="E25" i="6"/>
  <c r="E27" i="6"/>
  <c r="E28" i="6"/>
  <c r="E29" i="6"/>
  <c r="E31" i="6"/>
  <c r="E32" i="6"/>
  <c r="E33" i="6"/>
  <c r="O9" i="6"/>
  <c r="G50" i="6" l="1"/>
  <c r="H50" i="6" s="1"/>
  <c r="G54" i="6"/>
  <c r="H54" i="6" s="1"/>
  <c r="G58" i="6"/>
  <c r="H58" i="6" s="1"/>
  <c r="G62" i="6"/>
  <c r="H62" i="6" s="1"/>
  <c r="G66" i="6"/>
  <c r="H66" i="6" s="1"/>
  <c r="G70" i="6"/>
  <c r="H70" i="6" s="1"/>
  <c r="G74" i="6"/>
  <c r="H74" i="6" s="1"/>
  <c r="G49" i="6"/>
  <c r="H49" i="6" s="1"/>
  <c r="G52" i="6"/>
  <c r="H52" i="6" s="1"/>
  <c r="G56" i="6"/>
  <c r="H56" i="6" s="1"/>
  <c r="G60" i="6"/>
  <c r="H60" i="6" s="1"/>
  <c r="G64" i="6"/>
  <c r="H64" i="6" s="1"/>
  <c r="G68" i="6"/>
  <c r="H68" i="6" s="1"/>
  <c r="G72" i="6"/>
  <c r="H72" i="6" s="1"/>
  <c r="G76" i="6"/>
  <c r="H76" i="6" s="1"/>
  <c r="G53" i="6"/>
  <c r="H53" i="6" s="1"/>
  <c r="G57" i="6"/>
  <c r="H57" i="6" s="1"/>
  <c r="G61" i="6"/>
  <c r="H61" i="6" s="1"/>
  <c r="G65" i="6"/>
  <c r="H65" i="6" s="1"/>
  <c r="G69" i="6"/>
  <c r="H69" i="6" s="1"/>
  <c r="G73" i="6"/>
  <c r="H73" i="6" s="1"/>
  <c r="G77" i="6"/>
  <c r="H77" i="6" s="1"/>
  <c r="G51" i="6"/>
  <c r="H51" i="6" s="1"/>
  <c r="G55" i="6"/>
  <c r="H55" i="6" s="1"/>
  <c r="G59" i="6"/>
  <c r="H59" i="6" s="1"/>
  <c r="G63" i="6"/>
  <c r="H63" i="6" s="1"/>
  <c r="G67" i="6"/>
  <c r="H67" i="6" s="1"/>
  <c r="G71" i="6"/>
  <c r="H71" i="6" s="1"/>
  <c r="G75" i="6"/>
  <c r="H75" i="6" s="1"/>
  <c r="E12" i="6"/>
  <c r="F9" i="6" s="1"/>
  <c r="G9" i="6" s="1"/>
  <c r="H9" i="6" s="1"/>
  <c r="E34" i="6"/>
  <c r="F33" i="6" s="1"/>
  <c r="G33" i="6" s="1"/>
  <c r="H33" i="6" s="1"/>
  <c r="E4" i="6"/>
  <c r="E5" i="6"/>
  <c r="F29" i="6" l="1"/>
  <c r="G29" i="6" s="1"/>
  <c r="H29" i="6" s="1"/>
  <c r="F21" i="6"/>
  <c r="G21" i="6" s="1"/>
  <c r="H21" i="6" s="1"/>
  <c r="F14" i="6"/>
  <c r="G14" i="6" s="1"/>
  <c r="H14" i="6" s="1"/>
  <c r="F11" i="6"/>
  <c r="G11" i="6" s="1"/>
  <c r="H11" i="6" s="1"/>
  <c r="F8" i="6"/>
  <c r="G8" i="6" s="1"/>
  <c r="H8" i="6" s="1"/>
  <c r="F31" i="6"/>
  <c r="G31" i="6" s="1"/>
  <c r="H31" i="6" s="1"/>
  <c r="F10" i="6"/>
  <c r="G10" i="6" s="1"/>
  <c r="H10" i="6" s="1"/>
  <c r="F15" i="6"/>
  <c r="G15" i="6" s="1"/>
  <c r="H15" i="6" s="1"/>
  <c r="F28" i="6"/>
  <c r="G28" i="6" s="1"/>
  <c r="H28" i="6" s="1"/>
  <c r="F22" i="6"/>
  <c r="G22" i="6" s="1"/>
  <c r="H22" i="6" s="1"/>
  <c r="F27" i="6"/>
  <c r="G27" i="6" s="1"/>
  <c r="H27" i="6" s="1"/>
  <c r="F17" i="6"/>
  <c r="G17" i="6" s="1"/>
  <c r="H17" i="6" s="1"/>
  <c r="F30" i="6"/>
  <c r="G30" i="6" s="1"/>
  <c r="H30" i="6" s="1"/>
  <c r="F19" i="6"/>
  <c r="G19" i="6" s="1"/>
  <c r="H19" i="6" s="1"/>
  <c r="F20" i="6"/>
  <c r="G20" i="6" s="1"/>
  <c r="H20" i="6" s="1"/>
  <c r="F26" i="6"/>
  <c r="G26" i="6" s="1"/>
  <c r="H26" i="6" s="1"/>
  <c r="F32" i="6"/>
  <c r="G32" i="6" s="1"/>
  <c r="H32" i="6" s="1"/>
  <c r="F23" i="6"/>
  <c r="G23" i="6" s="1"/>
  <c r="H23" i="6" s="1"/>
  <c r="F24" i="6"/>
  <c r="G24" i="6" s="1"/>
  <c r="H24" i="6" s="1"/>
  <c r="F25" i="6"/>
  <c r="G25" i="6" s="1"/>
  <c r="H25" i="6" s="1"/>
  <c r="F16" i="6"/>
  <c r="G16" i="6" s="1"/>
  <c r="H16" i="6" s="1"/>
  <c r="F18" i="6"/>
  <c r="G18" i="6" s="1"/>
  <c r="H18" i="6" s="1"/>
  <c r="E6" i="6"/>
  <c r="E43" i="5"/>
  <c r="E42" i="5"/>
  <c r="J42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46" i="5"/>
  <c r="J45" i="5"/>
  <c r="C45" i="5"/>
  <c r="I8" i="5"/>
  <c r="I9" i="5"/>
  <c r="E35" i="5"/>
  <c r="E36" i="5"/>
  <c r="E37" i="5"/>
  <c r="E38" i="5"/>
  <c r="E39" i="5"/>
  <c r="E40" i="5"/>
  <c r="E34" i="5"/>
  <c r="E30" i="5"/>
  <c r="E31" i="5"/>
  <c r="E32" i="5"/>
  <c r="E29" i="5"/>
  <c r="E25" i="5"/>
  <c r="E26" i="5"/>
  <c r="E27" i="5"/>
  <c r="E24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3" i="5"/>
  <c r="F2" i="6" l="1"/>
  <c r="F3" i="6"/>
  <c r="G3" i="6" s="1"/>
  <c r="H3" i="6" s="1"/>
  <c r="F4" i="6"/>
  <c r="G4" i="6" s="1"/>
  <c r="H4" i="6" s="1"/>
  <c r="F5" i="6"/>
  <c r="G5" i="6" s="1"/>
  <c r="H5" i="6" s="1"/>
  <c r="F33" i="5"/>
  <c r="G2" i="6" l="1"/>
  <c r="H2" i="6" s="1"/>
  <c r="F28" i="5"/>
  <c r="F23" i="5"/>
  <c r="F2" i="5"/>
  <c r="E19" i="3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20" i="4"/>
  <c r="G15" i="4"/>
  <c r="K35" i="2"/>
  <c r="K14" i="3"/>
  <c r="C41" i="4" l="1"/>
  <c r="C23" i="3"/>
  <c r="F30" i="2"/>
  <c r="G30" i="2" s="1"/>
  <c r="H30" i="2" s="1"/>
  <c r="I30" i="2" s="1"/>
  <c r="K30" i="2" s="1"/>
  <c r="F31" i="2"/>
  <c r="G31" i="2" s="1"/>
  <c r="H31" i="2" s="1"/>
  <c r="I31" i="2" s="1"/>
  <c r="K31" i="2" s="1"/>
  <c r="F32" i="2"/>
  <c r="G32" i="2" s="1"/>
  <c r="H32" i="2" s="1"/>
  <c r="I32" i="2" s="1"/>
  <c r="K32" i="2" s="1"/>
  <c r="F33" i="2"/>
  <c r="G33" i="2" s="1"/>
  <c r="H33" i="2" s="1"/>
  <c r="I33" i="2" s="1"/>
  <c r="K33" i="2" s="1"/>
  <c r="F34" i="2"/>
  <c r="G34" i="2"/>
  <c r="H34" i="2"/>
  <c r="I34" i="2" s="1"/>
  <c r="K34" i="2" s="1"/>
  <c r="F13" i="3"/>
  <c r="G13" i="3"/>
  <c r="H13" i="3" s="1"/>
  <c r="I13" i="3" s="1"/>
  <c r="K13" i="3" s="1"/>
  <c r="F12" i="3"/>
  <c r="F11" i="3"/>
  <c r="G11" i="3" s="1"/>
  <c r="H11" i="3" s="1"/>
  <c r="I11" i="3" s="1"/>
  <c r="K11" i="3" s="1"/>
  <c r="F10" i="3"/>
  <c r="G10" i="3" s="1"/>
  <c r="H10" i="3" s="1"/>
  <c r="I10" i="3" s="1"/>
  <c r="K10" i="3" s="1"/>
  <c r="F9" i="3"/>
  <c r="G9" i="3" s="1"/>
  <c r="H9" i="3" s="1"/>
  <c r="I9" i="3" s="1"/>
  <c r="K9" i="3" s="1"/>
  <c r="C14" i="4"/>
  <c r="C15" i="4" s="1"/>
  <c r="B14" i="4"/>
  <c r="B15" i="4" s="1"/>
  <c r="G12" i="3"/>
  <c r="H12" i="3" s="1"/>
  <c r="I12" i="3" s="1"/>
  <c r="K12" i="3" s="1"/>
  <c r="B11" i="1"/>
  <c r="B9" i="1"/>
  <c r="B10" i="1" s="1"/>
  <c r="B13" i="2"/>
  <c r="D11" i="2"/>
  <c r="D10" i="2"/>
  <c r="D9" i="2"/>
  <c r="D8" i="2"/>
  <c r="B12" i="1" l="1"/>
  <c r="E9" i="2"/>
  <c r="F9" i="2" s="1"/>
  <c r="D13" i="2"/>
  <c r="E8" i="2"/>
  <c r="B4" i="3"/>
  <c r="B5" i="3" s="1"/>
  <c r="B3" i="3"/>
  <c r="B4" i="2"/>
  <c r="B5" i="2" s="1"/>
  <c r="B3" i="2"/>
  <c r="B3" i="4"/>
  <c r="C3" i="4" s="1"/>
  <c r="B4" i="4"/>
  <c r="F8" i="2"/>
  <c r="E11" i="2" l="1"/>
  <c r="F11" i="2" s="1"/>
  <c r="E10" i="2"/>
  <c r="F10" i="2" s="1"/>
  <c r="B5" i="4"/>
  <c r="C5" i="4" s="1"/>
  <c r="C4" i="4"/>
  <c r="E13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 Tubergen</author>
  </authors>
  <commentList>
    <comment ref="A1" authorId="0" shapeId="0" xr:uid="{A43BED0E-EBA4-BD4F-8CEA-9B39E2221D06}">
      <text>
        <r>
          <rPr>
            <b/>
            <sz val="10"/>
            <color rgb="FF000000"/>
            <rFont val="Tahoma"/>
            <family val="2"/>
          </rPr>
          <t>Philip Tubergen: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IDs from modelseed
</t>
        </r>
      </text>
    </comment>
    <comment ref="B1" authorId="0" shapeId="0" xr:uid="{2183438C-6D2C-744C-8FA2-E4BC86F0A46B}">
      <text>
        <r>
          <rPr>
            <b/>
            <sz val="10"/>
            <color rgb="FF000000"/>
            <rFont val="Tahoma"/>
            <family val="2"/>
          </rPr>
          <t>Philip Tubergen: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names from modelseed, may appear different depending on database queried
</t>
        </r>
      </text>
    </comment>
    <comment ref="C1" authorId="0" shapeId="0" xr:uid="{ED5CA603-AA17-1B49-98D7-CF6D220C7C05}">
      <text>
        <r>
          <rPr>
            <b/>
            <sz val="10"/>
            <color rgb="FF000000"/>
            <rFont val="Tahoma"/>
            <family val="2"/>
          </rPr>
          <t>Philip Tubergen: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prevelance predicted from whole genome (DNA_, coding sequence(RNA) and translated coding sequence( amino acid)
</t>
        </r>
      </text>
    </comment>
    <comment ref="D1" authorId="0" shapeId="0" xr:uid="{D47E7622-0C27-1645-80F5-6687C71DEACC}">
      <text>
        <r>
          <rPr>
            <b/>
            <sz val="10"/>
            <color rgb="FF000000"/>
            <rFont val="Tahoma"/>
            <family val="2"/>
          </rPr>
          <t>Philip Tubergen: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mw from model seed
</t>
        </r>
      </text>
    </comment>
    <comment ref="E1" authorId="0" shapeId="0" xr:uid="{76E1B2BD-D0DE-EF4D-AE82-277805D1A264}">
      <text>
        <r>
          <rPr>
            <b/>
            <sz val="10"/>
            <color rgb="FF000000"/>
            <rFont val="Tahoma"/>
            <family val="2"/>
          </rPr>
          <t>Philip Tubergen: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(% prevelenace /100) * MW
</t>
        </r>
      </text>
    </comment>
    <comment ref="G1" authorId="0" shapeId="0" xr:uid="{B20F159C-5921-E24D-88F1-8BFED95178A8}">
      <text>
        <r>
          <rPr>
            <b/>
            <sz val="10"/>
            <color rgb="FF000000"/>
            <rFont val="Tahoma"/>
            <family val="2"/>
          </rPr>
          <t>Philip Tubergen: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adds to 1g DW
</t>
        </r>
      </text>
    </comment>
  </commentList>
</comments>
</file>

<file path=xl/sharedStrings.xml><?xml version="1.0" encoding="utf-8"?>
<sst xmlns="http://schemas.openxmlformats.org/spreadsheetml/2006/main" count="660" uniqueCount="245">
  <si>
    <t>DNA</t>
  </si>
  <si>
    <t>% Prevalence</t>
  </si>
  <si>
    <t>MW (g/mol)</t>
  </si>
  <si>
    <t>Relative Weight/mol</t>
  </si>
  <si>
    <t>% (by weight)</t>
  </si>
  <si>
    <t>mmol/gDW</t>
  </si>
  <si>
    <t>dAMP</t>
  </si>
  <si>
    <t>dCMP</t>
  </si>
  <si>
    <t>dGMP</t>
  </si>
  <si>
    <t>dTMP</t>
  </si>
  <si>
    <t>Total</t>
  </si>
  <si>
    <t>Sum of Rel Weight/mol</t>
  </si>
  <si>
    <t>Pto GC content: 58.34</t>
  </si>
  <si>
    <t>Buell et al 2003</t>
  </si>
  <si>
    <t>Component</t>
  </si>
  <si>
    <t>% dry weight</t>
  </si>
  <si>
    <t>Protein</t>
  </si>
  <si>
    <t>RNA</t>
  </si>
  <si>
    <t>LPS</t>
  </si>
  <si>
    <t>Peptidoglycan</t>
  </si>
  <si>
    <t>Glycogen</t>
  </si>
  <si>
    <t>Lipid</t>
  </si>
  <si>
    <t>Polyamine Pools</t>
  </si>
  <si>
    <t>sample</t>
  </si>
  <si>
    <t>a</t>
  </si>
  <si>
    <t>b</t>
  </si>
  <si>
    <t>growth od</t>
  </si>
  <si>
    <t>mass g</t>
  </si>
  <si>
    <t>mass mg</t>
  </si>
  <si>
    <t>protein con</t>
  </si>
  <si>
    <t>mg bac / mL</t>
  </si>
  <si>
    <t>average</t>
  </si>
  <si>
    <t>std dev</t>
  </si>
  <si>
    <t>std err</t>
  </si>
  <si>
    <t>Total Protein Content</t>
  </si>
  <si>
    <t>Percent</t>
  </si>
  <si>
    <t xml:space="preserve">c </t>
  </si>
  <si>
    <t>d</t>
  </si>
  <si>
    <t>e</t>
  </si>
  <si>
    <t>samples</t>
  </si>
  <si>
    <t>c</t>
  </si>
  <si>
    <t>OD</t>
  </si>
  <si>
    <t>r1</t>
  </si>
  <si>
    <t>r2</t>
  </si>
  <si>
    <t>r3</t>
  </si>
  <si>
    <t>ng/uL in 500uL TE</t>
  </si>
  <si>
    <t>ug</t>
  </si>
  <si>
    <t>avg</t>
  </si>
  <si>
    <t>ng total</t>
  </si>
  <si>
    <t>mg</t>
  </si>
  <si>
    <t>mg dry bac</t>
  </si>
  <si>
    <t>percent dna dry mass</t>
  </si>
  <si>
    <t>* redo A bc of extraction issues</t>
  </si>
  <si>
    <t>percent rna dry mass</t>
  </si>
  <si>
    <t>DNA extraction via CSHL protocol for gram negative bacteria</t>
  </si>
  <si>
    <t>RNA percent dry mass</t>
  </si>
  <si>
    <t>STD</t>
  </si>
  <si>
    <t>STE</t>
  </si>
  <si>
    <t>ng/uL in 50uL water (except E in 80uL)</t>
  </si>
  <si>
    <t>DNA percent by mass</t>
  </si>
  <si>
    <t>SE</t>
  </si>
  <si>
    <t>Total Biomass Composition</t>
  </si>
  <si>
    <t>https://www.ncbi.nlm.nih.gov/genome/2253?genome_assembly_id=300744</t>
  </si>
  <si>
    <t>Prevalence</t>
  </si>
  <si>
    <t>A/T and G/C ratio values averaged to get same paired value</t>
  </si>
  <si>
    <t>calculated from genome sequence of Pseudomonas syringae pv. tomato str. DC3000 from</t>
  </si>
  <si>
    <t>calculated from protein coding sequence of Pseudomonas syringae pv. tomato str. DC3000 from</t>
  </si>
  <si>
    <t>dUMP</t>
  </si>
  <si>
    <t>Amino Acid</t>
  </si>
  <si>
    <t>Alanine (A)</t>
  </si>
  <si>
    <t>Arginine (R)</t>
  </si>
  <si>
    <t>Asparagine (N)</t>
  </si>
  <si>
    <t>Aspartic acid (D)</t>
  </si>
  <si>
    <t>Cysteine (C)</t>
  </si>
  <si>
    <t>Glutamate (E)</t>
  </si>
  <si>
    <t>Glutamine (Q)</t>
  </si>
  <si>
    <t>Glycine (G)</t>
  </si>
  <si>
    <t>Histidine (H)</t>
  </si>
  <si>
    <t>Isoleucine (I)</t>
  </si>
  <si>
    <t>Leucine (L)</t>
  </si>
  <si>
    <t>Lysine (K)</t>
  </si>
  <si>
    <t>Methionine (M)</t>
  </si>
  <si>
    <t>Phenylalanine (F)</t>
  </si>
  <si>
    <t>Proline (P)</t>
  </si>
  <si>
    <t>Serine (S)</t>
  </si>
  <si>
    <t>Threonine (T)</t>
  </si>
  <si>
    <t>Tryptophan (W)</t>
  </si>
  <si>
    <t>Tyrosine (Y)</t>
  </si>
  <si>
    <t>Valine (V)</t>
  </si>
  <si>
    <t>cpd00128_c</t>
  </si>
  <si>
    <t>Modelseed ids</t>
  </si>
  <si>
    <t>cpd00307_c</t>
  </si>
  <si>
    <t>cpd00207_c</t>
  </si>
  <si>
    <t>cpd00092_c</t>
  </si>
  <si>
    <t>cpd00129_c</t>
  </si>
  <si>
    <t>cpd00035_c</t>
  </si>
  <si>
    <t>cpd00156_c</t>
  </si>
  <si>
    <t>cpd00107_c</t>
  </si>
  <si>
    <t>cpd00322_c</t>
  </si>
  <si>
    <t>cpd00060_c</t>
  </si>
  <si>
    <t>cpd00084_c</t>
  </si>
  <si>
    <t>cpd00066_c</t>
  </si>
  <si>
    <t>cpd00069_c</t>
  </si>
  <si>
    <t>cpd00065_c</t>
  </si>
  <si>
    <t>cpd00119_c</t>
  </si>
  <si>
    <t>cpd00039_c</t>
  </si>
  <si>
    <t>cpd00051_c</t>
  </si>
  <si>
    <t>cpd00053_c</t>
  </si>
  <si>
    <t>cpd00132_c</t>
  </si>
  <si>
    <t>cpd00023_c</t>
  </si>
  <si>
    <t>cpd00041_c</t>
  </si>
  <si>
    <t>cpd00054_c</t>
  </si>
  <si>
    <t>cpd00161_c</t>
  </si>
  <si>
    <t>cpd00033_c</t>
  </si>
  <si>
    <t>Total Protein</t>
  </si>
  <si>
    <t>Percent Dry Mass</t>
  </si>
  <si>
    <t>-</t>
  </si>
  <si>
    <t>SD</t>
  </si>
  <si>
    <t>RNA quantification via TriZol extraction ad NanoDrop Quantifcaton</t>
  </si>
  <si>
    <t>for measure</t>
  </si>
  <si>
    <t>ModelSeed ID</t>
  </si>
  <si>
    <t>cpd15432_c</t>
  </si>
  <si>
    <t>core oligosaccharide lipid A</t>
  </si>
  <si>
    <t>coefficient previously established</t>
  </si>
  <si>
    <t>Mn2+</t>
  </si>
  <si>
    <t>cpd00030_c</t>
  </si>
  <si>
    <t>Ca2+</t>
  </si>
  <si>
    <t>cpd00063_c</t>
  </si>
  <si>
    <t>Cl-</t>
  </si>
  <si>
    <t>cpd00099_c</t>
  </si>
  <si>
    <t>Calomide</t>
  </si>
  <si>
    <t>cpd00166_c</t>
  </si>
  <si>
    <t>Mg</t>
  </si>
  <si>
    <t>cpd00254_c</t>
  </si>
  <si>
    <t>Dimethylbenzimidazole</t>
  </si>
  <si>
    <t>cpd01997_c</t>
  </si>
  <si>
    <t>Cobinamide</t>
  </si>
  <si>
    <t>cpd03422_c</t>
  </si>
  <si>
    <t>apo-ACP</t>
  </si>
  <si>
    <t>cpd12370_c</t>
  </si>
  <si>
    <t>2-Demethylmenaquinone 8</t>
  </si>
  <si>
    <t>cpd15352_c</t>
  </si>
  <si>
    <t>H2O</t>
  </si>
  <si>
    <t>cpd00001_c</t>
  </si>
  <si>
    <t>ATP</t>
  </si>
  <si>
    <t>cpd00002_c</t>
  </si>
  <si>
    <t>ADP</t>
  </si>
  <si>
    <t>cpd00008_c</t>
  </si>
  <si>
    <t>Phosphate</t>
  </si>
  <si>
    <t>cpd00009_c</t>
  </si>
  <si>
    <t>CoA</t>
  </si>
  <si>
    <t>cpd00010_c</t>
  </si>
  <si>
    <t>PPi</t>
  </si>
  <si>
    <t>cpd00012_c</t>
  </si>
  <si>
    <t>FAD</t>
  </si>
  <si>
    <t>cpd00015_c</t>
  </si>
  <si>
    <t>Pyridoxal phosphate</t>
  </si>
  <si>
    <t>cpd00016_c</t>
  </si>
  <si>
    <t>S-Adenosyl-L-methionine</t>
  </si>
  <si>
    <t>cpd00017_c</t>
  </si>
  <si>
    <t>NAD</t>
  </si>
  <si>
    <t>cpd00003_c</t>
  </si>
  <si>
    <t>NADP</t>
  </si>
  <si>
    <t>cpd00006_c</t>
  </si>
  <si>
    <t>Heme</t>
  </si>
  <si>
    <t>cpd00028_c</t>
  </si>
  <si>
    <t>Zn2+</t>
  </si>
  <si>
    <t>cpd00034_c</t>
  </si>
  <si>
    <t>GTP</t>
  </si>
  <si>
    <t>cpd00038_c</t>
  </si>
  <si>
    <t>GSH</t>
  </si>
  <si>
    <t>cpd00042_c</t>
  </si>
  <si>
    <t>Sulfate</t>
  </si>
  <si>
    <t>cpd00048_c</t>
  </si>
  <si>
    <t>CTP</t>
  </si>
  <si>
    <t>cpd00052_c</t>
  </si>
  <si>
    <t>TPP</t>
  </si>
  <si>
    <t>cpd00056_c</t>
  </si>
  <si>
    <t>Cu2+</t>
  </si>
  <si>
    <t>cpd00058_c</t>
  </si>
  <si>
    <t>UTP</t>
  </si>
  <si>
    <t>cpd00062_c</t>
  </si>
  <si>
    <t>H+</t>
  </si>
  <si>
    <t>cpd00067_c</t>
  </si>
  <si>
    <t>Tetrahydrofolate</t>
  </si>
  <si>
    <t>cpd00087_c</t>
  </si>
  <si>
    <t>dATP</t>
  </si>
  <si>
    <t>cpd00115_c</t>
  </si>
  <si>
    <t>Putrescine</t>
  </si>
  <si>
    <t>cpd00118_c</t>
  </si>
  <si>
    <t>Co2+</t>
  </si>
  <si>
    <t>cpd00149_c</t>
  </si>
  <si>
    <t>10-Formyltetrahydrofolate</t>
  </si>
  <si>
    <t>cpd00201_c</t>
  </si>
  <si>
    <t>K+</t>
  </si>
  <si>
    <t>cpd00205_c</t>
  </si>
  <si>
    <t>Riboflavin</t>
  </si>
  <si>
    <t>cpd00220_c</t>
  </si>
  <si>
    <t>dGTP</t>
  </si>
  <si>
    <t>cpd00241_c</t>
  </si>
  <si>
    <t>Spermidine</t>
  </si>
  <si>
    <t>cpd00264_c</t>
  </si>
  <si>
    <t>5-Methyltetrahydrofolate</t>
  </si>
  <si>
    <t>cpd00345_c</t>
  </si>
  <si>
    <t>dCTP</t>
  </si>
  <si>
    <t>cpd00356_c</t>
  </si>
  <si>
    <t>TTP</t>
  </si>
  <si>
    <t>cpd00357_c</t>
  </si>
  <si>
    <t>Siroheme</t>
  </si>
  <si>
    <t>cpd00557_c</t>
  </si>
  <si>
    <t>Bactoprenyl diphosphate</t>
  </si>
  <si>
    <t>cpd02229_c</t>
  </si>
  <si>
    <t>Fe2+</t>
  </si>
  <si>
    <t>cpd10515_c</t>
  </si>
  <si>
    <t>fe3</t>
  </si>
  <si>
    <t>cpd10516_c</t>
  </si>
  <si>
    <t>ACP</t>
  </si>
  <si>
    <t>cpd11493_c</t>
  </si>
  <si>
    <t>https://doi.org/10.1016/0005-2760(69)90046-0</t>
  </si>
  <si>
    <t>cpd15695_c</t>
  </si>
  <si>
    <t>cpd15696_c</t>
  </si>
  <si>
    <t>cpd15722_c</t>
  </si>
  <si>
    <t>cpd15723_c</t>
  </si>
  <si>
    <t>cpd15793_c</t>
  </si>
  <si>
    <t>cpd15794_c</t>
  </si>
  <si>
    <t>cpd15795_c</t>
  </si>
  <si>
    <t>Diisoheptadecanoylphosphatidylethanolamine</t>
  </si>
  <si>
    <t>Dianteisoheptadecanoylphosphatidylethanolamine</t>
  </si>
  <si>
    <t>Diisoheptadecanoylphosphatidylglycerol</t>
  </si>
  <si>
    <t>Dianteisoheptadecanoylphosphatidylglycerol</t>
  </si>
  <si>
    <t>Stearoylcardiolipin (B. subtilis)</t>
  </si>
  <si>
    <t>Isoheptadecanoylcardiolipin (B. subtilis)</t>
  </si>
  <si>
    <t>Anteisoheptadecanoylcardiolipin (B. subtilis)</t>
  </si>
  <si>
    <t>percent total</t>
  </si>
  <si>
    <t>other</t>
  </si>
  <si>
    <t>mw</t>
  </si>
  <si>
    <t>id</t>
  </si>
  <si>
    <t>name</t>
  </si>
  <si>
    <t>Other</t>
  </si>
  <si>
    <t>g per gDW</t>
  </si>
  <si>
    <t>Polyamines</t>
  </si>
  <si>
    <t>berk</t>
  </si>
  <si>
    <t>cpd11416_c</t>
  </si>
  <si>
    <t>Biomass</t>
  </si>
  <si>
    <t>coefficient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</si>
</sst>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0000"/>
    <numFmt numFmtId="166" formatCode="0.0000000"/>
  </numFmts>
  <fonts count="12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CC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45">
    <xf numFmtId="0" fontId="0" fillId="0" borderId="0"/>
    <xf numFmtId="0" fontId="2" fillId="3" borderId="2" applyNumberFormat="0" applyFont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55">
    <xf numFmtId="0" fontId="0" fillId="0" borderId="0" xfId="0"/>
    <xf numFmtId="0" fontId="1" fillId="0" borderId="1" xfId="0" applyFont="1" applyBorder="1"/>
    <xf numFmtId="0" fontId="0" fillId="0" borderId="1" xfId="0" applyBorder="1"/>
    <xf numFmtId="2" fontId="0" fillId="0" borderId="1" xfId="0" applyNumberFormat="1" applyBorder="1"/>
    <xf numFmtId="164" fontId="0" fillId="2" borderId="1" xfId="0" applyNumberFormat="1" applyFill="1" applyBorder="1"/>
    <xf numFmtId="0" fontId="0" fillId="2" borderId="1" xfId="0" applyFill="1" applyBorder="1"/>
    <xf numFmtId="0" fontId="4" fillId="0" borderId="0" xfId="0" applyFont="1"/>
    <xf numFmtId="0" fontId="0" fillId="3" borderId="2" xfId="1" applyFont="1"/>
    <xf numFmtId="0" fontId="3" fillId="0" borderId="0" xfId="0" applyFont="1"/>
    <xf numFmtId="0" fontId="0" fillId="0" borderId="3" xfId="0" applyBorder="1"/>
    <xf numFmtId="165" fontId="0" fillId="0" borderId="1" xfId="0" applyNumberFormat="1" applyBorder="1"/>
    <xf numFmtId="165" fontId="1" fillId="0" borderId="1" xfId="0" applyNumberFormat="1" applyFont="1" applyBorder="1"/>
    <xf numFmtId="0" fontId="0" fillId="0" borderId="0" xfId="0" applyAlignment="1">
      <alignment horizontal="center"/>
    </xf>
    <xf numFmtId="165" fontId="0" fillId="0" borderId="0" xfId="0" applyNumberFormat="1"/>
    <xf numFmtId="0" fontId="0" fillId="0" borderId="0" xfId="0" applyBorder="1"/>
    <xf numFmtId="0" fontId="0" fillId="0" borderId="0" xfId="0" applyBorder="1" applyAlignment="1">
      <alignment horizontal="center"/>
    </xf>
    <xf numFmtId="0" fontId="3" fillId="0" borderId="0" xfId="0" applyFont="1" applyBorder="1"/>
    <xf numFmtId="0" fontId="1" fillId="0" borderId="0" xfId="0" applyFont="1" applyBorder="1"/>
    <xf numFmtId="2" fontId="0" fillId="0" borderId="0" xfId="0" applyNumberFormat="1" applyBorder="1" applyAlignment="1">
      <alignment horizontal="center"/>
    </xf>
    <xf numFmtId="2" fontId="3" fillId="0" borderId="0" xfId="0" applyNumberFormat="1" applyFont="1" applyBorder="1"/>
    <xf numFmtId="2" fontId="0" fillId="0" borderId="0" xfId="0" applyNumberFormat="1" applyFill="1" applyBorder="1" applyAlignment="1">
      <alignment horizontal="center"/>
    </xf>
    <xf numFmtId="2" fontId="7" fillId="0" borderId="0" xfId="0" applyNumberFormat="1" applyFont="1" applyBorder="1" applyAlignment="1">
      <alignment horizontal="right"/>
    </xf>
    <xf numFmtId="2" fontId="0" fillId="0" borderId="0" xfId="0" applyNumberFormat="1" applyBorder="1" applyAlignment="1">
      <alignment horizontal="right"/>
    </xf>
    <xf numFmtId="2" fontId="3" fillId="0" borderId="0" xfId="0" applyNumberFormat="1" applyFont="1" applyBorder="1" applyAlignment="1">
      <alignment horizontal="right"/>
    </xf>
    <xf numFmtId="0" fontId="3" fillId="0" borderId="0" xfId="0" applyFont="1" applyBorder="1" applyAlignment="1">
      <alignment horizontal="left"/>
    </xf>
    <xf numFmtId="0" fontId="3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9" fillId="0" borderId="0" xfId="0" applyFont="1"/>
    <xf numFmtId="0" fontId="8" fillId="0" borderId="0" xfId="0" applyFont="1"/>
    <xf numFmtId="0" fontId="3" fillId="0" borderId="0" xfId="0" applyFont="1" applyAlignment="1">
      <alignment horizontal="left"/>
    </xf>
    <xf numFmtId="0" fontId="0" fillId="4" borderId="0" xfId="0" applyFill="1"/>
    <xf numFmtId="0" fontId="0" fillId="0" borderId="0" xfId="0" applyFill="1" applyBorder="1"/>
    <xf numFmtId="2" fontId="0" fillId="0" borderId="0" xfId="0" applyNumberFormat="1"/>
    <xf numFmtId="166" fontId="3" fillId="0" borderId="0" xfId="0" applyNumberFormat="1" applyFont="1" applyBorder="1" applyAlignment="1">
      <alignment horizontal="right"/>
    </xf>
    <xf numFmtId="166" fontId="3" fillId="0" borderId="0" xfId="0" applyNumberFormat="1" applyFont="1" applyBorder="1"/>
    <xf numFmtId="0" fontId="3" fillId="5" borderId="0" xfId="0" applyFont="1" applyFill="1"/>
    <xf numFmtId="0" fontId="5" fillId="5" borderId="0" xfId="44" applyFill="1"/>
    <xf numFmtId="0" fontId="0" fillId="0" borderId="0" xfId="0" applyAlignment="1">
      <alignment horizontal="center"/>
    </xf>
    <xf numFmtId="0" fontId="0" fillId="0" borderId="0" xfId="0" applyFill="1"/>
    <xf numFmtId="0" fontId="4" fillId="0" borderId="0" xfId="0" applyFont="1" applyFill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4" xfId="0" applyFont="1" applyFill="1" applyBorder="1"/>
    <xf numFmtId="0" fontId="0" fillId="0" borderId="0" xfId="0" applyFill="1" applyAlignment="1">
      <alignment horizontal="center"/>
    </xf>
    <xf numFmtId="0" fontId="0" fillId="0" borderId="0" xfId="0" applyFont="1" applyFill="1"/>
    <xf numFmtId="0" fontId="0" fillId="0" borderId="0" xfId="0" applyFont="1" applyFill="1" applyBorder="1" applyAlignment="1">
      <alignment horizontal="left"/>
    </xf>
    <xf numFmtId="0" fontId="0" fillId="0" borderId="0" xfId="0" applyFont="1" applyFill="1" applyBorder="1"/>
    <xf numFmtId="0" fontId="0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left"/>
    </xf>
    <xf numFmtId="0" fontId="4" fillId="0" borderId="0" xfId="0" applyFont="1" applyFill="1" applyBorder="1"/>
    <xf numFmtId="0" fontId="0" fillId="0" borderId="0" xfId="0" applyAlignment="1">
      <alignment horizontal="center"/>
    </xf>
    <xf numFmtId="0" fontId="0" fillId="6" borderId="0" xfId="0" applyFill="1"/>
    <xf numFmtId="0" fontId="0" fillId="7" borderId="0" xfId="0" applyFill="1"/>
    <xf numFmtId="0" fontId="0" fillId="6" borderId="0" xfId="0" applyFont="1" applyFill="1"/>
    <xf numFmtId="0" fontId="0" fillId="8" borderId="0" xfId="0" applyFont="1" applyFill="1"/>
  </cellXfs>
  <cellStyles count="45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/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Anna/AppData/Local/Temp/Biomass%20Parameters%20Phil%20Updated%202012_09_28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hil/Downloads/PAO1%20Biomass%20Paramete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all Composition"/>
      <sheetName val="DNA"/>
      <sheetName val="Protein ceno"/>
      <sheetName val="Protein multi"/>
      <sheetName val="RNA ceno"/>
      <sheetName val="RNA multi"/>
      <sheetName val="Polyamine Pools"/>
      <sheetName val="Lipids and FA"/>
      <sheetName val="PG"/>
      <sheetName val="LPS"/>
      <sheetName val="Glycogen"/>
      <sheetName val="ATP Maintenance"/>
      <sheetName val="Cenocepacia"/>
      <sheetName val="Multivorans"/>
      <sheetName val="SEED Model Biomas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all Composition"/>
      <sheetName val="DNA"/>
      <sheetName val="RNA"/>
      <sheetName val="Protein"/>
      <sheetName val="Polyamine Pools"/>
      <sheetName val="Peptidoglycan"/>
      <sheetName val="Lipopolysaccharide"/>
      <sheetName val="Fatty Acid-Lipids"/>
      <sheetName val="Fatty Acid-Lipids2"/>
      <sheetName val="Glycogen"/>
      <sheetName val="ATP Maintenance"/>
      <sheetName val="Model Biomass"/>
    </sheetNames>
    <sheetDataSet>
      <sheetData sheetId="0" refreshError="1">
        <row r="11">
          <cell r="B11">
            <v>3.1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doi.org/10.1016/0005-2760(69)90046-0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2"/>
  <sheetViews>
    <sheetView workbookViewId="0">
      <selection activeCell="A3" sqref="A3:B12"/>
    </sheetView>
  </sheetViews>
  <sheetFormatPr baseColWidth="10" defaultRowHeight="16" x14ac:dyDescent="0.2"/>
  <sheetData>
    <row r="1" spans="1:2" x14ac:dyDescent="0.2">
      <c r="A1" t="s">
        <v>61</v>
      </c>
    </row>
    <row r="3" spans="1:2" x14ac:dyDescent="0.2">
      <c r="A3" s="1" t="s">
        <v>14</v>
      </c>
      <c r="B3" s="1" t="s">
        <v>15</v>
      </c>
    </row>
    <row r="4" spans="1:2" x14ac:dyDescent="0.2">
      <c r="A4" s="2" t="s">
        <v>16</v>
      </c>
      <c r="B4" s="5">
        <v>22.9</v>
      </c>
    </row>
    <row r="5" spans="1:2" x14ac:dyDescent="0.2">
      <c r="A5" s="2" t="s">
        <v>0</v>
      </c>
      <c r="B5" s="5">
        <v>2.71</v>
      </c>
    </row>
    <row r="6" spans="1:2" x14ac:dyDescent="0.2">
      <c r="A6" s="2" t="s">
        <v>17</v>
      </c>
      <c r="B6" s="5">
        <v>6.45</v>
      </c>
    </row>
    <row r="7" spans="1:2" x14ac:dyDescent="0.2">
      <c r="A7" s="2" t="s">
        <v>18</v>
      </c>
      <c r="B7" s="5">
        <v>3.4</v>
      </c>
    </row>
    <row r="8" spans="1:2" x14ac:dyDescent="0.2">
      <c r="A8" s="2" t="s">
        <v>19</v>
      </c>
      <c r="B8" s="5">
        <v>5.3</v>
      </c>
    </row>
    <row r="9" spans="1:2" x14ac:dyDescent="0.2">
      <c r="A9" s="2" t="s">
        <v>20</v>
      </c>
      <c r="B9" s="5">
        <f>[1]Glycogen!B5</f>
        <v>0</v>
      </c>
    </row>
    <row r="10" spans="1:2" x14ac:dyDescent="0.2">
      <c r="A10" s="2" t="s">
        <v>21</v>
      </c>
      <c r="B10" s="5">
        <f>100-SUM(B4:B9,B11)</f>
        <v>59.24</v>
      </c>
    </row>
    <row r="11" spans="1:2" x14ac:dyDescent="0.2">
      <c r="A11" s="2" t="s">
        <v>22</v>
      </c>
      <c r="B11" s="5">
        <f>ROUND('[1]Polyamine Pools'!E19,1)</f>
        <v>0</v>
      </c>
    </row>
    <row r="12" spans="1:2" x14ac:dyDescent="0.2">
      <c r="A12" s="1" t="s">
        <v>10</v>
      </c>
      <c r="B12" s="1">
        <f>SUM(B4:B11)</f>
        <v>100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45"/>
  <sheetViews>
    <sheetView workbookViewId="0">
      <selection activeCell="E8" sqref="E8"/>
    </sheetView>
  </sheetViews>
  <sheetFormatPr baseColWidth="10" defaultRowHeight="16" x14ac:dyDescent="0.2"/>
  <cols>
    <col min="1" max="1" width="12.1640625" customWidth="1"/>
  </cols>
  <sheetData>
    <row r="1" spans="1:6" x14ac:dyDescent="0.2">
      <c r="A1" t="s">
        <v>54</v>
      </c>
    </row>
    <row r="3" spans="1:6" x14ac:dyDescent="0.2">
      <c r="A3" s="8" t="s">
        <v>59</v>
      </c>
      <c r="B3" s="8">
        <f>AVERAGE(K30:K34)</f>
        <v>2.7109567587967591</v>
      </c>
    </row>
    <row r="4" spans="1:6" x14ac:dyDescent="0.2">
      <c r="A4" s="8" t="s">
        <v>56</v>
      </c>
      <c r="B4" s="8">
        <f>STDEV(K30:K34)</f>
        <v>0.89726929400109678</v>
      </c>
    </row>
    <row r="5" spans="1:6" x14ac:dyDescent="0.2">
      <c r="A5" s="8" t="s">
        <v>60</v>
      </c>
      <c r="B5" s="8">
        <f>B4/SQRT(5)</f>
        <v>0.40127102710193929</v>
      </c>
    </row>
    <row r="7" spans="1:6" x14ac:dyDescent="0.2">
      <c r="A7" s="1" t="s">
        <v>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5</v>
      </c>
    </row>
    <row r="8" spans="1:6" x14ac:dyDescent="0.2">
      <c r="A8" s="2" t="s">
        <v>6</v>
      </c>
      <c r="B8" s="2">
        <v>20.83</v>
      </c>
      <c r="C8" s="2">
        <v>331.22</v>
      </c>
      <c r="D8" s="3">
        <f>B8/100*C8</f>
        <v>68.993126000000004</v>
      </c>
      <c r="E8" s="3">
        <f>D8/$D$13*100</f>
        <v>21.098571205214466</v>
      </c>
      <c r="F8" s="4">
        <f>E8/100*'[2]Overall Composition'!B$11/100/C8*1000</f>
        <v>1.9746866353530838E-2</v>
      </c>
    </row>
    <row r="9" spans="1:6" x14ac:dyDescent="0.2">
      <c r="A9" s="2" t="s">
        <v>7</v>
      </c>
      <c r="B9" s="2">
        <v>29.17</v>
      </c>
      <c r="C9" s="2">
        <v>307.2</v>
      </c>
      <c r="D9" s="3">
        <f t="shared" ref="D9:D11" si="0">B9/100*C9</f>
        <v>89.610240000000005</v>
      </c>
      <c r="E9" s="3">
        <f>D9/$D$13*100</f>
        <v>27.403426094309129</v>
      </c>
      <c r="F9" s="4">
        <f>E9/100*'[2]Overall Composition'!B$11/100/C9*1000</f>
        <v>2.7653196905064556E-2</v>
      </c>
    </row>
    <row r="10" spans="1:6" x14ac:dyDescent="0.2">
      <c r="A10" s="2" t="s">
        <v>8</v>
      </c>
      <c r="B10" s="2">
        <v>29.17</v>
      </c>
      <c r="C10" s="2">
        <v>347.22</v>
      </c>
      <c r="D10" s="3">
        <f t="shared" si="0"/>
        <v>101.28407400000002</v>
      </c>
      <c r="E10" s="3">
        <f>D10/$D$13*100</f>
        <v>30.973364610891984</v>
      </c>
      <c r="F10" s="4">
        <f>E10/100*'[2]Overall Composition'!B$11/100/C10*1000</f>
        <v>2.7653196905064556E-2</v>
      </c>
    </row>
    <row r="11" spans="1:6" x14ac:dyDescent="0.2">
      <c r="A11" s="2" t="s">
        <v>9</v>
      </c>
      <c r="B11" s="2">
        <v>20.83</v>
      </c>
      <c r="C11" s="2">
        <v>322.20999999999998</v>
      </c>
      <c r="D11" s="3">
        <f t="shared" si="0"/>
        <v>67.116342999999986</v>
      </c>
      <c r="E11" s="3">
        <f>D11/$D$13*100</f>
        <v>20.524638089584421</v>
      </c>
      <c r="F11" s="4">
        <f>E11/100*'[2]Overall Composition'!B$11/100/C11*1000</f>
        <v>1.9746866353530838E-2</v>
      </c>
    </row>
    <row r="12" spans="1:6" x14ac:dyDescent="0.2">
      <c r="B12" s="1" t="s">
        <v>10</v>
      </c>
      <c r="D12" s="1" t="s">
        <v>11</v>
      </c>
      <c r="E12" s="1" t="s">
        <v>10</v>
      </c>
    </row>
    <row r="13" spans="1:6" x14ac:dyDescent="0.2">
      <c r="B13" s="2">
        <f>SUM(B8:B11)</f>
        <v>100</v>
      </c>
      <c r="D13" s="3">
        <f>SUM(D8:D11)</f>
        <v>327.003783</v>
      </c>
      <c r="E13" s="2">
        <f>SUM(E8:E11)</f>
        <v>100</v>
      </c>
    </row>
    <row r="15" spans="1:6" x14ac:dyDescent="0.2">
      <c r="A15" t="s">
        <v>12</v>
      </c>
    </row>
    <row r="16" spans="1:6" x14ac:dyDescent="0.2">
      <c r="A16" t="s">
        <v>13</v>
      </c>
    </row>
    <row r="28" spans="1:12" x14ac:dyDescent="0.2">
      <c r="C28" s="50" t="s">
        <v>45</v>
      </c>
      <c r="D28" s="50"/>
      <c r="E28" s="50"/>
    </row>
    <row r="29" spans="1:12" x14ac:dyDescent="0.2">
      <c r="A29" t="s">
        <v>39</v>
      </c>
      <c r="B29" t="s">
        <v>41</v>
      </c>
      <c r="C29" t="s">
        <v>42</v>
      </c>
      <c r="D29" t="s">
        <v>43</v>
      </c>
      <c r="E29" t="s">
        <v>44</v>
      </c>
      <c r="F29" t="s">
        <v>47</v>
      </c>
      <c r="G29" t="s">
        <v>48</v>
      </c>
      <c r="H29" t="s">
        <v>46</v>
      </c>
      <c r="I29" t="s">
        <v>49</v>
      </c>
      <c r="J29" t="s">
        <v>50</v>
      </c>
      <c r="K29" t="s">
        <v>51</v>
      </c>
    </row>
    <row r="30" spans="1:12" x14ac:dyDescent="0.2">
      <c r="A30" t="s">
        <v>24</v>
      </c>
      <c r="B30">
        <v>0.92900000000000005</v>
      </c>
      <c r="C30">
        <v>142.53</v>
      </c>
      <c r="D30">
        <v>163.63</v>
      </c>
      <c r="E30">
        <v>141.36000000000001</v>
      </c>
      <c r="F30">
        <f>AVERAGE(C30:E30)</f>
        <v>149.17333333333332</v>
      </c>
      <c r="G30">
        <f>F30*500</f>
        <v>74586.666666666657</v>
      </c>
      <c r="H30">
        <f>G30/1000</f>
        <v>74.586666666666659</v>
      </c>
      <c r="I30">
        <f>H30/1000</f>
        <v>7.4586666666666662E-2</v>
      </c>
      <c r="J30">
        <v>2.1</v>
      </c>
      <c r="K30">
        <f>I30/J30*100</f>
        <v>3.5517460317460317</v>
      </c>
      <c r="L30" t="s">
        <v>52</v>
      </c>
    </row>
    <row r="31" spans="1:12" x14ac:dyDescent="0.2">
      <c r="A31" t="s">
        <v>25</v>
      </c>
      <c r="B31">
        <v>1.0880000000000001</v>
      </c>
      <c r="C31">
        <v>388.18</v>
      </c>
      <c r="D31">
        <v>392.17</v>
      </c>
      <c r="E31">
        <v>387.15</v>
      </c>
      <c r="F31">
        <f t="shared" ref="F31:F34" si="1">AVERAGE(C31:E31)</f>
        <v>389.16666666666669</v>
      </c>
      <c r="G31">
        <f t="shared" ref="G31:G34" si="2">F31*500</f>
        <v>194583.33333333334</v>
      </c>
      <c r="H31">
        <f t="shared" ref="H31:I34" si="3">G31/1000</f>
        <v>194.58333333333334</v>
      </c>
      <c r="I31">
        <f t="shared" si="3"/>
        <v>0.19458333333333333</v>
      </c>
      <c r="J31">
        <v>6.5</v>
      </c>
      <c r="K31">
        <f t="shared" ref="K31:K34" si="4">I31/J31*100</f>
        <v>2.9935897435897436</v>
      </c>
    </row>
    <row r="32" spans="1:12" x14ac:dyDescent="0.2">
      <c r="A32" t="s">
        <v>40</v>
      </c>
      <c r="B32">
        <v>0.56499999999999995</v>
      </c>
      <c r="C32">
        <v>72.540000000000006</v>
      </c>
      <c r="D32">
        <v>74.53</v>
      </c>
      <c r="E32">
        <v>75.180000000000007</v>
      </c>
      <c r="F32">
        <f t="shared" si="1"/>
        <v>74.083333333333329</v>
      </c>
      <c r="G32">
        <f t="shared" si="2"/>
        <v>37041.666666666664</v>
      </c>
      <c r="H32">
        <f t="shared" si="3"/>
        <v>37.041666666666664</v>
      </c>
      <c r="I32">
        <f t="shared" si="3"/>
        <v>3.7041666666666667E-2</v>
      </c>
      <c r="J32">
        <v>2.2000000000000002</v>
      </c>
      <c r="K32">
        <f t="shared" si="4"/>
        <v>1.6837121212121209</v>
      </c>
    </row>
    <row r="33" spans="1:11" x14ac:dyDescent="0.2">
      <c r="A33" t="s">
        <v>37</v>
      </c>
      <c r="B33">
        <v>0.63400000000000001</v>
      </c>
      <c r="C33">
        <v>93.97</v>
      </c>
      <c r="D33">
        <v>92.79</v>
      </c>
      <c r="E33">
        <v>99.36</v>
      </c>
      <c r="F33">
        <f t="shared" si="1"/>
        <v>95.373333333333335</v>
      </c>
      <c r="G33">
        <f t="shared" si="2"/>
        <v>47686.666666666664</v>
      </c>
      <c r="H33">
        <f t="shared" si="3"/>
        <v>47.686666666666667</v>
      </c>
      <c r="I33">
        <f t="shared" si="3"/>
        <v>4.7686666666666669E-2</v>
      </c>
      <c r="J33">
        <v>2.6</v>
      </c>
      <c r="K33">
        <f t="shared" si="4"/>
        <v>1.8341025641025643</v>
      </c>
    </row>
    <row r="34" spans="1:11" x14ac:dyDescent="0.2">
      <c r="A34" t="s">
        <v>38</v>
      </c>
      <c r="B34">
        <v>0.90900000000000003</v>
      </c>
      <c r="C34">
        <v>349.86</v>
      </c>
      <c r="D34">
        <v>348.19</v>
      </c>
      <c r="E34">
        <v>349.44</v>
      </c>
      <c r="F34">
        <f t="shared" si="1"/>
        <v>349.16333333333336</v>
      </c>
      <c r="G34">
        <f t="shared" si="2"/>
        <v>174581.66666666669</v>
      </c>
      <c r="H34">
        <f t="shared" si="3"/>
        <v>174.58166666666668</v>
      </c>
      <c r="I34">
        <f t="shared" si="3"/>
        <v>0.17458166666666669</v>
      </c>
      <c r="J34">
        <v>5</v>
      </c>
      <c r="K34">
        <f t="shared" si="4"/>
        <v>3.491633333333334</v>
      </c>
    </row>
    <row r="35" spans="1:11" x14ac:dyDescent="0.2">
      <c r="K35">
        <f>STDEV(K30:K34)</f>
        <v>0.89726929400109678</v>
      </c>
    </row>
    <row r="36" spans="1:11" x14ac:dyDescent="0.2">
      <c r="A36" s="14"/>
      <c r="B36" s="14"/>
      <c r="C36" s="14"/>
      <c r="D36" s="14"/>
      <c r="E36" s="14"/>
      <c r="F36" s="14"/>
    </row>
    <row r="37" spans="1:11" x14ac:dyDescent="0.2">
      <c r="A37" s="14"/>
      <c r="B37" s="14"/>
      <c r="C37" s="14"/>
      <c r="D37" s="14"/>
      <c r="E37" s="14"/>
      <c r="F37" s="14"/>
    </row>
    <row r="38" spans="1:11" x14ac:dyDescent="0.2">
      <c r="A38" s="17"/>
      <c r="B38" s="17"/>
      <c r="C38" s="17"/>
      <c r="D38" s="14"/>
      <c r="E38" s="14"/>
      <c r="F38" s="14"/>
    </row>
    <row r="39" spans="1:11" x14ac:dyDescent="0.2">
      <c r="A39" s="14"/>
      <c r="B39" s="14"/>
      <c r="C39" s="14"/>
      <c r="D39" s="14"/>
      <c r="E39" s="14"/>
      <c r="F39" s="14"/>
    </row>
    <row r="40" spans="1:11" x14ac:dyDescent="0.2">
      <c r="A40" s="14"/>
      <c r="B40" s="14"/>
      <c r="C40" s="14"/>
      <c r="D40" s="14"/>
      <c r="E40" s="14"/>
      <c r="F40" s="14"/>
    </row>
    <row r="41" spans="1:11" x14ac:dyDescent="0.2">
      <c r="A41" s="14"/>
      <c r="B41" s="14"/>
      <c r="C41" s="14"/>
      <c r="D41" s="14"/>
      <c r="E41" s="14"/>
      <c r="F41" s="14"/>
    </row>
    <row r="42" spans="1:11" x14ac:dyDescent="0.2">
      <c r="A42" s="14"/>
      <c r="B42" s="14"/>
      <c r="C42" s="14"/>
      <c r="D42" s="14"/>
      <c r="E42" s="14"/>
      <c r="F42" s="14"/>
    </row>
    <row r="43" spans="1:11" x14ac:dyDescent="0.2">
      <c r="A43" s="14"/>
      <c r="B43" s="14"/>
      <c r="C43" s="17"/>
      <c r="D43" s="14"/>
      <c r="E43" s="14"/>
      <c r="F43" s="14"/>
    </row>
    <row r="44" spans="1:11" x14ac:dyDescent="0.2">
      <c r="A44" s="14"/>
      <c r="B44" s="14"/>
      <c r="C44" s="14"/>
      <c r="D44" s="14"/>
      <c r="E44" s="14"/>
      <c r="F44" s="14"/>
    </row>
    <row r="45" spans="1:11" x14ac:dyDescent="0.2">
      <c r="A45" s="14"/>
      <c r="B45" s="14"/>
      <c r="C45" s="14"/>
      <c r="D45" s="14"/>
      <c r="E45" s="14"/>
      <c r="F45" s="14"/>
    </row>
  </sheetData>
  <mergeCells count="1">
    <mergeCell ref="C28:E28"/>
  </mergeCell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4"/>
  <sheetViews>
    <sheetView workbookViewId="0">
      <selection activeCell="A18" sqref="A18:C21"/>
    </sheetView>
  </sheetViews>
  <sheetFormatPr baseColWidth="10" defaultRowHeight="16" x14ac:dyDescent="0.2"/>
  <cols>
    <col min="1" max="1" width="12.1640625" customWidth="1"/>
  </cols>
  <sheetData>
    <row r="1" spans="1:11" x14ac:dyDescent="0.2">
      <c r="A1" t="s">
        <v>118</v>
      </c>
    </row>
    <row r="3" spans="1:11" x14ac:dyDescent="0.2">
      <c r="A3" s="8" t="s">
        <v>55</v>
      </c>
      <c r="B3" s="8">
        <f>AVERAGE(K9:K13)</f>
        <v>6.4490358629776026</v>
      </c>
    </row>
    <row r="4" spans="1:11" x14ac:dyDescent="0.2">
      <c r="A4" s="8" t="s">
        <v>56</v>
      </c>
      <c r="B4" s="8">
        <f>STDEV(K9:K13)</f>
        <v>2.0180685530752509</v>
      </c>
    </row>
    <row r="5" spans="1:11" x14ac:dyDescent="0.2">
      <c r="A5" s="8" t="s">
        <v>57</v>
      </c>
      <c r="B5" s="8">
        <f>B4/SQRT(5)</f>
        <v>0.90250769358618066</v>
      </c>
    </row>
    <row r="7" spans="1:11" x14ac:dyDescent="0.2">
      <c r="C7" s="50" t="s">
        <v>58</v>
      </c>
      <c r="D7" s="50"/>
      <c r="E7" s="50"/>
    </row>
    <row r="8" spans="1:11" x14ac:dyDescent="0.2">
      <c r="A8" t="s">
        <v>39</v>
      </c>
      <c r="B8" t="s">
        <v>41</v>
      </c>
      <c r="C8" t="s">
        <v>42</v>
      </c>
      <c r="D8" t="s">
        <v>43</v>
      </c>
      <c r="E8" t="s">
        <v>44</v>
      </c>
      <c r="F8" t="s">
        <v>47</v>
      </c>
      <c r="G8" t="s">
        <v>48</v>
      </c>
      <c r="H8" t="s">
        <v>46</v>
      </c>
      <c r="I8" t="s">
        <v>49</v>
      </c>
      <c r="J8" t="s">
        <v>50</v>
      </c>
      <c r="K8" t="s">
        <v>53</v>
      </c>
    </row>
    <row r="9" spans="1:11" x14ac:dyDescent="0.2">
      <c r="A9" t="s">
        <v>24</v>
      </c>
      <c r="B9">
        <v>0.92900000000000005</v>
      </c>
      <c r="C9">
        <v>2721.29</v>
      </c>
      <c r="D9">
        <v>2714.24</v>
      </c>
      <c r="E9">
        <v>2709.11</v>
      </c>
      <c r="F9">
        <f>AVERAGE(C9:E9)</f>
        <v>2714.8799999999997</v>
      </c>
      <c r="G9">
        <f>F9*50</f>
        <v>135743.99999999997</v>
      </c>
      <c r="H9">
        <f>G9/1000</f>
        <v>135.74399999999997</v>
      </c>
      <c r="I9">
        <f>H9/1000</f>
        <v>0.13574399999999998</v>
      </c>
      <c r="J9">
        <v>2.1</v>
      </c>
      <c r="K9">
        <f>I9/J9*100</f>
        <v>6.4639999999999986</v>
      </c>
    </row>
    <row r="10" spans="1:11" x14ac:dyDescent="0.2">
      <c r="A10" t="s">
        <v>25</v>
      </c>
      <c r="B10">
        <v>1.0880000000000001</v>
      </c>
      <c r="C10">
        <v>1882.68</v>
      </c>
      <c r="D10">
        <v>2134.08</v>
      </c>
      <c r="E10">
        <v>1761.77</v>
      </c>
      <c r="F10">
        <f t="shared" ref="F10:F13" si="0">AVERAGE(C10:E10)</f>
        <v>1926.176666666667</v>
      </c>
      <c r="G10">
        <f t="shared" ref="G10:G12" si="1">F10*50</f>
        <v>96308.833333333343</v>
      </c>
      <c r="H10">
        <f t="shared" ref="H10:I13" si="2">G10/1000</f>
        <v>96.30883333333334</v>
      </c>
      <c r="I10">
        <f t="shared" si="2"/>
        <v>9.6308833333333344E-2</v>
      </c>
      <c r="J10">
        <v>2.2999999999999998</v>
      </c>
      <c r="K10">
        <f t="shared" ref="K10:K13" si="3">I10/J10*100</f>
        <v>4.1873405797101455</v>
      </c>
    </row>
    <row r="11" spans="1:11" x14ac:dyDescent="0.2">
      <c r="A11" t="s">
        <v>40</v>
      </c>
      <c r="B11">
        <v>0.56499999999999995</v>
      </c>
      <c r="C11">
        <v>2470.2199999999998</v>
      </c>
      <c r="D11">
        <v>2491.08</v>
      </c>
      <c r="E11">
        <v>2469.02</v>
      </c>
      <c r="F11">
        <f t="shared" si="0"/>
        <v>2476.7733333333331</v>
      </c>
      <c r="G11">
        <f t="shared" si="1"/>
        <v>123838.66666666666</v>
      </c>
      <c r="H11">
        <f t="shared" si="2"/>
        <v>123.83866666666665</v>
      </c>
      <c r="I11">
        <f t="shared" si="2"/>
        <v>0.12383866666666665</v>
      </c>
      <c r="J11">
        <v>2.2999999999999998</v>
      </c>
      <c r="K11">
        <f t="shared" si="3"/>
        <v>5.3842898550724634</v>
      </c>
    </row>
    <row r="12" spans="1:11" x14ac:dyDescent="0.2">
      <c r="A12" t="s">
        <v>37</v>
      </c>
      <c r="B12">
        <v>0.63400000000000001</v>
      </c>
      <c r="C12">
        <v>2919.01</v>
      </c>
      <c r="D12">
        <v>2907.02</v>
      </c>
      <c r="E12">
        <v>2879.49</v>
      </c>
      <c r="F12">
        <f t="shared" si="0"/>
        <v>2901.84</v>
      </c>
      <c r="G12">
        <f t="shared" si="1"/>
        <v>145092</v>
      </c>
      <c r="H12">
        <f t="shared" si="2"/>
        <v>145.09200000000001</v>
      </c>
      <c r="I12">
        <f t="shared" si="2"/>
        <v>0.14509200000000003</v>
      </c>
      <c r="J12">
        <v>2.2000000000000002</v>
      </c>
      <c r="K12">
        <f t="shared" si="3"/>
        <v>6.59509090909091</v>
      </c>
    </row>
    <row r="13" spans="1:11" x14ac:dyDescent="0.2">
      <c r="A13" s="7" t="s">
        <v>38</v>
      </c>
      <c r="B13" s="7">
        <v>0.90900000000000003</v>
      </c>
      <c r="C13" s="7">
        <v>2760.36</v>
      </c>
      <c r="D13" s="7">
        <v>2770.02</v>
      </c>
      <c r="E13" s="7">
        <v>2762.09</v>
      </c>
      <c r="F13">
        <f t="shared" si="0"/>
        <v>2764.1566666666672</v>
      </c>
      <c r="G13">
        <f>F13*80</f>
        <v>221132.53333333338</v>
      </c>
      <c r="H13">
        <f t="shared" si="2"/>
        <v>221.13253333333338</v>
      </c>
      <c r="I13">
        <f t="shared" si="2"/>
        <v>0.22113253333333338</v>
      </c>
      <c r="J13">
        <v>2.2999999999999998</v>
      </c>
      <c r="K13">
        <f t="shared" si="3"/>
        <v>9.6144579710144953</v>
      </c>
    </row>
    <row r="14" spans="1:11" x14ac:dyDescent="0.2">
      <c r="K14">
        <f>STDEV(K9:K13)</f>
        <v>2.0180685530752509</v>
      </c>
    </row>
    <row r="15" spans="1:11" x14ac:dyDescent="0.2">
      <c r="A15" t="s">
        <v>66</v>
      </c>
    </row>
    <row r="16" spans="1:11" x14ac:dyDescent="0.2">
      <c r="A16" t="s">
        <v>62</v>
      </c>
    </row>
    <row r="17" spans="1:5" x14ac:dyDescent="0.2">
      <c r="A17" s="1" t="s">
        <v>90</v>
      </c>
      <c r="B17" s="1" t="s">
        <v>0</v>
      </c>
      <c r="C17" s="1" t="s">
        <v>63</v>
      </c>
    </row>
    <row r="18" spans="1:5" x14ac:dyDescent="0.2">
      <c r="A18" s="2" t="s">
        <v>89</v>
      </c>
      <c r="B18" s="2" t="s">
        <v>6</v>
      </c>
      <c r="C18" s="2">
        <v>0.203444061386618</v>
      </c>
    </row>
    <row r="19" spans="1:5" x14ac:dyDescent="0.2">
      <c r="A19" s="2" t="s">
        <v>91</v>
      </c>
      <c r="B19" s="2" t="s">
        <v>7</v>
      </c>
      <c r="C19" s="2">
        <v>0.29655593861338098</v>
      </c>
      <c r="E19">
        <f>C20+C19</f>
        <v>0.59311187722676195</v>
      </c>
    </row>
    <row r="20" spans="1:5" x14ac:dyDescent="0.2">
      <c r="A20" s="2" t="s">
        <v>92</v>
      </c>
      <c r="B20" s="2" t="s">
        <v>8</v>
      </c>
      <c r="C20" s="2">
        <v>0.29655593861338098</v>
      </c>
    </row>
    <row r="21" spans="1:5" x14ac:dyDescent="0.2">
      <c r="A21" s="2" t="s">
        <v>93</v>
      </c>
      <c r="B21" s="2" t="s">
        <v>67</v>
      </c>
      <c r="C21" s="2">
        <v>0.203444061386618</v>
      </c>
    </row>
    <row r="22" spans="1:5" x14ac:dyDescent="0.2">
      <c r="C22" s="1" t="s">
        <v>10</v>
      </c>
    </row>
    <row r="23" spans="1:5" x14ac:dyDescent="0.2">
      <c r="C23" s="2">
        <f>SUM(C18:C21)</f>
        <v>0.999999999999998</v>
      </c>
    </row>
    <row r="24" spans="1:5" x14ac:dyDescent="0.2">
      <c r="A24" t="s">
        <v>64</v>
      </c>
    </row>
  </sheetData>
  <mergeCells count="1">
    <mergeCell ref="C7:E7"/>
  </mergeCell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41"/>
  <sheetViews>
    <sheetView topLeftCell="A3" workbookViewId="0">
      <selection activeCell="A20" sqref="A20:C39"/>
    </sheetView>
  </sheetViews>
  <sheetFormatPr baseColWidth="10" defaultRowHeight="16" x14ac:dyDescent="0.2"/>
  <cols>
    <col min="1" max="1" width="12.5" customWidth="1"/>
    <col min="2" max="2" width="15.1640625" customWidth="1"/>
    <col min="4" max="4" width="11.6640625" bestFit="1" customWidth="1"/>
  </cols>
  <sheetData>
    <row r="1" spans="1:7" x14ac:dyDescent="0.2">
      <c r="A1" t="s">
        <v>34</v>
      </c>
    </row>
    <row r="2" spans="1:7" x14ac:dyDescent="0.2">
      <c r="A2" s="8"/>
      <c r="B2" s="8"/>
      <c r="C2" s="8" t="s">
        <v>35</v>
      </c>
    </row>
    <row r="3" spans="1:7" x14ac:dyDescent="0.2">
      <c r="A3" s="8" t="s">
        <v>31</v>
      </c>
      <c r="B3" s="8">
        <f>AVERAGE(B15:F15)</f>
        <v>0.2294980545375</v>
      </c>
      <c r="C3" s="8">
        <f>B3*100</f>
        <v>22.949805453749999</v>
      </c>
    </row>
    <row r="4" spans="1:7" x14ac:dyDescent="0.2">
      <c r="A4" s="8" t="s">
        <v>32</v>
      </c>
      <c r="B4" s="8">
        <f>_xlfn.STDEV.S(B15:F15)</f>
        <v>8.3823823941527001E-2</v>
      </c>
      <c r="C4" s="8">
        <f t="shared" ref="C4:C5" si="0">B4*100</f>
        <v>8.3823823941526996</v>
      </c>
    </row>
    <row r="5" spans="1:7" x14ac:dyDescent="0.2">
      <c r="A5" s="8" t="s">
        <v>33</v>
      </c>
      <c r="B5" s="8">
        <f>B4/SQRT(5)</f>
        <v>3.7487153693445747E-2</v>
      </c>
      <c r="C5" s="8">
        <f t="shared" si="0"/>
        <v>3.7487153693445747</v>
      </c>
    </row>
    <row r="9" spans="1:7" x14ac:dyDescent="0.2">
      <c r="A9" t="s">
        <v>23</v>
      </c>
      <c r="B9" t="s">
        <v>24</v>
      </c>
      <c r="C9" t="s">
        <v>25</v>
      </c>
      <c r="D9" t="s">
        <v>36</v>
      </c>
      <c r="E9" t="s">
        <v>37</v>
      </c>
      <c r="F9" t="s">
        <v>38</v>
      </c>
    </row>
    <row r="10" spans="1:7" x14ac:dyDescent="0.2">
      <c r="A10" t="s">
        <v>26</v>
      </c>
      <c r="B10">
        <v>0.92900000000000005</v>
      </c>
      <c r="C10">
        <v>1.0880000000000001</v>
      </c>
      <c r="D10">
        <v>0.56499999999999995</v>
      </c>
      <c r="E10">
        <v>0.63400000000000001</v>
      </c>
      <c r="F10">
        <v>0.90900000000000003</v>
      </c>
    </row>
    <row r="11" spans="1:7" x14ac:dyDescent="0.2">
      <c r="A11" t="s">
        <v>27</v>
      </c>
      <c r="B11">
        <v>8.0000000000000004E-4</v>
      </c>
      <c r="C11">
        <v>8.0000000000000004E-4</v>
      </c>
      <c r="D11">
        <v>8.0000000000000004E-4</v>
      </c>
      <c r="E11">
        <v>8.9999999999999998E-4</v>
      </c>
      <c r="F11">
        <v>8.0000000000000004E-4</v>
      </c>
    </row>
    <row r="12" spans="1:7" x14ac:dyDescent="0.2">
      <c r="A12" t="s">
        <v>28</v>
      </c>
      <c r="B12" s="6">
        <v>0.8</v>
      </c>
      <c r="C12" s="6">
        <v>0.8</v>
      </c>
      <c r="D12">
        <v>0.8</v>
      </c>
      <c r="E12">
        <v>0.9</v>
      </c>
      <c r="F12">
        <v>0.8</v>
      </c>
    </row>
    <row r="13" spans="1:7" x14ac:dyDescent="0.2">
      <c r="A13" t="s">
        <v>29</v>
      </c>
      <c r="B13" s="6">
        <v>1.07539363</v>
      </c>
      <c r="C13" s="6">
        <v>1.2859128799999999</v>
      </c>
      <c r="D13">
        <v>0.62194569899999996</v>
      </c>
      <c r="E13">
        <v>0.99760297600000003</v>
      </c>
      <c r="F13">
        <v>1.6935787920000001</v>
      </c>
    </row>
    <row r="14" spans="1:7" x14ac:dyDescent="0.2">
      <c r="A14" t="s">
        <v>30</v>
      </c>
      <c r="B14">
        <f>B12/0.165</f>
        <v>4.8484848484848486</v>
      </c>
      <c r="C14">
        <f>C12/0.165</f>
        <v>4.8484848484848486</v>
      </c>
      <c r="D14">
        <v>4.848484848</v>
      </c>
      <c r="E14">
        <v>5.4545454549999999</v>
      </c>
      <c r="F14">
        <v>4.848484848</v>
      </c>
    </row>
    <row r="15" spans="1:7" x14ac:dyDescent="0.2">
      <c r="B15">
        <f>B13/B14</f>
        <v>0.22179993618749999</v>
      </c>
      <c r="C15">
        <f>C13/C14</f>
        <v>0.26521953149999999</v>
      </c>
      <c r="D15">
        <v>0.12827630000000001</v>
      </c>
      <c r="E15">
        <v>0.18289387900000001</v>
      </c>
      <c r="F15">
        <v>0.349300626</v>
      </c>
      <c r="G15">
        <f>STDEV(B15:F15)</f>
        <v>8.3823823941527001E-2</v>
      </c>
    </row>
    <row r="17" spans="1:4" x14ac:dyDescent="0.2">
      <c r="A17" t="s">
        <v>65</v>
      </c>
    </row>
    <row r="18" spans="1:4" x14ac:dyDescent="0.2">
      <c r="A18" t="s">
        <v>62</v>
      </c>
    </row>
    <row r="19" spans="1:4" x14ac:dyDescent="0.2">
      <c r="A19" s="1" t="s">
        <v>90</v>
      </c>
      <c r="B19" s="1" t="s">
        <v>68</v>
      </c>
      <c r="C19" s="1" t="s">
        <v>63</v>
      </c>
    </row>
    <row r="20" spans="1:4" x14ac:dyDescent="0.2">
      <c r="A20" s="2" t="s">
        <v>95</v>
      </c>
      <c r="B20" s="2" t="s">
        <v>69</v>
      </c>
      <c r="C20" s="10">
        <v>0.106172169120319</v>
      </c>
      <c r="D20" s="13">
        <f>C20*100</f>
        <v>10.6172169120319</v>
      </c>
    </row>
    <row r="21" spans="1:4" x14ac:dyDescent="0.2">
      <c r="A21" s="2" t="s">
        <v>106</v>
      </c>
      <c r="B21" s="2" t="s">
        <v>70</v>
      </c>
      <c r="C21" s="10">
        <v>6.3537974530177996E-2</v>
      </c>
      <c r="D21" s="13">
        <f t="shared" ref="D21:D39" si="1">C21*100</f>
        <v>6.3537974530177994</v>
      </c>
    </row>
    <row r="22" spans="1:4" x14ac:dyDescent="0.2">
      <c r="A22" s="2" t="s">
        <v>108</v>
      </c>
      <c r="B22" s="2" t="s">
        <v>71</v>
      </c>
      <c r="C22" s="10">
        <v>3.1945218515736298E-2</v>
      </c>
      <c r="D22" s="13">
        <f t="shared" si="1"/>
        <v>3.1945218515736298</v>
      </c>
    </row>
    <row r="23" spans="1:4" x14ac:dyDescent="0.2">
      <c r="A23" s="2" t="s">
        <v>110</v>
      </c>
      <c r="B23" s="2" t="s">
        <v>72</v>
      </c>
      <c r="C23" s="10">
        <v>5.4617368911485602E-2</v>
      </c>
      <c r="D23" s="13">
        <f t="shared" si="1"/>
        <v>5.4617368911485604</v>
      </c>
    </row>
    <row r="24" spans="1:4" x14ac:dyDescent="0.2">
      <c r="A24" s="2" t="s">
        <v>100</v>
      </c>
      <c r="B24" s="2" t="s">
        <v>73</v>
      </c>
      <c r="C24" s="10">
        <v>9.7896459734463492E-3</v>
      </c>
      <c r="D24" s="13">
        <f t="shared" si="1"/>
        <v>0.97896459734463492</v>
      </c>
    </row>
    <row r="25" spans="1:4" x14ac:dyDescent="0.2">
      <c r="A25" s="2" t="s">
        <v>109</v>
      </c>
      <c r="B25" s="2" t="s">
        <v>74</v>
      </c>
      <c r="C25" s="10">
        <v>5.6561419895186399E-2</v>
      </c>
      <c r="D25" s="13">
        <f t="shared" si="1"/>
        <v>5.6561419895186402</v>
      </c>
    </row>
    <row r="26" spans="1:4" x14ac:dyDescent="0.2">
      <c r="A26" s="2" t="s">
        <v>107</v>
      </c>
      <c r="B26" s="2" t="s">
        <v>75</v>
      </c>
      <c r="C26" s="10">
        <v>4.5577256475947701E-2</v>
      </c>
      <c r="D26" s="13">
        <f t="shared" si="1"/>
        <v>4.5577256475947703</v>
      </c>
    </row>
    <row r="27" spans="1:4" x14ac:dyDescent="0.2">
      <c r="A27" s="2" t="s">
        <v>113</v>
      </c>
      <c r="B27" s="2" t="s">
        <v>76</v>
      </c>
      <c r="C27" s="10">
        <v>7.6718970633264896E-2</v>
      </c>
      <c r="D27" s="13">
        <f t="shared" si="1"/>
        <v>7.6718970633264894</v>
      </c>
    </row>
    <row r="28" spans="1:4" x14ac:dyDescent="0.2">
      <c r="A28" s="2" t="s">
        <v>104</v>
      </c>
      <c r="B28" s="2" t="s">
        <v>77</v>
      </c>
      <c r="C28" s="10">
        <v>2.2948613170201901E-2</v>
      </c>
      <c r="D28" s="13">
        <f t="shared" si="1"/>
        <v>2.2948613170201901</v>
      </c>
    </row>
    <row r="29" spans="1:4" x14ac:dyDescent="0.2">
      <c r="A29" s="2" t="s">
        <v>98</v>
      </c>
      <c r="B29" s="2" t="s">
        <v>78</v>
      </c>
      <c r="C29" s="10">
        <v>4.9811212272744203E-2</v>
      </c>
      <c r="D29" s="13">
        <f t="shared" si="1"/>
        <v>4.9811212272744205</v>
      </c>
    </row>
    <row r="30" spans="1:4" x14ac:dyDescent="0.2">
      <c r="A30" s="2" t="s">
        <v>97</v>
      </c>
      <c r="B30" s="2" t="s">
        <v>79</v>
      </c>
      <c r="C30" s="10">
        <v>0.11392469198081701</v>
      </c>
      <c r="D30" s="13">
        <f t="shared" si="1"/>
        <v>11.392469198081701</v>
      </c>
    </row>
    <row r="31" spans="1:4" x14ac:dyDescent="0.2">
      <c r="A31" s="2" t="s">
        <v>105</v>
      </c>
      <c r="B31" s="2" t="s">
        <v>80</v>
      </c>
      <c r="C31" s="10">
        <v>3.75383578331486E-2</v>
      </c>
      <c r="D31" s="13">
        <f t="shared" si="1"/>
        <v>3.7538357833148601</v>
      </c>
    </row>
    <row r="32" spans="1:4" x14ac:dyDescent="0.2">
      <c r="A32" s="2" t="s">
        <v>99</v>
      </c>
      <c r="B32" s="2" t="s">
        <v>81</v>
      </c>
      <c r="C32" s="10">
        <v>2.39112763768617E-2</v>
      </c>
      <c r="D32" s="13">
        <f t="shared" si="1"/>
        <v>2.3911276376861701</v>
      </c>
    </row>
    <row r="33" spans="1:4" x14ac:dyDescent="0.2">
      <c r="A33" s="2" t="s">
        <v>101</v>
      </c>
      <c r="B33" s="2" t="s">
        <v>82</v>
      </c>
      <c r="C33" s="10">
        <v>3.6319608590392301E-2</v>
      </c>
      <c r="D33" s="13">
        <f t="shared" si="1"/>
        <v>3.6319608590392303</v>
      </c>
    </row>
    <row r="34" spans="1:4" x14ac:dyDescent="0.2">
      <c r="A34" s="2" t="s">
        <v>94</v>
      </c>
      <c r="B34" s="2" t="s">
        <v>83</v>
      </c>
      <c r="C34" s="10">
        <v>4.78407266014464E-2</v>
      </c>
      <c r="D34" s="13">
        <f t="shared" si="1"/>
        <v>4.7840726601446404</v>
      </c>
    </row>
    <row r="35" spans="1:4" x14ac:dyDescent="0.2">
      <c r="A35" s="2" t="s">
        <v>111</v>
      </c>
      <c r="B35" s="2" t="s">
        <v>84</v>
      </c>
      <c r="C35" s="10">
        <v>6.1446880596719003E-2</v>
      </c>
      <c r="D35" s="13">
        <f t="shared" si="1"/>
        <v>6.1446880596719007</v>
      </c>
    </row>
    <row r="36" spans="1:4" x14ac:dyDescent="0.2">
      <c r="A36" s="2" t="s">
        <v>112</v>
      </c>
      <c r="B36" s="2" t="s">
        <v>85</v>
      </c>
      <c r="C36" s="10">
        <v>5.1051439699173203E-2</v>
      </c>
      <c r="D36" s="13">
        <f t="shared" si="1"/>
        <v>5.1051439699173207</v>
      </c>
    </row>
    <row r="37" spans="1:4" x14ac:dyDescent="0.2">
      <c r="A37" s="2" t="s">
        <v>103</v>
      </c>
      <c r="B37" s="2" t="s">
        <v>86</v>
      </c>
      <c r="C37" s="10">
        <v>1.39217180784625E-2</v>
      </c>
      <c r="D37" s="13">
        <f t="shared" si="1"/>
        <v>1.3921718078462499</v>
      </c>
    </row>
    <row r="38" spans="1:4" x14ac:dyDescent="0.2">
      <c r="A38" s="2" t="s">
        <v>102</v>
      </c>
      <c r="B38" s="2" t="s">
        <v>87</v>
      </c>
      <c r="C38" s="10">
        <v>2.5559589293070301E-2</v>
      </c>
      <c r="D38" s="13">
        <f t="shared" si="1"/>
        <v>2.5559589293070299</v>
      </c>
    </row>
    <row r="39" spans="1:4" x14ac:dyDescent="0.2">
      <c r="A39" s="9" t="s">
        <v>96</v>
      </c>
      <c r="B39" s="9" t="s">
        <v>88</v>
      </c>
      <c r="C39" s="10">
        <v>7.0805861451396501E-2</v>
      </c>
      <c r="D39" s="13">
        <f t="shared" si="1"/>
        <v>7.0805861451396499</v>
      </c>
    </row>
    <row r="40" spans="1:4" x14ac:dyDescent="0.2">
      <c r="C40" s="11" t="s">
        <v>10</v>
      </c>
    </row>
    <row r="41" spans="1:4" x14ac:dyDescent="0.2">
      <c r="C41" s="10">
        <f>SUM(C20:C39)</f>
        <v>0.999999999999998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6A480-650B-194E-9DC6-0F5B5DAF428F}">
  <dimension ref="A1:T91"/>
  <sheetViews>
    <sheetView workbookViewId="0">
      <selection activeCell="J78" sqref="J78:O82"/>
    </sheetView>
  </sheetViews>
  <sheetFormatPr baseColWidth="10" defaultRowHeight="16" x14ac:dyDescent="0.2"/>
  <cols>
    <col min="1" max="1" width="23.1640625" bestFit="1" customWidth="1"/>
    <col min="2" max="2" width="15.33203125" customWidth="1"/>
    <col min="3" max="3" width="13.6640625" bestFit="1" customWidth="1"/>
    <col min="5" max="5" width="11.33203125" bestFit="1" customWidth="1"/>
  </cols>
  <sheetData>
    <row r="1" spans="1:9" x14ac:dyDescent="0.2">
      <c r="A1" s="14"/>
      <c r="B1" s="14" t="s">
        <v>120</v>
      </c>
      <c r="C1" s="14" t="s">
        <v>115</v>
      </c>
      <c r="D1" s="14" t="s">
        <v>117</v>
      </c>
      <c r="E1" s="31" t="s">
        <v>233</v>
      </c>
      <c r="F1" t="s">
        <v>119</v>
      </c>
      <c r="G1" t="s">
        <v>235</v>
      </c>
      <c r="I1" s="30" t="s">
        <v>123</v>
      </c>
    </row>
    <row r="2" spans="1:9" x14ac:dyDescent="0.2">
      <c r="A2" s="24" t="s">
        <v>114</v>
      </c>
      <c r="B2" s="24"/>
      <c r="C2" s="21">
        <v>22.9498055</v>
      </c>
      <c r="D2" s="23">
        <v>8.3823823941526996</v>
      </c>
      <c r="F2">
        <f>0.1333*C2</f>
        <v>3.0592090731499999</v>
      </c>
      <c r="I2" s="36" t="s">
        <v>218</v>
      </c>
    </row>
    <row r="3" spans="1:9" x14ac:dyDescent="0.2">
      <c r="A3" s="15" t="s">
        <v>69</v>
      </c>
      <c r="B3" s="14" t="s">
        <v>95</v>
      </c>
      <c r="C3" s="22">
        <v>10.6172169120319</v>
      </c>
      <c r="D3" s="18" t="s">
        <v>116</v>
      </c>
      <c r="E3" s="33">
        <f>(C3/100) *($C$2/100)</f>
        <v>2.4366306308244271E-2</v>
      </c>
    </row>
    <row r="4" spans="1:9" x14ac:dyDescent="0.2">
      <c r="A4" s="15" t="s">
        <v>70</v>
      </c>
      <c r="B4" s="14" t="s">
        <v>106</v>
      </c>
      <c r="C4" s="22">
        <v>6.3537974530177994</v>
      </c>
      <c r="D4" s="18" t="s">
        <v>116</v>
      </c>
      <c r="E4" s="33">
        <f t="shared" ref="E4:E22" si="0">(C4/100) *($C$2/100)</f>
        <v>1.458184157331539E-2</v>
      </c>
    </row>
    <row r="5" spans="1:9" x14ac:dyDescent="0.2">
      <c r="A5" s="15" t="s">
        <v>71</v>
      </c>
      <c r="B5" s="14" t="s">
        <v>108</v>
      </c>
      <c r="C5" s="22">
        <v>3.1945218515736298</v>
      </c>
      <c r="D5" s="18" t="s">
        <v>116</v>
      </c>
      <c r="E5" s="33">
        <f t="shared" si="0"/>
        <v>7.3313655159114675E-3</v>
      </c>
    </row>
    <row r="6" spans="1:9" x14ac:dyDescent="0.2">
      <c r="A6" s="15" t="s">
        <v>72</v>
      </c>
      <c r="B6" s="14" t="s">
        <v>110</v>
      </c>
      <c r="C6" s="22">
        <v>5.4617368911485604</v>
      </c>
      <c r="D6" s="18" t="s">
        <v>116</v>
      </c>
      <c r="E6" s="33">
        <f t="shared" si="0"/>
        <v>1.2534579934403413E-2</v>
      </c>
    </row>
    <row r="7" spans="1:9" x14ac:dyDescent="0.2">
      <c r="A7" s="15" t="s">
        <v>73</v>
      </c>
      <c r="B7" s="14" t="s">
        <v>100</v>
      </c>
      <c r="C7" s="22">
        <v>0.97896459734463492</v>
      </c>
      <c r="D7" s="18" t="s">
        <v>116</v>
      </c>
      <c r="E7" s="33">
        <f t="shared" si="0"/>
        <v>2.2467047100445188E-3</v>
      </c>
    </row>
    <row r="8" spans="1:9" x14ac:dyDescent="0.2">
      <c r="A8" s="15" t="s">
        <v>74</v>
      </c>
      <c r="B8" s="14" t="s">
        <v>109</v>
      </c>
      <c r="C8" s="22">
        <v>5.6561419895186402</v>
      </c>
      <c r="D8" s="18" t="s">
        <v>116</v>
      </c>
      <c r="E8" s="33">
        <f t="shared" si="0"/>
        <v>1.2980735853983582E-2</v>
      </c>
      <c r="I8" s="32">
        <f>SUM(C2,C23,C28,C33,C41)</f>
        <v>49.509798121774359</v>
      </c>
    </row>
    <row r="9" spans="1:9" x14ac:dyDescent="0.2">
      <c r="A9" s="15" t="s">
        <v>75</v>
      </c>
      <c r="B9" s="14" t="s">
        <v>107</v>
      </c>
      <c r="C9" s="22">
        <v>4.5577256475947703</v>
      </c>
      <c r="D9" s="18" t="s">
        <v>116</v>
      </c>
      <c r="E9" s="33">
        <f t="shared" si="0"/>
        <v>1.0459891713466151E-2</v>
      </c>
      <c r="I9" s="32">
        <f>100-I8</f>
        <v>50.490201878225641</v>
      </c>
    </row>
    <row r="10" spans="1:9" x14ac:dyDescent="0.2">
      <c r="A10" s="15" t="s">
        <v>76</v>
      </c>
      <c r="B10" s="14" t="s">
        <v>113</v>
      </c>
      <c r="C10" s="22">
        <v>7.6718970633264894</v>
      </c>
      <c r="D10" s="18" t="s">
        <v>116</v>
      </c>
      <c r="E10" s="33">
        <f t="shared" si="0"/>
        <v>1.7606854541936414E-2</v>
      </c>
    </row>
    <row r="11" spans="1:9" x14ac:dyDescent="0.2">
      <c r="A11" s="15" t="s">
        <v>77</v>
      </c>
      <c r="B11" s="14" t="s">
        <v>104</v>
      </c>
      <c r="C11" s="22">
        <v>2.2948613170201901</v>
      </c>
      <c r="D11" s="18" t="s">
        <v>116</v>
      </c>
      <c r="E11" s="33">
        <f t="shared" si="0"/>
        <v>5.26666208750872E-3</v>
      </c>
    </row>
    <row r="12" spans="1:9" x14ac:dyDescent="0.2">
      <c r="A12" s="15" t="s">
        <v>78</v>
      </c>
      <c r="B12" s="14" t="s">
        <v>98</v>
      </c>
      <c r="C12" s="22">
        <v>4.9811212272744205</v>
      </c>
      <c r="D12" s="18" t="s">
        <v>116</v>
      </c>
      <c r="E12" s="33">
        <f t="shared" si="0"/>
        <v>1.1431576333786924E-2</v>
      </c>
    </row>
    <row r="13" spans="1:9" x14ac:dyDescent="0.2">
      <c r="A13" s="15" t="s">
        <v>79</v>
      </c>
      <c r="B13" s="14" t="s">
        <v>97</v>
      </c>
      <c r="C13" s="22">
        <v>11.392469198081701</v>
      </c>
      <c r="D13" s="18" t="s">
        <v>116</v>
      </c>
      <c r="E13" s="33">
        <f t="shared" si="0"/>
        <v>2.61454952260716E-2</v>
      </c>
    </row>
    <row r="14" spans="1:9" x14ac:dyDescent="0.2">
      <c r="A14" s="15" t="s">
        <v>80</v>
      </c>
      <c r="B14" s="14" t="s">
        <v>105</v>
      </c>
      <c r="C14" s="22">
        <v>3.7538357833148601</v>
      </c>
      <c r="D14" s="18" t="s">
        <v>116</v>
      </c>
      <c r="E14" s="33">
        <f t="shared" si="0"/>
        <v>8.6149801106016177E-3</v>
      </c>
    </row>
    <row r="15" spans="1:9" x14ac:dyDescent="0.2">
      <c r="A15" s="15" t="s">
        <v>81</v>
      </c>
      <c r="B15" s="14" t="s">
        <v>99</v>
      </c>
      <c r="C15" s="22">
        <v>2.3911276376861701</v>
      </c>
      <c r="D15" s="18" t="s">
        <v>116</v>
      </c>
      <c r="E15" s="33">
        <f t="shared" si="0"/>
        <v>5.4875914210572073E-3</v>
      </c>
    </row>
    <row r="16" spans="1:9" x14ac:dyDescent="0.2">
      <c r="A16" s="15" t="s">
        <v>82</v>
      </c>
      <c r="B16" s="14" t="s">
        <v>101</v>
      </c>
      <c r="C16" s="22">
        <v>3.6319608590392303</v>
      </c>
      <c r="D16" s="18" t="s">
        <v>116</v>
      </c>
      <c r="E16" s="33">
        <f t="shared" si="0"/>
        <v>8.3352795298563247E-3</v>
      </c>
    </row>
    <row r="17" spans="1:10" x14ac:dyDescent="0.2">
      <c r="A17" s="15" t="s">
        <v>83</v>
      </c>
      <c r="B17" s="14" t="s">
        <v>94</v>
      </c>
      <c r="C17" s="22">
        <v>4.7840726601446404</v>
      </c>
      <c r="D17" s="18" t="s">
        <v>116</v>
      </c>
      <c r="E17" s="33">
        <f t="shared" si="0"/>
        <v>1.0979353704818711E-2</v>
      </c>
    </row>
    <row r="18" spans="1:10" x14ac:dyDescent="0.2">
      <c r="A18" s="15" t="s">
        <v>84</v>
      </c>
      <c r="B18" s="14" t="s">
        <v>111</v>
      </c>
      <c r="C18" s="22">
        <v>6.1446880596719007</v>
      </c>
      <c r="D18" s="18" t="s">
        <v>116</v>
      </c>
      <c r="E18" s="33">
        <f t="shared" si="0"/>
        <v>1.4101939582764253E-2</v>
      </c>
    </row>
    <row r="19" spans="1:10" x14ac:dyDescent="0.2">
      <c r="A19" s="15" t="s">
        <v>85</v>
      </c>
      <c r="B19" s="14" t="s">
        <v>112</v>
      </c>
      <c r="C19" s="22">
        <v>5.1051439699173207</v>
      </c>
      <c r="D19" s="18" t="s">
        <v>116</v>
      </c>
      <c r="E19" s="33">
        <f t="shared" si="0"/>
        <v>1.1716206115910037E-2</v>
      </c>
    </row>
    <row r="20" spans="1:10" x14ac:dyDescent="0.2">
      <c r="A20" s="15" t="s">
        <v>86</v>
      </c>
      <c r="B20" s="14" t="s">
        <v>103</v>
      </c>
      <c r="C20" s="22">
        <v>1.3921718078462499</v>
      </c>
      <c r="D20" s="18" t="s">
        <v>116</v>
      </c>
      <c r="E20" s="33">
        <f t="shared" si="0"/>
        <v>3.1950072212654813E-3</v>
      </c>
    </row>
    <row r="21" spans="1:10" x14ac:dyDescent="0.2">
      <c r="A21" s="15" t="s">
        <v>87</v>
      </c>
      <c r="B21" s="14" t="s">
        <v>102</v>
      </c>
      <c r="C21" s="22">
        <v>2.5559589293070299</v>
      </c>
      <c r="D21" s="18" t="s">
        <v>116</v>
      </c>
      <c r="E21" s="33">
        <f t="shared" si="0"/>
        <v>5.8658760293584583E-3</v>
      </c>
      <c r="H21" s="14"/>
      <c r="I21" s="14"/>
      <c r="J21" s="14"/>
    </row>
    <row r="22" spans="1:10" x14ac:dyDescent="0.2">
      <c r="A22" s="15" t="s">
        <v>88</v>
      </c>
      <c r="B22" s="14" t="s">
        <v>96</v>
      </c>
      <c r="C22" s="22">
        <v>7.0805861451396499</v>
      </c>
      <c r="D22" s="18" t="s">
        <v>116</v>
      </c>
      <c r="E22" s="33">
        <f t="shared" si="0"/>
        <v>1.6249807485694975E-2</v>
      </c>
      <c r="H22" s="14"/>
      <c r="I22" s="14"/>
      <c r="J22" s="14"/>
    </row>
    <row r="23" spans="1:10" x14ac:dyDescent="0.2">
      <c r="A23" s="16" t="s">
        <v>0</v>
      </c>
      <c r="B23" s="16"/>
      <c r="C23" s="19">
        <v>2.7109567587967591</v>
      </c>
      <c r="D23" s="19">
        <v>0.89726929400109678</v>
      </c>
      <c r="E23" s="34"/>
      <c r="F23">
        <f>C23*0.1333</f>
        <v>0.36137053594760798</v>
      </c>
      <c r="H23" s="14"/>
      <c r="I23" s="14"/>
      <c r="J23" s="14"/>
    </row>
    <row r="24" spans="1:10" x14ac:dyDescent="0.2">
      <c r="A24" t="s">
        <v>186</v>
      </c>
      <c r="B24" t="s">
        <v>187</v>
      </c>
      <c r="C24" s="14">
        <v>20.83</v>
      </c>
      <c r="D24" s="18" t="s">
        <v>116</v>
      </c>
      <c r="E24" s="33">
        <f>(C24/100)*(C$23/100)</f>
        <v>5.6469229285736489E-3</v>
      </c>
      <c r="H24" s="14"/>
      <c r="I24" s="14"/>
      <c r="J24" s="14"/>
    </row>
    <row r="25" spans="1:10" x14ac:dyDescent="0.2">
      <c r="A25" t="s">
        <v>198</v>
      </c>
      <c r="B25" t="s">
        <v>199</v>
      </c>
      <c r="C25" s="14">
        <v>29.17</v>
      </c>
      <c r="D25" s="18"/>
      <c r="E25" s="33">
        <f t="shared" ref="E25:E27" si="1">(C25/100)*(C$23/100)</f>
        <v>7.9078608654101473E-3</v>
      </c>
      <c r="H25" s="14"/>
      <c r="I25" s="14"/>
      <c r="J25" s="14"/>
    </row>
    <row r="26" spans="1:10" x14ac:dyDescent="0.2">
      <c r="A26" t="s">
        <v>204</v>
      </c>
      <c r="B26" t="s">
        <v>205</v>
      </c>
      <c r="C26" s="14">
        <v>29.17</v>
      </c>
      <c r="D26" s="18"/>
      <c r="E26" s="33">
        <f t="shared" si="1"/>
        <v>7.9078608654101473E-3</v>
      </c>
      <c r="H26" s="14"/>
      <c r="I26" s="14"/>
      <c r="J26" s="14"/>
    </row>
    <row r="27" spans="1:10" ht="15" customHeight="1" x14ac:dyDescent="0.2">
      <c r="A27" t="s">
        <v>206</v>
      </c>
      <c r="B27" t="s">
        <v>207</v>
      </c>
      <c r="C27" s="14">
        <v>20.83</v>
      </c>
      <c r="D27" s="18"/>
      <c r="E27" s="33">
        <f t="shared" si="1"/>
        <v>5.6469229285736489E-3</v>
      </c>
      <c r="H27" s="14"/>
      <c r="I27" s="14"/>
      <c r="J27" s="14"/>
    </row>
    <row r="28" spans="1:10" x14ac:dyDescent="0.2">
      <c r="A28" s="16" t="s">
        <v>17</v>
      </c>
      <c r="B28" s="16"/>
      <c r="C28" s="19">
        <v>6.4490358629776026</v>
      </c>
      <c r="D28" s="19">
        <v>2.0180685530752509</v>
      </c>
      <c r="E28" s="34"/>
      <c r="F28">
        <f>C28*0.1333</f>
        <v>0.85965648053491439</v>
      </c>
      <c r="H28" s="14"/>
      <c r="I28" s="14"/>
      <c r="J28" s="14"/>
    </row>
    <row r="29" spans="1:10" x14ac:dyDescent="0.2">
      <c r="A29" t="s">
        <v>144</v>
      </c>
      <c r="B29" t="s">
        <v>145</v>
      </c>
      <c r="C29" s="32">
        <v>20.3444061386618</v>
      </c>
      <c r="D29" s="20" t="s">
        <v>116</v>
      </c>
      <c r="E29" s="33">
        <f>(C29/100)*(C$28/100)</f>
        <v>1.3120180479921162E-2</v>
      </c>
      <c r="H29" s="14"/>
      <c r="I29" s="14"/>
      <c r="J29" s="14"/>
    </row>
    <row r="30" spans="1:10" x14ac:dyDescent="0.2">
      <c r="A30" t="s">
        <v>174</v>
      </c>
      <c r="B30" t="s">
        <v>175</v>
      </c>
      <c r="C30" s="32">
        <v>29.655593861338097</v>
      </c>
      <c r="E30" s="33">
        <f t="shared" ref="E30:E32" si="2">(C30/100)*(C$28/100)</f>
        <v>1.912499883496678E-2</v>
      </c>
      <c r="H30" s="14"/>
      <c r="I30" s="14"/>
      <c r="J30" s="14"/>
    </row>
    <row r="31" spans="1:10" x14ac:dyDescent="0.2">
      <c r="A31" t="s">
        <v>168</v>
      </c>
      <c r="B31" t="s">
        <v>169</v>
      </c>
      <c r="C31" s="32">
        <v>29.655593861338097</v>
      </c>
      <c r="E31" s="33">
        <f t="shared" si="2"/>
        <v>1.912499883496678E-2</v>
      </c>
      <c r="H31" s="14"/>
      <c r="I31" s="14"/>
      <c r="J31" s="14"/>
    </row>
    <row r="32" spans="1:10" x14ac:dyDescent="0.2">
      <c r="A32" t="s">
        <v>180</v>
      </c>
      <c r="B32" t="s">
        <v>181</v>
      </c>
      <c r="C32" s="32">
        <v>20.3444061386618</v>
      </c>
      <c r="E32" s="33">
        <f t="shared" si="2"/>
        <v>1.3120180479921162E-2</v>
      </c>
      <c r="H32" s="14"/>
      <c r="I32" s="14"/>
      <c r="J32" s="14"/>
    </row>
    <row r="33" spans="1:17" x14ac:dyDescent="0.2">
      <c r="A33" s="8" t="s">
        <v>21</v>
      </c>
      <c r="B33" s="8"/>
      <c r="C33" s="35">
        <v>14</v>
      </c>
      <c r="D33" s="18" t="s">
        <v>116</v>
      </c>
      <c r="E33" s="18"/>
      <c r="F33">
        <f>13.33*(C33/100)</f>
        <v>1.8662000000000001</v>
      </c>
      <c r="H33" s="14"/>
      <c r="I33" s="14"/>
      <c r="J33" s="14"/>
    </row>
    <row r="34" spans="1:17" x14ac:dyDescent="0.2">
      <c r="A34" s="25" t="s">
        <v>226</v>
      </c>
      <c r="B34" s="26" t="s">
        <v>219</v>
      </c>
      <c r="C34">
        <v>14.285714285714286</v>
      </c>
      <c r="E34" s="33">
        <f>(C34/100)*(C$33/100)</f>
        <v>2.0000000000000004E-2</v>
      </c>
      <c r="H34" s="14"/>
      <c r="I34" s="14"/>
      <c r="J34" s="14"/>
    </row>
    <row r="35" spans="1:17" x14ac:dyDescent="0.2">
      <c r="A35" s="25" t="s">
        <v>227</v>
      </c>
      <c r="B35" s="26" t="s">
        <v>220</v>
      </c>
      <c r="C35">
        <v>14.285714285714286</v>
      </c>
      <c r="E35" s="33">
        <f t="shared" ref="E35:E40" si="3">(C35/100)*(C$33/100)</f>
        <v>2.0000000000000004E-2</v>
      </c>
      <c r="G35" s="28"/>
      <c r="H35" s="27"/>
      <c r="I35" s="14"/>
      <c r="J35" s="14"/>
    </row>
    <row r="36" spans="1:17" x14ac:dyDescent="0.2">
      <c r="A36" s="12" t="s">
        <v>228</v>
      </c>
      <c r="B36" s="12" t="s">
        <v>221</v>
      </c>
      <c r="C36">
        <v>14.285714285714286</v>
      </c>
      <c r="E36" s="33">
        <f t="shared" si="3"/>
        <v>2.0000000000000004E-2</v>
      </c>
      <c r="G36" s="28"/>
      <c r="H36" s="27"/>
      <c r="I36" s="14"/>
      <c r="J36" s="14"/>
      <c r="K36" s="27"/>
      <c r="L36" s="27"/>
      <c r="M36" s="27"/>
      <c r="N36" s="27"/>
      <c r="O36" s="27"/>
      <c r="P36" s="27"/>
      <c r="Q36" s="27"/>
    </row>
    <row r="37" spans="1:17" x14ac:dyDescent="0.2">
      <c r="A37" s="12" t="s">
        <v>229</v>
      </c>
      <c r="B37" s="12" t="s">
        <v>222</v>
      </c>
      <c r="C37">
        <v>14.285714285714286</v>
      </c>
      <c r="E37" s="33">
        <f t="shared" si="3"/>
        <v>2.0000000000000004E-2</v>
      </c>
      <c r="G37" s="28"/>
      <c r="H37" s="27"/>
      <c r="I37" s="14"/>
      <c r="J37" s="14"/>
      <c r="K37" s="28"/>
      <c r="L37" s="28"/>
      <c r="M37" s="28"/>
      <c r="N37" s="28"/>
      <c r="O37" s="28"/>
      <c r="P37" s="28"/>
      <c r="Q37" s="28"/>
    </row>
    <row r="38" spans="1:17" x14ac:dyDescent="0.2">
      <c r="A38" s="12" t="s">
        <v>230</v>
      </c>
      <c r="B38" s="12" t="s">
        <v>223</v>
      </c>
      <c r="C38">
        <v>14.285714285714286</v>
      </c>
      <c r="E38" s="33">
        <f t="shared" si="3"/>
        <v>2.0000000000000004E-2</v>
      </c>
      <c r="G38" s="28"/>
      <c r="H38" s="27"/>
      <c r="I38" s="14"/>
      <c r="J38" s="14"/>
      <c r="K38" s="28"/>
      <c r="L38" s="28"/>
      <c r="M38" s="28"/>
      <c r="N38" s="28"/>
      <c r="O38" s="28"/>
      <c r="P38" s="28"/>
      <c r="Q38" s="28"/>
    </row>
    <row r="39" spans="1:17" x14ac:dyDescent="0.2">
      <c r="A39" s="12" t="s">
        <v>231</v>
      </c>
      <c r="B39" s="12" t="s">
        <v>224</v>
      </c>
      <c r="C39">
        <v>14.285714285714286</v>
      </c>
      <c r="E39" s="33">
        <f t="shared" si="3"/>
        <v>2.0000000000000004E-2</v>
      </c>
      <c r="G39" s="28"/>
      <c r="H39" s="27"/>
      <c r="I39" s="14"/>
      <c r="J39" s="14"/>
    </row>
    <row r="40" spans="1:17" x14ac:dyDescent="0.2">
      <c r="A40" s="12" t="s">
        <v>232</v>
      </c>
      <c r="B40" s="12" t="s">
        <v>225</v>
      </c>
      <c r="C40">
        <v>14.285714285714286</v>
      </c>
      <c r="E40" s="33">
        <f t="shared" si="3"/>
        <v>2.0000000000000004E-2</v>
      </c>
      <c r="G40" s="28"/>
      <c r="H40" s="27"/>
      <c r="I40" s="14"/>
      <c r="J40" s="14"/>
    </row>
    <row r="41" spans="1:17" x14ac:dyDescent="0.2">
      <c r="A41" s="12" t="s">
        <v>18</v>
      </c>
      <c r="B41" s="12"/>
      <c r="C41">
        <v>3.4</v>
      </c>
      <c r="D41" s="18"/>
      <c r="E41" s="33"/>
    </row>
    <row r="42" spans="1:17" x14ac:dyDescent="0.2">
      <c r="A42" t="s">
        <v>210</v>
      </c>
      <c r="B42" t="s">
        <v>211</v>
      </c>
      <c r="C42">
        <v>1.7</v>
      </c>
      <c r="E42" s="33">
        <f>(C42/100)*(C$41/100)</f>
        <v>5.7800000000000006E-4</v>
      </c>
      <c r="F42" s="38"/>
      <c r="G42" s="38"/>
      <c r="J42">
        <f>C41/2</f>
        <v>1.7</v>
      </c>
    </row>
    <row r="43" spans="1:17" x14ac:dyDescent="0.2">
      <c r="A43" t="s">
        <v>122</v>
      </c>
      <c r="B43" t="s">
        <v>121</v>
      </c>
      <c r="C43">
        <v>1.7</v>
      </c>
      <c r="E43" s="33">
        <f>(C43/100)*(C$41/100)</f>
        <v>5.7800000000000006E-4</v>
      </c>
      <c r="F43" s="38"/>
      <c r="G43" s="38"/>
    </row>
    <row r="44" spans="1:17" x14ac:dyDescent="0.2">
      <c r="F44" s="38"/>
      <c r="G44" s="38"/>
    </row>
    <row r="45" spans="1:17" x14ac:dyDescent="0.2">
      <c r="A45" s="29" t="s">
        <v>234</v>
      </c>
      <c r="C45" s="32">
        <f>I9</f>
        <v>50.490201878225641</v>
      </c>
      <c r="F45" s="38"/>
      <c r="G45" s="38"/>
      <c r="J45">
        <f>50.49/33</f>
        <v>1.53</v>
      </c>
    </row>
    <row r="46" spans="1:17" x14ac:dyDescent="0.2">
      <c r="A46" t="s">
        <v>124</v>
      </c>
      <c r="B46" t="s">
        <v>125</v>
      </c>
      <c r="C46">
        <v>1.53</v>
      </c>
      <c r="E46" s="33">
        <f>(C46/100)*(C$45/100)</f>
        <v>7.7250008873685234E-3</v>
      </c>
      <c r="F46" s="38"/>
      <c r="G46" s="38"/>
    </row>
    <row r="47" spans="1:17" x14ac:dyDescent="0.2">
      <c r="A47" t="s">
        <v>126</v>
      </c>
      <c r="B47" t="s">
        <v>127</v>
      </c>
      <c r="C47">
        <v>1.53</v>
      </c>
      <c r="E47" s="33">
        <f t="shared" ref="E47:E78" si="4">(C47/100)*(C$45/100)</f>
        <v>7.7250008873685234E-3</v>
      </c>
      <c r="F47" s="38"/>
      <c r="G47" s="38"/>
    </row>
    <row r="48" spans="1:17" x14ac:dyDescent="0.2">
      <c r="A48" t="s">
        <v>128</v>
      </c>
      <c r="B48" t="s">
        <v>129</v>
      </c>
      <c r="C48">
        <v>1.53</v>
      </c>
      <c r="E48" s="33">
        <f t="shared" si="4"/>
        <v>7.7250008873685234E-3</v>
      </c>
      <c r="F48" s="38"/>
      <c r="G48" s="38"/>
    </row>
    <row r="49" spans="1:20" x14ac:dyDescent="0.2">
      <c r="A49" t="s">
        <v>130</v>
      </c>
      <c r="B49" t="s">
        <v>131</v>
      </c>
      <c r="C49">
        <v>1.53</v>
      </c>
      <c r="E49" s="33">
        <f t="shared" si="4"/>
        <v>7.7250008873685234E-3</v>
      </c>
      <c r="F49" s="38"/>
      <c r="G49" s="38"/>
    </row>
    <row r="50" spans="1:20" x14ac:dyDescent="0.2">
      <c r="A50" t="s">
        <v>132</v>
      </c>
      <c r="B50" t="s">
        <v>133</v>
      </c>
      <c r="C50">
        <v>1.53</v>
      </c>
      <c r="E50" s="33">
        <f t="shared" si="4"/>
        <v>7.7250008873685234E-3</v>
      </c>
      <c r="F50" s="38"/>
      <c r="G50" s="38"/>
    </row>
    <row r="51" spans="1:20" ht="14" customHeight="1" x14ac:dyDescent="0.2">
      <c r="A51" s="6" t="s">
        <v>140</v>
      </c>
      <c r="B51" s="6" t="s">
        <v>141</v>
      </c>
      <c r="C51">
        <v>1.53</v>
      </c>
      <c r="E51" s="33">
        <f t="shared" si="4"/>
        <v>7.7250008873685234E-3</v>
      </c>
      <c r="F51" s="39"/>
      <c r="G51" s="38"/>
    </row>
    <row r="52" spans="1:20" ht="14" customHeight="1" x14ac:dyDescent="0.2">
      <c r="A52" t="s">
        <v>150</v>
      </c>
      <c r="B52" t="s">
        <v>151</v>
      </c>
      <c r="C52">
        <v>1.53</v>
      </c>
      <c r="E52" s="33">
        <f t="shared" si="4"/>
        <v>7.7250008873685234E-3</v>
      </c>
      <c r="F52" s="38"/>
      <c r="G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</row>
    <row r="53" spans="1:20" ht="14" customHeight="1" x14ac:dyDescent="0.2">
      <c r="A53" t="s">
        <v>154</v>
      </c>
      <c r="B53" t="s">
        <v>155</v>
      </c>
      <c r="C53">
        <v>1.53</v>
      </c>
      <c r="E53" s="33">
        <f t="shared" si="4"/>
        <v>7.7250008873685234E-3</v>
      </c>
      <c r="F53" s="38"/>
      <c r="G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</row>
    <row r="54" spans="1:20" x14ac:dyDescent="0.2">
      <c r="A54" t="s">
        <v>156</v>
      </c>
      <c r="B54" t="s">
        <v>157</v>
      </c>
      <c r="C54">
        <v>1.53</v>
      </c>
      <c r="E54" s="33">
        <f t="shared" si="4"/>
        <v>7.7250008873685234E-3</v>
      </c>
      <c r="F54" s="38"/>
      <c r="G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</row>
    <row r="55" spans="1:20" x14ac:dyDescent="0.2">
      <c r="A55" t="s">
        <v>158</v>
      </c>
      <c r="B55" t="s">
        <v>159</v>
      </c>
      <c r="C55">
        <v>1.53</v>
      </c>
      <c r="E55" s="33">
        <f t="shared" si="4"/>
        <v>7.7250008873685234E-3</v>
      </c>
      <c r="F55" s="38"/>
      <c r="G55" s="38"/>
      <c r="I55" s="38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</row>
    <row r="56" spans="1:20" x14ac:dyDescent="0.2">
      <c r="A56" t="s">
        <v>160</v>
      </c>
      <c r="B56" t="s">
        <v>161</v>
      </c>
      <c r="C56">
        <v>1.53</v>
      </c>
      <c r="E56" s="33">
        <f t="shared" si="4"/>
        <v>7.7250008873685234E-3</v>
      </c>
      <c r="F56" s="38"/>
      <c r="G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</row>
    <row r="57" spans="1:20" x14ac:dyDescent="0.2">
      <c r="A57" t="s">
        <v>162</v>
      </c>
      <c r="B57" t="s">
        <v>163</v>
      </c>
      <c r="C57">
        <v>1.53</v>
      </c>
      <c r="E57" s="33">
        <f t="shared" si="4"/>
        <v>7.7250008873685234E-3</v>
      </c>
      <c r="F57" s="38"/>
      <c r="G57" s="38"/>
      <c r="I57" s="38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</row>
    <row r="58" spans="1:20" x14ac:dyDescent="0.2">
      <c r="A58" t="s">
        <v>164</v>
      </c>
      <c r="B58" t="s">
        <v>165</v>
      </c>
      <c r="C58">
        <v>1.53</v>
      </c>
      <c r="E58" s="33">
        <f t="shared" si="4"/>
        <v>7.7250008873685234E-3</v>
      </c>
      <c r="F58" s="38"/>
      <c r="G58" s="38"/>
      <c r="I58" s="38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</row>
    <row r="59" spans="1:20" x14ac:dyDescent="0.2">
      <c r="A59" t="s">
        <v>166</v>
      </c>
      <c r="B59" t="s">
        <v>167</v>
      </c>
      <c r="C59">
        <v>1.53</v>
      </c>
      <c r="E59" s="33">
        <f t="shared" si="4"/>
        <v>7.7250008873685234E-3</v>
      </c>
      <c r="F59" s="38"/>
      <c r="G59" s="38"/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</row>
    <row r="60" spans="1:20" x14ac:dyDescent="0.2">
      <c r="A60" t="s">
        <v>170</v>
      </c>
      <c r="B60" t="s">
        <v>171</v>
      </c>
      <c r="C60">
        <v>1.53</v>
      </c>
      <c r="E60" s="33">
        <f t="shared" si="4"/>
        <v>7.7250008873685234E-3</v>
      </c>
      <c r="F60" s="38"/>
      <c r="G60" s="38"/>
      <c r="I60" s="38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</row>
    <row r="61" spans="1:20" x14ac:dyDescent="0.2">
      <c r="A61" t="s">
        <v>172</v>
      </c>
      <c r="B61" t="s">
        <v>173</v>
      </c>
      <c r="C61">
        <v>1.53</v>
      </c>
      <c r="E61" s="33">
        <f t="shared" si="4"/>
        <v>7.7250008873685234E-3</v>
      </c>
      <c r="F61" s="38"/>
      <c r="G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</row>
    <row r="62" spans="1:20" x14ac:dyDescent="0.2">
      <c r="A62" t="s">
        <v>176</v>
      </c>
      <c r="B62" t="s">
        <v>177</v>
      </c>
      <c r="C62">
        <v>1.53</v>
      </c>
      <c r="E62" s="33">
        <f t="shared" si="4"/>
        <v>7.7250008873685234E-3</v>
      </c>
      <c r="F62" s="38"/>
      <c r="G62" s="38"/>
      <c r="I62" s="38"/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</row>
    <row r="63" spans="1:20" x14ac:dyDescent="0.2">
      <c r="A63" t="s">
        <v>178</v>
      </c>
      <c r="B63" t="s">
        <v>179</v>
      </c>
      <c r="C63">
        <v>1.53</v>
      </c>
      <c r="E63" s="33">
        <f t="shared" si="4"/>
        <v>7.7250008873685234E-3</v>
      </c>
      <c r="F63" s="38"/>
      <c r="G63" s="38"/>
      <c r="I63" s="38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</row>
    <row r="64" spans="1:20" x14ac:dyDescent="0.2">
      <c r="A64" t="s">
        <v>184</v>
      </c>
      <c r="B64" t="s">
        <v>185</v>
      </c>
      <c r="C64">
        <v>1.53</v>
      </c>
      <c r="E64" s="33">
        <f t="shared" si="4"/>
        <v>7.7250008873685234E-3</v>
      </c>
      <c r="F64" s="38"/>
      <c r="G64" s="38"/>
      <c r="I64" s="38"/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38"/>
    </row>
    <row r="65" spans="1:20" x14ac:dyDescent="0.2">
      <c r="A65" t="s">
        <v>188</v>
      </c>
      <c r="B65" t="s">
        <v>189</v>
      </c>
      <c r="C65">
        <v>1.53</v>
      </c>
      <c r="E65" s="33">
        <f t="shared" si="4"/>
        <v>7.7250008873685234E-3</v>
      </c>
      <c r="F65" s="38"/>
      <c r="G65" s="38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</row>
    <row r="66" spans="1:20" x14ac:dyDescent="0.2">
      <c r="A66" t="s">
        <v>190</v>
      </c>
      <c r="B66" t="s">
        <v>191</v>
      </c>
      <c r="C66">
        <v>1.53</v>
      </c>
      <c r="E66" s="33">
        <f t="shared" si="4"/>
        <v>7.7250008873685234E-3</v>
      </c>
      <c r="F66" s="38"/>
      <c r="G66" s="38"/>
      <c r="I66" s="38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</row>
    <row r="67" spans="1:20" x14ac:dyDescent="0.2">
      <c r="A67" t="s">
        <v>192</v>
      </c>
      <c r="B67" t="s">
        <v>193</v>
      </c>
      <c r="C67">
        <v>1.53</v>
      </c>
      <c r="E67" s="33">
        <f t="shared" si="4"/>
        <v>7.7250008873685234E-3</v>
      </c>
      <c r="F67" s="38"/>
      <c r="G67" s="38"/>
      <c r="I67" s="38"/>
      <c r="J67" s="38"/>
      <c r="K67" s="38"/>
      <c r="L67" s="38"/>
      <c r="M67" s="38"/>
      <c r="N67" s="38"/>
      <c r="O67" s="38"/>
      <c r="P67" s="38"/>
      <c r="Q67" s="38"/>
      <c r="R67" s="38"/>
      <c r="S67" s="38"/>
      <c r="T67" s="38"/>
    </row>
    <row r="68" spans="1:20" x14ac:dyDescent="0.2">
      <c r="A68" t="s">
        <v>194</v>
      </c>
      <c r="B68" t="s">
        <v>195</v>
      </c>
      <c r="C68">
        <v>1.53</v>
      </c>
      <c r="E68" s="33">
        <f t="shared" si="4"/>
        <v>7.7250008873685234E-3</v>
      </c>
      <c r="F68" s="38"/>
      <c r="G68" s="38"/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</row>
    <row r="69" spans="1:20" x14ac:dyDescent="0.2">
      <c r="A69" t="s">
        <v>196</v>
      </c>
      <c r="B69" t="s">
        <v>197</v>
      </c>
      <c r="C69">
        <v>1.53</v>
      </c>
      <c r="E69" s="33">
        <f t="shared" si="4"/>
        <v>7.7250008873685234E-3</v>
      </c>
      <c r="F69" s="38"/>
      <c r="G69" s="38"/>
    </row>
    <row r="70" spans="1:20" x14ac:dyDescent="0.2">
      <c r="A70" t="s">
        <v>200</v>
      </c>
      <c r="B70" t="s">
        <v>201</v>
      </c>
      <c r="C70">
        <v>1.53</v>
      </c>
      <c r="E70" s="33">
        <f t="shared" si="4"/>
        <v>7.7250008873685234E-3</v>
      </c>
      <c r="F70" s="38"/>
      <c r="G70" s="38"/>
    </row>
    <row r="71" spans="1:20" x14ac:dyDescent="0.2">
      <c r="A71" t="s">
        <v>202</v>
      </c>
      <c r="B71" t="s">
        <v>203</v>
      </c>
      <c r="C71">
        <v>1.53</v>
      </c>
      <c r="E71" s="33">
        <f t="shared" si="4"/>
        <v>7.7250008873685234E-3</v>
      </c>
      <c r="F71" s="38"/>
      <c r="G71" s="38"/>
    </row>
    <row r="72" spans="1:20" x14ac:dyDescent="0.2">
      <c r="A72" t="s">
        <v>208</v>
      </c>
      <c r="B72" t="s">
        <v>209</v>
      </c>
      <c r="C72">
        <v>1.53</v>
      </c>
      <c r="E72" s="33">
        <f t="shared" si="4"/>
        <v>7.7250008873685234E-3</v>
      </c>
      <c r="F72" s="38"/>
      <c r="G72" s="38"/>
    </row>
    <row r="73" spans="1:20" x14ac:dyDescent="0.2">
      <c r="A73" t="s">
        <v>212</v>
      </c>
      <c r="B73" t="s">
        <v>213</v>
      </c>
      <c r="C73">
        <v>1.53</v>
      </c>
      <c r="E73" s="33">
        <f t="shared" si="4"/>
        <v>7.7250008873685234E-3</v>
      </c>
      <c r="F73" s="38"/>
      <c r="G73" s="38"/>
    </row>
    <row r="74" spans="1:20" x14ac:dyDescent="0.2">
      <c r="A74" t="s">
        <v>214</v>
      </c>
      <c r="B74" t="s">
        <v>215</v>
      </c>
      <c r="C74">
        <v>1.53</v>
      </c>
      <c r="E74" s="33">
        <f t="shared" si="4"/>
        <v>7.7250008873685234E-3</v>
      </c>
      <c r="F74" s="38"/>
      <c r="G74" s="38"/>
    </row>
    <row r="75" spans="1:20" x14ac:dyDescent="0.2">
      <c r="A75" t="s">
        <v>216</v>
      </c>
      <c r="B75" t="s">
        <v>217</v>
      </c>
      <c r="C75">
        <v>1.53</v>
      </c>
      <c r="E75" s="33">
        <f t="shared" si="4"/>
        <v>7.7250008873685234E-3</v>
      </c>
      <c r="F75" s="38"/>
      <c r="G75" s="38"/>
    </row>
    <row r="76" spans="1:20" x14ac:dyDescent="0.2">
      <c r="A76" t="s">
        <v>134</v>
      </c>
      <c r="B76" t="s">
        <v>135</v>
      </c>
      <c r="C76">
        <v>1.53</v>
      </c>
      <c r="E76" s="33">
        <f t="shared" si="4"/>
        <v>7.7250008873685234E-3</v>
      </c>
      <c r="F76" s="38"/>
      <c r="G76" s="38"/>
    </row>
    <row r="77" spans="1:20" x14ac:dyDescent="0.2">
      <c r="A77" t="s">
        <v>136</v>
      </c>
      <c r="B77" t="s">
        <v>137</v>
      </c>
      <c r="C77">
        <v>1.53</v>
      </c>
      <c r="E77" s="33">
        <f t="shared" si="4"/>
        <v>7.7250008873685234E-3</v>
      </c>
      <c r="F77" s="38"/>
      <c r="G77" s="38"/>
    </row>
    <row r="78" spans="1:20" ht="14" customHeight="1" x14ac:dyDescent="0.2">
      <c r="A78" s="6" t="s">
        <v>138</v>
      </c>
      <c r="B78" s="6" t="s">
        <v>139</v>
      </c>
      <c r="C78">
        <v>1.53</v>
      </c>
      <c r="E78" s="33">
        <f t="shared" si="4"/>
        <v>7.7250008873685234E-3</v>
      </c>
      <c r="F78" s="39"/>
      <c r="G78" s="38"/>
      <c r="J78" t="s">
        <v>142</v>
      </c>
      <c r="K78" t="s">
        <v>143</v>
      </c>
      <c r="O78" s="30">
        <v>-35.540309243043502</v>
      </c>
    </row>
    <row r="79" spans="1:20" x14ac:dyDescent="0.2">
      <c r="D79" t="s">
        <v>38</v>
      </c>
      <c r="F79" s="38"/>
      <c r="G79" s="38"/>
      <c r="J79" t="s">
        <v>148</v>
      </c>
      <c r="K79" t="s">
        <v>149</v>
      </c>
      <c r="O79" s="30">
        <v>39.9969035331481</v>
      </c>
    </row>
    <row r="80" spans="1:20" x14ac:dyDescent="0.2">
      <c r="F80" s="38"/>
      <c r="G80" s="38"/>
      <c r="J80" t="s">
        <v>182</v>
      </c>
      <c r="K80" t="s">
        <v>183</v>
      </c>
      <c r="O80" s="30">
        <v>40</v>
      </c>
    </row>
    <row r="81" spans="6:15" x14ac:dyDescent="0.2">
      <c r="F81" s="38"/>
      <c r="G81" s="38"/>
      <c r="J81" t="s">
        <v>146</v>
      </c>
      <c r="K81" t="s">
        <v>147</v>
      </c>
      <c r="O81" s="30">
        <v>40</v>
      </c>
    </row>
    <row r="82" spans="6:15" x14ac:dyDescent="0.2">
      <c r="F82" s="38"/>
      <c r="G82" s="38"/>
      <c r="J82" t="s">
        <v>152</v>
      </c>
      <c r="K82" t="s">
        <v>153</v>
      </c>
      <c r="O82" s="30">
        <v>0.48459526854964802</v>
      </c>
    </row>
    <row r="83" spans="6:15" ht="14" customHeight="1" x14ac:dyDescent="0.2">
      <c r="F83" s="38"/>
      <c r="G83" s="38"/>
    </row>
    <row r="84" spans="6:15" ht="14" customHeight="1" x14ac:dyDescent="0.2">
      <c r="F84" s="38"/>
      <c r="G84" s="38"/>
    </row>
    <row r="85" spans="6:15" x14ac:dyDescent="0.2">
      <c r="F85" s="38"/>
      <c r="G85" s="38"/>
    </row>
    <row r="86" spans="6:15" x14ac:dyDescent="0.2">
      <c r="F86" s="38"/>
      <c r="G86" s="38"/>
    </row>
    <row r="87" spans="6:15" x14ac:dyDescent="0.2">
      <c r="F87" s="38"/>
      <c r="G87" s="38"/>
    </row>
    <row r="88" spans="6:15" x14ac:dyDescent="0.2">
      <c r="F88" s="38"/>
      <c r="G88" s="38"/>
    </row>
    <row r="89" spans="6:15" x14ac:dyDescent="0.2">
      <c r="F89" s="38"/>
      <c r="G89" s="38"/>
    </row>
    <row r="90" spans="6:15" x14ac:dyDescent="0.2">
      <c r="F90" s="38"/>
      <c r="G90" s="38"/>
    </row>
    <row r="91" spans="6:15" x14ac:dyDescent="0.2">
      <c r="F91" s="38"/>
      <c r="G91" s="38"/>
    </row>
  </sheetData>
  <hyperlinks>
    <hyperlink ref="I2" r:id="rId1" tooltip="Persistent link using digital object identifier" xr:uid="{1D026AD2-648D-1649-B167-CE0E625B3D7C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2DD1B-42BF-FE4B-A90C-7FFCDE3CF591}">
  <dimension ref="A1:D77"/>
  <sheetViews>
    <sheetView zoomScale="75" workbookViewId="0">
      <selection activeCell="C71" sqref="C71:C77"/>
    </sheetView>
  </sheetViews>
  <sheetFormatPr baseColWidth="10" defaultRowHeight="16" x14ac:dyDescent="0.2"/>
  <cols>
    <col min="1" max="1" width="43.83203125" style="45" bestFit="1" customWidth="1"/>
    <col min="2" max="2" width="10.83203125" style="46"/>
    <col min="3" max="3" width="12.83203125" style="44" customWidth="1"/>
  </cols>
  <sheetData>
    <row r="1" spans="1:4" x14ac:dyDescent="0.2">
      <c r="A1" s="45" t="s">
        <v>237</v>
      </c>
      <c r="B1" s="46" t="s">
        <v>236</v>
      </c>
      <c r="C1" s="44" t="s">
        <v>244</v>
      </c>
    </row>
    <row r="2" spans="1:4" x14ac:dyDescent="0.2">
      <c r="A2" s="44" t="s">
        <v>142</v>
      </c>
      <c r="B2" s="44" t="s">
        <v>143</v>
      </c>
      <c r="C2" s="53">
        <v>-35.540309243043502</v>
      </c>
    </row>
    <row r="3" spans="1:4" x14ac:dyDescent="0.2">
      <c r="A3" s="45" t="s">
        <v>144</v>
      </c>
      <c r="B3" s="46" t="s">
        <v>145</v>
      </c>
      <c r="C3" s="53">
        <v>-40.0067101555669</v>
      </c>
    </row>
    <row r="4" spans="1:4" x14ac:dyDescent="0.2">
      <c r="A4" s="45" t="s">
        <v>160</v>
      </c>
      <c r="B4" s="46" t="s">
        <v>161</v>
      </c>
      <c r="C4" s="53">
        <v>-1.6005720070514502E-2</v>
      </c>
      <c r="D4" s="31"/>
    </row>
    <row r="5" spans="1:4" x14ac:dyDescent="0.2">
      <c r="A5" s="45" t="s">
        <v>162</v>
      </c>
      <c r="B5" s="46" t="s">
        <v>163</v>
      </c>
      <c r="C5" s="53">
        <v>-1.99944479694797E-2</v>
      </c>
    </row>
    <row r="6" spans="1:4" x14ac:dyDescent="0.2">
      <c r="A6" s="44" t="s">
        <v>146</v>
      </c>
      <c r="B6" s="44" t="s">
        <v>147</v>
      </c>
      <c r="C6" s="53">
        <v>40</v>
      </c>
    </row>
    <row r="7" spans="1:4" x14ac:dyDescent="0.2">
      <c r="A7" s="44" t="s">
        <v>148</v>
      </c>
      <c r="B7" s="44" t="s">
        <v>149</v>
      </c>
      <c r="C7" s="53">
        <v>39.9969035331481</v>
      </c>
    </row>
    <row r="8" spans="1:4" x14ac:dyDescent="0.2">
      <c r="A8" s="45" t="s">
        <v>150</v>
      </c>
      <c r="B8" s="46" t="s">
        <v>151</v>
      </c>
      <c r="C8" s="53">
        <v>-2.1263139470245E-2</v>
      </c>
    </row>
    <row r="9" spans="1:4" x14ac:dyDescent="0.2">
      <c r="A9" s="44" t="s">
        <v>152</v>
      </c>
      <c r="B9" s="44" t="s">
        <v>153</v>
      </c>
      <c r="C9" s="53">
        <v>0.48459526854964802</v>
      </c>
    </row>
    <row r="10" spans="1:4" x14ac:dyDescent="0.2">
      <c r="A10" s="45" t="s">
        <v>154</v>
      </c>
      <c r="B10" s="46" t="s">
        <v>155</v>
      </c>
      <c r="C10" s="53">
        <v>-2.23938937333907E-2</v>
      </c>
    </row>
    <row r="11" spans="1:4" x14ac:dyDescent="0.2">
      <c r="A11" s="45" t="s">
        <v>156</v>
      </c>
      <c r="B11" s="46" t="s">
        <v>157</v>
      </c>
      <c r="C11" s="53">
        <v>-2.1915835771984201E-3</v>
      </c>
    </row>
    <row r="12" spans="1:4" x14ac:dyDescent="0.2">
      <c r="A12" s="45" t="s">
        <v>158</v>
      </c>
      <c r="B12" s="46" t="s">
        <v>159</v>
      </c>
      <c r="C12" s="53">
        <v>-5.8205395039436503E-3</v>
      </c>
    </row>
    <row r="13" spans="1:4" x14ac:dyDescent="0.2">
      <c r="A13" s="45" t="s">
        <v>74</v>
      </c>
      <c r="B13" s="46" t="s">
        <v>109</v>
      </c>
      <c r="C13" s="53">
        <v>-2.1826944341895201E-3</v>
      </c>
    </row>
    <row r="14" spans="1:4" x14ac:dyDescent="0.2">
      <c r="A14" s="45" t="s">
        <v>164</v>
      </c>
      <c r="B14" s="46" t="s">
        <v>165</v>
      </c>
      <c r="C14" s="53">
        <v>-1.13829786892071E-2</v>
      </c>
    </row>
    <row r="15" spans="1:4" x14ac:dyDescent="0.2">
      <c r="A15" s="45" t="s">
        <v>124</v>
      </c>
      <c r="B15" s="46" t="s">
        <v>125</v>
      </c>
      <c r="C15" s="53">
        <v>-1.10320203128939E-4</v>
      </c>
    </row>
    <row r="16" spans="1:4" x14ac:dyDescent="0.2">
      <c r="A16" s="45" t="s">
        <v>76</v>
      </c>
      <c r="B16" s="46" t="s">
        <v>113</v>
      </c>
      <c r="C16" s="53">
        <v>-7.8142216664729995E-4</v>
      </c>
    </row>
    <row r="17" spans="1:3" x14ac:dyDescent="0.2">
      <c r="A17" s="45" t="s">
        <v>166</v>
      </c>
      <c r="B17" s="46" t="s">
        <v>167</v>
      </c>
      <c r="C17" s="53">
        <v>-1.54083589494139E-4</v>
      </c>
    </row>
    <row r="18" spans="1:3" x14ac:dyDescent="0.2">
      <c r="A18" s="45" t="s">
        <v>69</v>
      </c>
      <c r="B18" s="46" t="s">
        <v>95</v>
      </c>
      <c r="C18" s="53">
        <v>-1.5233440802239E-3</v>
      </c>
    </row>
    <row r="19" spans="1:3" x14ac:dyDescent="0.2">
      <c r="A19" s="45" t="s">
        <v>168</v>
      </c>
      <c r="B19" s="46" t="s">
        <v>169</v>
      </c>
      <c r="C19" s="53">
        <v>-1.04118940458121E-2</v>
      </c>
    </row>
    <row r="20" spans="1:3" x14ac:dyDescent="0.2">
      <c r="A20" s="45" t="s">
        <v>80</v>
      </c>
      <c r="B20" s="46" t="s">
        <v>105</v>
      </c>
      <c r="C20" s="53">
        <v>-1.4702877057923701E-3</v>
      </c>
    </row>
    <row r="21" spans="1:3" x14ac:dyDescent="0.2">
      <c r="A21" s="45" t="s">
        <v>72</v>
      </c>
      <c r="B21" s="46" t="s">
        <v>110</v>
      </c>
      <c r="C21" s="53">
        <v>-1.72241021243958E-3</v>
      </c>
    </row>
    <row r="22" spans="1:3" x14ac:dyDescent="0.2">
      <c r="A22" s="45" t="s">
        <v>170</v>
      </c>
      <c r="B22" s="46" t="s">
        <v>171</v>
      </c>
      <c r="C22" s="53">
        <v>-3.4226732700550302E-3</v>
      </c>
    </row>
    <row r="23" spans="1:3" x14ac:dyDescent="0.2">
      <c r="A23" s="45" t="s">
        <v>172</v>
      </c>
      <c r="B23" s="46" t="s">
        <v>173</v>
      </c>
      <c r="C23" s="53">
        <v>-3.3652306708399399E-4</v>
      </c>
    </row>
    <row r="24" spans="1:3" x14ac:dyDescent="0.2">
      <c r="A24" s="45" t="s">
        <v>70</v>
      </c>
      <c r="B24" s="46" t="s">
        <v>106</v>
      </c>
      <c r="C24" s="53">
        <v>-3.5260125295576302E-3</v>
      </c>
    </row>
    <row r="25" spans="1:3" x14ac:dyDescent="0.2">
      <c r="A25" s="45" t="s">
        <v>174</v>
      </c>
      <c r="B25" s="46" t="s">
        <v>175</v>
      </c>
      <c r="C25" s="53">
        <v>-8.8711045529530509E-3</v>
      </c>
    </row>
    <row r="26" spans="1:3" x14ac:dyDescent="0.2">
      <c r="A26" s="45" t="s">
        <v>75</v>
      </c>
      <c r="B26" s="46" t="s">
        <v>107</v>
      </c>
      <c r="C26" s="53">
        <v>-1.7595398407981399E-3</v>
      </c>
    </row>
    <row r="27" spans="1:3" x14ac:dyDescent="0.2">
      <c r="A27" s="45" t="s">
        <v>84</v>
      </c>
      <c r="B27" s="46" t="s">
        <v>111</v>
      </c>
      <c r="C27" s="53">
        <v>-1.2266547483960901E-3</v>
      </c>
    </row>
    <row r="28" spans="1:3" x14ac:dyDescent="0.2">
      <c r="A28" s="45" t="s">
        <v>176</v>
      </c>
      <c r="B28" s="46" t="s">
        <v>177</v>
      </c>
      <c r="C28" s="53">
        <v>-6.5356346558141099E-3</v>
      </c>
    </row>
    <row r="29" spans="1:3" x14ac:dyDescent="0.2">
      <c r="A29" s="45" t="s">
        <v>178</v>
      </c>
      <c r="B29" s="46" t="s">
        <v>179</v>
      </c>
      <c r="C29" s="53">
        <v>-1.4474740040289601E-4</v>
      </c>
    </row>
    <row r="30" spans="1:3" x14ac:dyDescent="0.2">
      <c r="A30" s="45" t="s">
        <v>81</v>
      </c>
      <c r="B30" s="46" t="s">
        <v>99</v>
      </c>
      <c r="C30" s="53">
        <v>-9.6216480968755805E-4</v>
      </c>
    </row>
    <row r="31" spans="1:3" x14ac:dyDescent="0.2">
      <c r="A31" s="45" t="s">
        <v>180</v>
      </c>
      <c r="B31" s="46" t="s">
        <v>181</v>
      </c>
      <c r="C31" s="53">
        <v>-6.1106451012060197E-3</v>
      </c>
    </row>
    <row r="32" spans="1:3" x14ac:dyDescent="0.2">
      <c r="A32" s="45" t="s">
        <v>126</v>
      </c>
      <c r="B32" s="46" t="s">
        <v>127</v>
      </c>
      <c r="C32" s="53">
        <v>-5.8351181820265499E-5</v>
      </c>
    </row>
    <row r="33" spans="1:3" x14ac:dyDescent="0.2">
      <c r="A33" s="45" t="s">
        <v>86</v>
      </c>
      <c r="B33" s="46" t="s">
        <v>103</v>
      </c>
      <c r="C33" s="53">
        <v>-1.04942497816035E-3</v>
      </c>
    </row>
    <row r="34" spans="1:3" x14ac:dyDescent="0.2">
      <c r="A34" s="45" t="s">
        <v>82</v>
      </c>
      <c r="B34" s="46" t="s">
        <v>101</v>
      </c>
      <c r="C34" s="53">
        <v>-1.79121721159256E-3</v>
      </c>
    </row>
    <row r="35" spans="1:3" x14ac:dyDescent="0.2">
      <c r="A35" s="44" t="s">
        <v>182</v>
      </c>
      <c r="B35" s="44" t="s">
        <v>183</v>
      </c>
      <c r="C35" s="53">
        <v>40</v>
      </c>
    </row>
    <row r="36" spans="1:3" ht="17" customHeight="1" x14ac:dyDescent="0.2">
      <c r="A36" s="45" t="s">
        <v>87</v>
      </c>
      <c r="B36" s="46" t="s">
        <v>102</v>
      </c>
      <c r="C36" s="53">
        <v>-1.5165356483313199E-3</v>
      </c>
    </row>
    <row r="37" spans="1:3" x14ac:dyDescent="0.2">
      <c r="A37" s="45" t="s">
        <v>73</v>
      </c>
      <c r="B37" s="46" t="s">
        <v>100</v>
      </c>
      <c r="C37" s="53">
        <v>-1.40460530897106E-4</v>
      </c>
    </row>
    <row r="38" spans="1:3" x14ac:dyDescent="0.2">
      <c r="A38" s="45" t="s">
        <v>184</v>
      </c>
      <c r="B38" s="46" t="s">
        <v>185</v>
      </c>
      <c r="C38" s="53">
        <v>-7.1722953562218398E-3</v>
      </c>
    </row>
    <row r="39" spans="1:3" x14ac:dyDescent="0.2">
      <c r="A39" s="45" t="s">
        <v>128</v>
      </c>
      <c r="B39" s="46" t="s">
        <v>129</v>
      </c>
      <c r="C39" s="54">
        <v>-4.4675123581140799E-5</v>
      </c>
    </row>
    <row r="40" spans="1:3" x14ac:dyDescent="0.2">
      <c r="A40" s="45" t="s">
        <v>79</v>
      </c>
      <c r="B40" s="46" t="s">
        <v>97</v>
      </c>
      <c r="C40" s="53">
        <v>-3.5433982376769598E-3</v>
      </c>
    </row>
    <row r="41" spans="1:3" x14ac:dyDescent="0.2">
      <c r="A41" s="45" t="s">
        <v>186</v>
      </c>
      <c r="B41" s="46" t="s">
        <v>187</v>
      </c>
      <c r="C41" s="53">
        <v>-2.7798346851664098E-3</v>
      </c>
    </row>
    <row r="42" spans="1:3" x14ac:dyDescent="0.2">
      <c r="A42" s="45" t="s">
        <v>188</v>
      </c>
      <c r="B42" s="46" t="s">
        <v>189</v>
      </c>
      <c r="C42" s="53">
        <v>-9.5899999999999999E-2</v>
      </c>
    </row>
    <row r="43" spans="1:3" x14ac:dyDescent="0.2">
      <c r="A43" s="45" t="s">
        <v>77</v>
      </c>
      <c r="B43" s="46" t="s">
        <v>104</v>
      </c>
      <c r="C43" s="53">
        <v>-9.9853288493128006E-4</v>
      </c>
    </row>
    <row r="44" spans="1:3" x14ac:dyDescent="0.2">
      <c r="A44" s="45" t="s">
        <v>83</v>
      </c>
      <c r="B44" s="46" t="s">
        <v>94</v>
      </c>
      <c r="C44" s="53">
        <v>-1.1461991534717599E-3</v>
      </c>
    </row>
    <row r="45" spans="1:3" x14ac:dyDescent="0.2">
      <c r="A45" s="45" t="s">
        <v>71</v>
      </c>
      <c r="B45" s="46" t="s">
        <v>108</v>
      </c>
      <c r="C45" s="53">
        <v>-1.0078801683463901E-3</v>
      </c>
    </row>
    <row r="46" spans="1:3" x14ac:dyDescent="0.2">
      <c r="A46" s="45" t="s">
        <v>190</v>
      </c>
      <c r="B46" s="46" t="s">
        <v>191</v>
      </c>
      <c r="C46" s="53">
        <v>-1.26950289947715E-4</v>
      </c>
    </row>
    <row r="47" spans="1:3" x14ac:dyDescent="0.2">
      <c r="A47" s="45" t="s">
        <v>88</v>
      </c>
      <c r="B47" s="46" t="s">
        <v>96</v>
      </c>
      <c r="C47" s="53">
        <v>-1.7564528757330899E-3</v>
      </c>
    </row>
    <row r="48" spans="1:3" x14ac:dyDescent="0.2">
      <c r="A48" s="45" t="s">
        <v>85</v>
      </c>
      <c r="B48" s="46" t="s">
        <v>112</v>
      </c>
      <c r="C48" s="53">
        <v>-9.8128843381933796E-4</v>
      </c>
    </row>
    <row r="49" spans="1:3" x14ac:dyDescent="0.2">
      <c r="A49" s="45" t="s">
        <v>130</v>
      </c>
      <c r="B49" s="46" t="s">
        <v>131</v>
      </c>
      <c r="C49" s="54">
        <v>-9.1019384177029802E-2</v>
      </c>
    </row>
    <row r="50" spans="1:3" x14ac:dyDescent="0.2">
      <c r="A50" s="45" t="s">
        <v>192</v>
      </c>
      <c r="B50" s="46" t="s">
        <v>193</v>
      </c>
      <c r="C50" s="53">
        <v>-8.1069262754210406E-3</v>
      </c>
    </row>
    <row r="51" spans="1:3" x14ac:dyDescent="0.2">
      <c r="A51" s="45" t="s">
        <v>194</v>
      </c>
      <c r="B51" s="46" t="s">
        <v>195</v>
      </c>
      <c r="C51" s="53">
        <v>-5.5470092217889902E-5</v>
      </c>
    </row>
    <row r="52" spans="1:3" x14ac:dyDescent="0.2">
      <c r="A52" s="45" t="s">
        <v>196</v>
      </c>
      <c r="B52" s="46" t="s">
        <v>197</v>
      </c>
      <c r="C52" s="53">
        <v>-5.1671608288964598E-3</v>
      </c>
    </row>
    <row r="53" spans="1:3" x14ac:dyDescent="0.2">
      <c r="A53" s="45" t="s">
        <v>204</v>
      </c>
      <c r="B53" s="46" t="s">
        <v>199</v>
      </c>
      <c r="C53" s="53">
        <v>-3.5190366769655701E-3</v>
      </c>
    </row>
    <row r="54" spans="1:3" x14ac:dyDescent="0.2">
      <c r="A54" s="45" t="s">
        <v>132</v>
      </c>
      <c r="B54" s="46" t="s">
        <v>133</v>
      </c>
      <c r="C54" s="53">
        <v>-2.1006425455295599E-5</v>
      </c>
    </row>
    <row r="55" spans="1:3" x14ac:dyDescent="0.2">
      <c r="A55" s="45" t="s">
        <v>200</v>
      </c>
      <c r="B55" s="46" t="s">
        <v>201</v>
      </c>
      <c r="C55" s="53">
        <v>-9.5899999999999999E-2</v>
      </c>
    </row>
    <row r="56" spans="1:3" x14ac:dyDescent="0.2">
      <c r="A56" s="45" t="s">
        <v>78</v>
      </c>
      <c r="B56" s="46" t="s">
        <v>98</v>
      </c>
      <c r="C56" s="53">
        <v>-1.5492774982750401E-3</v>
      </c>
    </row>
    <row r="57" spans="1:3" x14ac:dyDescent="0.2">
      <c r="A57" s="45" t="s">
        <v>202</v>
      </c>
      <c r="B57" s="46" t="s">
        <v>203</v>
      </c>
      <c r="C57" s="53">
        <v>-7.6332919061674696E-3</v>
      </c>
    </row>
    <row r="58" spans="1:3" x14ac:dyDescent="0.2">
      <c r="A58" s="45" t="s">
        <v>198</v>
      </c>
      <c r="B58" s="46" t="s">
        <v>205</v>
      </c>
      <c r="C58" s="53">
        <v>-4.15218624854865E-3</v>
      </c>
    </row>
    <row r="59" spans="1:3" x14ac:dyDescent="0.2">
      <c r="A59" s="45" t="s">
        <v>206</v>
      </c>
      <c r="B59" s="46" t="s">
        <v>207</v>
      </c>
      <c r="C59" s="53">
        <v>-2.6780609123879702E-3</v>
      </c>
    </row>
    <row r="60" spans="1:3" x14ac:dyDescent="0.2">
      <c r="A60" s="45" t="s">
        <v>208</v>
      </c>
      <c r="B60" s="46" t="s">
        <v>209</v>
      </c>
      <c r="C60" s="53">
        <v>-2.65243302892041E-2</v>
      </c>
    </row>
    <row r="61" spans="1:3" x14ac:dyDescent="0.2">
      <c r="A61" s="45" t="s">
        <v>134</v>
      </c>
      <c r="B61" s="46" t="s">
        <v>135</v>
      </c>
      <c r="C61" s="44">
        <v>7.7962153714819797E-4</v>
      </c>
    </row>
    <row r="62" spans="1:3" x14ac:dyDescent="0.2">
      <c r="A62" s="45" t="s">
        <v>210</v>
      </c>
      <c r="B62" s="46" t="s">
        <v>211</v>
      </c>
      <c r="C62" s="44">
        <v>-5.6974257114818403E-3</v>
      </c>
    </row>
    <row r="63" spans="1:3" x14ac:dyDescent="0.2">
      <c r="A63" s="45" t="s">
        <v>136</v>
      </c>
      <c r="B63" s="46" t="s">
        <v>137</v>
      </c>
      <c r="C63" s="44">
        <v>3.1837543947496202E-2</v>
      </c>
    </row>
    <row r="64" spans="1:3" x14ac:dyDescent="0.2">
      <c r="A64" s="45" t="s">
        <v>212</v>
      </c>
      <c r="B64" s="46" t="s">
        <v>213</v>
      </c>
      <c r="C64" s="44">
        <v>-1.1436831636772E-4</v>
      </c>
    </row>
    <row r="65" spans="1:3" x14ac:dyDescent="0.2">
      <c r="A65" s="45" t="s">
        <v>214</v>
      </c>
      <c r="B65" s="46" t="s">
        <v>215</v>
      </c>
      <c r="C65" s="44">
        <v>-1.1436831636772E-4</v>
      </c>
    </row>
    <row r="66" spans="1:3" x14ac:dyDescent="0.2">
      <c r="A66" s="44" t="s">
        <v>243</v>
      </c>
      <c r="B66" s="44" t="s">
        <v>242</v>
      </c>
      <c r="C66" s="44">
        <v>1</v>
      </c>
    </row>
    <row r="67" spans="1:3" x14ac:dyDescent="0.2">
      <c r="A67" s="45" t="s">
        <v>216</v>
      </c>
      <c r="B67" s="46" t="s">
        <v>217</v>
      </c>
      <c r="C67" s="44">
        <v>-3.8596791254657402E-3</v>
      </c>
    </row>
    <row r="68" spans="1:3" x14ac:dyDescent="0.2">
      <c r="A68" s="48" t="s">
        <v>138</v>
      </c>
      <c r="B68" s="49" t="s">
        <v>139</v>
      </c>
      <c r="C68" s="44">
        <v>3.8596791254657402E-3</v>
      </c>
    </row>
    <row r="69" spans="1:3" x14ac:dyDescent="0.2">
      <c r="A69" s="48" t="s">
        <v>140</v>
      </c>
      <c r="B69" s="49" t="s">
        <v>141</v>
      </c>
      <c r="C69" s="44">
        <v>-1.8033806189116701E-2</v>
      </c>
    </row>
    <row r="70" spans="1:3" x14ac:dyDescent="0.2">
      <c r="A70" s="45" t="s">
        <v>122</v>
      </c>
      <c r="B70" s="46" t="s">
        <v>121</v>
      </c>
      <c r="C70" s="44">
        <v>-0.116095425711482</v>
      </c>
    </row>
    <row r="71" spans="1:3" x14ac:dyDescent="0.2">
      <c r="A71" s="45" t="s">
        <v>226</v>
      </c>
      <c r="B71" s="47" t="s">
        <v>219</v>
      </c>
      <c r="C71" s="44">
        <v>-1.0054469928503101E-2</v>
      </c>
    </row>
    <row r="72" spans="1:3" x14ac:dyDescent="0.2">
      <c r="A72" s="45" t="s">
        <v>227</v>
      </c>
      <c r="B72" s="47" t="s">
        <v>220</v>
      </c>
      <c r="C72" s="44">
        <v>-1.0054469928503101E-2</v>
      </c>
    </row>
    <row r="73" spans="1:3" x14ac:dyDescent="0.2">
      <c r="A73" s="45" t="s">
        <v>228</v>
      </c>
      <c r="B73" s="47" t="s">
        <v>221</v>
      </c>
      <c r="C73" s="44">
        <v>-1.09096163081665E-2</v>
      </c>
    </row>
    <row r="74" spans="1:3" x14ac:dyDescent="0.2">
      <c r="A74" s="45" t="s">
        <v>229</v>
      </c>
      <c r="B74" s="47" t="s">
        <v>222</v>
      </c>
      <c r="C74" s="44">
        <v>-1.09096163081665E-2</v>
      </c>
    </row>
    <row r="75" spans="1:3" x14ac:dyDescent="0.2">
      <c r="A75" s="45" t="s">
        <v>230</v>
      </c>
      <c r="B75" s="47" t="s">
        <v>223</v>
      </c>
      <c r="C75" s="44">
        <v>-4.1569931224753498E-2</v>
      </c>
    </row>
    <row r="76" spans="1:3" x14ac:dyDescent="0.2">
      <c r="A76" s="45" t="s">
        <v>231</v>
      </c>
      <c r="B76" s="47" t="s">
        <v>224</v>
      </c>
      <c r="C76" s="44">
        <v>-3.8444636713662002E-2</v>
      </c>
    </row>
    <row r="77" spans="1:3" x14ac:dyDescent="0.2">
      <c r="A77" s="45" t="s">
        <v>232</v>
      </c>
      <c r="B77" s="47" t="s">
        <v>225</v>
      </c>
      <c r="C77" s="44">
        <v>-3.8444636713662002E-2</v>
      </c>
    </row>
  </sheetData>
  <sortState ref="A2:C77">
    <sortCondition ref="B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6E4E6-3E10-F34A-B188-D063B2B12512}">
  <dimension ref="A1:P93"/>
  <sheetViews>
    <sheetView tabSelected="1" topLeftCell="B1" workbookViewId="0">
      <selection activeCell="G14" sqref="G14"/>
    </sheetView>
  </sheetViews>
  <sheetFormatPr baseColWidth="10" defaultRowHeight="16" x14ac:dyDescent="0.2"/>
  <cols>
    <col min="3" max="3" width="24" customWidth="1"/>
    <col min="12" max="12" width="43.83203125" bestFit="1" customWidth="1"/>
  </cols>
  <sheetData>
    <row r="1" spans="1:16" x14ac:dyDescent="0.2">
      <c r="A1" s="1" t="s">
        <v>236</v>
      </c>
      <c r="B1" s="1" t="s">
        <v>237</v>
      </c>
      <c r="C1" s="1" t="s">
        <v>1</v>
      </c>
      <c r="D1" s="1" t="s">
        <v>2</v>
      </c>
      <c r="E1" s="1" t="s">
        <v>3</v>
      </c>
      <c r="F1" s="1" t="s">
        <v>4</v>
      </c>
      <c r="G1" s="42" t="s">
        <v>239</v>
      </c>
      <c r="H1" s="1" t="s">
        <v>5</v>
      </c>
      <c r="I1" s="42" t="s">
        <v>244</v>
      </c>
    </row>
    <row r="2" spans="1:16" x14ac:dyDescent="0.2">
      <c r="A2" t="s">
        <v>187</v>
      </c>
      <c r="B2" s="37" t="s">
        <v>186</v>
      </c>
      <c r="C2">
        <v>20.83</v>
      </c>
      <c r="D2">
        <v>488.19</v>
      </c>
      <c r="E2">
        <f>D2*(C2/100)</f>
        <v>101.689977</v>
      </c>
      <c r="F2">
        <f>E2/E$6 * 100</f>
        <v>21.011681036460573</v>
      </c>
      <c r="G2">
        <f>O$4*F2/100</f>
        <v>5.694165560880815E-3</v>
      </c>
      <c r="H2">
        <f>D2*G2/1000</f>
        <v>2.7798346851664051E-3</v>
      </c>
      <c r="I2">
        <f>H2*-1</f>
        <v>-2.7798346851664051E-3</v>
      </c>
      <c r="M2" t="s">
        <v>14</v>
      </c>
      <c r="N2" t="s">
        <v>15</v>
      </c>
    </row>
    <row r="3" spans="1:16" x14ac:dyDescent="0.2">
      <c r="A3" t="s">
        <v>199</v>
      </c>
      <c r="B3" s="37" t="s">
        <v>204</v>
      </c>
      <c r="C3">
        <v>29.17</v>
      </c>
      <c r="D3">
        <v>464.15999999999997</v>
      </c>
      <c r="E3">
        <f>D3*(C3/100)</f>
        <v>135.39547199999998</v>
      </c>
      <c r="F3">
        <f t="shared" ref="F3:F5" si="0">E3/E$6 * 100</f>
        <v>27.976075473446393</v>
      </c>
      <c r="G3">
        <f t="shared" ref="G3:G5" si="1">O$4*F3/100</f>
        <v>7.5815164533039724E-3</v>
      </c>
      <c r="H3">
        <f t="shared" ref="H3:H5" si="2">D3*G3/1000</f>
        <v>3.5190366769655714E-3</v>
      </c>
      <c r="I3">
        <f t="shared" ref="I3:I66" si="3">H3*-1</f>
        <v>-3.5190366769655714E-3</v>
      </c>
      <c r="M3" t="s">
        <v>16</v>
      </c>
      <c r="N3">
        <v>22.9</v>
      </c>
      <c r="O3">
        <f>N3/100</f>
        <v>0.22899999999999998</v>
      </c>
    </row>
    <row r="4" spans="1:16" x14ac:dyDescent="0.2">
      <c r="A4" t="s">
        <v>205</v>
      </c>
      <c r="B4" s="37" t="s">
        <v>198</v>
      </c>
      <c r="C4">
        <v>29.17</v>
      </c>
      <c r="D4">
        <v>504.18999999999994</v>
      </c>
      <c r="E4">
        <f t="shared" ref="E4:E5" si="4">D4*(C4/100)</f>
        <v>147.07222299999998</v>
      </c>
      <c r="F4">
        <f t="shared" si="0"/>
        <v>30.388782947597676</v>
      </c>
      <c r="G4">
        <f t="shared" si="1"/>
        <v>8.2353601787989693E-3</v>
      </c>
      <c r="H4">
        <f t="shared" si="2"/>
        <v>4.1521862485486526E-3</v>
      </c>
      <c r="I4">
        <f t="shared" si="3"/>
        <v>-4.1521862485486526E-3</v>
      </c>
      <c r="M4" t="s">
        <v>0</v>
      </c>
      <c r="N4">
        <v>2.71</v>
      </c>
      <c r="O4">
        <f t="shared" ref="O4:O7" si="5">N4/100</f>
        <v>2.7099999999999999E-2</v>
      </c>
    </row>
    <row r="5" spans="1:16" x14ac:dyDescent="0.2">
      <c r="A5" t="s">
        <v>207</v>
      </c>
      <c r="B5" s="37" t="s">
        <v>206</v>
      </c>
      <c r="C5">
        <v>20.83</v>
      </c>
      <c r="D5">
        <v>479.16999999999996</v>
      </c>
      <c r="E5">
        <f t="shared" si="4"/>
        <v>99.811110999999983</v>
      </c>
      <c r="F5">
        <f t="shared" si="0"/>
        <v>20.623460542495362</v>
      </c>
      <c r="G5">
        <f t="shared" si="1"/>
        <v>5.5889578070162423E-3</v>
      </c>
      <c r="H5">
        <f t="shared" si="2"/>
        <v>2.6780609123879728E-3</v>
      </c>
      <c r="I5">
        <f t="shared" si="3"/>
        <v>-2.6780609123879728E-3</v>
      </c>
      <c r="M5" t="s">
        <v>17</v>
      </c>
      <c r="N5">
        <v>6.45</v>
      </c>
      <c r="O5">
        <f t="shared" si="5"/>
        <v>6.4500000000000002E-2</v>
      </c>
    </row>
    <row r="6" spans="1:16" x14ac:dyDescent="0.2">
      <c r="D6" t="s">
        <v>10</v>
      </c>
      <c r="E6">
        <f>SUM(E2:E5)</f>
        <v>483.96878299999992</v>
      </c>
      <c r="F6" s="31"/>
      <c r="H6" s="31"/>
      <c r="M6" t="s">
        <v>18</v>
      </c>
      <c r="N6">
        <v>3.4</v>
      </c>
      <c r="O6">
        <f t="shared" si="5"/>
        <v>3.4000000000000002E-2</v>
      </c>
    </row>
    <row r="7" spans="1:16" x14ac:dyDescent="0.2">
      <c r="M7" t="s">
        <v>21</v>
      </c>
      <c r="N7">
        <v>14</v>
      </c>
      <c r="O7">
        <f t="shared" si="5"/>
        <v>0.14000000000000001</v>
      </c>
    </row>
    <row r="8" spans="1:16" x14ac:dyDescent="0.2">
      <c r="A8" t="s">
        <v>145</v>
      </c>
      <c r="B8" s="2" t="s">
        <v>144</v>
      </c>
      <c r="C8">
        <v>20.3444061386618</v>
      </c>
      <c r="D8">
        <v>504.18999999999994</v>
      </c>
      <c r="E8">
        <f>D8*(C8/100)</f>
        <v>102.57446131051891</v>
      </c>
      <c r="F8">
        <f>E8/E$12 * 100</f>
        <v>20.633772911210993</v>
      </c>
      <c r="G8">
        <f>O$5*F8/100</f>
        <v>1.3308783527731093E-2</v>
      </c>
      <c r="H8">
        <f>D8*G8/1000</f>
        <v>6.7101555668467386E-3</v>
      </c>
      <c r="I8" s="52">
        <f t="shared" si="3"/>
        <v>-6.7101555668467386E-3</v>
      </c>
      <c r="J8">
        <f>I8-40</f>
        <v>-40.00671015556685</v>
      </c>
      <c r="M8" t="s">
        <v>240</v>
      </c>
      <c r="N8">
        <v>2.2799999999999998</v>
      </c>
      <c r="O8">
        <f>N8/100</f>
        <v>2.2799999999999997E-2</v>
      </c>
    </row>
    <row r="9" spans="1:16" x14ac:dyDescent="0.2">
      <c r="A9" t="s">
        <v>175</v>
      </c>
      <c r="B9" s="2" t="s">
        <v>174</v>
      </c>
      <c r="C9">
        <v>29.655593861338097</v>
      </c>
      <c r="D9">
        <v>480.15999999999997</v>
      </c>
      <c r="E9">
        <f>D9*(C9/100)</f>
        <v>142.39429948460099</v>
      </c>
      <c r="F9">
        <f t="shared" ref="F9:F11" si="6">E9/E$12 * 100</f>
        <v>28.643890515025529</v>
      </c>
      <c r="G9">
        <f t="shared" ref="G9:G11" si="7">O$5*F9/100</f>
        <v>1.8475309382191468E-2</v>
      </c>
      <c r="H9">
        <f t="shared" ref="H9:H11" si="8">D9*G9/1000</f>
        <v>8.8711045529530543E-3</v>
      </c>
      <c r="I9">
        <f t="shared" si="3"/>
        <v>-8.8711045529530543E-3</v>
      </c>
      <c r="M9" t="s">
        <v>238</v>
      </c>
      <c r="N9">
        <f>N10-(SUM(N3:N8))</f>
        <v>48.26</v>
      </c>
      <c r="O9">
        <f>N9/100</f>
        <v>0.48259999999999997</v>
      </c>
      <c r="P9" t="s">
        <v>241</v>
      </c>
    </row>
    <row r="10" spans="1:16" x14ac:dyDescent="0.2">
      <c r="A10" t="s">
        <v>169</v>
      </c>
      <c r="B10" s="2" t="s">
        <v>168</v>
      </c>
      <c r="C10">
        <v>29.655593861338097</v>
      </c>
      <c r="D10">
        <v>520.18999999999994</v>
      </c>
      <c r="E10">
        <f>D10*(C10/100)</f>
        <v>154.26543370729462</v>
      </c>
      <c r="F10">
        <f t="shared" si="6"/>
        <v>31.031875639393387</v>
      </c>
      <c r="G10">
        <f t="shared" si="7"/>
        <v>2.0015559787408734E-2</v>
      </c>
      <c r="H10">
        <f t="shared" si="8"/>
        <v>1.0411894045812149E-2</v>
      </c>
      <c r="I10">
        <f t="shared" si="3"/>
        <v>-1.0411894045812149E-2</v>
      </c>
      <c r="M10" t="s">
        <v>10</v>
      </c>
      <c r="N10">
        <v>100</v>
      </c>
    </row>
    <row r="11" spans="1:16" x14ac:dyDescent="0.2">
      <c r="A11" t="s">
        <v>181</v>
      </c>
      <c r="B11" s="2" t="s">
        <v>180</v>
      </c>
      <c r="C11">
        <v>20.3444061386618</v>
      </c>
      <c r="D11">
        <v>481.14</v>
      </c>
      <c r="E11">
        <f>D11*(C11/100)</f>
        <v>97.885075695557376</v>
      </c>
      <c r="F11">
        <f t="shared" si="6"/>
        <v>19.690460934370098</v>
      </c>
      <c r="G11">
        <f t="shared" si="7"/>
        <v>1.2700347302668714E-2</v>
      </c>
      <c r="H11">
        <f t="shared" si="8"/>
        <v>6.1106451012060249E-3</v>
      </c>
      <c r="I11">
        <f t="shared" si="3"/>
        <v>-6.1106451012060249E-3</v>
      </c>
    </row>
    <row r="12" spans="1:16" x14ac:dyDescent="0.2">
      <c r="D12" t="s">
        <v>10</v>
      </c>
      <c r="E12">
        <f>SUM(E8:E11)</f>
        <v>497.1192701979719</v>
      </c>
    </row>
    <row r="14" spans="1:16" x14ac:dyDescent="0.2">
      <c r="A14" s="2" t="s">
        <v>95</v>
      </c>
      <c r="B14" s="2" t="s">
        <v>69</v>
      </c>
      <c r="C14" s="10">
        <v>10.6172169120319</v>
      </c>
      <c r="D14">
        <v>89.11</v>
      </c>
      <c r="E14">
        <f t="shared" ref="E14:E33" si="9">D14*(C14/100)</f>
        <v>9.461001990311626</v>
      </c>
      <c r="F14">
        <f>E14/E$34 * 100</f>
        <v>7.4651077943697715</v>
      </c>
      <c r="G14">
        <f>O$3*F14/100</f>
        <v>1.7095096849106775E-2</v>
      </c>
      <c r="H14">
        <f t="shared" ref="H14:H33" si="10">D14*G14/1000</f>
        <v>1.5233440802239046E-3</v>
      </c>
      <c r="I14">
        <f t="shared" si="3"/>
        <v>-1.5233440802239046E-3</v>
      </c>
      <c r="N14" s="14"/>
    </row>
    <row r="15" spans="1:16" x14ac:dyDescent="0.2">
      <c r="A15" s="2" t="s">
        <v>106</v>
      </c>
      <c r="B15" s="2" t="s">
        <v>70</v>
      </c>
      <c r="C15" s="10">
        <v>6.3537974530177994</v>
      </c>
      <c r="D15">
        <v>175.25000000000003</v>
      </c>
      <c r="E15">
        <f t="shared" si="9"/>
        <v>11.135030036413696</v>
      </c>
      <c r="F15">
        <f t="shared" ref="F15:F33" si="11">E15/E$34 * 100</f>
        <v>8.7859826686956932</v>
      </c>
      <c r="G15">
        <f t="shared" ref="G15:G33" si="12">O$3*F15/100</f>
        <v>2.0119900311313135E-2</v>
      </c>
      <c r="H15">
        <f t="shared" si="10"/>
        <v>3.5260125295576272E-3</v>
      </c>
      <c r="I15">
        <f t="shared" si="3"/>
        <v>-3.5260125295576272E-3</v>
      </c>
      <c r="M15" s="15"/>
    </row>
    <row r="16" spans="1:16" x14ac:dyDescent="0.2">
      <c r="A16" s="2" t="s">
        <v>108</v>
      </c>
      <c r="B16" s="2" t="s">
        <v>71</v>
      </c>
      <c r="C16" s="10">
        <v>3.1945218515736298</v>
      </c>
      <c r="D16">
        <v>132.13999999999999</v>
      </c>
      <c r="E16">
        <f t="shared" si="9"/>
        <v>4.2212411746693936</v>
      </c>
      <c r="F16">
        <f t="shared" si="11"/>
        <v>3.3307275938857677</v>
      </c>
      <c r="G16">
        <f t="shared" si="12"/>
        <v>7.6273661899984068E-3</v>
      </c>
      <c r="H16">
        <f t="shared" si="10"/>
        <v>1.0078801683463894E-3</v>
      </c>
      <c r="I16">
        <f t="shared" si="3"/>
        <v>-1.0078801683463894E-3</v>
      </c>
    </row>
    <row r="17" spans="1:12" x14ac:dyDescent="0.2">
      <c r="A17" s="2" t="s">
        <v>110</v>
      </c>
      <c r="B17" s="2" t="s">
        <v>72</v>
      </c>
      <c r="C17" s="10">
        <v>5.4617368911485604</v>
      </c>
      <c r="D17">
        <v>132.11000000000001</v>
      </c>
      <c r="E17">
        <f t="shared" si="9"/>
        <v>7.2155006068963639</v>
      </c>
      <c r="F17">
        <f t="shared" si="11"/>
        <v>5.6933176714243219</v>
      </c>
      <c r="G17">
        <f t="shared" si="12"/>
        <v>1.3037697467561695E-2</v>
      </c>
      <c r="H17">
        <f t="shared" si="10"/>
        <v>1.7224102124395757E-3</v>
      </c>
      <c r="I17">
        <f t="shared" si="3"/>
        <v>-1.7224102124395757E-3</v>
      </c>
    </row>
    <row r="18" spans="1:12" x14ac:dyDescent="0.2">
      <c r="A18" s="2" t="s">
        <v>100</v>
      </c>
      <c r="B18" s="2" t="s">
        <v>73</v>
      </c>
      <c r="C18" s="10">
        <v>0.97896459734463492</v>
      </c>
      <c r="D18">
        <v>89.11</v>
      </c>
      <c r="E18">
        <f t="shared" si="9"/>
        <v>0.87235535269380415</v>
      </c>
      <c r="F18">
        <f t="shared" si="11"/>
        <v>0.68832315536170918</v>
      </c>
      <c r="G18">
        <f t="shared" si="12"/>
        <v>1.5762600257783138E-3</v>
      </c>
      <c r="H18">
        <f t="shared" si="10"/>
        <v>1.4046053089710557E-4</v>
      </c>
      <c r="I18">
        <f t="shared" si="3"/>
        <v>-1.4046053089710557E-4</v>
      </c>
    </row>
    <row r="19" spans="1:12" x14ac:dyDescent="0.2">
      <c r="A19" s="2" t="s">
        <v>109</v>
      </c>
      <c r="B19" s="2" t="s">
        <v>74</v>
      </c>
      <c r="C19" s="10">
        <v>5.6561419895186402</v>
      </c>
      <c r="D19">
        <v>146.13999999999999</v>
      </c>
      <c r="E19">
        <f t="shared" si="9"/>
        <v>8.2658859034825394</v>
      </c>
      <c r="F19">
        <f t="shared" si="11"/>
        <v>6.5221135508318682</v>
      </c>
      <c r="G19">
        <f t="shared" si="12"/>
        <v>1.4935640031404978E-2</v>
      </c>
      <c r="H19">
        <f t="shared" si="10"/>
        <v>2.1826944341895231E-3</v>
      </c>
      <c r="I19">
        <f t="shared" si="3"/>
        <v>-2.1826944341895231E-3</v>
      </c>
    </row>
    <row r="20" spans="1:12" x14ac:dyDescent="0.2">
      <c r="A20" s="2" t="s">
        <v>107</v>
      </c>
      <c r="B20" s="2" t="s">
        <v>75</v>
      </c>
      <c r="C20" s="10">
        <v>4.5577256475947703</v>
      </c>
      <c r="D20">
        <v>146.16999999999999</v>
      </c>
      <c r="E20">
        <f t="shared" si="9"/>
        <v>6.6620275790892753</v>
      </c>
      <c r="F20">
        <f t="shared" si="11"/>
        <v>5.2566053847038283</v>
      </c>
      <c r="G20">
        <f t="shared" si="12"/>
        <v>1.2037626330971767E-2</v>
      </c>
      <c r="H20">
        <f t="shared" si="10"/>
        <v>1.759539840798143E-3</v>
      </c>
      <c r="I20">
        <f t="shared" si="3"/>
        <v>-1.759539840798143E-3</v>
      </c>
    </row>
    <row r="21" spans="1:12" x14ac:dyDescent="0.2">
      <c r="A21" s="2" t="s">
        <v>113</v>
      </c>
      <c r="B21" s="2" t="s">
        <v>76</v>
      </c>
      <c r="C21" s="10">
        <v>7.6718970633264894</v>
      </c>
      <c r="D21">
        <v>75.08</v>
      </c>
      <c r="E21">
        <f t="shared" si="9"/>
        <v>5.7600603151455285</v>
      </c>
      <c r="F21">
        <f t="shared" si="11"/>
        <v>4.5449172506956179</v>
      </c>
      <c r="G21">
        <f t="shared" si="12"/>
        <v>1.0407860504092965E-2</v>
      </c>
      <c r="H21">
        <f t="shared" si="10"/>
        <v>7.8142216664729984E-4</v>
      </c>
      <c r="I21">
        <f t="shared" si="3"/>
        <v>-7.8142216664729984E-4</v>
      </c>
    </row>
    <row r="22" spans="1:12" x14ac:dyDescent="0.2">
      <c r="A22" s="2" t="s">
        <v>104</v>
      </c>
      <c r="B22" s="2" t="s">
        <v>77</v>
      </c>
      <c r="C22" s="10">
        <v>2.2948613170201901</v>
      </c>
      <c r="D22">
        <v>155.18</v>
      </c>
      <c r="E22">
        <f t="shared" si="9"/>
        <v>3.561165791751931</v>
      </c>
      <c r="F22">
        <f t="shared" si="11"/>
        <v>2.8099017985910706</v>
      </c>
      <c r="G22">
        <f t="shared" si="12"/>
        <v>6.4346751187735508E-3</v>
      </c>
      <c r="H22">
        <f t="shared" si="10"/>
        <v>9.9853288493127962E-4</v>
      </c>
      <c r="I22">
        <f t="shared" si="3"/>
        <v>-9.9853288493127962E-4</v>
      </c>
    </row>
    <row r="23" spans="1:12" x14ac:dyDescent="0.2">
      <c r="A23" s="2" t="s">
        <v>98</v>
      </c>
      <c r="B23" s="2" t="s">
        <v>78</v>
      </c>
      <c r="C23" s="10">
        <v>4.9811212272744205</v>
      </c>
      <c r="D23">
        <v>131.19999999999999</v>
      </c>
      <c r="E23">
        <f t="shared" si="9"/>
        <v>6.5352310501840387</v>
      </c>
      <c r="F23">
        <f t="shared" si="11"/>
        <v>5.1565578678341755</v>
      </c>
      <c r="G23">
        <f t="shared" si="12"/>
        <v>1.180851751734026E-2</v>
      </c>
      <c r="H23">
        <f t="shared" si="10"/>
        <v>1.5492774982750418E-3</v>
      </c>
      <c r="I23">
        <f t="shared" si="3"/>
        <v>-1.5492774982750418E-3</v>
      </c>
    </row>
    <row r="24" spans="1:12" x14ac:dyDescent="0.2">
      <c r="A24" s="2" t="s">
        <v>97</v>
      </c>
      <c r="B24" s="2" t="s">
        <v>79</v>
      </c>
      <c r="C24" s="10">
        <v>11.392469198081701</v>
      </c>
      <c r="D24">
        <v>131.19999999999999</v>
      </c>
      <c r="E24">
        <f t="shared" si="9"/>
        <v>14.94691958788319</v>
      </c>
      <c r="F24">
        <f t="shared" si="11"/>
        <v>11.793715510427642</v>
      </c>
      <c r="G24">
        <f t="shared" si="12"/>
        <v>2.70076085188793E-2</v>
      </c>
      <c r="H24">
        <f t="shared" si="10"/>
        <v>3.5433982376769637E-3</v>
      </c>
      <c r="I24">
        <f t="shared" si="3"/>
        <v>-3.5433982376769637E-3</v>
      </c>
    </row>
    <row r="25" spans="1:12" x14ac:dyDescent="0.2">
      <c r="A25" s="2" t="s">
        <v>105</v>
      </c>
      <c r="B25" s="2" t="s">
        <v>80</v>
      </c>
      <c r="C25" s="10">
        <v>3.7538357833148601</v>
      </c>
      <c r="D25">
        <v>147.23000000000002</v>
      </c>
      <c r="E25">
        <f t="shared" si="9"/>
        <v>5.5267724237744691</v>
      </c>
      <c r="F25">
        <f t="shared" si="11"/>
        <v>4.3608438028737542</v>
      </c>
      <c r="G25">
        <f t="shared" si="12"/>
        <v>9.9863323085808958E-3</v>
      </c>
      <c r="H25">
        <f t="shared" si="10"/>
        <v>1.4702877057923656E-3</v>
      </c>
      <c r="I25">
        <f t="shared" si="3"/>
        <v>-1.4702877057923656E-3</v>
      </c>
    </row>
    <row r="26" spans="1:12" x14ac:dyDescent="0.2">
      <c r="A26" s="2" t="s">
        <v>99</v>
      </c>
      <c r="B26" s="2" t="s">
        <v>81</v>
      </c>
      <c r="C26" s="10">
        <v>2.3911276376861701</v>
      </c>
      <c r="D26">
        <v>149.23000000000002</v>
      </c>
      <c r="E26">
        <f t="shared" si="9"/>
        <v>3.5682797737190719</v>
      </c>
      <c r="F26">
        <f t="shared" si="11"/>
        <v>2.8155150140080312</v>
      </c>
      <c r="G26">
        <f t="shared" si="12"/>
        <v>6.4475293820783911E-3</v>
      </c>
      <c r="H26">
        <f t="shared" si="10"/>
        <v>9.6216480968755848E-4</v>
      </c>
      <c r="I26">
        <f t="shared" si="3"/>
        <v>-9.6216480968755848E-4</v>
      </c>
    </row>
    <row r="27" spans="1:12" x14ac:dyDescent="0.2">
      <c r="A27" s="2" t="s">
        <v>101</v>
      </c>
      <c r="B27" s="2" t="s">
        <v>82</v>
      </c>
      <c r="C27" s="10">
        <v>3.6319608590392303</v>
      </c>
      <c r="D27">
        <v>165.21000000000004</v>
      </c>
      <c r="E27">
        <f t="shared" si="9"/>
        <v>6.0003625352187138</v>
      </c>
      <c r="F27">
        <f t="shared" si="11"/>
        <v>4.7345252835350244</v>
      </c>
      <c r="G27">
        <f t="shared" si="12"/>
        <v>1.0842062899295206E-2</v>
      </c>
      <c r="H27">
        <f t="shared" si="10"/>
        <v>1.7912172115925613E-3</v>
      </c>
      <c r="I27">
        <f t="shared" si="3"/>
        <v>-1.7912172115925613E-3</v>
      </c>
    </row>
    <row r="28" spans="1:12" x14ac:dyDescent="0.2">
      <c r="A28" s="2" t="s">
        <v>94</v>
      </c>
      <c r="B28" s="2" t="s">
        <v>83</v>
      </c>
      <c r="C28" s="10">
        <v>4.7840726601446404</v>
      </c>
      <c r="D28">
        <v>115.15</v>
      </c>
      <c r="E28">
        <f t="shared" si="9"/>
        <v>5.5088596681565543</v>
      </c>
      <c r="F28">
        <f t="shared" si="11"/>
        <v>4.3467099244834024</v>
      </c>
      <c r="G28">
        <f t="shared" si="12"/>
        <v>9.9539657270669921E-3</v>
      </c>
      <c r="H28">
        <f t="shared" si="10"/>
        <v>1.1461991534717642E-3</v>
      </c>
      <c r="I28">
        <f t="shared" si="3"/>
        <v>-1.1461991534717642E-3</v>
      </c>
    </row>
    <row r="29" spans="1:12" x14ac:dyDescent="0.2">
      <c r="A29" s="2" t="s">
        <v>111</v>
      </c>
      <c r="B29" s="2" t="s">
        <v>84</v>
      </c>
      <c r="C29" s="10">
        <v>6.1446880596719007</v>
      </c>
      <c r="D29">
        <v>105.11</v>
      </c>
      <c r="E29">
        <f t="shared" si="9"/>
        <v>6.4586816195211352</v>
      </c>
      <c r="F29">
        <f t="shared" si="11"/>
        <v>5.0961573149031656</v>
      </c>
      <c r="G29">
        <f t="shared" si="12"/>
        <v>1.1670200251128249E-2</v>
      </c>
      <c r="H29">
        <f t="shared" si="10"/>
        <v>1.2266547483960901E-3</v>
      </c>
      <c r="I29">
        <f t="shared" si="3"/>
        <v>-1.2266547483960901E-3</v>
      </c>
      <c r="L29" s="25"/>
    </row>
    <row r="30" spans="1:12" x14ac:dyDescent="0.2">
      <c r="A30" s="2" t="s">
        <v>112</v>
      </c>
      <c r="B30" s="2" t="s">
        <v>85</v>
      </c>
      <c r="C30" s="10">
        <v>5.1051439699173207</v>
      </c>
      <c r="D30">
        <v>103.14000000000001</v>
      </c>
      <c r="E30">
        <f t="shared" si="9"/>
        <v>5.2654454905727253</v>
      </c>
      <c r="F30">
        <f t="shared" si="11"/>
        <v>4.1546464330897921</v>
      </c>
      <c r="G30">
        <f t="shared" si="12"/>
        <v>9.5141403317756234E-3</v>
      </c>
      <c r="H30">
        <f t="shared" si="10"/>
        <v>9.8128843381933796E-4</v>
      </c>
      <c r="I30">
        <f t="shared" si="3"/>
        <v>-9.8128843381933796E-4</v>
      </c>
      <c r="L30" s="40"/>
    </row>
    <row r="31" spans="1:12" x14ac:dyDescent="0.2">
      <c r="A31" s="2" t="s">
        <v>103</v>
      </c>
      <c r="B31" s="2" t="s">
        <v>86</v>
      </c>
      <c r="C31" s="10">
        <v>1.3921718078462499</v>
      </c>
      <c r="D31">
        <v>204.25000000000003</v>
      </c>
      <c r="E31">
        <f t="shared" si="9"/>
        <v>2.8435109175259661</v>
      </c>
      <c r="F31">
        <f t="shared" si="11"/>
        <v>2.2436434888752679</v>
      </c>
      <c r="G31">
        <f t="shared" si="12"/>
        <v>5.1379435895243632E-3</v>
      </c>
      <c r="H31">
        <f t="shared" si="10"/>
        <v>1.0494249781603513E-3</v>
      </c>
      <c r="I31">
        <f t="shared" si="3"/>
        <v>-1.0494249781603513E-3</v>
      </c>
      <c r="L31" s="25"/>
    </row>
    <row r="32" spans="1:12" x14ac:dyDescent="0.2">
      <c r="A32" s="2" t="s">
        <v>102</v>
      </c>
      <c r="B32" s="2" t="s">
        <v>87</v>
      </c>
      <c r="C32" s="10">
        <v>2.5559589293070299</v>
      </c>
      <c r="D32">
        <v>181.21</v>
      </c>
      <c r="E32">
        <f t="shared" si="9"/>
        <v>4.6316531757972692</v>
      </c>
      <c r="F32">
        <f t="shared" si="11"/>
        <v>3.6545590265035814</v>
      </c>
      <c r="G32">
        <f t="shared" si="12"/>
        <v>8.368940170693201E-3</v>
      </c>
      <c r="H32">
        <f t="shared" si="10"/>
        <v>1.5165356483313151E-3</v>
      </c>
      <c r="I32">
        <f t="shared" si="3"/>
        <v>-1.5165356483313151E-3</v>
      </c>
      <c r="L32" s="40"/>
    </row>
    <row r="33" spans="1:12" x14ac:dyDescent="0.2">
      <c r="A33" s="9" t="s">
        <v>96</v>
      </c>
      <c r="B33" s="9" t="s">
        <v>88</v>
      </c>
      <c r="C33" s="10">
        <v>7.0805861451396499</v>
      </c>
      <c r="D33">
        <v>117.17000000000002</v>
      </c>
      <c r="E33">
        <f t="shared" si="9"/>
        <v>8.296322786260129</v>
      </c>
      <c r="F33">
        <f t="shared" si="11"/>
        <v>6.5461294649065058</v>
      </c>
      <c r="G33">
        <f t="shared" si="12"/>
        <v>1.4990636474635896E-2</v>
      </c>
      <c r="H33">
        <f t="shared" si="10"/>
        <v>1.7564528757330882E-3</v>
      </c>
      <c r="I33">
        <f t="shared" si="3"/>
        <v>-1.7564528757330882E-3</v>
      </c>
      <c r="L33" s="40"/>
    </row>
    <row r="34" spans="1:12" x14ac:dyDescent="0.2">
      <c r="D34" t="s">
        <v>10</v>
      </c>
      <c r="E34">
        <f>SUM(E14:E33)</f>
        <v>126.73630777906743</v>
      </c>
      <c r="L34" s="40"/>
    </row>
    <row r="35" spans="1:12" x14ac:dyDescent="0.2">
      <c r="L35" s="40"/>
    </row>
    <row r="36" spans="1:12" x14ac:dyDescent="0.2">
      <c r="A36" s="26" t="s">
        <v>219</v>
      </c>
      <c r="B36" s="29" t="s">
        <v>226</v>
      </c>
      <c r="C36">
        <v>14.285714285714286</v>
      </c>
      <c r="D36">
        <v>720.15</v>
      </c>
      <c r="E36">
        <f t="shared" ref="E36:E42" si="13">D36*(C36/100)</f>
        <v>102.87857142857143</v>
      </c>
      <c r="F36">
        <f>E36/E$43 *100</f>
        <v>9.9725949241755956</v>
      </c>
      <c r="G36">
        <f>O$7*F36/100</f>
        <v>1.3961632893845834E-2</v>
      </c>
      <c r="H36">
        <f t="shared" ref="H36:H42" si="14">D36*G36/1000</f>
        <v>1.0054469928503076E-2</v>
      </c>
      <c r="I36">
        <f t="shared" si="3"/>
        <v>-1.0054469928503076E-2</v>
      </c>
    </row>
    <row r="37" spans="1:12" x14ac:dyDescent="0.2">
      <c r="A37" s="26" t="s">
        <v>220</v>
      </c>
      <c r="B37" s="29" t="s">
        <v>227</v>
      </c>
      <c r="C37">
        <v>14.285714285714286</v>
      </c>
      <c r="D37">
        <v>720.15</v>
      </c>
      <c r="E37">
        <f t="shared" si="13"/>
        <v>102.87857142857143</v>
      </c>
      <c r="F37">
        <f t="shared" ref="F37:F42" si="15">E37/E$43 *100</f>
        <v>9.9725949241755956</v>
      </c>
      <c r="G37">
        <f t="shared" ref="G37:G42" si="16">O$7*F37/100</f>
        <v>1.3961632893845834E-2</v>
      </c>
      <c r="H37">
        <f t="shared" si="14"/>
        <v>1.0054469928503076E-2</v>
      </c>
      <c r="I37">
        <f t="shared" si="3"/>
        <v>-1.0054469928503076E-2</v>
      </c>
    </row>
    <row r="38" spans="1:12" x14ac:dyDescent="0.2">
      <c r="A38" s="40" t="s">
        <v>221</v>
      </c>
      <c r="B38" s="41" t="s">
        <v>228</v>
      </c>
      <c r="C38">
        <v>14.285714285714286</v>
      </c>
      <c r="D38">
        <v>750.15</v>
      </c>
      <c r="E38">
        <f t="shared" si="13"/>
        <v>107.16428571428573</v>
      </c>
      <c r="F38">
        <f t="shared" si="15"/>
        <v>10.388033163049815</v>
      </c>
      <c r="G38">
        <f t="shared" si="16"/>
        <v>1.4543246428269742E-2</v>
      </c>
      <c r="H38">
        <f t="shared" si="14"/>
        <v>1.0909616308166547E-2</v>
      </c>
      <c r="I38">
        <f t="shared" si="3"/>
        <v>-1.0909616308166547E-2</v>
      </c>
    </row>
    <row r="39" spans="1:12" x14ac:dyDescent="0.2">
      <c r="A39" s="40" t="s">
        <v>222</v>
      </c>
      <c r="B39" s="41" t="s">
        <v>229</v>
      </c>
      <c r="C39">
        <v>14.285714285714286</v>
      </c>
      <c r="D39">
        <v>750.15</v>
      </c>
      <c r="E39">
        <f t="shared" si="13"/>
        <v>107.16428571428573</v>
      </c>
      <c r="F39">
        <f t="shared" si="15"/>
        <v>10.388033163049815</v>
      </c>
      <c r="G39">
        <f t="shared" si="16"/>
        <v>1.4543246428269742E-2</v>
      </c>
      <c r="H39">
        <f t="shared" si="14"/>
        <v>1.0909616308166547E-2</v>
      </c>
      <c r="I39">
        <f t="shared" si="3"/>
        <v>-1.0909616308166547E-2</v>
      </c>
    </row>
    <row r="40" spans="1:12" x14ac:dyDescent="0.2">
      <c r="A40" s="40" t="s">
        <v>223</v>
      </c>
      <c r="B40" s="41" t="s">
        <v>230</v>
      </c>
      <c r="C40">
        <v>14.285714285714286</v>
      </c>
      <c r="D40">
        <v>1464.31</v>
      </c>
      <c r="E40">
        <f t="shared" si="13"/>
        <v>209.18714285714287</v>
      </c>
      <c r="F40">
        <f t="shared" si="15"/>
        <v>20.277678918863522</v>
      </c>
      <c r="G40">
        <f t="shared" si="16"/>
        <v>2.8388750486408935E-2</v>
      </c>
      <c r="H40">
        <f t="shared" si="14"/>
        <v>4.156993122475347E-2</v>
      </c>
      <c r="I40">
        <f t="shared" si="3"/>
        <v>-4.156993122475347E-2</v>
      </c>
    </row>
    <row r="41" spans="1:12" x14ac:dyDescent="0.2">
      <c r="A41" s="40" t="s">
        <v>224</v>
      </c>
      <c r="B41" s="41" t="s">
        <v>231</v>
      </c>
      <c r="C41">
        <v>14.285714285714286</v>
      </c>
      <c r="D41">
        <v>1408.19</v>
      </c>
      <c r="E41">
        <f t="shared" si="13"/>
        <v>201.17000000000004</v>
      </c>
      <c r="F41">
        <f t="shared" si="15"/>
        <v>19.500532453342821</v>
      </c>
      <c r="G41">
        <f t="shared" si="16"/>
        <v>2.7300745434679953E-2</v>
      </c>
      <c r="H41">
        <f t="shared" si="14"/>
        <v>3.8444636713661967E-2</v>
      </c>
      <c r="I41">
        <f t="shared" si="3"/>
        <v>-3.8444636713661967E-2</v>
      </c>
    </row>
    <row r="42" spans="1:12" x14ac:dyDescent="0.2">
      <c r="A42" s="40" t="s">
        <v>225</v>
      </c>
      <c r="B42" s="41" t="s">
        <v>232</v>
      </c>
      <c r="C42">
        <v>14.285714285714286</v>
      </c>
      <c r="D42">
        <v>1408.19</v>
      </c>
      <c r="E42">
        <f t="shared" si="13"/>
        <v>201.17000000000004</v>
      </c>
      <c r="F42">
        <f t="shared" si="15"/>
        <v>19.500532453342821</v>
      </c>
      <c r="G42">
        <f t="shared" si="16"/>
        <v>2.7300745434679953E-2</v>
      </c>
      <c r="H42">
        <f t="shared" si="14"/>
        <v>3.8444636713661967E-2</v>
      </c>
      <c r="I42">
        <f t="shared" si="3"/>
        <v>-3.8444636713661967E-2</v>
      </c>
    </row>
    <row r="43" spans="1:12" x14ac:dyDescent="0.2">
      <c r="D43" t="s">
        <v>10</v>
      </c>
      <c r="E43">
        <f>SUM(E36:E42)</f>
        <v>1031.6128571428574</v>
      </c>
    </row>
    <row r="45" spans="1:12" x14ac:dyDescent="0.2">
      <c r="A45" t="s">
        <v>211</v>
      </c>
      <c r="B45" t="s">
        <v>210</v>
      </c>
      <c r="C45">
        <v>50</v>
      </c>
      <c r="D45">
        <v>924</v>
      </c>
      <c r="E45">
        <f>D45*C45/100</f>
        <v>462</v>
      </c>
      <c r="F45">
        <f>E45/E$47</f>
        <v>0.18135426889106968</v>
      </c>
      <c r="G45">
        <f>F45*O$6</f>
        <v>6.1660451422963693E-3</v>
      </c>
      <c r="H45">
        <f>G45*D45/1000</f>
        <v>5.6974257114818447E-3</v>
      </c>
      <c r="I45">
        <f t="shared" si="3"/>
        <v>-5.6974257114818447E-3</v>
      </c>
    </row>
    <row r="46" spans="1:12" x14ac:dyDescent="0.2">
      <c r="A46" t="s">
        <v>121</v>
      </c>
      <c r="B46" t="s">
        <v>122</v>
      </c>
      <c r="C46">
        <v>50</v>
      </c>
      <c r="D46">
        <v>4171</v>
      </c>
      <c r="E46">
        <f>D46*C46/100</f>
        <v>2085.5</v>
      </c>
      <c r="F46">
        <f>E46/E$47</f>
        <v>0.81864573110893035</v>
      </c>
      <c r="G46">
        <f>F46*O$6</f>
        <v>2.7833954857703635E-2</v>
      </c>
      <c r="H46">
        <f>G46*D46/1000</f>
        <v>0.11609542571148186</v>
      </c>
      <c r="I46">
        <f t="shared" si="3"/>
        <v>-0.11609542571148186</v>
      </c>
    </row>
    <row r="47" spans="1:12" x14ac:dyDescent="0.2">
      <c r="E47">
        <f>SUM(E45:E46)</f>
        <v>2547.5</v>
      </c>
    </row>
    <row r="49" spans="1:10" x14ac:dyDescent="0.2">
      <c r="A49" s="6" t="s">
        <v>141</v>
      </c>
      <c r="B49" s="6" t="s">
        <v>140</v>
      </c>
      <c r="C49">
        <f>100/29</f>
        <v>3.4482758620689653</v>
      </c>
      <c r="D49">
        <v>703.2</v>
      </c>
      <c r="E49">
        <f>D49*C49/100</f>
        <v>24.248275862068969</v>
      </c>
      <c r="F49" s="43">
        <f>E49/E$78</f>
        <v>6.1487934566764525E-2</v>
      </c>
      <c r="G49">
        <f>F49*O$9</f>
        <v>2.9674077221920558E-2</v>
      </c>
      <c r="H49">
        <f>G49*D49/1000</f>
        <v>2.0866811102454537E-2</v>
      </c>
      <c r="I49">
        <f t="shared" si="3"/>
        <v>-2.0866811102454537E-2</v>
      </c>
    </row>
    <row r="50" spans="1:10" x14ac:dyDescent="0.2">
      <c r="A50" t="s">
        <v>215</v>
      </c>
      <c r="B50" t="s">
        <v>214</v>
      </c>
      <c r="C50">
        <f>100/29</f>
        <v>3.4482758620689653</v>
      </c>
      <c r="D50">
        <v>56</v>
      </c>
      <c r="E50">
        <f t="shared" ref="E50:E55" si="17">D50*C50/100</f>
        <v>1.9310344827586206</v>
      </c>
      <c r="F50" s="43">
        <f>E50/E$78</f>
        <v>4.8966500792645236E-3</v>
      </c>
      <c r="G50">
        <f>F50*O$9</f>
        <v>2.3631233282530588E-3</v>
      </c>
      <c r="H50">
        <f t="shared" ref="H50:H77" si="18">G50*D50/1000</f>
        <v>1.3233490638217129E-4</v>
      </c>
      <c r="I50">
        <f t="shared" si="3"/>
        <v>-1.3233490638217129E-4</v>
      </c>
    </row>
    <row r="51" spans="1:10" x14ac:dyDescent="0.2">
      <c r="A51" t="s">
        <v>213</v>
      </c>
      <c r="B51" t="s">
        <v>212</v>
      </c>
      <c r="C51">
        <f t="shared" ref="C51:C74" si="19">100/29</f>
        <v>3.4482758620689653</v>
      </c>
      <c r="D51">
        <v>56</v>
      </c>
      <c r="E51">
        <f t="shared" si="17"/>
        <v>1.9310344827586206</v>
      </c>
      <c r="F51" s="43">
        <f>E51/E$78</f>
        <v>4.8966500792645236E-3</v>
      </c>
      <c r="G51">
        <f>F51*O$9</f>
        <v>2.3631233282530588E-3</v>
      </c>
      <c r="H51">
        <f t="shared" si="18"/>
        <v>1.3233490638217129E-4</v>
      </c>
      <c r="I51">
        <f t="shared" si="3"/>
        <v>-1.3233490638217129E-4</v>
      </c>
    </row>
    <row r="52" spans="1:10" x14ac:dyDescent="0.2">
      <c r="A52" t="s">
        <v>137</v>
      </c>
      <c r="B52" t="s">
        <v>136</v>
      </c>
      <c r="C52">
        <f t="shared" si="19"/>
        <v>3.4482758620689653</v>
      </c>
      <c r="D52">
        <v>934.34</v>
      </c>
      <c r="E52">
        <f t="shared" si="17"/>
        <v>32.218620689655175</v>
      </c>
      <c r="F52" s="43">
        <f>E52/E$78</f>
        <v>8.1698857768928851E-2</v>
      </c>
      <c r="G52">
        <f>F52*O$9</f>
        <v>3.9427868759285063E-2</v>
      </c>
      <c r="H52" s="51">
        <f t="shared" si="18"/>
        <v>3.683903489655041E-2</v>
      </c>
      <c r="I52">
        <f t="shared" si="3"/>
        <v>-3.683903489655041E-2</v>
      </c>
      <c r="J52">
        <f>I52*-1</f>
        <v>3.683903489655041E-2</v>
      </c>
    </row>
    <row r="53" spans="1:10" x14ac:dyDescent="0.2">
      <c r="A53" t="s">
        <v>135</v>
      </c>
      <c r="B53" t="s">
        <v>134</v>
      </c>
      <c r="C53">
        <f t="shared" si="19"/>
        <v>3.4482758620689653</v>
      </c>
      <c r="D53">
        <v>146.21</v>
      </c>
      <c r="E53">
        <f t="shared" si="17"/>
        <v>5.041724137931034</v>
      </c>
      <c r="F53" s="43">
        <f>E53/E$78</f>
        <v>1.2784628715879749E-2</v>
      </c>
      <c r="G53">
        <f>F53*O$9</f>
        <v>6.1698618182835663E-3</v>
      </c>
      <c r="H53" s="51">
        <f t="shared" si="18"/>
        <v>9.0209549645124036E-4</v>
      </c>
      <c r="I53">
        <f t="shared" si="3"/>
        <v>-9.0209549645124036E-4</v>
      </c>
      <c r="J53">
        <f>I53*-1</f>
        <v>9.0209549645124036E-4</v>
      </c>
    </row>
    <row r="54" spans="1:10" x14ac:dyDescent="0.2">
      <c r="A54" t="s">
        <v>209</v>
      </c>
      <c r="B54" t="s">
        <v>208</v>
      </c>
      <c r="C54">
        <f t="shared" si="19"/>
        <v>3.4482758620689653</v>
      </c>
      <c r="D54">
        <v>852.81999999999994</v>
      </c>
      <c r="E54">
        <f t="shared" si="17"/>
        <v>29.40758620689655</v>
      </c>
      <c r="F54" s="43">
        <f>E54/E$78</f>
        <v>7.4570734296399474E-2</v>
      </c>
      <c r="G54">
        <f>F54*O$9</f>
        <v>3.5987836371442386E-2</v>
      </c>
      <c r="H54">
        <f t="shared" si="18"/>
        <v>3.0691146614293494E-2</v>
      </c>
      <c r="I54">
        <f t="shared" si="3"/>
        <v>-3.0691146614293494E-2</v>
      </c>
    </row>
    <row r="55" spans="1:10" x14ac:dyDescent="0.2">
      <c r="A55" t="s">
        <v>203</v>
      </c>
      <c r="B55" t="s">
        <v>202</v>
      </c>
      <c r="C55">
        <f t="shared" si="19"/>
        <v>3.4482758620689653</v>
      </c>
      <c r="D55">
        <v>457.5</v>
      </c>
      <c r="E55">
        <f t="shared" si="17"/>
        <v>15.775862068965516</v>
      </c>
      <c r="F55" s="43">
        <f>E55/E$78</f>
        <v>4.0003882343991416E-2</v>
      </c>
      <c r="G55">
        <f>F55*O$9</f>
        <v>1.9305873619210257E-2</v>
      </c>
      <c r="H55">
        <f t="shared" si="18"/>
        <v>8.8324371807886933E-3</v>
      </c>
      <c r="I55">
        <f t="shared" si="3"/>
        <v>-8.8324371807886933E-3</v>
      </c>
    </row>
    <row r="56" spans="1:10" x14ac:dyDescent="0.2">
      <c r="A56" t="s">
        <v>133</v>
      </c>
      <c r="B56" t="s">
        <v>132</v>
      </c>
      <c r="C56">
        <f t="shared" si="19"/>
        <v>3.4482758620689653</v>
      </c>
      <c r="D56">
        <v>24</v>
      </c>
      <c r="E56">
        <f t="shared" ref="E56:E77" si="20">D56*C56/100</f>
        <v>0.82758620689655171</v>
      </c>
      <c r="F56" s="43">
        <f>E56/E$78</f>
        <v>2.0985643196847958E-3</v>
      </c>
      <c r="G56">
        <f>F56*O$9</f>
        <v>1.0127671406798824E-3</v>
      </c>
      <c r="H56">
        <f t="shared" si="18"/>
        <v>2.430641137631718E-5</v>
      </c>
      <c r="I56">
        <f t="shared" si="3"/>
        <v>-2.430641137631718E-5</v>
      </c>
    </row>
    <row r="57" spans="1:10" x14ac:dyDescent="0.2">
      <c r="A57" t="s">
        <v>197</v>
      </c>
      <c r="B57" t="s">
        <v>196</v>
      </c>
      <c r="C57">
        <f t="shared" si="19"/>
        <v>3.4482758620689653</v>
      </c>
      <c r="D57">
        <v>376.40999999999997</v>
      </c>
      <c r="E57">
        <f t="shared" si="20"/>
        <v>12.979655172413791</v>
      </c>
      <c r="F57" s="43">
        <f>E57/E$78</f>
        <v>3.291335814885641E-2</v>
      </c>
      <c r="G57">
        <f>F57*O$9</f>
        <v>1.5883986642638102E-2</v>
      </c>
      <c r="H57">
        <f t="shared" si="18"/>
        <v>5.978891412155408E-3</v>
      </c>
      <c r="I57">
        <f t="shared" si="3"/>
        <v>-5.978891412155408E-3</v>
      </c>
    </row>
    <row r="58" spans="1:10" x14ac:dyDescent="0.2">
      <c r="A58" t="s">
        <v>195</v>
      </c>
      <c r="B58" t="s">
        <v>194</v>
      </c>
      <c r="C58">
        <f t="shared" si="19"/>
        <v>3.4482758620689653</v>
      </c>
      <c r="D58">
        <v>39</v>
      </c>
      <c r="E58">
        <f t="shared" si="20"/>
        <v>1.3448275862068966</v>
      </c>
      <c r="F58" s="43">
        <f>E58/E$78</f>
        <v>3.4101670194877933E-3</v>
      </c>
      <c r="G58">
        <f>F58*O$9</f>
        <v>1.6457466036048089E-3</v>
      </c>
      <c r="H58">
        <f t="shared" si="18"/>
        <v>6.4184117540587541E-5</v>
      </c>
      <c r="I58">
        <f t="shared" si="3"/>
        <v>-6.4184117540587541E-5</v>
      </c>
    </row>
    <row r="59" spans="1:10" x14ac:dyDescent="0.2">
      <c r="A59" t="s">
        <v>193</v>
      </c>
      <c r="B59" t="s">
        <v>192</v>
      </c>
      <c r="C59">
        <f t="shared" si="19"/>
        <v>3.4482758620689653</v>
      </c>
      <c r="D59">
        <v>471.47999999999996</v>
      </c>
      <c r="E59">
        <f t="shared" si="20"/>
        <v>16.257931034482755</v>
      </c>
      <c r="F59" s="43">
        <f>E59/E$78</f>
        <v>4.1226296060207807E-2</v>
      </c>
      <c r="G59">
        <f>F59*O$9</f>
        <v>1.9895810478656285E-2</v>
      </c>
      <c r="H59">
        <f t="shared" si="18"/>
        <v>9.3804767244768644E-3</v>
      </c>
      <c r="I59">
        <f t="shared" si="3"/>
        <v>-9.3804767244768644E-3</v>
      </c>
    </row>
    <row r="60" spans="1:10" x14ac:dyDescent="0.2">
      <c r="A60" t="s">
        <v>131</v>
      </c>
      <c r="B60" t="s">
        <v>130</v>
      </c>
      <c r="C60">
        <f t="shared" si="19"/>
        <v>3.4482758620689653</v>
      </c>
      <c r="D60">
        <v>1579.8000000000002</v>
      </c>
      <c r="E60">
        <f t="shared" si="20"/>
        <v>54.475862068965519</v>
      </c>
      <c r="F60" s="43">
        <f>E60/E$78</f>
        <v>0.13813799634325169</v>
      </c>
      <c r="G60">
        <f>F60*O$9</f>
        <v>6.666539703525326E-2</v>
      </c>
      <c r="H60">
        <f t="shared" si="18"/>
        <v>0.10531799423629312</v>
      </c>
      <c r="I60">
        <f t="shared" si="3"/>
        <v>-0.10531799423629312</v>
      </c>
    </row>
    <row r="61" spans="1:10" x14ac:dyDescent="0.2">
      <c r="A61" t="s">
        <v>191</v>
      </c>
      <c r="B61" t="s">
        <v>190</v>
      </c>
      <c r="C61">
        <f t="shared" si="19"/>
        <v>3.4482758620689653</v>
      </c>
      <c r="D61">
        <v>59</v>
      </c>
      <c r="E61">
        <f t="shared" si="20"/>
        <v>2.0344827586206895</v>
      </c>
      <c r="F61" s="43">
        <f>E61/E$78</f>
        <v>5.1589706192251231E-3</v>
      </c>
      <c r="G61">
        <f>F61*O$9</f>
        <v>2.4897192208380441E-3</v>
      </c>
      <c r="H61">
        <f t="shared" si="18"/>
        <v>1.4689343402944459E-4</v>
      </c>
      <c r="I61">
        <f t="shared" si="3"/>
        <v>-1.4689343402944459E-4</v>
      </c>
    </row>
    <row r="62" spans="1:10" x14ac:dyDescent="0.2">
      <c r="A62" t="s">
        <v>129</v>
      </c>
      <c r="B62" t="s">
        <v>128</v>
      </c>
      <c r="C62">
        <f t="shared" si="19"/>
        <v>3.4482758620689653</v>
      </c>
      <c r="D62">
        <v>35</v>
      </c>
      <c r="E62">
        <f t="shared" si="20"/>
        <v>1.2068965517241379</v>
      </c>
      <c r="F62" s="43">
        <f>E62/E$78</f>
        <v>3.0604062995403273E-3</v>
      </c>
      <c r="G62">
        <f>F62*O$9</f>
        <v>1.4769520801581619E-3</v>
      </c>
      <c r="H62">
        <f t="shared" si="18"/>
        <v>5.1693322805535667E-5</v>
      </c>
      <c r="I62">
        <f t="shared" si="3"/>
        <v>-5.1693322805535667E-5</v>
      </c>
    </row>
    <row r="63" spans="1:10" x14ac:dyDescent="0.2">
      <c r="A63" t="s">
        <v>185</v>
      </c>
      <c r="B63" t="s">
        <v>184</v>
      </c>
      <c r="C63">
        <f t="shared" si="19"/>
        <v>3.4482758620689653</v>
      </c>
      <c r="D63">
        <v>443.47</v>
      </c>
      <c r="E63">
        <f t="shared" si="20"/>
        <v>15.292068965517242</v>
      </c>
      <c r="F63" s="43">
        <f>E63/E$78</f>
        <v>3.8777096618775687E-2</v>
      </c>
      <c r="G63">
        <f>F63*O$9</f>
        <v>1.8713826828221147E-2</v>
      </c>
      <c r="H63">
        <f t="shared" si="18"/>
        <v>8.299020783511234E-3</v>
      </c>
      <c r="I63">
        <f t="shared" si="3"/>
        <v>-8.299020783511234E-3</v>
      </c>
    </row>
    <row r="64" spans="1:10" x14ac:dyDescent="0.2">
      <c r="A64" t="s">
        <v>127</v>
      </c>
      <c r="B64" t="s">
        <v>126</v>
      </c>
      <c r="C64">
        <f t="shared" si="19"/>
        <v>3.4482758620689653</v>
      </c>
      <c r="D64">
        <v>40</v>
      </c>
      <c r="E64">
        <f t="shared" si="20"/>
        <v>1.3793103448275861</v>
      </c>
      <c r="F64" s="43">
        <f>E64/E$78</f>
        <v>3.4976071994746592E-3</v>
      </c>
      <c r="G64">
        <f>F64*O$9</f>
        <v>1.6879452344664705E-3</v>
      </c>
      <c r="H64">
        <f t="shared" si="18"/>
        <v>6.7517809378658819E-5</v>
      </c>
      <c r="I64">
        <f t="shared" si="3"/>
        <v>-6.7517809378658819E-5</v>
      </c>
    </row>
    <row r="65" spans="1:9" x14ac:dyDescent="0.2">
      <c r="A65" t="s">
        <v>179</v>
      </c>
      <c r="B65" t="s">
        <v>178</v>
      </c>
      <c r="C65">
        <f t="shared" si="19"/>
        <v>3.4482758620689653</v>
      </c>
      <c r="D65">
        <v>63</v>
      </c>
      <c r="E65">
        <f t="shared" si="20"/>
        <v>2.1724137931034484</v>
      </c>
      <c r="F65" s="43">
        <f>E65/E$78</f>
        <v>5.5087313391725895E-3</v>
      </c>
      <c r="G65">
        <f>F65*O$9</f>
        <v>2.6585137442846915E-3</v>
      </c>
      <c r="H65">
        <f t="shared" si="18"/>
        <v>1.6748636588993557E-4</v>
      </c>
      <c r="I65">
        <f t="shared" si="3"/>
        <v>-1.6748636588993557E-4</v>
      </c>
    </row>
    <row r="66" spans="1:9" x14ac:dyDescent="0.2">
      <c r="A66" t="s">
        <v>177</v>
      </c>
      <c r="B66" t="s">
        <v>176</v>
      </c>
      <c r="C66">
        <f t="shared" si="19"/>
        <v>3.4482758620689653</v>
      </c>
      <c r="D66">
        <v>423.33000000000004</v>
      </c>
      <c r="E66">
        <f t="shared" si="20"/>
        <v>14.597586206896551</v>
      </c>
      <c r="F66" s="43">
        <f>E66/E$78</f>
        <v>3.7016051393840191E-2</v>
      </c>
      <c r="G66">
        <f>F66*O$9</f>
        <v>1.7863946402667277E-2</v>
      </c>
      <c r="H66">
        <f t="shared" si="18"/>
        <v>7.5623444306411394E-3</v>
      </c>
      <c r="I66">
        <f t="shared" si="3"/>
        <v>-7.5623444306411394E-3</v>
      </c>
    </row>
    <row r="67" spans="1:9" x14ac:dyDescent="0.2">
      <c r="A67" t="s">
        <v>173</v>
      </c>
      <c r="B67" t="s">
        <v>172</v>
      </c>
      <c r="C67">
        <f t="shared" si="19"/>
        <v>3.4482758620689653</v>
      </c>
      <c r="D67">
        <v>96.06</v>
      </c>
      <c r="E67">
        <f t="shared" si="20"/>
        <v>3.3124137931034481</v>
      </c>
      <c r="F67" s="43">
        <f>E67/E$78</f>
        <v>8.3995036895383943E-3</v>
      </c>
      <c r="G67">
        <f>F67*O$9</f>
        <v>4.0536004805712287E-3</v>
      </c>
      <c r="H67">
        <f t="shared" si="18"/>
        <v>3.8938886216367222E-4</v>
      </c>
      <c r="I67">
        <f t="shared" ref="I67:I85" si="21">H67*-1</f>
        <v>-3.8938886216367222E-4</v>
      </c>
    </row>
    <row r="68" spans="1:9" x14ac:dyDescent="0.2">
      <c r="A68" t="s">
        <v>171</v>
      </c>
      <c r="B68" t="s">
        <v>170</v>
      </c>
      <c r="C68">
        <f t="shared" si="19"/>
        <v>3.4482758620689653</v>
      </c>
      <c r="D68">
        <v>306.34999999999997</v>
      </c>
      <c r="E68">
        <f t="shared" si="20"/>
        <v>10.563793103448274</v>
      </c>
      <c r="F68" s="43">
        <f>E68/E$78</f>
        <v>2.6787299138976546E-2</v>
      </c>
      <c r="G68">
        <f>F68*O$9</f>
        <v>1.2927550564470081E-2</v>
      </c>
      <c r="H68">
        <f t="shared" si="18"/>
        <v>3.9603551154254093E-3</v>
      </c>
      <c r="I68">
        <f t="shared" si="21"/>
        <v>-3.9603551154254093E-3</v>
      </c>
    </row>
    <row r="69" spans="1:9" x14ac:dyDescent="0.2">
      <c r="A69" t="s">
        <v>167</v>
      </c>
      <c r="B69" t="s">
        <v>166</v>
      </c>
      <c r="C69">
        <f t="shared" si="19"/>
        <v>3.4482758620689653</v>
      </c>
      <c r="D69">
        <v>65</v>
      </c>
      <c r="E69">
        <f t="shared" si="20"/>
        <v>2.2413793103448274</v>
      </c>
      <c r="F69" s="43">
        <f>E69/E$78</f>
        <v>5.6836116991463214E-3</v>
      </c>
      <c r="G69">
        <f>F69*O$9</f>
        <v>2.7429110060080146E-3</v>
      </c>
      <c r="H69">
        <f t="shared" si="18"/>
        <v>1.7828921539052094E-4</v>
      </c>
      <c r="I69">
        <f t="shared" si="21"/>
        <v>-1.7828921539052094E-4</v>
      </c>
    </row>
    <row r="70" spans="1:9" x14ac:dyDescent="0.2">
      <c r="A70" t="s">
        <v>125</v>
      </c>
      <c r="B70" t="s">
        <v>124</v>
      </c>
      <c r="C70">
        <f t="shared" si="19"/>
        <v>3.4482758620689653</v>
      </c>
      <c r="D70">
        <v>55</v>
      </c>
      <c r="E70">
        <f t="shared" si="20"/>
        <v>1.8965517241379308</v>
      </c>
      <c r="F70" s="43">
        <f>E70/E$78</f>
        <v>4.8092098992776567E-3</v>
      </c>
      <c r="G70">
        <f>F70*O$9</f>
        <v>2.3209246973913971E-3</v>
      </c>
      <c r="H70">
        <f t="shared" si="18"/>
        <v>1.2765085835652685E-4</v>
      </c>
      <c r="I70">
        <f t="shared" si="21"/>
        <v>-1.2765085835652685E-4</v>
      </c>
    </row>
    <row r="71" spans="1:9" x14ac:dyDescent="0.2">
      <c r="A71" t="s">
        <v>165</v>
      </c>
      <c r="B71" t="s">
        <v>164</v>
      </c>
      <c r="C71">
        <f t="shared" si="19"/>
        <v>3.4482758620689653</v>
      </c>
      <c r="D71">
        <v>558.68000000000006</v>
      </c>
      <c r="E71">
        <f t="shared" si="20"/>
        <v>19.264827586206899</v>
      </c>
      <c r="F71" s="43">
        <f>E71/E$78</f>
        <v>4.8851079755062581E-2</v>
      </c>
      <c r="G71">
        <f>F71*O$9</f>
        <v>2.3575531089793201E-2</v>
      </c>
      <c r="H71">
        <f t="shared" si="18"/>
        <v>1.3171177709245667E-2</v>
      </c>
      <c r="I71">
        <f t="shared" si="21"/>
        <v>-1.3171177709245667E-2</v>
      </c>
    </row>
    <row r="72" spans="1:9" x14ac:dyDescent="0.2">
      <c r="A72" t="s">
        <v>159</v>
      </c>
      <c r="B72" t="s">
        <v>158</v>
      </c>
      <c r="C72">
        <f t="shared" si="19"/>
        <v>3.4482758620689653</v>
      </c>
      <c r="D72">
        <v>399.5</v>
      </c>
      <c r="E72">
        <f t="shared" si="20"/>
        <v>13.775862068965516</v>
      </c>
      <c r="F72" s="43">
        <f>E72/E$78</f>
        <v>3.4932351904753162E-2</v>
      </c>
      <c r="G72">
        <f>F72*O$9</f>
        <v>1.6858353029233875E-2</v>
      </c>
      <c r="H72">
        <f t="shared" si="18"/>
        <v>6.7349120351789327E-3</v>
      </c>
      <c r="I72">
        <f t="shared" si="21"/>
        <v>-6.7349120351789327E-3</v>
      </c>
    </row>
    <row r="73" spans="1:9" x14ac:dyDescent="0.2">
      <c r="A73" t="s">
        <v>157</v>
      </c>
      <c r="B73" t="s">
        <v>156</v>
      </c>
      <c r="C73">
        <f t="shared" si="19"/>
        <v>3.4482758620689653</v>
      </c>
      <c r="D73">
        <v>245.14000000000001</v>
      </c>
      <c r="E73">
        <f t="shared" si="20"/>
        <v>8.4531034482758614</v>
      </c>
      <c r="F73" s="43">
        <f>E73/E$78</f>
        <v>2.1435085721980451E-2</v>
      </c>
      <c r="G73">
        <f>F73*O$9</f>
        <v>1.0344572369427764E-2</v>
      </c>
      <c r="H73" s="38">
        <f>G73*D73/1000</f>
        <v>2.5358684706415224E-3</v>
      </c>
      <c r="I73">
        <f t="shared" si="21"/>
        <v>-2.5358684706415224E-3</v>
      </c>
    </row>
    <row r="74" spans="1:9" x14ac:dyDescent="0.2">
      <c r="A74" t="s">
        <v>155</v>
      </c>
      <c r="B74" t="s">
        <v>154</v>
      </c>
      <c r="C74">
        <f t="shared" si="19"/>
        <v>3.4482758620689653</v>
      </c>
      <c r="D74">
        <v>783.61</v>
      </c>
      <c r="E74">
        <f t="shared" si="20"/>
        <v>27.021034482758619</v>
      </c>
      <c r="F74" s="43">
        <f>E74/E$78</f>
        <v>6.8518999439508455E-2</v>
      </c>
      <c r="G74">
        <f>F74*O$9</f>
        <v>3.3067269129506777E-2</v>
      </c>
      <c r="H74">
        <f t="shared" si="18"/>
        <v>2.5911842762572808E-2</v>
      </c>
      <c r="I74">
        <f t="shared" si="21"/>
        <v>-2.5911842762572808E-2</v>
      </c>
    </row>
    <row r="75" spans="1:9" x14ac:dyDescent="0.2">
      <c r="A75" t="s">
        <v>151</v>
      </c>
      <c r="B75" t="s">
        <v>150</v>
      </c>
      <c r="C75">
        <f>100/29</f>
        <v>3.4482758620689653</v>
      </c>
      <c r="D75">
        <v>763.56999999999994</v>
      </c>
      <c r="E75">
        <f t="shared" si="20"/>
        <v>26.329999999999995</v>
      </c>
      <c r="F75" s="43">
        <f>E75/E$78</f>
        <v>6.6766698232571642E-2</v>
      </c>
      <c r="G75">
        <f>F75*O$9</f>
        <v>3.2221608567039074E-2</v>
      </c>
      <c r="H75">
        <f t="shared" si="18"/>
        <v>2.4603453653534026E-2</v>
      </c>
      <c r="I75">
        <f t="shared" si="21"/>
        <v>-2.4603453653534026E-2</v>
      </c>
    </row>
    <row r="76" spans="1:9" x14ac:dyDescent="0.2">
      <c r="A76" t="s">
        <v>163</v>
      </c>
      <c r="B76" t="s">
        <v>162</v>
      </c>
      <c r="C76">
        <f>100/29</f>
        <v>3.4482758620689653</v>
      </c>
      <c r="D76">
        <v>740.43999999999994</v>
      </c>
      <c r="E76">
        <f t="shared" si="20"/>
        <v>25.532413793103448</v>
      </c>
      <c r="F76" s="43">
        <f>E76/E$78</f>
        <v>6.4744206869475421E-2</v>
      </c>
      <c r="G76">
        <f>F76*O$9</f>
        <v>3.1245554235208837E-2</v>
      </c>
      <c r="H76">
        <f t="shared" si="18"/>
        <v>2.3135458177918029E-2</v>
      </c>
      <c r="I76">
        <f t="shared" si="21"/>
        <v>-2.3135458177918029E-2</v>
      </c>
    </row>
    <row r="77" spans="1:9" x14ac:dyDescent="0.2">
      <c r="A77" t="s">
        <v>161</v>
      </c>
      <c r="B77" t="s">
        <v>160</v>
      </c>
      <c r="C77">
        <f t="shared" ref="C77" si="22">100/29</f>
        <v>3.4482758620689653</v>
      </c>
      <c r="D77">
        <v>662.48</v>
      </c>
      <c r="E77">
        <f t="shared" si="20"/>
        <v>22.844137931034485</v>
      </c>
      <c r="F77" s="43">
        <f>E77/E$78</f>
        <v>5.792737043769932E-2</v>
      </c>
      <c r="G77">
        <f>F77*O$9</f>
        <v>2.7955748973233691E-2</v>
      </c>
      <c r="H77">
        <f t="shared" si="18"/>
        <v>1.8520124579787856E-2</v>
      </c>
      <c r="I77">
        <f t="shared" si="21"/>
        <v>-1.8520124579787856E-2</v>
      </c>
    </row>
    <row r="78" spans="1:9" x14ac:dyDescent="0.2">
      <c r="E78" s="40">
        <f>SUM(E49:E77)</f>
        <v>394.35827586206892</v>
      </c>
    </row>
    <row r="80" spans="1:9" x14ac:dyDescent="0.2">
      <c r="F80" s="38"/>
    </row>
    <row r="81" spans="1:9" x14ac:dyDescent="0.2">
      <c r="E81" s="40"/>
      <c r="F81" s="38"/>
    </row>
    <row r="84" spans="1:9" x14ac:dyDescent="0.2">
      <c r="A84" t="s">
        <v>201</v>
      </c>
      <c r="B84" t="s">
        <v>200</v>
      </c>
      <c r="C84">
        <v>50</v>
      </c>
      <c r="D84">
        <v>148.32</v>
      </c>
      <c r="E84">
        <f>D84*C84/100</f>
        <v>74.16</v>
      </c>
      <c r="F84" s="43">
        <f>E84/E$86</f>
        <v>0.62183464698977031</v>
      </c>
      <c r="G84">
        <f>(H84/1000)*D84</f>
        <v>1.4223887999999999E-2</v>
      </c>
      <c r="H84">
        <v>9.5899999999999999E-2</v>
      </c>
      <c r="I84">
        <f t="shared" si="21"/>
        <v>-9.5899999999999999E-2</v>
      </c>
    </row>
    <row r="85" spans="1:9" x14ac:dyDescent="0.2">
      <c r="A85" t="s">
        <v>189</v>
      </c>
      <c r="B85" t="s">
        <v>188</v>
      </c>
      <c r="C85">
        <v>50</v>
      </c>
      <c r="D85">
        <v>90.2</v>
      </c>
      <c r="E85">
        <f>D85*C85/100</f>
        <v>45.1</v>
      </c>
      <c r="F85" s="43">
        <f>E85/E$86</f>
        <v>0.3781653530102298</v>
      </c>
      <c r="G85">
        <f>(H85/1000)*D85</f>
        <v>8.6501800000000004E-3</v>
      </c>
      <c r="H85">
        <v>9.5899999999999999E-2</v>
      </c>
      <c r="I85">
        <f t="shared" si="21"/>
        <v>-9.5899999999999999E-2</v>
      </c>
    </row>
    <row r="86" spans="1:9" x14ac:dyDescent="0.2">
      <c r="E86">
        <f>SUM(E84:E85)</f>
        <v>119.25999999999999</v>
      </c>
    </row>
    <row r="89" spans="1:9" x14ac:dyDescent="0.2">
      <c r="A89" s="44" t="s">
        <v>242</v>
      </c>
      <c r="B89" t="s">
        <v>243</v>
      </c>
      <c r="I89" s="44">
        <v>1</v>
      </c>
    </row>
    <row r="90" spans="1:9" x14ac:dyDescent="0.2">
      <c r="A90" s="44" t="s">
        <v>149</v>
      </c>
      <c r="B90" t="s">
        <v>148</v>
      </c>
      <c r="I90" s="44">
        <v>39.9969035331481</v>
      </c>
    </row>
    <row r="91" spans="1:9" x14ac:dyDescent="0.2">
      <c r="A91" s="44" t="s">
        <v>147</v>
      </c>
      <c r="B91" t="s">
        <v>146</v>
      </c>
      <c r="I91" s="44">
        <v>40</v>
      </c>
    </row>
    <row r="92" spans="1:9" x14ac:dyDescent="0.2">
      <c r="A92" s="44" t="s">
        <v>183</v>
      </c>
      <c r="B92" t="s">
        <v>182</v>
      </c>
      <c r="I92" s="44">
        <v>40</v>
      </c>
    </row>
    <row r="93" spans="1:9" x14ac:dyDescent="0.2">
      <c r="A93" t="s">
        <v>153</v>
      </c>
      <c r="B93" t="s">
        <v>152</v>
      </c>
      <c r="I93">
        <v>0.48459526854964802</v>
      </c>
    </row>
  </sheetData>
  <sortState ref="A48:B78">
    <sortCondition descending="1" ref="A48"/>
  </sortState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Overall Composition</vt:lpstr>
      <vt:lpstr>DNA</vt:lpstr>
      <vt:lpstr>RNA</vt:lpstr>
      <vt:lpstr>Protein and Amino Acids</vt:lpstr>
      <vt:lpstr>for figure</vt:lpstr>
      <vt:lpstr>Sheet1</vt:lpstr>
      <vt:lpstr>combined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Tubergen, Philip J (pjt7wd)</dc:creator>
  <cp:lastModifiedBy>Philip Tubergen</cp:lastModifiedBy>
  <dcterms:created xsi:type="dcterms:W3CDTF">2019-04-09T17:30:30Z</dcterms:created>
  <dcterms:modified xsi:type="dcterms:W3CDTF">2019-09-13T01:35:40Z</dcterms:modified>
</cp:coreProperties>
</file>