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520" windowHeight="15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T35" i="1"/>
  <c r="N47" i="1"/>
  <c r="N48" i="1"/>
  <c r="N49" i="1"/>
  <c r="N50" i="1"/>
  <c r="N51" i="1"/>
  <c r="N52" i="1"/>
  <c r="N53" i="1"/>
  <c r="N54" i="1"/>
  <c r="N55" i="1"/>
  <c r="N46" i="1"/>
  <c r="F7" i="1"/>
  <c r="D9" i="1"/>
  <c r="L34" i="1"/>
  <c r="C34" i="1"/>
  <c r="L9" i="1"/>
  <c r="L8" i="1"/>
  <c r="E24" i="1"/>
  <c r="F24" i="1"/>
  <c r="G25" i="1"/>
  <c r="C36" i="1"/>
  <c r="C35" i="1"/>
  <c r="G24" i="1"/>
  <c r="C12" i="1"/>
  <c r="L37" i="1"/>
  <c r="C38" i="1"/>
  <c r="O37" i="1"/>
  <c r="R37" i="1"/>
  <c r="C23" i="1"/>
  <c r="V43" i="1"/>
  <c r="V42" i="1"/>
  <c r="V41" i="1"/>
  <c r="V40" i="1"/>
  <c r="V39" i="1"/>
  <c r="V38" i="1"/>
  <c r="V37" i="1"/>
  <c r="V36" i="1"/>
  <c r="V35" i="1"/>
  <c r="V34" i="1"/>
  <c r="U35" i="1"/>
  <c r="U36" i="1"/>
  <c r="U37" i="1"/>
  <c r="U38" i="1"/>
  <c r="U39" i="1"/>
  <c r="U40" i="1"/>
  <c r="U41" i="1"/>
  <c r="U42" i="1"/>
  <c r="U43" i="1"/>
  <c r="U34" i="1"/>
  <c r="T36" i="1"/>
  <c r="T37" i="1"/>
  <c r="T38" i="1"/>
  <c r="T39" i="1"/>
  <c r="T40" i="1"/>
  <c r="T41" i="1"/>
  <c r="T42" i="1"/>
  <c r="T43" i="1"/>
  <c r="T34" i="1"/>
  <c r="S43" i="1"/>
  <c r="S42" i="1"/>
  <c r="S41" i="1"/>
  <c r="S40" i="1"/>
  <c r="S39" i="1"/>
  <c r="S38" i="1"/>
  <c r="S37" i="1"/>
  <c r="S36" i="1"/>
  <c r="N35" i="1"/>
  <c r="Q35" i="1"/>
  <c r="S35" i="1"/>
  <c r="O34" i="1"/>
  <c r="R34" i="1"/>
  <c r="S34" i="1"/>
  <c r="R35" i="1"/>
  <c r="R36" i="1"/>
  <c r="R38" i="1"/>
  <c r="R39" i="1"/>
  <c r="R40" i="1"/>
  <c r="R41" i="1"/>
  <c r="R42" i="1"/>
  <c r="R43" i="1"/>
  <c r="Q36" i="1"/>
  <c r="Q37" i="1"/>
  <c r="Q38" i="1"/>
  <c r="Q39" i="1"/>
  <c r="Q40" i="1"/>
  <c r="Q41" i="1"/>
  <c r="Q42" i="1"/>
  <c r="Q43" i="1"/>
  <c r="Q34" i="1"/>
  <c r="P43" i="1"/>
  <c r="P42" i="1"/>
  <c r="P41" i="1"/>
  <c r="P40" i="1"/>
  <c r="P39" i="1"/>
  <c r="P38" i="1"/>
  <c r="P37" i="1"/>
  <c r="P36" i="1"/>
  <c r="P35" i="1"/>
  <c r="P34" i="1"/>
  <c r="O43" i="1"/>
  <c r="O42" i="1"/>
  <c r="O41" i="1"/>
  <c r="O40" i="1"/>
  <c r="O39" i="1"/>
  <c r="O38" i="1"/>
  <c r="O36" i="1"/>
  <c r="O35" i="1"/>
  <c r="N43" i="1"/>
  <c r="N42" i="1"/>
  <c r="N41" i="1"/>
  <c r="N40" i="1"/>
  <c r="N39" i="1"/>
  <c r="N38" i="1"/>
  <c r="N37" i="1"/>
  <c r="N36" i="1"/>
  <c r="N34" i="1"/>
  <c r="C4" i="1"/>
  <c r="C11" i="1"/>
  <c r="L43" i="1"/>
  <c r="L42" i="1"/>
  <c r="L41" i="1"/>
  <c r="L40" i="1"/>
  <c r="L39" i="1"/>
  <c r="L38" i="1"/>
  <c r="L36" i="1"/>
  <c r="L35" i="1"/>
  <c r="C43" i="1"/>
  <c r="C42" i="1"/>
  <c r="C41" i="1"/>
  <c r="C40" i="1"/>
  <c r="C39" i="1"/>
  <c r="C37" i="1"/>
  <c r="C16" i="1"/>
  <c r="C15" i="1"/>
  <c r="C14" i="1"/>
  <c r="C13" i="1"/>
  <c r="C10" i="1"/>
  <c r="C9" i="1"/>
  <c r="C8" i="1"/>
  <c r="C7" i="1"/>
  <c r="I34" i="1"/>
  <c r="I35" i="1"/>
  <c r="I36" i="1"/>
  <c r="I37" i="1"/>
  <c r="I38" i="1"/>
  <c r="I39" i="1"/>
  <c r="I40" i="1"/>
  <c r="I41" i="1"/>
  <c r="I42" i="1"/>
  <c r="I43" i="1"/>
  <c r="F34" i="1"/>
  <c r="F35" i="1"/>
  <c r="F36" i="1"/>
  <c r="F37" i="1"/>
  <c r="F38" i="1"/>
  <c r="F39" i="1"/>
  <c r="F40" i="1"/>
  <c r="F41" i="1"/>
  <c r="F42" i="1"/>
  <c r="F43" i="1"/>
  <c r="F8" i="1"/>
  <c r="F9" i="1"/>
  <c r="L10" i="1"/>
  <c r="F10" i="1"/>
  <c r="L11" i="1"/>
  <c r="F11" i="1"/>
  <c r="L12" i="1"/>
  <c r="F12" i="1"/>
  <c r="L13" i="1"/>
  <c r="F13" i="1"/>
  <c r="L14" i="1"/>
  <c r="F14" i="1"/>
  <c r="L15" i="1"/>
  <c r="F15" i="1"/>
  <c r="L16" i="1"/>
  <c r="F16" i="1"/>
  <c r="L7" i="1"/>
  <c r="M43" i="1"/>
  <c r="M42" i="1"/>
  <c r="M41" i="1"/>
  <c r="M40" i="1"/>
  <c r="M39" i="1"/>
  <c r="M38" i="1"/>
  <c r="M37" i="1"/>
  <c r="M36" i="1"/>
  <c r="M35" i="1"/>
  <c r="M34" i="1"/>
  <c r="J43" i="1"/>
  <c r="J42" i="1"/>
  <c r="J41" i="1"/>
  <c r="J40" i="1"/>
  <c r="J39" i="1"/>
  <c r="J38" i="1"/>
  <c r="J37" i="1"/>
  <c r="J36" i="1"/>
  <c r="J35" i="1"/>
  <c r="J34" i="1"/>
  <c r="G43" i="1"/>
  <c r="G42" i="1"/>
  <c r="G41" i="1"/>
  <c r="G40" i="1"/>
  <c r="G39" i="1"/>
  <c r="G38" i="1"/>
  <c r="G37" i="1"/>
  <c r="G36" i="1"/>
  <c r="G35" i="1"/>
  <c r="G34" i="1"/>
  <c r="D43" i="1"/>
  <c r="D42" i="1"/>
  <c r="D41" i="1"/>
  <c r="D40" i="1"/>
  <c r="D39" i="1"/>
  <c r="D38" i="1"/>
  <c r="D37" i="1"/>
  <c r="D36" i="1"/>
  <c r="D35" i="1"/>
  <c r="D34" i="1"/>
  <c r="I8" i="1"/>
  <c r="I9" i="1"/>
  <c r="I10" i="1"/>
  <c r="I11" i="1"/>
  <c r="I12" i="1"/>
  <c r="I13" i="1"/>
  <c r="I14" i="1"/>
  <c r="I15" i="1"/>
  <c r="I16" i="1"/>
  <c r="I7" i="1"/>
  <c r="C30" i="1"/>
  <c r="C29" i="1"/>
  <c r="C28" i="1"/>
  <c r="C27" i="1"/>
  <c r="C26" i="1"/>
  <c r="C25" i="1"/>
  <c r="C24" i="1"/>
  <c r="C22" i="1"/>
  <c r="C21" i="1"/>
  <c r="A30" i="1"/>
  <c r="A26" i="1"/>
  <c r="A25" i="1"/>
  <c r="A24" i="1"/>
  <c r="A23" i="1"/>
  <c r="A22" i="1"/>
  <c r="A21" i="1"/>
  <c r="A27" i="1"/>
  <c r="A28" i="1"/>
  <c r="A29" i="1"/>
  <c r="B4" i="1"/>
  <c r="M16" i="1"/>
  <c r="M15" i="1"/>
  <c r="M14" i="1"/>
  <c r="M13" i="1"/>
  <c r="M12" i="1"/>
  <c r="M11" i="1"/>
  <c r="M10" i="1"/>
  <c r="M9" i="1"/>
  <c r="M8" i="1"/>
  <c r="M7" i="1"/>
  <c r="J16" i="1"/>
  <c r="J15" i="1"/>
  <c r="J14" i="1"/>
  <c r="J13" i="1"/>
  <c r="J12" i="1"/>
  <c r="J11" i="1"/>
  <c r="J10" i="1"/>
  <c r="J9" i="1"/>
  <c r="J8" i="1"/>
  <c r="J7" i="1"/>
  <c r="G8" i="1"/>
  <c r="G9" i="1"/>
  <c r="G10" i="1"/>
  <c r="G11" i="1"/>
  <c r="G12" i="1"/>
  <c r="G13" i="1"/>
  <c r="G14" i="1"/>
  <c r="G15" i="1"/>
  <c r="G16" i="1"/>
  <c r="G7" i="1"/>
  <c r="D7" i="1"/>
  <c r="D8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<sst xmlns="http://schemas.openxmlformats.org/spreadsheetml/2006/main" count="74" uniqueCount="31">
  <si>
    <t>Cap Values in Farads</t>
  </si>
  <si>
    <t>Equivalent Cap/Resistance</t>
  </si>
  <si>
    <t>V_c (peak to peak) (Volts)</t>
  </si>
  <si>
    <t>t1 (microsec)</t>
  </si>
  <si>
    <t>%diff</t>
  </si>
  <si>
    <t>(CALCULATED)</t>
  </si>
  <si>
    <t>V_c ( Volts)</t>
  </si>
  <si>
    <t>(MEASURED)</t>
  </si>
  <si>
    <t>Period (millisec)</t>
  </si>
  <si>
    <t>Resistor Values Ohms</t>
  </si>
  <si>
    <t>Phase (deg)</t>
  </si>
  <si>
    <t xml:space="preserve"> Source Voltage (Vpp)</t>
  </si>
  <si>
    <t>I fucked up</t>
  </si>
  <si>
    <t>So here's the waffles</t>
  </si>
  <si>
    <t>as f changes</t>
  </si>
  <si>
    <t>Frequency (Hz)</t>
  </si>
  <si>
    <t>X_C</t>
  </si>
  <si>
    <t>CAPACITOR</t>
  </si>
  <si>
    <t>RESISTOR</t>
  </si>
  <si>
    <t>Note: t1 = (PhaseAngle)*(Period)/(360)</t>
  </si>
  <si>
    <t>Our data</t>
  </si>
  <si>
    <t>V_r (peak to peak) (Volts)</t>
  </si>
  <si>
    <t>V_r ( Volts)</t>
  </si>
  <si>
    <t>Current (A)</t>
  </si>
  <si>
    <t>Impedence</t>
  </si>
  <si>
    <t>Impedence Phase</t>
  </si>
  <si>
    <t>volts</t>
  </si>
  <si>
    <t>x_c</t>
  </si>
  <si>
    <t>waffles</t>
  </si>
  <si>
    <t>frequency</t>
  </si>
  <si>
    <t>Current in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</si>
</sst>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E+00"/>
    <numFmt numFmtId="167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11" fontId="0" fillId="0" borderId="0" xfId="0" applyNumberFormat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11" fontId="0" fillId="0" borderId="0" xfId="0" applyNumberFormat="1" applyFill="1"/>
    <xf numFmtId="2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2" xfId="0" applyFill="1" applyBorder="1"/>
    <xf numFmtId="2" fontId="0" fillId="2" borderId="2" xfId="0" applyNumberFormat="1" applyFill="1" applyBorder="1"/>
    <xf numFmtId="2" fontId="0" fillId="3" borderId="3" xfId="0" applyNumberFormat="1" applyFill="1" applyBorder="1"/>
    <xf numFmtId="0" fontId="0" fillId="0" borderId="1" xfId="0" applyBorder="1"/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3" borderId="10" xfId="0" applyFill="1" applyBorder="1"/>
    <xf numFmtId="0" fontId="0" fillId="3" borderId="11" xfId="0" applyFill="1" applyBorder="1"/>
    <xf numFmtId="0" fontId="0" fillId="4" borderId="2" xfId="0" applyFill="1" applyBorder="1"/>
    <xf numFmtId="11" fontId="0" fillId="0" borderId="0" xfId="0" applyNumberFormat="1" applyBorder="1"/>
    <xf numFmtId="0" fontId="0" fillId="5" borderId="2" xfId="0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5" borderId="4" xfId="0" applyFill="1" applyBorder="1"/>
    <xf numFmtId="164" fontId="0" fillId="5" borderId="3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3" fillId="6" borderId="3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5" xfId="0" applyFill="1" applyBorder="1"/>
    <xf numFmtId="0" fontId="3" fillId="6" borderId="10" xfId="0" applyFont="1" applyFill="1" applyBorder="1"/>
    <xf numFmtId="166" fontId="0" fillId="2" borderId="4" xfId="0" applyNumberFormat="1" applyFill="1" applyBorder="1"/>
    <xf numFmtId="166" fontId="0" fillId="5" borderId="1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NumberFormat="1"/>
    <xf numFmtId="0" fontId="0" fillId="0" borderId="7" xfId="0" applyNumberFormat="1" applyBorder="1"/>
    <xf numFmtId="2" fontId="0" fillId="0" borderId="1" xfId="0" applyNumberFormat="1" applyBorder="1"/>
    <xf numFmtId="0" fontId="0" fillId="4" borderId="8" xfId="0" applyFill="1" applyBorder="1"/>
    <xf numFmtId="1" fontId="0" fillId="0" borderId="1" xfId="0" applyNumberFormat="1" applyBorder="1"/>
    <xf numFmtId="164" fontId="0" fillId="0" borderId="1" xfId="0" applyNumberFormat="1" applyBorder="1"/>
  </cellXfs>
  <cellStyles count="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V_c and V_r Vs Frequency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V_c Measured</c:v>
          </c:tx>
          <c:xVal>
            <c:numRef>
              <c:f>Sheet1!$A$7:$A$16</c:f>
              <c:numCache>
                <c:formatCode>0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4.978</c:v>
                </c:pt>
                <c:pt idx="1">
                  <c:v>5.46</c:v>
                </c:pt>
                <c:pt idx="2">
                  <c:v>5.38</c:v>
                </c:pt>
                <c:pt idx="3">
                  <c:v>5.3</c:v>
                </c:pt>
                <c:pt idx="4">
                  <c:v>5.17</c:v>
                </c:pt>
                <c:pt idx="5">
                  <c:v>4.28</c:v>
                </c:pt>
                <c:pt idx="6">
                  <c:v>3.1</c:v>
                </c:pt>
                <c:pt idx="7">
                  <c:v>2.32</c:v>
                </c:pt>
                <c:pt idx="8">
                  <c:v>1.76</c:v>
                </c:pt>
                <c:pt idx="9">
                  <c:v>1.45</c:v>
                </c:pt>
              </c:numCache>
            </c:numRef>
          </c:yVal>
          <c:smooth val="1"/>
        </c:ser>
        <c:ser>
          <c:idx val="1"/>
          <c:order val="1"/>
          <c:tx>
            <c:v>V_r Measured</c:v>
          </c:tx>
          <c:xVal>
            <c:numRef>
              <c:f>Sheet1!$A$7:$A$16</c:f>
              <c:numCache>
                <c:formatCode>0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4000.0</c:v>
                </c:pt>
                <c:pt idx="9">
                  <c:v>5000.0</c:v>
                </c:pt>
              </c:numCache>
            </c:numRef>
          </c:xVal>
          <c:yVal>
            <c:numRef>
              <c:f>Sheet1!$B$34:$B$43</c:f>
              <c:numCache>
                <c:formatCode>General</c:formatCode>
                <c:ptCount val="10"/>
                <c:pt idx="0">
                  <c:v>0.324</c:v>
                </c:pt>
                <c:pt idx="1">
                  <c:v>0.736</c:v>
                </c:pt>
                <c:pt idx="2">
                  <c:v>0.946</c:v>
                </c:pt>
                <c:pt idx="3">
                  <c:v>1.22</c:v>
                </c:pt>
                <c:pt idx="4">
                  <c:v>1.52</c:v>
                </c:pt>
                <c:pt idx="5">
                  <c:v>2.66</c:v>
                </c:pt>
                <c:pt idx="6">
                  <c:v>3.8</c:v>
                </c:pt>
                <c:pt idx="7">
                  <c:v>4.32</c:v>
                </c:pt>
                <c:pt idx="8">
                  <c:v>4.52</c:v>
                </c:pt>
                <c:pt idx="9">
                  <c:v>4.68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60952"/>
        <c:axId val="2134319928"/>
      </c:scatterChart>
      <c:valAx>
        <c:axId val="-21465609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4319928"/>
        <c:crosses val="autoZero"/>
        <c:crossBetween val="midCat"/>
      </c:valAx>
      <c:valAx>
        <c:axId val="21343199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(volts)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56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469900</xdr:colOff>
      <xdr:row>14</xdr:row>
      <xdr:rowOff>107950</xdr:rowOff>
    </xdr:from>
    <xdr:to>
      <xdr:col>33</xdr:col>
      <xdr:colOff>12700</xdr:colOff>
      <xdr:row>44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I22" sqref="I22"/>
    </sheetView>
  </sheetViews>
  <sheetFormatPr baseColWidth="10" defaultRowHeight="15" x14ac:dyDescent="0"/>
  <cols>
    <col min="1" max="1" width="22.6640625" customWidth="1"/>
    <col min="2" max="2" width="23" customWidth="1"/>
    <col min="3" max="3" width="18.1640625" customWidth="1"/>
    <col min="4" max="4" width="9.1640625" customWidth="1"/>
    <col min="5" max="5" width="11.83203125" customWidth="1"/>
    <col min="6" max="6" width="13.5" customWidth="1"/>
    <col min="7" max="7" width="8.5" customWidth="1"/>
    <col min="8" max="8" width="14.33203125" customWidth="1"/>
    <col min="9" max="9" width="13.6640625" customWidth="1"/>
    <col min="10" max="10" width="8" customWidth="1"/>
    <col min="11" max="11" width="11.6640625" customWidth="1"/>
    <col min="12" max="12" width="12.33203125" customWidth="1"/>
    <col min="13" max="13" width="8" customWidth="1"/>
    <col min="14" max="14" width="13" customWidth="1"/>
    <col min="15" max="15" width="12.6640625" customWidth="1"/>
    <col min="16" max="16" width="7.6640625" customWidth="1"/>
    <col min="17" max="17" width="11.6640625" customWidth="1"/>
    <col min="18" max="18" width="13" customWidth="1"/>
    <col min="19" max="19" width="7.83203125" customWidth="1"/>
    <col min="20" max="21" width="15.83203125" customWidth="1"/>
    <col min="22" max="22" width="8.1640625" customWidth="1"/>
    <col min="23" max="23" width="13.5" customWidth="1"/>
  </cols>
  <sheetData>
    <row r="1" spans="1:13">
      <c r="A1" s="29" t="s">
        <v>11</v>
      </c>
      <c r="B1" s="29" t="s">
        <v>0</v>
      </c>
      <c r="C1" s="29" t="s">
        <v>9</v>
      </c>
      <c r="E1" t="s">
        <v>19</v>
      </c>
    </row>
    <row r="2" spans="1:13">
      <c r="A2" s="23">
        <v>5</v>
      </c>
      <c r="B2" s="38">
        <v>2.354E-7</v>
      </c>
      <c r="C2" s="24">
        <v>992.9</v>
      </c>
      <c r="D2" s="1"/>
    </row>
    <row r="3" spans="1:13">
      <c r="B3" s="38">
        <v>2.0900000000000001E-7</v>
      </c>
    </row>
    <row r="4" spans="1:13">
      <c r="A4" s="11" t="s">
        <v>1</v>
      </c>
      <c r="B4" s="37">
        <f>((B2^-1)+(B3^-1))^-1</f>
        <v>1.107079207920792E-7</v>
      </c>
      <c r="C4" s="12">
        <f>C2</f>
        <v>992.9</v>
      </c>
      <c r="D4" s="5"/>
    </row>
    <row r="5" spans="1:13">
      <c r="A5" s="47" t="s">
        <v>17</v>
      </c>
      <c r="B5" s="30" t="s">
        <v>7</v>
      </c>
      <c r="C5" s="33" t="s">
        <v>5</v>
      </c>
      <c r="D5" s="15"/>
      <c r="E5" s="30" t="s">
        <v>7</v>
      </c>
      <c r="F5" s="35" t="s">
        <v>5</v>
      </c>
      <c r="G5" s="17"/>
      <c r="H5" s="33" t="s">
        <v>7</v>
      </c>
      <c r="I5" s="35" t="s">
        <v>5</v>
      </c>
      <c r="J5" s="17"/>
      <c r="K5" s="33" t="s">
        <v>7</v>
      </c>
      <c r="L5" s="33" t="s">
        <v>5</v>
      </c>
      <c r="M5" s="15"/>
    </row>
    <row r="6" spans="1:13">
      <c r="A6" s="29" t="s">
        <v>15</v>
      </c>
      <c r="B6" s="29" t="s">
        <v>2</v>
      </c>
      <c r="C6" s="29" t="s">
        <v>6</v>
      </c>
      <c r="D6" s="2" t="s">
        <v>4</v>
      </c>
      <c r="E6" s="31" t="s">
        <v>3</v>
      </c>
      <c r="F6" s="34" t="s">
        <v>3</v>
      </c>
      <c r="G6" s="18" t="s">
        <v>4</v>
      </c>
      <c r="H6" s="36" t="s">
        <v>8</v>
      </c>
      <c r="I6" s="34" t="s">
        <v>8</v>
      </c>
      <c r="J6" s="18" t="s">
        <v>4</v>
      </c>
      <c r="K6" s="29" t="s">
        <v>10</v>
      </c>
      <c r="L6" s="29" t="s">
        <v>10</v>
      </c>
      <c r="M6" s="2" t="s">
        <v>4</v>
      </c>
    </row>
    <row r="7" spans="1:13">
      <c r="A7" s="48">
        <v>100</v>
      </c>
      <c r="B7" s="14">
        <v>4.9779999999999998</v>
      </c>
      <c r="C7" s="49">
        <f>(C21*5)/SQRT(C4^2+C21^2)</f>
        <v>4.988117226510183</v>
      </c>
      <c r="D7" s="6">
        <f>((C7-B7)/C7)*100</f>
        <v>0.20282655861441098</v>
      </c>
      <c r="E7">
        <v>72.400000000000006</v>
      </c>
      <c r="F7" s="7">
        <f>L7*I7*-1000/360</f>
        <v>109.74761334394535</v>
      </c>
      <c r="G7" s="13">
        <f>((F7-E7)/F7)*100</f>
        <v>34.030456067321637</v>
      </c>
      <c r="H7">
        <v>10</v>
      </c>
      <c r="I7" s="7">
        <f>(1/A7)*1000</f>
        <v>10</v>
      </c>
      <c r="J7" s="13">
        <f>((I7-H7)/I7)*100</f>
        <v>0</v>
      </c>
      <c r="K7" s="14">
        <v>-5.45</v>
      </c>
      <c r="L7" s="46">
        <f>ATAN( (-1*C4) /C21 ) * 180 / PI()</f>
        <v>-3.9509140803820322</v>
      </c>
      <c r="M7" s="6">
        <f>((L7-K7)/L7)*100</f>
        <v>-37.942761829764073</v>
      </c>
    </row>
    <row r="8" spans="1:13">
      <c r="A8" s="48">
        <v>200</v>
      </c>
      <c r="B8" s="14">
        <v>5.46</v>
      </c>
      <c r="C8" s="49">
        <f>(C22*5)/SQRT(C4^2+C22^2)</f>
        <v>4.9529708691521916</v>
      </c>
      <c r="D8" s="6">
        <f t="shared" ref="D8:D16" si="0">((C8-B8)/C8)*100</f>
        <v>-10.236868825650843</v>
      </c>
      <c r="E8">
        <v>109.8</v>
      </c>
      <c r="F8" s="7">
        <f t="shared" ref="F8:F16" si="1">L8*I8*-1000/360</f>
        <v>109.23067178788081</v>
      </c>
      <c r="G8" s="6">
        <f t="shared" ref="G8:G16" si="2">((F8-E8)/F8)*100</f>
        <v>-0.52121643380971661</v>
      </c>
      <c r="H8">
        <v>5</v>
      </c>
      <c r="I8" s="7">
        <f t="shared" ref="I8:I16" si="3">(1/A8)*1000</f>
        <v>5</v>
      </c>
      <c r="J8" s="6">
        <f t="shared" ref="J8:J16" si="4">((I8-H8)/I8)*100</f>
        <v>0</v>
      </c>
      <c r="K8" s="14">
        <v>-7.91</v>
      </c>
      <c r="L8" s="46">
        <f>ATAN( (-1*C4) / C22 ) *180/PI()</f>
        <v>-7.8646083687274189</v>
      </c>
      <c r="M8" s="6">
        <f t="shared" ref="M8:M16" si="5">((L8-K8)/L8)*100</f>
        <v>-0.57716327558121183</v>
      </c>
    </row>
    <row r="9" spans="1:13">
      <c r="A9" s="48">
        <v>300</v>
      </c>
      <c r="B9" s="14">
        <v>5.38</v>
      </c>
      <c r="C9" s="49">
        <f>(C23*5)/SQRT(C4^2+C23^2)</f>
        <v>4.8960091774792485</v>
      </c>
      <c r="D9" s="6">
        <f>((C9-B9)/C9)*100</f>
        <v>-9.8854149364552093</v>
      </c>
      <c r="E9">
        <v>108.8</v>
      </c>
      <c r="F9" s="7">
        <f t="shared" si="1"/>
        <v>108.388193142768</v>
      </c>
      <c r="G9" s="6">
        <f t="shared" si="2"/>
        <v>-0.3799370072435525</v>
      </c>
      <c r="H9">
        <v>3.33</v>
      </c>
      <c r="I9" s="7">
        <f t="shared" si="3"/>
        <v>3.3333333333333335</v>
      </c>
      <c r="J9" s="6">
        <f t="shared" si="4"/>
        <v>0.1000000000000023</v>
      </c>
      <c r="K9" s="14">
        <v>-11.52</v>
      </c>
      <c r="L9" s="46">
        <f>ATAN( (-1*C4) / C23 ) *180/PI()</f>
        <v>-11.705924859418944</v>
      </c>
      <c r="M9" s="6">
        <f t="shared" si="5"/>
        <v>1.5882970517220096</v>
      </c>
    </row>
    <row r="10" spans="1:13">
      <c r="A10" s="48">
        <v>400</v>
      </c>
      <c r="B10" s="14">
        <v>5.3</v>
      </c>
      <c r="C10" s="49">
        <f>(C24*5)/SQRT(C4^2+C24^2)</f>
        <v>4.8194663558298725</v>
      </c>
      <c r="D10" s="6">
        <f t="shared" si="0"/>
        <v>-9.970681579483367</v>
      </c>
      <c r="E10">
        <v>106.2</v>
      </c>
      <c r="F10" s="7">
        <f t="shared" si="1"/>
        <v>107.24688666181144</v>
      </c>
      <c r="G10" s="6">
        <f t="shared" si="2"/>
        <v>0.97614643594518269</v>
      </c>
      <c r="H10">
        <v>2.5</v>
      </c>
      <c r="I10" s="7">
        <f t="shared" si="3"/>
        <v>2.5</v>
      </c>
      <c r="J10" s="6">
        <f t="shared" si="4"/>
        <v>0</v>
      </c>
      <c r="K10" s="14">
        <v>-15.19</v>
      </c>
      <c r="L10" s="46">
        <f>ATAN( (-1*C4) / C24 ) *180/PI()</f>
        <v>-15.443551679300848</v>
      </c>
      <c r="M10" s="6">
        <f t="shared" si="5"/>
        <v>1.6417964245924481</v>
      </c>
    </row>
    <row r="11" spans="1:13">
      <c r="A11" s="48">
        <v>500</v>
      </c>
      <c r="B11" s="14">
        <v>5.17</v>
      </c>
      <c r="C11" s="49">
        <f>(C25*5)/SQRT(C4^2+C25^2)</f>
        <v>4.7261329274008999</v>
      </c>
      <c r="D11" s="6">
        <f t="shared" si="0"/>
        <v>-9.391760228022223</v>
      </c>
      <c r="E11">
        <v>96.64</v>
      </c>
      <c r="F11" s="7">
        <f t="shared" si="1"/>
        <v>105.84066521118146</v>
      </c>
      <c r="G11" s="6">
        <f t="shared" si="2"/>
        <v>8.6929397059472198</v>
      </c>
      <c r="H11">
        <v>2</v>
      </c>
      <c r="I11" s="7">
        <f t="shared" si="3"/>
        <v>2</v>
      </c>
      <c r="J11" s="6">
        <f t="shared" si="4"/>
        <v>0</v>
      </c>
      <c r="K11" s="14">
        <v>-17.39</v>
      </c>
      <c r="L11" s="46">
        <f>ATAN( (-1*C4) / C25 )*180/PI()</f>
        <v>-19.051319738012662</v>
      </c>
      <c r="M11" s="6">
        <f t="shared" si="5"/>
        <v>8.720234402963003</v>
      </c>
    </row>
    <row r="12" spans="1:13">
      <c r="A12" s="48">
        <v>1000</v>
      </c>
      <c r="B12" s="14">
        <v>4.28</v>
      </c>
      <c r="C12" s="49">
        <f>(C26*5)/SQRT(C4^2+C26^2)</f>
        <v>4.1141315992010874</v>
      </c>
      <c r="D12" s="6">
        <f t="shared" si="0"/>
        <v>-4.0316746511249768</v>
      </c>
      <c r="E12">
        <v>99.9</v>
      </c>
      <c r="F12" s="7">
        <f t="shared" si="1"/>
        <v>96.197977035621065</v>
      </c>
      <c r="G12" s="6">
        <f t="shared" si="2"/>
        <v>-3.8483376454040417</v>
      </c>
      <c r="H12">
        <v>1</v>
      </c>
      <c r="I12" s="7">
        <f t="shared" si="3"/>
        <v>1</v>
      </c>
      <c r="J12" s="6">
        <f t="shared" si="4"/>
        <v>0</v>
      </c>
      <c r="K12" s="14">
        <v>-35.18</v>
      </c>
      <c r="L12" s="46">
        <f>ATAN( (-1*C4) / C26 )*180/PI()</f>
        <v>-34.631271732823578</v>
      </c>
      <c r="M12" s="6">
        <f t="shared" si="5"/>
        <v>-1.5844877757011055</v>
      </c>
    </row>
    <row r="13" spans="1:13">
      <c r="A13" s="48">
        <v>2000</v>
      </c>
      <c r="B13" s="14">
        <v>3.1</v>
      </c>
      <c r="C13" s="49">
        <f>(C27*5)/SQRT(C4^2+C27^2)</f>
        <v>2.9320380285765659</v>
      </c>
      <c r="D13" s="6">
        <f t="shared" si="0"/>
        <v>-5.7285058988466009</v>
      </c>
      <c r="E13">
        <v>75.5</v>
      </c>
      <c r="F13" s="7">
        <f t="shared" si="1"/>
        <v>75.135426018949971</v>
      </c>
      <c r="G13" s="6">
        <f t="shared" si="2"/>
        <v>-0.48522248474119156</v>
      </c>
      <c r="H13">
        <v>0.5</v>
      </c>
      <c r="I13" s="7">
        <f t="shared" si="3"/>
        <v>0.5</v>
      </c>
      <c r="J13" s="6">
        <f t="shared" si="4"/>
        <v>0</v>
      </c>
      <c r="K13" s="14">
        <v>-53.4</v>
      </c>
      <c r="L13" s="46">
        <f>ATAN( (-1*C4) /C27  )*180/PI()</f>
        <v>-54.097506733643982</v>
      </c>
      <c r="M13" s="6">
        <f t="shared" si="5"/>
        <v>1.2893509807730095</v>
      </c>
    </row>
    <row r="14" spans="1:13">
      <c r="A14" s="48">
        <v>3000</v>
      </c>
      <c r="B14" s="14">
        <v>2.3199999999999998</v>
      </c>
      <c r="C14" s="49">
        <f>(C28*5)/SQRT(C4^2+C28^2)</f>
        <v>2.1732770615905626</v>
      </c>
      <c r="D14" s="6">
        <f t="shared" si="0"/>
        <v>-6.7512302505072563</v>
      </c>
      <c r="E14">
        <v>56.44</v>
      </c>
      <c r="F14" s="7">
        <f t="shared" si="1"/>
        <v>59.478361797939257</v>
      </c>
      <c r="G14" s="6">
        <f t="shared" si="2"/>
        <v>5.1083481556893346</v>
      </c>
      <c r="H14">
        <v>0.33300000000000002</v>
      </c>
      <c r="I14" s="7">
        <f t="shared" si="3"/>
        <v>0.33333333333333331</v>
      </c>
      <c r="J14" s="6">
        <f t="shared" si="4"/>
        <v>9.9999999999988987E-2</v>
      </c>
      <c r="K14" s="14">
        <v>-66.7</v>
      </c>
      <c r="L14" s="46">
        <f>ATAN( (-1*C4) /C28  )*180/PI()</f>
        <v>-64.236630741774391</v>
      </c>
      <c r="M14" s="6">
        <f t="shared" si="5"/>
        <v>-3.8348357156653181</v>
      </c>
    </row>
    <row r="15" spans="1:13">
      <c r="A15" s="48">
        <v>4000</v>
      </c>
      <c r="B15" s="14">
        <v>1.76</v>
      </c>
      <c r="C15" s="49">
        <f>(C29*5)/SQRT(C4^2+C29^2)</f>
        <v>1.7018056861117437</v>
      </c>
      <c r="D15" s="6">
        <f t="shared" si="0"/>
        <v>-3.4195627834114082</v>
      </c>
      <c r="E15">
        <v>48.03</v>
      </c>
      <c r="F15" s="7">
        <f t="shared" si="1"/>
        <v>48.681334707183801</v>
      </c>
      <c r="G15" s="6">
        <f t="shared" si="2"/>
        <v>1.3379557300586578</v>
      </c>
      <c r="H15">
        <v>0.25</v>
      </c>
      <c r="I15" s="7">
        <f t="shared" si="3"/>
        <v>0.25</v>
      </c>
      <c r="J15" s="6">
        <f t="shared" si="4"/>
        <v>0</v>
      </c>
      <c r="K15" s="14">
        <v>-70.069999999999993</v>
      </c>
      <c r="L15" s="46">
        <f>ATAN( (-1*C4) / C29 )*180/PI()</f>
        <v>-70.101121978344679</v>
      </c>
      <c r="M15" s="6">
        <f t="shared" si="5"/>
        <v>4.4395834854540482E-2</v>
      </c>
    </row>
    <row r="16" spans="1:13">
      <c r="A16" s="48">
        <v>5000</v>
      </c>
      <c r="B16" s="14">
        <v>1.45</v>
      </c>
      <c r="C16" s="49">
        <f>(C30*5)/SQRT(C4^2+C30^2)</f>
        <v>1.3907536948938373</v>
      </c>
      <c r="D16" s="6">
        <f t="shared" si="0"/>
        <v>-4.2600142155786429</v>
      </c>
      <c r="E16" s="16">
        <v>39.96</v>
      </c>
      <c r="F16" s="40">
        <f t="shared" si="1"/>
        <v>41.027852227429051</v>
      </c>
      <c r="G16" s="6">
        <f t="shared" si="2"/>
        <v>2.6027495212511775</v>
      </c>
      <c r="H16" s="16">
        <v>0.2</v>
      </c>
      <c r="I16" s="40">
        <f t="shared" si="3"/>
        <v>0.2</v>
      </c>
      <c r="J16" s="6">
        <f t="shared" si="4"/>
        <v>0</v>
      </c>
      <c r="K16" s="14">
        <v>-71.930000000000007</v>
      </c>
      <c r="L16" s="46">
        <f>ATAN( (-1*C4) /C30  )*180/PI()</f>
        <v>-73.850134009372283</v>
      </c>
      <c r="M16" s="6">
        <f t="shared" si="5"/>
        <v>2.6000413338838264</v>
      </c>
    </row>
    <row r="18" spans="1:21">
      <c r="A18" s="22" t="s">
        <v>12</v>
      </c>
    </row>
    <row r="19" spans="1:21">
      <c r="A19" s="25" t="s">
        <v>13</v>
      </c>
    </row>
    <row r="20" spans="1:21">
      <c r="A20" s="28" t="s">
        <v>14</v>
      </c>
      <c r="C20" s="23" t="s">
        <v>16</v>
      </c>
    </row>
    <row r="21" spans="1:21">
      <c r="A21" s="26">
        <f>2*PI()*A7</f>
        <v>628.31853071795865</v>
      </c>
      <c r="C21" s="24">
        <f>1/(A21*B4)</f>
        <v>14376.111659689155</v>
      </c>
      <c r="E21" s="21"/>
      <c r="F21" s="15"/>
      <c r="G21" s="15"/>
    </row>
    <row r="22" spans="1:21">
      <c r="A22" s="27">
        <f t="shared" ref="A22:A29" si="6">2*PI()*A8</f>
        <v>1256.6370614359173</v>
      </c>
      <c r="C22" s="24">
        <f>1/(A22*B4)</f>
        <v>7188.0558298445776</v>
      </c>
      <c r="E22" s="21"/>
      <c r="F22" s="15"/>
      <c r="G22" s="15"/>
    </row>
    <row r="23" spans="1:21">
      <c r="A23" s="27">
        <f t="shared" si="6"/>
        <v>1884.9555921538758</v>
      </c>
      <c r="C23" s="24">
        <f>1/(A23*B4)</f>
        <v>4792.0372198963851</v>
      </c>
      <c r="D23" t="s">
        <v>29</v>
      </c>
      <c r="E23" s="21" t="s">
        <v>28</v>
      </c>
      <c r="F23" s="15" t="s">
        <v>27</v>
      </c>
      <c r="G23" s="15" t="s">
        <v>26</v>
      </c>
      <c r="I23" s="9">
        <f>(B4*C4*2*PI())^-1</f>
        <v>1447.8911934423563</v>
      </c>
    </row>
    <row r="24" spans="1:21">
      <c r="A24" s="27">
        <f t="shared" si="6"/>
        <v>2513.2741228718346</v>
      </c>
      <c r="C24" s="24">
        <f>1/(A24*B4)</f>
        <v>3594.0279149222888</v>
      </c>
      <c r="D24">
        <v>1500</v>
      </c>
      <c r="E24" s="42">
        <f>2*PI()*D24</f>
        <v>9424.7779607693792</v>
      </c>
      <c r="F24" s="43">
        <f>1/(E24*B4)</f>
        <v>958.40744397927722</v>
      </c>
      <c r="G24" s="15">
        <f>(F24*5)/SQRT(C4^2+F24^2)</f>
        <v>3.4724950799733181</v>
      </c>
    </row>
    <row r="25" spans="1:21">
      <c r="A25" s="27">
        <f t="shared" si="6"/>
        <v>3141.5926535897929</v>
      </c>
      <c r="C25" s="24">
        <f>1/(A25*B4)</f>
        <v>2875.2223319378318</v>
      </c>
      <c r="E25" s="21"/>
      <c r="F25" s="15"/>
      <c r="G25" s="15">
        <f>(5*C4)/SQRT(C4^2+F24^2)</f>
        <v>3.5974682652611545</v>
      </c>
    </row>
    <row r="26" spans="1:21">
      <c r="A26" s="27">
        <f t="shared" si="6"/>
        <v>6283.1853071795858</v>
      </c>
      <c r="C26" s="24">
        <f>1/(A26*B4)</f>
        <v>1437.6111659689159</v>
      </c>
      <c r="E26" s="21"/>
      <c r="F26" s="15"/>
      <c r="G26" s="15"/>
    </row>
    <row r="27" spans="1:21">
      <c r="A27" s="27">
        <f t="shared" si="6"/>
        <v>12566.370614359172</v>
      </c>
      <c r="C27" s="24">
        <f>1/(A27*B4)</f>
        <v>718.80558298445794</v>
      </c>
      <c r="E27" s="1"/>
    </row>
    <row r="28" spans="1:21">
      <c r="A28" s="27">
        <f t="shared" si="6"/>
        <v>18849.555921538758</v>
      </c>
      <c r="C28" s="24">
        <f>1/(A28*B4)</f>
        <v>479.20372198963861</v>
      </c>
      <c r="E28" s="1"/>
    </row>
    <row r="29" spans="1:21">
      <c r="A29" s="27">
        <f t="shared" si="6"/>
        <v>25132.741228718343</v>
      </c>
      <c r="C29" s="24">
        <f>1/(A29*B4)</f>
        <v>359.40279149222897</v>
      </c>
      <c r="E29" s="1"/>
    </row>
    <row r="30" spans="1:21">
      <c r="A30" s="27">
        <f>2*PI()*A16</f>
        <v>31415.926535897932</v>
      </c>
      <c r="C30" s="24">
        <f>1/(A30*B4)</f>
        <v>287.52223319378311</v>
      </c>
      <c r="E30" s="1"/>
    </row>
    <row r="32" spans="1:21">
      <c r="A32" s="20" t="s">
        <v>18</v>
      </c>
      <c r="B32" s="30" t="s">
        <v>7</v>
      </c>
      <c r="C32" s="30" t="s">
        <v>5</v>
      </c>
      <c r="E32" s="30" t="s">
        <v>7</v>
      </c>
      <c r="F32" s="30" t="s">
        <v>5</v>
      </c>
      <c r="H32" s="30" t="s">
        <v>7</v>
      </c>
      <c r="I32" s="30" t="s">
        <v>5</v>
      </c>
      <c r="K32" s="30" t="s">
        <v>7</v>
      </c>
      <c r="L32" s="30" t="s">
        <v>5</v>
      </c>
      <c r="N32" s="30" t="s">
        <v>7</v>
      </c>
      <c r="O32" s="30" t="s">
        <v>5</v>
      </c>
      <c r="Q32" s="30" t="s">
        <v>7</v>
      </c>
      <c r="R32" s="30" t="s">
        <v>5</v>
      </c>
      <c r="T32" s="30" t="s">
        <v>7</v>
      </c>
      <c r="U32" s="30" t="s">
        <v>5</v>
      </c>
    </row>
    <row r="33" spans="1:22">
      <c r="A33" s="29" t="s">
        <v>15</v>
      </c>
      <c r="B33" s="31" t="s">
        <v>21</v>
      </c>
      <c r="C33" s="31" t="s">
        <v>22</v>
      </c>
      <c r="D33" s="3" t="s">
        <v>4</v>
      </c>
      <c r="E33" s="31" t="s">
        <v>3</v>
      </c>
      <c r="F33" s="31" t="s">
        <v>3</v>
      </c>
      <c r="G33" s="4" t="s">
        <v>4</v>
      </c>
      <c r="H33" s="32" t="s">
        <v>8</v>
      </c>
      <c r="I33" s="31" t="s">
        <v>8</v>
      </c>
      <c r="J33" s="4" t="s">
        <v>4</v>
      </c>
      <c r="K33" s="31" t="s">
        <v>10</v>
      </c>
      <c r="L33" s="31" t="s">
        <v>10</v>
      </c>
      <c r="M33" s="19" t="s">
        <v>4</v>
      </c>
      <c r="N33" s="31" t="s">
        <v>23</v>
      </c>
      <c r="O33" s="31" t="s">
        <v>23</v>
      </c>
      <c r="P33" s="19" t="s">
        <v>4</v>
      </c>
      <c r="Q33" s="31" t="s">
        <v>24</v>
      </c>
      <c r="R33" s="31" t="s">
        <v>24</v>
      </c>
      <c r="S33" s="4" t="s">
        <v>4</v>
      </c>
      <c r="T33" s="31" t="s">
        <v>25</v>
      </c>
      <c r="U33" s="31" t="s">
        <v>25</v>
      </c>
      <c r="V33" s="19" t="s">
        <v>4</v>
      </c>
    </row>
    <row r="34" spans="1:22">
      <c r="A34" s="10">
        <v>100</v>
      </c>
      <c r="B34">
        <v>0.32400000000000001</v>
      </c>
      <c r="C34" s="7">
        <f>(5*C4)/SQRT(C4^2+C21^2)</f>
        <v>0.34450912120343463</v>
      </c>
      <c r="D34" s="6">
        <f>((C34-B34)/C34)*100</f>
        <v>5.953143165496587</v>
      </c>
      <c r="E34">
        <v>2380</v>
      </c>
      <c r="F34">
        <f>L34*I34*1000/360</f>
        <v>2390.252386656055</v>
      </c>
      <c r="G34" s="6">
        <f>((F34-E34)/F34)*100</f>
        <v>0.42892485803133257</v>
      </c>
      <c r="H34">
        <v>10</v>
      </c>
      <c r="I34" s="7">
        <f>(1/A34)*1000</f>
        <v>10</v>
      </c>
      <c r="J34" s="6">
        <f>((I34-H34)/I34)*100</f>
        <v>0</v>
      </c>
      <c r="K34">
        <v>84.48</v>
      </c>
      <c r="L34" s="8">
        <f>ATAN(C21/C4)*180/PI()</f>
        <v>86.04908591961798</v>
      </c>
      <c r="M34" s="6">
        <f>((L34-K34)/L34)*100</f>
        <v>1.8234777311681427</v>
      </c>
      <c r="N34" s="44">
        <f>B34/C4</f>
        <v>3.2631684963238999E-4</v>
      </c>
      <c r="O34" s="44">
        <f>C34/C4</f>
        <v>3.4697262685409876E-4</v>
      </c>
      <c r="P34" s="6">
        <f>((O34-N34)/O34)*100</f>
        <v>5.9531431654965914</v>
      </c>
      <c r="Q34" s="8">
        <f>5/N34</f>
        <v>15322.53086419753</v>
      </c>
      <c r="R34" s="8">
        <f>5/O34</f>
        <v>14410.358665274449</v>
      </c>
      <c r="S34" s="6">
        <f>((R34-Q34)/R34)*100</f>
        <v>-6.3299756800724181</v>
      </c>
      <c r="T34">
        <f>-1*K34</f>
        <v>-84.48</v>
      </c>
      <c r="U34" s="8">
        <f>-1*L34</f>
        <v>-86.04908591961798</v>
      </c>
      <c r="V34" s="6">
        <f>((U34-T34)/U34)*100</f>
        <v>1.8234777311681427</v>
      </c>
    </row>
    <row r="35" spans="1:22">
      <c r="A35" s="10">
        <v>200</v>
      </c>
      <c r="B35">
        <v>0.73599999999999999</v>
      </c>
      <c r="C35" s="7">
        <f>(5*C4)/SQRT(C4^2+C22^2)</f>
        <v>0.68416340835343026</v>
      </c>
      <c r="D35" s="6">
        <f t="shared" ref="D35:D43" si="7">((C35-B35)/C35)*100</f>
        <v>-7.5766390037322191</v>
      </c>
      <c r="E35">
        <v>1136</v>
      </c>
      <c r="F35">
        <f t="shared" ref="F35:F43" si="8">L35*I35*1000/360</f>
        <v>1140.7693282121193</v>
      </c>
      <c r="G35" s="6">
        <f t="shared" ref="G35:G43" si="9">((F35-E35)/F35)*100</f>
        <v>0.41807998288260728</v>
      </c>
      <c r="H35">
        <v>5</v>
      </c>
      <c r="I35" s="7">
        <f t="shared" ref="I35:I43" si="10">(1/A35)*1000</f>
        <v>5</v>
      </c>
      <c r="J35" s="6">
        <f t="shared" ref="J35:J43" si="11">((I35-H35)/I35)*100</f>
        <v>0</v>
      </c>
      <c r="K35">
        <v>80.94</v>
      </c>
      <c r="L35" s="8">
        <f>ATAN(C22/C4)*180/PI()</f>
        <v>82.135391631272597</v>
      </c>
      <c r="M35" s="6">
        <f t="shared" ref="M35:M43" si="12">((L35-K35)/L35)*100</f>
        <v>1.4553916497275952</v>
      </c>
      <c r="N35" s="44">
        <f>B35/C4</f>
        <v>7.4126296706616978E-4</v>
      </c>
      <c r="O35" s="44">
        <f>C35/C4</f>
        <v>6.8905570385077079E-4</v>
      </c>
      <c r="P35" s="6">
        <f t="shared" ref="P35:P43" si="13">((O35-N35)/O35)*100</f>
        <v>-7.5766390037322076</v>
      </c>
      <c r="Q35" s="8">
        <f t="shared" ref="Q35:Q43" si="14">5/N35</f>
        <v>6745.2445652173919</v>
      </c>
      <c r="R35" s="8">
        <f t="shared" ref="R35:R43" si="15">5/O35</f>
        <v>7256.3073958427794</v>
      </c>
      <c r="S35" s="6">
        <f t="shared" ref="S35:S43" si="16">((R35-Q35)/R35)*100</f>
        <v>7.0430151693708725</v>
      </c>
      <c r="T35">
        <f t="shared" ref="T35:T43" si="17">-1*K35</f>
        <v>-80.94</v>
      </c>
      <c r="U35" s="8">
        <f t="shared" ref="U35:U43" si="18">-1*L35</f>
        <v>-82.135391631272597</v>
      </c>
      <c r="V35" s="6">
        <f t="shared" ref="V35:V43" si="19">((U35-T35)/U35)*100</f>
        <v>1.4553916497275952</v>
      </c>
    </row>
    <row r="36" spans="1:22">
      <c r="A36" s="10">
        <v>300</v>
      </c>
      <c r="B36">
        <v>0.94599999999999995</v>
      </c>
      <c r="C36" s="7">
        <f>(5*C4)/SQRT(C4^2+C23^2)</f>
        <v>1.0144427702137626</v>
      </c>
      <c r="D36" s="6">
        <f t="shared" si="7"/>
        <v>6.7468340475570097</v>
      </c>
      <c r="E36">
        <v>716.5</v>
      </c>
      <c r="F36">
        <f t="shared" si="8"/>
        <v>724.94514019056533</v>
      </c>
      <c r="G36" s="6">
        <f t="shared" si="9"/>
        <v>1.1649350719621852</v>
      </c>
      <c r="H36">
        <v>3.33</v>
      </c>
      <c r="I36" s="7">
        <f t="shared" si="10"/>
        <v>3.3333333333333335</v>
      </c>
      <c r="J36" s="6">
        <f t="shared" si="11"/>
        <v>0.1000000000000023</v>
      </c>
      <c r="K36">
        <v>78.17</v>
      </c>
      <c r="L36" s="8">
        <f>ATAN(C23/C4)*180/PI()</f>
        <v>78.294075140581057</v>
      </c>
      <c r="M36" s="6">
        <f t="shared" si="12"/>
        <v>0.15847321825856209</v>
      </c>
      <c r="N36" s="44">
        <f>B36/C4</f>
        <v>9.5276462886494107E-4</v>
      </c>
      <c r="O36" s="44">
        <f>C36/C4</f>
        <v>1.0216968176188566E-3</v>
      </c>
      <c r="P36" s="6">
        <f t="shared" si="13"/>
        <v>6.7468340475570185</v>
      </c>
      <c r="Q36" s="8">
        <f t="shared" si="14"/>
        <v>5247.8858350951377</v>
      </c>
      <c r="R36" s="8">
        <f t="shared" si="15"/>
        <v>4893.8196867960169</v>
      </c>
      <c r="S36" s="6">
        <f t="shared" si="16"/>
        <v>-7.234965138875558</v>
      </c>
      <c r="T36">
        <f t="shared" si="17"/>
        <v>-78.17</v>
      </c>
      <c r="U36" s="8">
        <f t="shared" si="18"/>
        <v>-78.294075140581057</v>
      </c>
      <c r="V36" s="6">
        <f t="shared" si="19"/>
        <v>0.15847321825856209</v>
      </c>
    </row>
    <row r="37" spans="1:22">
      <c r="A37" s="10">
        <v>400</v>
      </c>
      <c r="B37">
        <v>1.22</v>
      </c>
      <c r="C37" s="7">
        <f>(5*C4)/SQRT(C4^2+C24^2)</f>
        <v>1.3314443454474252</v>
      </c>
      <c r="D37" s="6">
        <f t="shared" si="7"/>
        <v>8.3701842911034259</v>
      </c>
      <c r="E37">
        <v>536.5</v>
      </c>
      <c r="F37">
        <f t="shared" si="8"/>
        <v>517.75311333818854</v>
      </c>
      <c r="G37" s="6">
        <f t="shared" si="9"/>
        <v>-3.6208158249289508</v>
      </c>
      <c r="H37">
        <v>2.5</v>
      </c>
      <c r="I37" s="7">
        <f t="shared" si="10"/>
        <v>2.5</v>
      </c>
      <c r="J37" s="6">
        <f t="shared" si="11"/>
        <v>0</v>
      </c>
      <c r="K37">
        <v>74.180000000000007</v>
      </c>
      <c r="L37" s="8">
        <f>ATAN(C24/C4)*180/PI()</f>
        <v>74.556448320699161</v>
      </c>
      <c r="M37" s="6">
        <f t="shared" si="12"/>
        <v>0.50491718580784462</v>
      </c>
      <c r="N37" s="44">
        <f>B37/C4</f>
        <v>1.228723939973814E-3</v>
      </c>
      <c r="O37" s="44">
        <f>C37/C4</f>
        <v>1.340965198355751E-3</v>
      </c>
      <c r="P37" s="6">
        <f t="shared" si="13"/>
        <v>8.370184291103433</v>
      </c>
      <c r="Q37" s="8">
        <f t="shared" si="14"/>
        <v>4069.2622950819673</v>
      </c>
      <c r="R37" s="8">
        <f>5/O37</f>
        <v>3728.6575416952219</v>
      </c>
      <c r="S37" s="6">
        <f t="shared" si="16"/>
        <v>-9.1347824137233751</v>
      </c>
      <c r="T37">
        <f t="shared" si="17"/>
        <v>-74.180000000000007</v>
      </c>
      <c r="U37" s="8">
        <f t="shared" si="18"/>
        <v>-74.556448320699161</v>
      </c>
      <c r="V37" s="6">
        <f t="shared" si="19"/>
        <v>0.50491718580784462</v>
      </c>
    </row>
    <row r="38" spans="1:22">
      <c r="A38" s="10">
        <v>500</v>
      </c>
      <c r="B38">
        <v>1.52</v>
      </c>
      <c r="C38" s="7">
        <f>(5*C4)/SQRT(C4^2+C25^2)</f>
        <v>1.6320746161058326</v>
      </c>
      <c r="D38" s="6">
        <f t="shared" si="7"/>
        <v>6.8670031994765761</v>
      </c>
      <c r="E38">
        <v>376.6</v>
      </c>
      <c r="F38">
        <f t="shared" si="8"/>
        <v>394.15933478881851</v>
      </c>
      <c r="G38" s="6">
        <f t="shared" si="9"/>
        <v>4.4548823886731936</v>
      </c>
      <c r="H38">
        <v>2</v>
      </c>
      <c r="I38" s="7">
        <f t="shared" si="10"/>
        <v>2</v>
      </c>
      <c r="J38" s="6">
        <f t="shared" si="11"/>
        <v>0</v>
      </c>
      <c r="K38">
        <v>71.650000000000006</v>
      </c>
      <c r="L38" s="8">
        <f>ATAN(C25/C4)*180/PI()</f>
        <v>70.948680261987334</v>
      </c>
      <c r="M38" s="6">
        <f t="shared" si="12"/>
        <v>-0.98848877163458981</v>
      </c>
      <c r="N38" s="44">
        <f>B38/C4</f>
        <v>1.5308691711149159E-3</v>
      </c>
      <c r="O38" s="44">
        <f>C38/C4</f>
        <v>1.6437452070760727E-3</v>
      </c>
      <c r="P38" s="6">
        <f t="shared" si="13"/>
        <v>6.8670031994765788</v>
      </c>
      <c r="Q38" s="8">
        <f t="shared" si="14"/>
        <v>3266.1184210526317</v>
      </c>
      <c r="R38" s="8">
        <f t="shared" si="15"/>
        <v>3041.8339645802535</v>
      </c>
      <c r="S38" s="6">
        <f t="shared" si="16"/>
        <v>-7.373330006962675</v>
      </c>
      <c r="T38">
        <f t="shared" si="17"/>
        <v>-71.650000000000006</v>
      </c>
      <c r="U38" s="8">
        <f t="shared" si="18"/>
        <v>-70.948680261987334</v>
      </c>
      <c r="V38" s="6">
        <f t="shared" si="19"/>
        <v>-0.98848877163458981</v>
      </c>
    </row>
    <row r="39" spans="1:22">
      <c r="A39" s="10">
        <v>1000</v>
      </c>
      <c r="B39">
        <v>2.66</v>
      </c>
      <c r="C39" s="7">
        <f>(5*C4)/SQRT(C4^2+C26^2)</f>
        <v>2.8414646196029087</v>
      </c>
      <c r="D39" s="6">
        <f t="shared" si="7"/>
        <v>6.3863057928297575</v>
      </c>
      <c r="E39">
        <v>155.30000000000001</v>
      </c>
      <c r="F39">
        <f t="shared" si="8"/>
        <v>153.80202296437895</v>
      </c>
      <c r="G39" s="6">
        <f t="shared" si="9"/>
        <v>-0.97396445557026168</v>
      </c>
      <c r="H39">
        <v>1</v>
      </c>
      <c r="I39" s="7">
        <f t="shared" si="10"/>
        <v>1</v>
      </c>
      <c r="J39" s="6">
        <f t="shared" si="11"/>
        <v>0</v>
      </c>
      <c r="K39">
        <v>54.01</v>
      </c>
      <c r="L39" s="8">
        <f>ATAN(C26/C4)*180/PI()</f>
        <v>55.368728267176422</v>
      </c>
      <c r="M39" s="6">
        <f t="shared" si="12"/>
        <v>2.4539632924563715</v>
      </c>
      <c r="N39" s="44">
        <f>B39/C4</f>
        <v>2.6790210494511031E-3</v>
      </c>
      <c r="O39" s="44">
        <f>C39/C4</f>
        <v>2.8617832808972795E-3</v>
      </c>
      <c r="P39" s="6">
        <f t="shared" si="13"/>
        <v>6.3863057928297549</v>
      </c>
      <c r="Q39" s="8">
        <f t="shared" si="14"/>
        <v>1866.3533834586465</v>
      </c>
      <c r="R39" s="8">
        <f t="shared" si="15"/>
        <v>1747.1623492161527</v>
      </c>
      <c r="S39" s="6">
        <f t="shared" si="16"/>
        <v>-6.8219781805604747</v>
      </c>
      <c r="T39">
        <f t="shared" si="17"/>
        <v>-54.01</v>
      </c>
      <c r="U39" s="8">
        <f t="shared" si="18"/>
        <v>-55.368728267176422</v>
      </c>
      <c r="V39" s="6">
        <f t="shared" si="19"/>
        <v>2.4539632924563715</v>
      </c>
    </row>
    <row r="40" spans="1:22">
      <c r="A40" s="10">
        <v>2000</v>
      </c>
      <c r="B40">
        <v>3.8</v>
      </c>
      <c r="C40" s="7">
        <f>(5*C4)/SQRT(C4^2+C27^2)</f>
        <v>4.0500806163557845</v>
      </c>
      <c r="D40" s="6">
        <f t="shared" si="7"/>
        <v>6.1747071242449572</v>
      </c>
      <c r="E40">
        <v>49.65</v>
      </c>
      <c r="F40">
        <f t="shared" si="8"/>
        <v>49.864573981050022</v>
      </c>
      <c r="G40" s="6">
        <f t="shared" si="9"/>
        <v>0.43031347491621491</v>
      </c>
      <c r="H40">
        <v>0.5</v>
      </c>
      <c r="I40" s="7">
        <f t="shared" si="10"/>
        <v>0.5</v>
      </c>
      <c r="J40" s="6">
        <f t="shared" si="11"/>
        <v>0</v>
      </c>
      <c r="K40">
        <v>35.44</v>
      </c>
      <c r="L40" s="8">
        <f>ATAN(C27/C4)*180/PI()</f>
        <v>35.902493266356018</v>
      </c>
      <c r="M40" s="6">
        <f t="shared" si="12"/>
        <v>1.2881926136016282</v>
      </c>
      <c r="N40" s="44">
        <f>B40/C4</f>
        <v>3.8271729277872895E-3</v>
      </c>
      <c r="O40" s="44">
        <f>C40/C4</f>
        <v>4.0790418132297156E-3</v>
      </c>
      <c r="P40" s="6">
        <f t="shared" si="13"/>
        <v>6.1747071242449616</v>
      </c>
      <c r="Q40" s="8">
        <f t="shared" si="14"/>
        <v>1306.4473684210527</v>
      </c>
      <c r="R40" s="8">
        <f t="shared" si="15"/>
        <v>1225.7780696886471</v>
      </c>
      <c r="S40" s="6">
        <f t="shared" si="16"/>
        <v>-6.5810688514680322</v>
      </c>
      <c r="T40">
        <f t="shared" si="17"/>
        <v>-35.44</v>
      </c>
      <c r="U40" s="8">
        <f t="shared" si="18"/>
        <v>-35.902493266356018</v>
      </c>
      <c r="V40" s="6">
        <f t="shared" si="19"/>
        <v>1.2881926136016282</v>
      </c>
    </row>
    <row r="41" spans="1:22">
      <c r="A41" s="10">
        <v>3000</v>
      </c>
      <c r="B41">
        <v>4.32</v>
      </c>
      <c r="C41" s="7">
        <f>(5*C4)/SQRT(C4^2+C28^2)</f>
        <v>4.5029842120047778</v>
      </c>
      <c r="D41" s="6">
        <f t="shared" si="7"/>
        <v>4.0636209986468286</v>
      </c>
      <c r="E41">
        <v>21.65</v>
      </c>
      <c r="F41">
        <f t="shared" si="8"/>
        <v>23.854971535394093</v>
      </c>
      <c r="G41" s="6">
        <f t="shared" si="9"/>
        <v>9.2432369165586064</v>
      </c>
      <c r="H41">
        <v>0.33329999999999999</v>
      </c>
      <c r="I41" s="7">
        <f t="shared" si="10"/>
        <v>0.33333333333333331</v>
      </c>
      <c r="J41" s="6">
        <f t="shared" si="11"/>
        <v>9.9999999999988987E-3</v>
      </c>
      <c r="K41">
        <v>27.84</v>
      </c>
      <c r="L41" s="8">
        <f>ATAN(C28/C4)*180/PI()</f>
        <v>25.763369258225623</v>
      </c>
      <c r="M41" s="6">
        <f t="shared" si="12"/>
        <v>-8.0604004893939045</v>
      </c>
      <c r="N41" s="44">
        <f>B41/C4</f>
        <v>4.3508913284318667E-3</v>
      </c>
      <c r="O41" s="44">
        <f>C41/C4</f>
        <v>4.5351840185363862E-3</v>
      </c>
      <c r="P41" s="6">
        <f t="shared" si="13"/>
        <v>4.063620998646825</v>
      </c>
      <c r="Q41" s="8">
        <f t="shared" si="14"/>
        <v>1149.1898148148148</v>
      </c>
      <c r="R41" s="8">
        <f t="shared" si="15"/>
        <v>1102.4910961856892</v>
      </c>
      <c r="S41" s="6">
        <f t="shared" si="16"/>
        <v>-4.235745648258753</v>
      </c>
      <c r="T41">
        <f t="shared" si="17"/>
        <v>-27.84</v>
      </c>
      <c r="U41" s="8">
        <f t="shared" si="18"/>
        <v>-25.763369258225623</v>
      </c>
      <c r="V41" s="6">
        <f t="shared" si="19"/>
        <v>-8.0604004893939045</v>
      </c>
    </row>
    <row r="42" spans="1:22">
      <c r="A42" s="10">
        <v>4000</v>
      </c>
      <c r="B42">
        <v>4.5199999999999996</v>
      </c>
      <c r="C42" s="7">
        <f>(5*C4)/SQRT(C4^2+C29^2)</f>
        <v>4.7014739610804765</v>
      </c>
      <c r="D42" s="6">
        <f t="shared" si="7"/>
        <v>3.8599375979266561</v>
      </c>
      <c r="E42">
        <v>13.93</v>
      </c>
      <c r="F42">
        <f t="shared" si="8"/>
        <v>13.818665292816195</v>
      </c>
      <c r="G42" s="6">
        <f t="shared" si="9"/>
        <v>-0.80568350723193904</v>
      </c>
      <c r="H42">
        <v>0.25</v>
      </c>
      <c r="I42" s="7">
        <f t="shared" si="10"/>
        <v>0.25</v>
      </c>
      <c r="J42" s="6">
        <f t="shared" si="11"/>
        <v>0</v>
      </c>
      <c r="K42">
        <v>22.88</v>
      </c>
      <c r="L42" s="8">
        <f>ATAN(C29/C4)*180/PI()</f>
        <v>19.898878021655321</v>
      </c>
      <c r="M42" s="6">
        <f t="shared" si="12"/>
        <v>-14.98135711521231</v>
      </c>
      <c r="N42" s="44">
        <f>B42/C4</f>
        <v>4.5523214825259339E-3</v>
      </c>
      <c r="O42" s="44">
        <f>C42/C4</f>
        <v>4.7350931222484407E-3</v>
      </c>
      <c r="P42" s="6">
        <f t="shared" si="13"/>
        <v>3.8599375979266548</v>
      </c>
      <c r="Q42" s="8">
        <f t="shared" si="14"/>
        <v>1098.3407079646017</v>
      </c>
      <c r="R42" s="8">
        <f t="shared" si="15"/>
        <v>1055.9454420245424</v>
      </c>
      <c r="S42" s="6">
        <f t="shared" si="16"/>
        <v>-4.0149106433733657</v>
      </c>
      <c r="T42">
        <f t="shared" si="17"/>
        <v>-22.88</v>
      </c>
      <c r="U42" s="8">
        <f t="shared" si="18"/>
        <v>-19.898878021655321</v>
      </c>
      <c r="V42" s="6">
        <f t="shared" si="19"/>
        <v>-14.98135711521231</v>
      </c>
    </row>
    <row r="43" spans="1:22">
      <c r="A43" s="39">
        <v>5000</v>
      </c>
      <c r="B43" s="16">
        <v>4.68</v>
      </c>
      <c r="C43" s="40">
        <f>(5*C4)/SQRT(C4^2+C30^2)</f>
        <v>4.8026871811663048</v>
      </c>
      <c r="D43" s="6">
        <f t="shared" si="7"/>
        <v>2.5545528271635463</v>
      </c>
      <c r="E43" s="16">
        <v>8.9499999999999993</v>
      </c>
      <c r="F43" s="16">
        <f t="shared" si="8"/>
        <v>8.9721477725709491</v>
      </c>
      <c r="G43" s="6">
        <f t="shared" si="9"/>
        <v>0.24685028749368673</v>
      </c>
      <c r="H43" s="16">
        <v>0.2</v>
      </c>
      <c r="I43" s="40">
        <f t="shared" si="10"/>
        <v>0.2</v>
      </c>
      <c r="J43" s="6">
        <f t="shared" si="11"/>
        <v>0</v>
      </c>
      <c r="K43" s="16">
        <v>16.11</v>
      </c>
      <c r="L43" s="41">
        <f>ATAN(C30/C4)*180/PI()</f>
        <v>16.14986599062771</v>
      </c>
      <c r="M43" s="6">
        <f t="shared" si="12"/>
        <v>0.24685028749369112</v>
      </c>
      <c r="N43" s="45">
        <f>B43/C4</f>
        <v>4.7134656058011879E-3</v>
      </c>
      <c r="O43" s="45">
        <f>C43/C4</f>
        <v>4.8370300948396665E-3</v>
      </c>
      <c r="P43" s="6">
        <f t="shared" si="13"/>
        <v>2.5545528271635529</v>
      </c>
      <c r="Q43" s="41">
        <f t="shared" si="14"/>
        <v>1060.7905982905984</v>
      </c>
      <c r="R43" s="41">
        <f t="shared" si="15"/>
        <v>1033.6921420716808</v>
      </c>
      <c r="S43" s="6">
        <f t="shared" si="16"/>
        <v>-2.6215209650919902</v>
      </c>
      <c r="T43" s="16">
        <f t="shared" si="17"/>
        <v>-16.11</v>
      </c>
      <c r="U43" s="41">
        <f t="shared" si="18"/>
        <v>-16.14986599062771</v>
      </c>
      <c r="V43" s="6">
        <f t="shared" si="19"/>
        <v>0.24685028749369112</v>
      </c>
    </row>
    <row r="45" spans="1:22">
      <c r="N45" t="s">
        <v>30</v>
      </c>
    </row>
    <row r="46" spans="1:22">
      <c r="B46" t="s">
        <v>20</v>
      </c>
      <c r="N46" s="8">
        <f>N34*1000</f>
        <v>0.32631684963238999</v>
      </c>
    </row>
    <row r="47" spans="1:22">
      <c r="B47">
        <v>0.376</v>
      </c>
      <c r="N47" s="8">
        <f t="shared" ref="N47:N55" si="20">N35*1000</f>
        <v>0.74126296706616979</v>
      </c>
    </row>
    <row r="48" spans="1:22">
      <c r="B48">
        <v>0.73599999999999999</v>
      </c>
      <c r="N48" s="8">
        <f t="shared" si="20"/>
        <v>0.95276462886494107</v>
      </c>
    </row>
    <row r="49" spans="2:14">
      <c r="B49">
        <v>1.1299999999999999</v>
      </c>
      <c r="N49" s="8">
        <f t="shared" si="20"/>
        <v>1.2287239399738139</v>
      </c>
    </row>
    <row r="50" spans="2:14">
      <c r="B50">
        <v>1.38</v>
      </c>
      <c r="N50" s="8">
        <f t="shared" si="20"/>
        <v>1.5308691711149158</v>
      </c>
    </row>
    <row r="51" spans="2:14">
      <c r="B51">
        <v>1.74</v>
      </c>
      <c r="N51" s="8">
        <f t="shared" si="20"/>
        <v>2.6790210494511033</v>
      </c>
    </row>
    <row r="52" spans="2:14">
      <c r="B52">
        <v>3.0070000000000001</v>
      </c>
      <c r="N52" s="8">
        <f t="shared" si="20"/>
        <v>3.8271729277872897</v>
      </c>
    </row>
    <row r="53" spans="2:14">
      <c r="B53">
        <v>4.1500000000000004</v>
      </c>
      <c r="N53" s="8">
        <f t="shared" si="20"/>
        <v>4.3508913284318664</v>
      </c>
    </row>
    <row r="54" spans="2:14">
      <c r="B54">
        <v>4.75</v>
      </c>
      <c r="N54" s="8">
        <f t="shared" si="20"/>
        <v>4.5523214825259339</v>
      </c>
    </row>
    <row r="55" spans="2:14">
      <c r="B55">
        <v>4.9000000000000004</v>
      </c>
      <c r="N55" s="8">
        <f t="shared" si="20"/>
        <v>4.7134656058011881</v>
      </c>
    </row>
    <row r="56" spans="2:14">
      <c r="B56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Asher</dc:creator>
  <cp:lastModifiedBy>Gregory Asher</cp:lastModifiedBy>
  <dcterms:created xsi:type="dcterms:W3CDTF">2016-02-11T20:10:40Z</dcterms:created>
  <dcterms:modified xsi:type="dcterms:W3CDTF">2016-02-23T05:02:04Z</dcterms:modified>
</cp:coreProperties>
</file>