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c10\Desktop\Python Notebooks\"/>
    </mc:Choice>
  </mc:AlternateContent>
  <xr:revisionPtr revIDLastSave="0" documentId="8_{7EBC6476-29D9-4888-A6D9-7C8D1AF2A875}" xr6:coauthVersionLast="47" xr6:coauthVersionMax="47" xr10:uidLastSave="{00000000-0000-0000-0000-000000000000}"/>
  <bookViews>
    <workbookView xWindow="-108" yWindow="-108" windowWidth="23256" windowHeight="12456" xr2:uid="{F75C9105-0479-4962-81E8-0216AC8972D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E5" i="5"/>
  <c r="D5" i="5"/>
  <c r="C5" i="5"/>
  <c r="B5" i="5"/>
  <c r="E4" i="5"/>
  <c r="D4" i="5"/>
  <c r="C4" i="5"/>
  <c r="B4" i="5"/>
  <c r="F3" i="5"/>
  <c r="E3" i="5"/>
  <c r="D3" i="5"/>
  <c r="C3" i="5"/>
  <c r="B3" i="5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5" i="3"/>
  <c r="F5" i="3"/>
  <c r="E5" i="3"/>
  <c r="D5" i="3"/>
  <c r="C5" i="3"/>
  <c r="B5" i="3"/>
  <c r="G4" i="3"/>
  <c r="F4" i="3"/>
  <c r="E4" i="3"/>
  <c r="D4" i="3"/>
  <c r="C4" i="3"/>
  <c r="B4" i="3"/>
  <c r="G3" i="3"/>
  <c r="F3" i="3"/>
  <c r="E3" i="3"/>
  <c r="D3" i="3"/>
  <c r="C3" i="3"/>
  <c r="B3" i="3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<sst xmlns="http://schemas.openxmlformats.org/spreadsheetml/2006/main" count="63" uniqueCount="29">
  <si>
    <t>First</t>
  </si>
  <si>
    <t>Second</t>
  </si>
  <si>
    <t>Third</t>
  </si>
  <si>
    <t>Fourth</t>
  </si>
  <si>
    <t>Fifth</t>
  </si>
  <si>
    <t>NGSF</t>
  </si>
  <si>
    <t>DASH</t>
  </si>
  <si>
    <t>SNID</t>
  </si>
  <si>
    <t>Position</t>
  </si>
  <si>
    <t>Classifier</t>
  </si>
  <si>
    <t>Ic-BL</t>
  </si>
  <si>
    <t>Ic-Other</t>
  </si>
  <si>
    <t>II</t>
  </si>
  <si>
    <t>Ia</t>
  </si>
  <si>
    <t>Ib</t>
  </si>
  <si>
    <t>SLSN</t>
  </si>
  <si>
    <t>Other</t>
  </si>
  <si>
    <t>First Choice</t>
  </si>
  <si>
    <t>1 out of 5</t>
  </si>
  <si>
    <t>2 out of 5</t>
  </si>
  <si>
    <t>3 out of 5</t>
  </si>
  <si>
    <t>4 out of 5</t>
  </si>
  <si>
    <t>5 out of 5</t>
  </si>
  <si>
    <t>Ic</t>
  </si>
  <si>
    <t>#Commonly Misclassified Types</t>
  </si>
  <si>
    <t>#False Negative rate</t>
  </si>
  <si>
    <t>#False Positives in 2023 Data</t>
  </si>
  <si>
    <t>#Ic-Bl Results</t>
  </si>
  <si>
    <t>#Cumaltives For Ic-Bl's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</si>
</sst>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10BA-EFED-424A-A7AD-3A3722A49390}">
  <dimension ref="A1:F5"/>
  <sheetViews>
    <sheetView tabSelected="1" workbookViewId="0">
      <selection sqref="A1:F5"/>
    </sheetView>
  </sheetViews>
  <sheetFormatPr defaultRowHeight="14.4" x14ac:dyDescent="0.3"/>
  <sheetData>
    <row r="1" spans="1:6" x14ac:dyDescent="0.3">
      <c r="A1" t="s">
        <v>28</v>
      </c>
    </row>
    <row r="2" spans="1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  <c r="B3">
        <f>56/108</f>
        <v>0.51851851851851849</v>
      </c>
      <c r="C3">
        <f>(56+13)/108</f>
        <v>0.63888888888888884</v>
      </c>
      <c r="D3">
        <f>(56+13+4)/108</f>
        <v>0.67592592592592593</v>
      </c>
      <c r="E3">
        <f>(56+13+4+3)/108</f>
        <v>0.70370370370370372</v>
      </c>
      <c r="F3">
        <f>(56+13+4+3+1)/108</f>
        <v>0.71296296296296291</v>
      </c>
    </row>
    <row r="4" spans="1:6" x14ac:dyDescent="0.3">
      <c r="A4" t="s">
        <v>6</v>
      </c>
      <c r="B4">
        <f>85/108</f>
        <v>0.78703703703703709</v>
      </c>
      <c r="C4">
        <f>(85+13)/108</f>
        <v>0.90740740740740744</v>
      </c>
      <c r="D4">
        <f>(85+13+2)/108</f>
        <v>0.92592592592592593</v>
      </c>
      <c r="E4">
        <f>(85+13+2+1)/108</f>
        <v>0.93518518518518523</v>
      </c>
      <c r="F4">
        <f>(85+13+2+1)/108</f>
        <v>0.93518518518518523</v>
      </c>
    </row>
    <row r="5" spans="1:6" x14ac:dyDescent="0.3">
      <c r="A5" t="s">
        <v>7</v>
      </c>
      <c r="B5">
        <f>48/108</f>
        <v>0.44444444444444442</v>
      </c>
      <c r="C5">
        <f>(48+10)/108</f>
        <v>0.53703703703703709</v>
      </c>
      <c r="D5">
        <f>(48+10+6)/108</f>
        <v>0.59259259259259256</v>
      </c>
      <c r="E5">
        <f>(48+10+6+4)/108</f>
        <v>0.62962962962962965</v>
      </c>
      <c r="F5">
        <f>(48+10+6+4+5)/108</f>
        <v>0.67592592592592593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C0CA-3A86-4FC9-973C-A50196284A7D}">
  <dimension ref="A1:I13"/>
  <sheetViews>
    <sheetView workbookViewId="0"/>
  </sheetViews>
  <sheetFormatPr defaultRowHeight="14.4" x14ac:dyDescent="0.3"/>
  <sheetData>
    <row r="1" spans="1:9" x14ac:dyDescent="0.3">
      <c r="A1" t="s">
        <v>27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0</v>
      </c>
      <c r="B3" t="s">
        <v>7</v>
      </c>
      <c r="C3">
        <v>48</v>
      </c>
      <c r="D3">
        <v>9</v>
      </c>
      <c r="E3">
        <v>6</v>
      </c>
      <c r="F3">
        <v>19</v>
      </c>
      <c r="G3">
        <v>8</v>
      </c>
      <c r="H3">
        <v>0</v>
      </c>
      <c r="I3">
        <v>6</v>
      </c>
    </row>
    <row r="4" spans="1:9" x14ac:dyDescent="0.3">
      <c r="B4" t="s">
        <v>5</v>
      </c>
      <c r="C4">
        <v>56</v>
      </c>
      <c r="D4">
        <v>13</v>
      </c>
      <c r="E4">
        <v>8</v>
      </c>
      <c r="F4">
        <v>14</v>
      </c>
      <c r="G4">
        <v>0</v>
      </c>
      <c r="H4">
        <v>10</v>
      </c>
      <c r="I4">
        <v>6</v>
      </c>
    </row>
    <row r="5" spans="1:9" x14ac:dyDescent="0.3">
      <c r="B5" t="s">
        <v>6</v>
      </c>
      <c r="C5">
        <v>85</v>
      </c>
      <c r="D5">
        <v>13</v>
      </c>
      <c r="E5">
        <v>7</v>
      </c>
      <c r="F5">
        <v>3</v>
      </c>
      <c r="G5">
        <v>0</v>
      </c>
      <c r="H5">
        <v>0</v>
      </c>
      <c r="I5">
        <v>0</v>
      </c>
    </row>
    <row r="7" spans="1:9" x14ac:dyDescent="0.3">
      <c r="A7" t="s">
        <v>1</v>
      </c>
      <c r="B7" t="s">
        <v>7</v>
      </c>
      <c r="C7">
        <v>41</v>
      </c>
      <c r="D7">
        <v>15</v>
      </c>
      <c r="E7">
        <v>7</v>
      </c>
      <c r="F7">
        <v>20</v>
      </c>
      <c r="G7">
        <v>6</v>
      </c>
      <c r="H7">
        <v>0</v>
      </c>
      <c r="I7">
        <v>7</v>
      </c>
    </row>
    <row r="8" spans="1:9" x14ac:dyDescent="0.3">
      <c r="B8" t="s">
        <v>5</v>
      </c>
      <c r="C8">
        <v>53</v>
      </c>
      <c r="D8">
        <v>9</v>
      </c>
      <c r="E8">
        <v>7</v>
      </c>
      <c r="F8">
        <v>19</v>
      </c>
      <c r="G8">
        <v>0</v>
      </c>
      <c r="H8">
        <v>13</v>
      </c>
      <c r="I8">
        <v>6</v>
      </c>
    </row>
    <row r="9" spans="1:9" x14ac:dyDescent="0.3">
      <c r="B9" t="s">
        <v>6</v>
      </c>
      <c r="C9">
        <v>88</v>
      </c>
      <c r="D9">
        <v>8</v>
      </c>
      <c r="E9">
        <v>4</v>
      </c>
      <c r="F9">
        <v>4</v>
      </c>
      <c r="G9">
        <v>4</v>
      </c>
      <c r="H9">
        <v>0</v>
      </c>
      <c r="I9">
        <v>0</v>
      </c>
    </row>
    <row r="11" spans="1:9" x14ac:dyDescent="0.3">
      <c r="A11" t="s">
        <v>2</v>
      </c>
      <c r="B11" t="s">
        <v>7</v>
      </c>
      <c r="C11">
        <v>45</v>
      </c>
      <c r="D11">
        <v>13</v>
      </c>
      <c r="E11">
        <v>5</v>
      </c>
      <c r="F11">
        <v>18</v>
      </c>
      <c r="G11">
        <v>5</v>
      </c>
      <c r="H11">
        <v>0</v>
      </c>
      <c r="I11">
        <v>9</v>
      </c>
    </row>
    <row r="12" spans="1:9" x14ac:dyDescent="0.3">
      <c r="B12" t="s">
        <v>5</v>
      </c>
      <c r="C12">
        <v>53</v>
      </c>
      <c r="D12">
        <v>7</v>
      </c>
      <c r="E12">
        <v>11</v>
      </c>
      <c r="F12">
        <v>16</v>
      </c>
      <c r="G12">
        <v>2</v>
      </c>
      <c r="H12">
        <v>11</v>
      </c>
      <c r="I12">
        <v>7</v>
      </c>
    </row>
    <row r="13" spans="1:9" x14ac:dyDescent="0.3">
      <c r="B13" t="s">
        <v>6</v>
      </c>
      <c r="C13">
        <v>84</v>
      </c>
      <c r="D13">
        <v>13</v>
      </c>
      <c r="E13">
        <v>0</v>
      </c>
      <c r="F13">
        <v>9</v>
      </c>
      <c r="G13">
        <v>2</v>
      </c>
      <c r="H13">
        <v>0</v>
      </c>
      <c r="I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1CDA4-27AF-4D6C-A1B4-AC5AC2C6E081}">
  <dimension ref="A1:G5"/>
  <sheetViews>
    <sheetView workbookViewId="0">
      <selection sqref="A1:G5"/>
    </sheetView>
  </sheetViews>
  <sheetFormatPr defaultRowHeight="14.4" x14ac:dyDescent="0.3"/>
  <sheetData>
    <row r="1" spans="1:7" x14ac:dyDescent="0.3">
      <c r="A1" t="s">
        <v>26</v>
      </c>
    </row>
    <row r="2" spans="1:7" x14ac:dyDescent="0.3">
      <c r="A2" t="s">
        <v>9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 x14ac:dyDescent="0.3">
      <c r="A3" t="s">
        <v>7</v>
      </c>
      <c r="B3">
        <f>23/721</f>
        <v>3.1900138696255201E-2</v>
      </c>
      <c r="C3">
        <f>59/721</f>
        <v>8.1830790568654652E-2</v>
      </c>
      <c r="D3">
        <f>25/721</f>
        <v>3.4674063800277391E-2</v>
      </c>
      <c r="E3">
        <f>8/721</f>
        <v>1.1095700416088766E-2</v>
      </c>
      <c r="F3">
        <f>4/721</f>
        <v>5.5478502080443829E-3</v>
      </c>
      <c r="G3">
        <f>0</f>
        <v>0</v>
      </c>
    </row>
    <row r="4" spans="1:7" x14ac:dyDescent="0.3">
      <c r="A4" t="s">
        <v>5</v>
      </c>
      <c r="B4">
        <f>23/750</f>
        <v>3.0666666666666665E-2</v>
      </c>
      <c r="C4">
        <f>100/750</f>
        <v>0.13333333333333333</v>
      </c>
      <c r="D4">
        <f>28/750</f>
        <v>3.7333333333333336E-2</v>
      </c>
      <c r="E4">
        <f>8/750</f>
        <v>1.0666666666666666E-2</v>
      </c>
      <c r="F4">
        <f>1/750</f>
        <v>1.3333333333333333E-3</v>
      </c>
      <c r="G4">
        <f>0</f>
        <v>0</v>
      </c>
    </row>
    <row r="5" spans="1:7" x14ac:dyDescent="0.3">
      <c r="A5" t="s">
        <v>6</v>
      </c>
      <c r="B5">
        <f>71/750</f>
        <v>9.4666666666666663E-2</v>
      </c>
      <c r="C5">
        <f>209/750</f>
        <v>0.27866666666666667</v>
      </c>
      <c r="D5">
        <f>142/750</f>
        <v>0.18933333333333333</v>
      </c>
      <c r="E5">
        <f>87/750</f>
        <v>0.11600000000000001</v>
      </c>
      <c r="F5">
        <f>48/750</f>
        <v>6.4000000000000001E-2</v>
      </c>
      <c r="G5">
        <f>19/750</f>
        <v>2.5333333333333333E-2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75FB-A287-4E81-943F-CF8606C29ABF}">
  <dimension ref="A1:G5"/>
  <sheetViews>
    <sheetView workbookViewId="0">
      <selection sqref="A1:G5"/>
    </sheetView>
  </sheetViews>
  <sheetFormatPr defaultRowHeight="14.4" x14ac:dyDescent="0.3"/>
  <sheetData>
    <row r="1" spans="1:7" x14ac:dyDescent="0.3">
      <c r="A1" t="s">
        <v>25</v>
      </c>
    </row>
    <row r="2" spans="1:7" x14ac:dyDescent="0.3">
      <c r="A2" t="s">
        <v>9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 x14ac:dyDescent="0.3">
      <c r="A3" t="s">
        <v>7</v>
      </c>
      <c r="B3">
        <f>1-48/108</f>
        <v>0.55555555555555558</v>
      </c>
      <c r="C3">
        <f>1-73/108</f>
        <v>0.32407407407407407</v>
      </c>
      <c r="D3">
        <f>1-55/108</f>
        <v>0.4907407407407407</v>
      </c>
      <c r="E3">
        <f>1-43/108</f>
        <v>0.60185185185185186</v>
      </c>
      <c r="F3">
        <f>1-25/108</f>
        <v>0.76851851851851849</v>
      </c>
      <c r="G3">
        <f>1-14/108</f>
        <v>0.87037037037037035</v>
      </c>
    </row>
    <row r="4" spans="1:7" x14ac:dyDescent="0.3">
      <c r="A4" t="s">
        <v>5</v>
      </c>
      <c r="B4">
        <f>1-56/108</f>
        <v>0.48148148148148151</v>
      </c>
      <c r="C4">
        <f>1-77/108</f>
        <v>0.28703703703703709</v>
      </c>
      <c r="D4">
        <f>1-66/108</f>
        <v>0.38888888888888884</v>
      </c>
      <c r="E4">
        <f>1-50/108</f>
        <v>0.53703703703703698</v>
      </c>
      <c r="F4">
        <f>1-41/108</f>
        <v>0.62037037037037035</v>
      </c>
      <c r="G4">
        <f>1-28/108</f>
        <v>0.7407407407407407</v>
      </c>
    </row>
    <row r="5" spans="1:7" x14ac:dyDescent="0.3">
      <c r="A5" t="s">
        <v>6</v>
      </c>
      <c r="B5">
        <f>1-85/108</f>
        <v>0.21296296296296291</v>
      </c>
      <c r="C5">
        <f>1-101/108</f>
        <v>6.481481481481477E-2</v>
      </c>
      <c r="D5">
        <f>1-98/108</f>
        <v>9.259259259259256E-2</v>
      </c>
      <c r="E5">
        <f>1-88/108</f>
        <v>0.18518518518518523</v>
      </c>
      <c r="F5">
        <f>1-69/108</f>
        <v>0.36111111111111116</v>
      </c>
      <c r="G5">
        <f>1-43/108</f>
        <v>0.60185185185185186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5EAC-BEDF-45B0-8A75-49C134AB656A}">
  <dimension ref="A1:F5"/>
  <sheetViews>
    <sheetView workbookViewId="0"/>
  </sheetViews>
  <sheetFormatPr defaultRowHeight="14.4" x14ac:dyDescent="0.3"/>
  <sheetData>
    <row r="1" spans="1:6" x14ac:dyDescent="0.3">
      <c r="A1" t="s">
        <v>24</v>
      </c>
    </row>
    <row r="2" spans="1:6" x14ac:dyDescent="0.3">
      <c r="A2" t="s">
        <v>9</v>
      </c>
      <c r="B2" t="s">
        <v>13</v>
      </c>
      <c r="C2" t="s">
        <v>14</v>
      </c>
      <c r="D2" t="s">
        <v>23</v>
      </c>
      <c r="E2" t="s">
        <v>12</v>
      </c>
      <c r="F2" t="s">
        <v>16</v>
      </c>
    </row>
    <row r="3" spans="1:6" x14ac:dyDescent="0.3">
      <c r="A3" t="s">
        <v>7</v>
      </c>
      <c r="B3">
        <f>25/532</f>
        <v>4.6992481203007516E-2</v>
      </c>
      <c r="C3">
        <f>4/14</f>
        <v>0.2857142857142857</v>
      </c>
      <c r="D3">
        <f>8/20</f>
        <v>0.4</v>
      </c>
      <c r="E3">
        <f>20/143</f>
        <v>0.13986013986013987</v>
      </c>
      <c r="F3">
        <f>2/8</f>
        <v>0.25</v>
      </c>
    </row>
    <row r="4" spans="1:6" x14ac:dyDescent="0.3">
      <c r="A4" t="s">
        <v>5</v>
      </c>
      <c r="B4">
        <f>64/549</f>
        <v>0.11657559198542805</v>
      </c>
      <c r="C4">
        <f>4/15</f>
        <v>0.26666666666666666</v>
      </c>
      <c r="D4">
        <f>12/20</f>
        <v>0.6</v>
      </c>
      <c r="E4">
        <f>20/153</f>
        <v>0.13071895424836602</v>
      </c>
      <c r="F4">
        <v>0</v>
      </c>
    </row>
    <row r="5" spans="1:6" x14ac:dyDescent="0.3">
      <c r="A5" t="s">
        <v>6</v>
      </c>
      <c r="B5">
        <f>107/549</f>
        <v>0.19489981785063754</v>
      </c>
      <c r="C5">
        <f>6/15</f>
        <v>0.4</v>
      </c>
      <c r="D5">
        <f>15/20</f>
        <v>0.75</v>
      </c>
      <c r="E5">
        <f>76/152</f>
        <v>0.5</v>
      </c>
      <c r="F5">
        <f>5/10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Corcoran</dc:creator>
  <cp:lastModifiedBy>Greg Corcoran</cp:lastModifiedBy>
  <dcterms:created xsi:type="dcterms:W3CDTF">2023-07-05T15:06:22Z</dcterms:created>
  <dcterms:modified xsi:type="dcterms:W3CDTF">2023-07-05T15:12:34Z</dcterms:modified>
</cp:coreProperties>
</file>