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oiy\Documents\GitHub\Probability-of-BoE-Rate-Hike-or-Cut-Using-3-Month-SONIA-Futures\"/>
    </mc:Choice>
  </mc:AlternateContent>
  <xr:revisionPtr revIDLastSave="0" documentId="13_ncr:1_{1E7B1672-AD60-4EE2-8753-1C4BDE0E7E05}" xr6:coauthVersionLast="47" xr6:coauthVersionMax="47" xr10:uidLastSave="{00000000-0000-0000-0000-000000000000}"/>
  <bookViews>
    <workbookView xWindow="-120" yWindow="-120" windowWidth="29040" windowHeight="15720" xr2:uid="{31C5425F-BC13-4302-9BBD-3DD5E823DBEE}"/>
  </bookViews>
  <sheets>
    <sheet name="Model_example_using2anchor" sheetId="3" r:id="rId1"/>
    <sheet name="Note_using the next Q as anchor" sheetId="4" r:id="rId2"/>
  </sheets>
  <definedNames>
    <definedName name="_xlchart.v1.0" hidden="1">Model_example_using2anchor!$O$44</definedName>
    <definedName name="_xlchart.v1.1" hidden="1">Model_example_using2anchor!$O$45</definedName>
    <definedName name="_xlchart.v1.2" hidden="1">Model_example_using2anchor!$P$44:$Q$44</definedName>
    <definedName name="_xlchart.v1.3" hidden="1">Model_example_using2anchor!$P$45:$Q$45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7" i="3" s="1"/>
  <c r="E34" i="3"/>
  <c r="F34" i="3" s="1"/>
  <c r="P29" i="3"/>
  <c r="P33" i="3"/>
  <c r="C2" i="3"/>
  <c r="E32" i="3" l="1"/>
  <c r="E33" i="3" s="1"/>
  <c r="P34" i="3"/>
  <c r="E17" i="3"/>
  <c r="P25" i="3"/>
  <c r="P27" i="3"/>
  <c r="G10" i="3" s="1"/>
  <c r="C1" i="3"/>
  <c r="C9" i="3"/>
  <c r="E19" i="3" s="1"/>
  <c r="F32" i="3" l="1"/>
  <c r="C33" i="3"/>
  <c r="G11" i="3"/>
  <c r="F19" i="3"/>
  <c r="E18" i="3"/>
  <c r="F18" i="3" s="1"/>
  <c r="D9" i="3"/>
  <c r="F17" i="3"/>
  <c r="C35" i="3" l="1"/>
  <c r="C18" i="3"/>
  <c r="C16" i="3"/>
  <c r="D16" i="3"/>
  <c r="D18" i="3" l="1"/>
  <c r="D33" i="3"/>
  <c r="D35" i="3"/>
  <c r="E16" i="3" l="1"/>
  <c r="F16" i="3" s="1"/>
  <c r="G16" i="3" s="1"/>
  <c r="H16" i="3" s="1"/>
  <c r="E35" i="3"/>
  <c r="I16" i="3" l="1"/>
  <c r="I17" i="3"/>
  <c r="J17" i="3" l="1"/>
  <c r="K17" i="3"/>
  <c r="Q45" i="3" s="1"/>
  <c r="L17" i="3" l="1"/>
  <c r="Q46" i="3" s="1"/>
  <c r="P44" i="3"/>
  <c r="F35" i="3" l="1"/>
  <c r="F33" i="3"/>
  <c r="G33" i="3" l="1"/>
  <c r="H33" i="3" s="1"/>
  <c r="I33" i="3" s="1"/>
  <c r="I34" i="3" l="1"/>
  <c r="K34" i="3" s="1"/>
  <c r="P45" i="3" s="1"/>
  <c r="J34" i="3" l="1"/>
  <c r="Q44" i="3" s="1"/>
  <c r="L34" i="3" l="1"/>
  <c r="P46" i="3" s="1"/>
</calcChain>
</file>

<file path=xl/sharedStrings.xml><?xml version="1.0" encoding="utf-8"?>
<sst xmlns="http://schemas.openxmlformats.org/spreadsheetml/2006/main" count="90" uniqueCount="70">
  <si>
    <t>Implied Rate</t>
  </si>
  <si>
    <t>Price</t>
  </si>
  <si>
    <t>Methodology:</t>
  </si>
  <si>
    <t>Days</t>
  </si>
  <si>
    <t>3. Avg. Month Price = Daily Settle Price</t>
  </si>
  <si>
    <t>Start here --&gt;</t>
  </si>
  <si>
    <t>% Days</t>
  </si>
  <si>
    <t xml:space="preserve">        7.1. =((Monthly Change)/25)*100</t>
  </si>
  <si>
    <t>25bps</t>
  </si>
  <si>
    <t>50bps</t>
  </si>
  <si>
    <t>75bps</t>
  </si>
  <si>
    <t>100bps</t>
  </si>
  <si>
    <t>1. Get daily FF settlement prices by contract.</t>
  </si>
  <si>
    <t xml:space="preserve">        7.2. Break down the number of 25bp hikes into full hikes and remainder [Use Trunc() and Mod()].</t>
  </si>
  <si>
    <t xml:space="preserve">        8.1. Start with the number of hikes indicated by the whole integer (2 = 50bp hike; 3 = 75bp hike, etc.).</t>
  </si>
  <si>
    <t xml:space="preserve">        8.2. The probability of a hike of the size of the whole integer is = 1 - # Hike Remainder.</t>
  </si>
  <si>
    <t xml:space="preserve">        8.3. The probability of a hike 25bps larger than the expected hike size for the integer is simply = # Hike Remainder.</t>
  </si>
  <si>
    <t>9. We can now start calculating the Cumulative Probabilities, starting on the second upcoming FOMC month:</t>
  </si>
  <si>
    <t xml:space="preserve">        9.1. As a reminder, each successive FOMC month will add a branch to this probability tree. That means one or more extra probability to calculate.</t>
  </si>
  <si>
    <t>February: Thursday, February 6</t>
  </si>
  <si>
    <t>March: Thursday, March 20</t>
  </si>
  <si>
    <t>May: Thursday, May 8</t>
  </si>
  <si>
    <t>June: Thursday, June 19</t>
  </si>
  <si>
    <t>August: Thursday, August 7</t>
  </si>
  <si>
    <t>September: Thursday, September 18</t>
  </si>
  <si>
    <t>November: Thursday, November 6</t>
  </si>
  <si>
    <t>December: Thursday, December 18</t>
  </si>
  <si>
    <t>Bank of England's (BoE) Monetary Policy Committee (MPC) meeting schedule for 2025</t>
  </si>
  <si>
    <t>March: March 19, 2025</t>
  </si>
  <si>
    <t>June: June 18, 2025</t>
  </si>
  <si>
    <t>September: September 17, 2025</t>
  </si>
  <si>
    <t>December: December 17, 2025</t>
  </si>
  <si>
    <t>Contract start date:</t>
  </si>
  <si>
    <t xml:space="preserve">Daily Settle Prices </t>
  </si>
  <si>
    <t xml:space="preserve">Today </t>
  </si>
  <si>
    <t>N -&gt;</t>
  </si>
  <si>
    <t>M -&gt;</t>
  </si>
  <si>
    <t>Q2</t>
  </si>
  <si>
    <t>Q3 (Start)</t>
  </si>
  <si>
    <t>Q3 (Avg)</t>
  </si>
  <si>
    <t>Q3 (End)</t>
  </si>
  <si>
    <t># of 25bp Hikes/Cut</t>
  </si>
  <si>
    <t># Hikes/Cut Breakdown</t>
  </si>
  <si>
    <t>SONIA End = [ (Avg. SONIA) - (% days before meet.)*(SONIA Start) ] / (% days after meet.)</t>
  </si>
  <si>
    <t>SONIA Start = [ (Avg SONIA) - (% days after meet.)*(SONIA End) ] / (% days before meet.)</t>
  </si>
  <si>
    <r>
      <t xml:space="preserve">N = # of days </t>
    </r>
    <r>
      <rPr>
        <b/>
        <sz val="11"/>
        <color theme="1"/>
        <rFont val="Arial"/>
        <family val="2"/>
        <scheme val="minor"/>
      </rPr>
      <t>before</t>
    </r>
    <r>
      <rPr>
        <sz val="11"/>
        <color theme="1"/>
        <rFont val="Arial"/>
        <family val="2"/>
        <scheme val="minor"/>
      </rPr>
      <t xml:space="preserve"> the LAST MoC that the 3-months SONIA contract cover </t>
    </r>
  </si>
  <si>
    <r>
      <t xml:space="preserve">M = # of days </t>
    </r>
    <r>
      <rPr>
        <b/>
        <sz val="11"/>
        <color theme="1"/>
        <rFont val="Arial"/>
        <family val="2"/>
        <scheme val="minor"/>
      </rPr>
      <t>after</t>
    </r>
    <r>
      <rPr>
        <sz val="11"/>
        <color theme="1"/>
        <rFont val="Arial"/>
        <family val="2"/>
        <scheme val="minor"/>
      </rPr>
      <t xml:space="preserve"> the LAST MoC until the delivery date of the 3-months SONIA contract</t>
    </r>
  </si>
  <si>
    <r>
      <t>4. Because SONIA(end)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= SONIA(beg)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, fill out those cells.</t>
    </r>
  </si>
  <si>
    <t>5. Calculate the adjacent SONIA Start/End using the formulas above.</t>
  </si>
  <si>
    <t>8. We can start calculating the probability tree - start with the nearest SONIA meeting:</t>
  </si>
  <si>
    <r>
      <t xml:space="preserve">        9.2 The joint probabilities are simple multiplications of the individual hike size Probs. (e.g. Prob(50bps)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* Prob(50bps)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).</t>
    </r>
  </si>
  <si>
    <t>7. Calculate the # of 25bp hikes based off of Quarterly Change (Col. H):</t>
  </si>
  <si>
    <t>As there will be BoE MoC's meeting in the following quarter, we need to take into account of the over or underestimation of the probability of rate cut/hike as a result of the presence of the MoC meeting.</t>
  </si>
  <si>
    <t xml:space="preserve">This means, if (the last of) the MoC within the contract period announces a rate hike, the implied SONIA(End)T&lt;SONIA(Avg)T-1. </t>
  </si>
  <si>
    <t>Understanding the CME Group FedWatch Tool Methodology - CME Group</t>
  </si>
  <si>
    <t>Three Month SONIA Index Futures Pricing</t>
  </si>
  <si>
    <t>We can take this into consideration and caveat, or assuming that SONIA(End)T = SONIA(Avg)T-1, where T is the Quarter the Future Contract covers over which we are interested in the MOC's probability of rate hike/cut.# (i.e. T-1 is the anchor period)</t>
  </si>
  <si>
    <t>Future Contract</t>
  </si>
  <si>
    <t>6. Calculate the Quartly Change for the quarter with MOC meetings (Col. G).</t>
  </si>
  <si>
    <t>Quarterly Change</t>
  </si>
  <si>
    <t>Q4</t>
  </si>
  <si>
    <t>Q4 (Anchor 3-month contract)</t>
  </si>
  <si>
    <t>Cut Size</t>
  </si>
  <si>
    <t>25 bp</t>
  </si>
  <si>
    <t>50 bp</t>
  </si>
  <si>
    <t>75 bp</t>
  </si>
  <si>
    <t>Using Q4 as an Anchor month</t>
  </si>
  <si>
    <r>
      <t>Hike/Cut Size Probabilities</t>
    </r>
    <r>
      <rPr>
        <b/>
        <sz val="11"/>
        <color theme="1"/>
        <rFont val="Arial"/>
        <family val="2"/>
        <scheme val="minor"/>
      </rPr>
      <t xml:space="preserve"> </t>
    </r>
    <r>
      <rPr>
        <b/>
        <sz val="11"/>
        <color rgb="FFFF0000"/>
        <rFont val="Arial"/>
        <family val="2"/>
        <scheme val="minor"/>
      </rPr>
      <t>for the next 2 MPC</t>
    </r>
    <r>
      <rPr>
        <sz val="11"/>
        <color theme="1"/>
        <rFont val="Arial"/>
        <family val="2"/>
        <scheme val="minor"/>
      </rPr>
      <t xml:space="preserve"> meeting</t>
    </r>
  </si>
  <si>
    <t>2. Find the nearest upcoming month without an MPC meeting.</t>
  </si>
  <si>
    <t>Q2 (No MPC's meeting left on 22/5/2025)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</si>
</sst>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Quarter &quot;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0" xfId="0" applyFill="1"/>
    <xf numFmtId="0" fontId="0" fillId="5" borderId="0" xfId="0" applyFill="1"/>
    <xf numFmtId="17" fontId="0" fillId="0" borderId="0" xfId="0" applyNumberFormat="1"/>
    <xf numFmtId="165" fontId="0" fillId="0" borderId="0" xfId="0" applyNumberFormat="1"/>
    <xf numFmtId="17" fontId="3" fillId="0" borderId="0" xfId="0" applyNumberFormat="1" applyFont="1"/>
    <xf numFmtId="17" fontId="3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3" borderId="0" xfId="0" applyNumberFormat="1" applyFont="1" applyFill="1"/>
    <xf numFmtId="0" fontId="0" fillId="9" borderId="0" xfId="0" applyFill="1"/>
    <xf numFmtId="165" fontId="2" fillId="0" borderId="9" xfId="0" applyNumberFormat="1" applyFont="1" applyBorder="1"/>
    <xf numFmtId="165" fontId="2" fillId="0" borderId="8" xfId="0" applyNumberFormat="1" applyFont="1" applyBorder="1"/>
    <xf numFmtId="17" fontId="7" fillId="0" borderId="14" xfId="0" applyNumberFormat="1" applyFont="1" applyBorder="1"/>
    <xf numFmtId="17" fontId="7" fillId="0" borderId="2" xfId="0" applyNumberFormat="1" applyFont="1" applyBorder="1"/>
    <xf numFmtId="164" fontId="2" fillId="2" borderId="3" xfId="0" applyNumberFormat="1" applyFont="1" applyFill="1" applyBorder="1"/>
    <xf numFmtId="0" fontId="5" fillId="0" borderId="0" xfId="2"/>
    <xf numFmtId="0" fontId="8" fillId="4" borderId="0" xfId="0" applyFont="1" applyFill="1"/>
    <xf numFmtId="0" fontId="0" fillId="8" borderId="0" xfId="0" applyFill="1"/>
    <xf numFmtId="0" fontId="8" fillId="8" borderId="0" xfId="0" applyFont="1" applyFill="1"/>
    <xf numFmtId="0" fontId="0" fillId="6" borderId="0" xfId="0" applyFill="1"/>
    <xf numFmtId="0" fontId="8" fillId="6" borderId="0" xfId="0" applyFont="1" applyFill="1"/>
    <xf numFmtId="0" fontId="0" fillId="7" borderId="0" xfId="0" applyFill="1"/>
    <xf numFmtId="0" fontId="8" fillId="7" borderId="0" xfId="0" applyFon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9" fontId="2" fillId="5" borderId="0" xfId="1" applyFont="1" applyFill="1"/>
    <xf numFmtId="9" fontId="2" fillId="5" borderId="2" xfId="1" applyFont="1" applyFill="1" applyBorder="1"/>
    <xf numFmtId="9" fontId="0" fillId="0" borderId="1" xfId="1" applyFont="1" applyBorder="1"/>
    <xf numFmtId="9" fontId="0" fillId="0" borderId="0" xfId="1" applyFont="1" applyBorder="1"/>
    <xf numFmtId="1" fontId="0" fillId="0" borderId="1" xfId="0" applyNumberFormat="1" applyBorder="1"/>
    <xf numFmtId="164" fontId="0" fillId="0" borderId="1" xfId="0" applyNumberFormat="1" applyBorder="1"/>
    <xf numFmtId="164" fontId="8" fillId="0" borderId="0" xfId="0" applyNumberFormat="1" applyFont="1"/>
    <xf numFmtId="164" fontId="8" fillId="0" borderId="1" xfId="0" applyNumberFormat="1" applyFont="1" applyBorder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C1ED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Range of rate </a:t>
            </a:r>
            <a:r>
              <a:rPr lang="en-US" sz="14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cut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 probability from Jun - Sep 2025 as of 22 May</a:t>
            </a:r>
          </a:p>
        </cx:rich>
      </cx:tx>
    </cx:title>
    <cx:plotArea>
      <cx:plotAreaRegion>
        <cx:series layoutId="boxWhisker" uniqueId="{F172C1B1-4B23-48BD-99D9-58E38182A4A3}">
          <cx:tx>
            <cx:txData>
              <cx:f>_xlchart.v1.0</cx:f>
              <cx:v>25 bp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E4518D-7DB3-4762-A228-5F22CE802E6B}">
          <cx:tx>
            <cx:txData>
              <cx:f>_xlchart.v1.1</cx:f>
              <cx:v>50 bp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1109382</xdr:colOff>
      <xdr:row>5</xdr:row>
      <xdr:rowOff>67235</xdr:rowOff>
    </xdr:from>
    <xdr:to>
      <xdr:col>17</xdr:col>
      <xdr:colOff>100852</xdr:colOff>
      <xdr:row>19</xdr:row>
      <xdr:rowOff>56030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6E2D30-98BC-0F37-4682-8276F3EBA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8706" y="1008529"/>
              <a:ext cx="4392705" cy="2958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ME Palette theme">
  <a:themeElements>
    <a:clrScheme name="CME brand 2020">
      <a:dk1>
        <a:srgbClr val="000000"/>
      </a:dk1>
      <a:lt1>
        <a:srgbClr val="FFFFFF"/>
      </a:lt1>
      <a:dk2>
        <a:srgbClr val="25323C"/>
      </a:dk2>
      <a:lt2>
        <a:srgbClr val="EBEDEE"/>
      </a:lt2>
      <a:accent1>
        <a:srgbClr val="112B4A"/>
      </a:accent1>
      <a:accent2>
        <a:srgbClr val="25A9E0"/>
      </a:accent2>
      <a:accent3>
        <a:srgbClr val="5A6874"/>
      </a:accent3>
      <a:accent4>
        <a:srgbClr val="006EB6"/>
      </a:accent4>
      <a:accent5>
        <a:srgbClr val="00E473"/>
      </a:accent5>
      <a:accent6>
        <a:srgbClr val="E3E935"/>
      </a:accent6>
      <a:hlink>
        <a:srgbClr val="3CC8FF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ME Palette theme" id="{A06FE949-3AC6-8B4D-BB68-C565F623B8FB}" vid="{7B54AA39-B7CB-8449-9C96-BF15C93D8CC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e.com/products/68361266/Three-Month-SONIA-Index-Futures/data" TargetMode="External"/><Relationship Id="rId1" Type="http://schemas.openxmlformats.org/officeDocument/2006/relationships/hyperlink" Target="https://www.cmegroup.com/articles/2023/understanding-the-cme-group-fedwatch-tool-methodology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C657-1EA8-486E-9F46-909F319FC391}">
  <dimension ref="A1:U56"/>
  <sheetViews>
    <sheetView tabSelected="1" topLeftCell="B1" zoomScale="85" zoomScaleNormal="85" workbookViewId="0">
      <selection activeCell="J22" sqref="J22"/>
    </sheetView>
  </sheetViews>
  <sheetFormatPr defaultColWidth="8.875" defaultRowHeight="14.25" x14ac:dyDescent="0.2"/>
  <cols>
    <col min="1" max="1" width="19" customWidth="1"/>
    <col min="2" max="2" width="36.5" customWidth="1"/>
    <col min="3" max="3" width="9.875" bestFit="1" customWidth="1"/>
    <col min="4" max="4" width="11.625" customWidth="1"/>
    <col min="5" max="5" width="10.625" customWidth="1"/>
    <col min="7" max="7" width="9.875" bestFit="1" customWidth="1"/>
    <col min="9" max="9" width="10.875" customWidth="1"/>
    <col min="10" max="10" width="10.5" customWidth="1"/>
    <col min="13" max="13" width="19.125" customWidth="1"/>
    <col min="14" max="14" width="15" customWidth="1"/>
    <col min="15" max="15" width="30.125" customWidth="1"/>
    <col min="16" max="16" width="13.5" customWidth="1"/>
    <col min="17" max="17" width="12.25" customWidth="1"/>
    <col min="20" max="20" width="30.75" customWidth="1"/>
    <col min="21" max="21" width="9.875" bestFit="1" customWidth="1"/>
  </cols>
  <sheetData>
    <row r="1" spans="1:21" ht="15" x14ac:dyDescent="0.25">
      <c r="B1" s="3" t="s">
        <v>34</v>
      </c>
      <c r="C1" s="33">
        <f ca="1">TODAY()</f>
        <v>45800</v>
      </c>
    </row>
    <row r="2" spans="1:21" ht="15" x14ac:dyDescent="0.25">
      <c r="B2" s="3" t="s">
        <v>33</v>
      </c>
      <c r="C2" s="32">
        <f>DATEVALUE("22/05/2025")</f>
        <v>45799</v>
      </c>
    </row>
    <row r="3" spans="1:21" ht="15" x14ac:dyDescent="0.25">
      <c r="B3" s="29">
        <v>1</v>
      </c>
      <c r="C3" s="41">
        <v>2</v>
      </c>
      <c r="D3" s="42">
        <v>3</v>
      </c>
      <c r="E3" s="29">
        <v>4</v>
      </c>
      <c r="F3" s="29">
        <v>1</v>
      </c>
      <c r="G3" s="29">
        <v>2</v>
      </c>
      <c r="H3" s="1"/>
      <c r="I3" s="1"/>
      <c r="J3" s="1"/>
      <c r="K3" s="1"/>
      <c r="L3" s="1"/>
      <c r="N3" s="20" t="s">
        <v>43</v>
      </c>
      <c r="O3" s="16"/>
      <c r="P3" s="16"/>
      <c r="Q3" s="16"/>
      <c r="R3" s="16"/>
      <c r="S3" s="16"/>
      <c r="T3" s="16"/>
      <c r="U3" s="17"/>
    </row>
    <row r="4" spans="1:21" x14ac:dyDescent="0.2">
      <c r="A4" t="s">
        <v>32</v>
      </c>
      <c r="B4" s="30">
        <v>45627</v>
      </c>
      <c r="C4" s="43">
        <v>45717</v>
      </c>
      <c r="D4" s="44">
        <v>45809</v>
      </c>
      <c r="E4" s="30">
        <v>45901</v>
      </c>
      <c r="F4" s="31">
        <v>45992</v>
      </c>
      <c r="G4" s="2"/>
      <c r="H4" s="2"/>
      <c r="I4" s="2"/>
      <c r="J4" s="2"/>
      <c r="K4" s="2"/>
      <c r="L4" s="2"/>
      <c r="N4" s="18" t="s">
        <v>44</v>
      </c>
      <c r="O4" s="15"/>
      <c r="P4" s="15"/>
      <c r="Q4" s="15"/>
      <c r="R4" s="15"/>
      <c r="S4" s="15"/>
      <c r="T4" s="15"/>
      <c r="U4" s="10"/>
    </row>
    <row r="5" spans="1:21" ht="15" x14ac:dyDescent="0.25">
      <c r="B5" s="4"/>
      <c r="C5" s="45">
        <v>95.63</v>
      </c>
      <c r="D5" s="45">
        <v>95.834999999999994</v>
      </c>
      <c r="E5" s="21">
        <v>96.025000000000006</v>
      </c>
      <c r="F5" s="4">
        <v>96.22</v>
      </c>
      <c r="G5" s="4"/>
      <c r="H5" s="4"/>
      <c r="I5" s="4"/>
      <c r="J5" s="4"/>
      <c r="K5" s="4"/>
      <c r="L5" s="4"/>
    </row>
    <row r="7" spans="1:21" ht="15" x14ac:dyDescent="0.25">
      <c r="B7" s="3"/>
    </row>
    <row r="8" spans="1:21" ht="15" x14ac:dyDescent="0.25">
      <c r="C8" s="2" t="s">
        <v>1</v>
      </c>
      <c r="D8" s="2" t="s">
        <v>0</v>
      </c>
      <c r="F8" t="s">
        <v>46</v>
      </c>
    </row>
    <row r="9" spans="1:21" ht="15" x14ac:dyDescent="0.25">
      <c r="B9" s="7" t="s">
        <v>69</v>
      </c>
      <c r="C9" s="4">
        <f>C5</f>
        <v>95.63</v>
      </c>
      <c r="D9" s="4">
        <f>100-C9</f>
        <v>4.3700000000000045</v>
      </c>
      <c r="F9" t="s">
        <v>45</v>
      </c>
    </row>
    <row r="10" spans="1:21" x14ac:dyDescent="0.2">
      <c r="F10" t="s">
        <v>36</v>
      </c>
      <c r="G10" s="34">
        <f>ABS(P27 - P34)-1</f>
        <v>40</v>
      </c>
    </row>
    <row r="11" spans="1:21" x14ac:dyDescent="0.2">
      <c r="F11" t="s">
        <v>35</v>
      </c>
      <c r="G11" s="34">
        <f>ABS(P27 - P33)</f>
        <v>50</v>
      </c>
    </row>
    <row r="13" spans="1:21" ht="15" x14ac:dyDescent="0.25">
      <c r="J13" s="68" t="s">
        <v>67</v>
      </c>
      <c r="K13" s="69"/>
      <c r="L13" s="69"/>
      <c r="M13" s="70"/>
    </row>
    <row r="14" spans="1:21" ht="45" x14ac:dyDescent="0.2">
      <c r="B14" s="10"/>
      <c r="C14" s="11" t="s">
        <v>3</v>
      </c>
      <c r="D14" s="12" t="s">
        <v>6</v>
      </c>
      <c r="E14" s="12" t="s">
        <v>1</v>
      </c>
      <c r="F14" s="19" t="s">
        <v>0</v>
      </c>
      <c r="G14" s="19" t="s">
        <v>59</v>
      </c>
      <c r="H14" s="35" t="s">
        <v>41</v>
      </c>
      <c r="I14" s="14" t="s">
        <v>42</v>
      </c>
      <c r="J14" s="11" t="s">
        <v>8</v>
      </c>
      <c r="K14" s="12" t="s">
        <v>9</v>
      </c>
      <c r="L14" s="12" t="s">
        <v>10</v>
      </c>
      <c r="M14" s="13" t="s">
        <v>11</v>
      </c>
    </row>
    <row r="15" spans="1:21" x14ac:dyDescent="0.2">
      <c r="B15" s="36"/>
      <c r="I15" s="9"/>
      <c r="M15" s="9"/>
    </row>
    <row r="16" spans="1:21" ht="15" x14ac:dyDescent="0.25">
      <c r="B16" s="37" t="s">
        <v>40</v>
      </c>
      <c r="C16" s="34">
        <f>G10</f>
        <v>40</v>
      </c>
      <c r="D16" s="6">
        <f>C16/(C16+C18)</f>
        <v>0.44444444444444442</v>
      </c>
      <c r="E16" s="62">
        <f>(E17-(D18*E18))/D16</f>
        <v>96.091249999999988</v>
      </c>
      <c r="F16" s="4">
        <f>100-E16</f>
        <v>3.9087500000000119</v>
      </c>
      <c r="G16" s="4">
        <f>F16-F18</f>
        <v>-0.46124999999999261</v>
      </c>
      <c r="H16" s="39">
        <f>G16/25*100</f>
        <v>-1.8449999999999702</v>
      </c>
      <c r="I16" s="24">
        <f>ABS(TRUNC(H16,0))</f>
        <v>1</v>
      </c>
      <c r="K16" s="4"/>
      <c r="L16" s="4"/>
      <c r="M16" s="9"/>
    </row>
    <row r="17" spans="1:16" ht="15" x14ac:dyDescent="0.25">
      <c r="B17" s="37" t="s">
        <v>39</v>
      </c>
      <c r="E17" s="21">
        <f>D5</f>
        <v>95.834999999999994</v>
      </c>
      <c r="F17" s="4">
        <f t="shared" ref="F17:F19" si="0">100-E17</f>
        <v>4.1650000000000063</v>
      </c>
      <c r="I17" s="25">
        <f>MOD(ABS(H16),1)</f>
        <v>0.84499999999997022</v>
      </c>
      <c r="J17" s="56">
        <f>IF(I16=0,I17,IF(I16=1,1-I17,0))</f>
        <v>0.15500000000002978</v>
      </c>
      <c r="K17" s="56">
        <f>IF(I16=0,I17-I17,IF(I16=1,I17,IF(I16=2,1-I17,0)))</f>
        <v>0.84499999999997022</v>
      </c>
      <c r="L17" s="56">
        <f>IF(J17 + K17 = 1, 0, IF(I16 = 0, 0, IF(I16 = 1, I17, IF(I16 = 2, I17, IF(I16 = 3, 1 - I17, 0)))))</f>
        <v>0</v>
      </c>
      <c r="M17" s="57">
        <v>0</v>
      </c>
    </row>
    <row r="18" spans="1:16" x14ac:dyDescent="0.2">
      <c r="B18" s="37" t="s">
        <v>38</v>
      </c>
      <c r="C18" s="34">
        <f>G11</f>
        <v>50</v>
      </c>
      <c r="D18" s="6">
        <f>C18/(C18+C16)</f>
        <v>0.55555555555555558</v>
      </c>
      <c r="E18" s="4">
        <f>E19</f>
        <v>95.63</v>
      </c>
      <c r="F18" s="64">
        <f t="shared" si="0"/>
        <v>4.3700000000000045</v>
      </c>
      <c r="I18" s="9"/>
      <c r="K18" s="6"/>
      <c r="L18" s="6"/>
      <c r="M18" s="9"/>
    </row>
    <row r="19" spans="1:16" x14ac:dyDescent="0.2">
      <c r="A19" s="8" t="s">
        <v>5</v>
      </c>
      <c r="B19" s="38" t="s">
        <v>37</v>
      </c>
      <c r="E19" s="21">
        <f>C9</f>
        <v>95.63</v>
      </c>
      <c r="F19" s="64">
        <f t="shared" si="0"/>
        <v>4.3700000000000045</v>
      </c>
      <c r="I19" s="9"/>
      <c r="K19" s="58"/>
      <c r="L19" s="58"/>
      <c r="M19" s="10"/>
    </row>
    <row r="20" spans="1:16" x14ac:dyDescent="0.2">
      <c r="B20" s="16"/>
      <c r="C20" s="16"/>
      <c r="D20" s="16"/>
      <c r="E20" s="16"/>
      <c r="F20" s="16"/>
      <c r="G20" s="16"/>
      <c r="H20" s="16"/>
      <c r="I20" s="16"/>
      <c r="J20" s="16"/>
    </row>
    <row r="21" spans="1:16" ht="15" x14ac:dyDescent="0.25">
      <c r="N21" s="3"/>
      <c r="O21" s="3"/>
    </row>
    <row r="22" spans="1:16" ht="15" x14ac:dyDescent="0.25">
      <c r="N22" s="3" t="s">
        <v>57</v>
      </c>
      <c r="O22" s="3" t="s">
        <v>27</v>
      </c>
    </row>
    <row r="23" spans="1:16" ht="15" x14ac:dyDescent="0.25">
      <c r="O23" s="47" t="s">
        <v>19</v>
      </c>
      <c r="P23" s="3"/>
    </row>
    <row r="24" spans="1:16" x14ac:dyDescent="0.2">
      <c r="N24" s="28">
        <v>45717</v>
      </c>
      <c r="O24" s="48" t="s">
        <v>20</v>
      </c>
    </row>
    <row r="25" spans="1:16" ht="15" x14ac:dyDescent="0.25">
      <c r="B25" s="3"/>
      <c r="N25" s="28">
        <v>45717</v>
      </c>
      <c r="O25" s="49" t="s">
        <v>21</v>
      </c>
      <c r="P25" s="33">
        <f>DATEVALUE("08/05/2025")</f>
        <v>45785</v>
      </c>
    </row>
    <row r="26" spans="1:16" x14ac:dyDescent="0.2">
      <c r="C26" s="2" t="s">
        <v>1</v>
      </c>
      <c r="D26" s="2" t="s">
        <v>0</v>
      </c>
      <c r="G26" s="34"/>
      <c r="N26" s="28">
        <v>45809</v>
      </c>
      <c r="O26" s="50" t="s">
        <v>22</v>
      </c>
      <c r="P26" s="32"/>
    </row>
    <row r="27" spans="1:16" ht="15" x14ac:dyDescent="0.25">
      <c r="B27" s="7" t="s">
        <v>61</v>
      </c>
      <c r="C27" s="4">
        <f>E5</f>
        <v>96.025000000000006</v>
      </c>
      <c r="D27" s="4">
        <f>100-C27</f>
        <v>3.9749999999999943</v>
      </c>
      <c r="G27" s="34"/>
      <c r="N27" s="28">
        <v>45809</v>
      </c>
      <c r="O27" s="51" t="s">
        <v>23</v>
      </c>
      <c r="P27" s="33">
        <f>DATEVALUE("07/08/2025")</f>
        <v>45876</v>
      </c>
    </row>
    <row r="28" spans="1:16" x14ac:dyDescent="0.2">
      <c r="N28" s="28">
        <v>45901</v>
      </c>
      <c r="O28" s="52" t="s">
        <v>24</v>
      </c>
    </row>
    <row r="29" spans="1:16" ht="15" x14ac:dyDescent="0.25">
      <c r="B29" s="3" t="s">
        <v>66</v>
      </c>
      <c r="J29" s="68" t="s">
        <v>67</v>
      </c>
      <c r="K29" s="69"/>
      <c r="L29" s="69"/>
      <c r="M29" s="70"/>
      <c r="N29" s="28">
        <v>45901</v>
      </c>
      <c r="O29" s="53" t="s">
        <v>25</v>
      </c>
      <c r="P29" s="33">
        <f>DATEVALUE("06/11/2025")</f>
        <v>45967</v>
      </c>
    </row>
    <row r="30" spans="1:16" ht="45" x14ac:dyDescent="0.2">
      <c r="B30" s="10"/>
      <c r="C30" s="11" t="s">
        <v>3</v>
      </c>
      <c r="D30" s="12" t="s">
        <v>6</v>
      </c>
      <c r="E30" s="12" t="s">
        <v>1</v>
      </c>
      <c r="F30" s="19" t="s">
        <v>0</v>
      </c>
      <c r="G30" s="19" t="s">
        <v>59</v>
      </c>
      <c r="H30" s="35" t="s">
        <v>41</v>
      </c>
      <c r="I30" s="14" t="s">
        <v>42</v>
      </c>
      <c r="J30" s="11" t="s">
        <v>8</v>
      </c>
      <c r="K30" s="12" t="s">
        <v>9</v>
      </c>
      <c r="L30" s="12" t="s">
        <v>10</v>
      </c>
      <c r="M30" s="13" t="s">
        <v>11</v>
      </c>
      <c r="N30" s="28">
        <v>45992</v>
      </c>
      <c r="O30" s="26" t="s">
        <v>26</v>
      </c>
    </row>
    <row r="31" spans="1:16" ht="15" x14ac:dyDescent="0.25">
      <c r="B31" s="36"/>
      <c r="I31" s="9"/>
      <c r="M31" s="9"/>
      <c r="N31" s="54" t="s">
        <v>32</v>
      </c>
      <c r="O31" s="55"/>
      <c r="P31" s="55"/>
    </row>
    <row r="32" spans="1:16" x14ac:dyDescent="0.2">
      <c r="B32" s="38" t="s">
        <v>60</v>
      </c>
      <c r="E32" s="21">
        <f>C27</f>
        <v>96.025000000000006</v>
      </c>
      <c r="F32" s="64">
        <f t="shared" ref="F32" si="1">100-E32</f>
        <v>3.9749999999999943</v>
      </c>
      <c r="I32" s="9"/>
      <c r="K32" s="59"/>
      <c r="L32" s="59"/>
      <c r="M32" s="9"/>
      <c r="N32" s="28">
        <v>45717</v>
      </c>
      <c r="O32" t="s">
        <v>28</v>
      </c>
    </row>
    <row r="33" spans="2:17" ht="15" x14ac:dyDescent="0.25">
      <c r="B33" s="37" t="s">
        <v>40</v>
      </c>
      <c r="C33" s="34">
        <f>G10</f>
        <v>40</v>
      </c>
      <c r="D33" s="6">
        <f>C33/(C33+C35)</f>
        <v>0.44444444444444442</v>
      </c>
      <c r="E33" s="4">
        <f>E32</f>
        <v>96.025000000000006</v>
      </c>
      <c r="F33" s="64">
        <f>100-E33</f>
        <v>3.9749999999999943</v>
      </c>
      <c r="G33" s="4">
        <f>F33-F35</f>
        <v>-0.34200000000001296</v>
      </c>
      <c r="H33" s="39">
        <f>G33/25*100</f>
        <v>-1.3680000000000518</v>
      </c>
      <c r="I33" s="24">
        <f>ABS(TRUNC(H33,0))</f>
        <v>1</v>
      </c>
      <c r="K33" s="4"/>
      <c r="L33" s="4"/>
      <c r="M33" s="9"/>
      <c r="N33" s="28">
        <v>45809</v>
      </c>
      <c r="O33" t="s">
        <v>29</v>
      </c>
      <c r="P33" s="33">
        <f>DATEVALUE("18/06/2025")</f>
        <v>45826</v>
      </c>
    </row>
    <row r="34" spans="2:17" ht="15" x14ac:dyDescent="0.25">
      <c r="B34" s="37" t="s">
        <v>39</v>
      </c>
      <c r="E34" s="21">
        <f>D5</f>
        <v>95.834999999999994</v>
      </c>
      <c r="F34" s="4">
        <f>100-E34</f>
        <v>4.1650000000000063</v>
      </c>
      <c r="I34" s="25">
        <f>MOD(ABS(H33),1)</f>
        <v>0.36800000000005184</v>
      </c>
      <c r="J34" s="56">
        <f>IF(I33=0,I34,IF(I33=1,1-I34,0))</f>
        <v>0.63199999999994816</v>
      </c>
      <c r="K34" s="56">
        <f>IF(I33=0,I34-I34,IF(I33=1,I34,IF(I33=2,1-I34,0)))</f>
        <v>0.36800000000005184</v>
      </c>
      <c r="L34" s="56">
        <f>IF(J34 + K34 = 1, 0, IF(I33 = 0, I34, IF(I33 = 1, I34, IF(I33 = 2, I34, IF(I33 = 3, 1 - I34, 0)))))</f>
        <v>0</v>
      </c>
      <c r="M34" s="57">
        <v>0</v>
      </c>
      <c r="N34" s="28">
        <v>45901</v>
      </c>
      <c r="O34" t="s">
        <v>30</v>
      </c>
      <c r="P34" s="33">
        <f>DATEVALUE("17/09/2025")</f>
        <v>45917</v>
      </c>
    </row>
    <row r="35" spans="2:17" x14ac:dyDescent="0.2">
      <c r="B35" s="38" t="s">
        <v>38</v>
      </c>
      <c r="C35" s="60">
        <f>G11</f>
        <v>50</v>
      </c>
      <c r="D35" s="58">
        <f>C35/(C35+C33)</f>
        <v>0.55555555555555558</v>
      </c>
      <c r="E35" s="63">
        <f>((E34)-(D33*E33))/D35</f>
        <v>95.682999999999993</v>
      </c>
      <c r="F35" s="61">
        <f>100-E35</f>
        <v>4.3170000000000073</v>
      </c>
      <c r="G35" s="15"/>
      <c r="H35" s="15"/>
      <c r="I35" s="10"/>
      <c r="J35" s="15"/>
      <c r="K35" s="58"/>
      <c r="L35" s="58"/>
      <c r="M35" s="10"/>
      <c r="N35" s="28">
        <v>45992</v>
      </c>
      <c r="O35" t="s">
        <v>31</v>
      </c>
    </row>
    <row r="37" spans="2:17" ht="15" x14ac:dyDescent="0.25">
      <c r="B37" s="3" t="s">
        <v>2</v>
      </c>
      <c r="J37" s="6"/>
      <c r="K37" s="6"/>
    </row>
    <row r="38" spans="2:17" x14ac:dyDescent="0.2">
      <c r="B38" t="s">
        <v>12</v>
      </c>
      <c r="I38" s="6"/>
    </row>
    <row r="39" spans="2:17" x14ac:dyDescent="0.2">
      <c r="B39" s="5" t="s">
        <v>68</v>
      </c>
    </row>
    <row r="40" spans="2:17" x14ac:dyDescent="0.2">
      <c r="B40" s="22" t="s">
        <v>4</v>
      </c>
      <c r="C40" s="22"/>
      <c r="D40" s="22"/>
      <c r="E40" s="22"/>
    </row>
    <row r="41" spans="2:17" ht="18.75" x14ac:dyDescent="0.35">
      <c r="B41" t="s">
        <v>47</v>
      </c>
    </row>
    <row r="42" spans="2:17" x14ac:dyDescent="0.2">
      <c r="B42" t="s">
        <v>48</v>
      </c>
    </row>
    <row r="43" spans="2:17" ht="15" x14ac:dyDescent="0.2">
      <c r="B43" t="s">
        <v>58</v>
      </c>
      <c r="O43" s="66" t="s">
        <v>62</v>
      </c>
      <c r="P43" s="66"/>
      <c r="Q43" s="66"/>
    </row>
    <row r="44" spans="2:17" x14ac:dyDescent="0.2">
      <c r="B44" s="23" t="s">
        <v>51</v>
      </c>
      <c r="C44" s="23"/>
      <c r="D44" s="23"/>
      <c r="E44" s="23"/>
      <c r="F44" s="23"/>
      <c r="G44" s="23"/>
      <c r="H44" s="23"/>
      <c r="O44" s="65" t="s">
        <v>63</v>
      </c>
      <c r="P44" s="67">
        <f>J17</f>
        <v>0.15500000000002978</v>
      </c>
      <c r="Q44" s="67">
        <f>J34</f>
        <v>0.63199999999994816</v>
      </c>
    </row>
    <row r="45" spans="2:17" x14ac:dyDescent="0.2">
      <c r="B45" t="s">
        <v>7</v>
      </c>
      <c r="O45" s="65" t="s">
        <v>64</v>
      </c>
      <c r="P45" s="67">
        <f>K34</f>
        <v>0.36800000000005184</v>
      </c>
      <c r="Q45" s="67">
        <f>K17</f>
        <v>0.84499999999997022</v>
      </c>
    </row>
    <row r="46" spans="2:17" x14ac:dyDescent="0.2">
      <c r="B46" s="26" t="s">
        <v>13</v>
      </c>
      <c r="C46" s="26"/>
      <c r="D46" s="26"/>
      <c r="E46" s="26"/>
      <c r="F46" s="26"/>
      <c r="G46" s="26"/>
      <c r="H46" s="26"/>
      <c r="I46" s="26"/>
      <c r="J46" s="26"/>
      <c r="O46" s="65" t="s">
        <v>65</v>
      </c>
      <c r="P46" s="67">
        <f>L34</f>
        <v>0</v>
      </c>
      <c r="Q46" s="67">
        <f>L17</f>
        <v>0</v>
      </c>
    </row>
    <row r="47" spans="2:17" x14ac:dyDescent="0.2">
      <c r="B47" s="27" t="s">
        <v>49</v>
      </c>
      <c r="C47" s="27"/>
      <c r="D47" s="27"/>
      <c r="E47" s="27"/>
      <c r="F47" s="27"/>
      <c r="G47" s="27"/>
      <c r="H47" s="27"/>
      <c r="I47" s="27"/>
      <c r="J47" s="27"/>
      <c r="K47" s="27"/>
    </row>
    <row r="48" spans="2:17" x14ac:dyDescent="0.2">
      <c r="B48" s="27" t="s">
        <v>14</v>
      </c>
      <c r="C48" s="27"/>
      <c r="D48" s="27"/>
      <c r="E48" s="27"/>
      <c r="F48" s="27"/>
      <c r="G48" s="27"/>
      <c r="H48" s="27"/>
      <c r="I48" s="27"/>
      <c r="J48" s="27"/>
      <c r="K48" s="27"/>
    </row>
    <row r="49" spans="2:12" x14ac:dyDescent="0.2">
      <c r="B49" s="27" t="s">
        <v>15</v>
      </c>
      <c r="C49" s="27"/>
      <c r="D49" s="27"/>
      <c r="E49" s="27"/>
      <c r="F49" s="27"/>
      <c r="G49" s="27"/>
      <c r="H49" s="27"/>
      <c r="I49" s="27"/>
      <c r="J49" s="27"/>
      <c r="K49" s="27"/>
    </row>
    <row r="50" spans="2:12" x14ac:dyDescent="0.2">
      <c r="B50" s="27" t="s">
        <v>16</v>
      </c>
      <c r="C50" s="27"/>
      <c r="D50" s="27"/>
      <c r="E50" s="27"/>
      <c r="F50" s="27"/>
      <c r="G50" s="27"/>
      <c r="H50" s="27"/>
      <c r="I50" s="27"/>
      <c r="J50" s="27"/>
      <c r="K50" s="27"/>
    </row>
    <row r="51" spans="2:12" x14ac:dyDescent="0.2">
      <c r="B51" s="40" t="s">
        <v>17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2:12" x14ac:dyDescent="0.2">
      <c r="B52" s="40" t="s">
        <v>18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</row>
    <row r="53" spans="2:12" ht="18.75" x14ac:dyDescent="0.35">
      <c r="B53" s="40" t="s">
        <v>50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5" spans="2:12" x14ac:dyDescent="0.2">
      <c r="B55" s="46" t="s">
        <v>54</v>
      </c>
    </row>
    <row r="56" spans="2:12" x14ac:dyDescent="0.2">
      <c r="B56" s="46" t="s">
        <v>55</v>
      </c>
    </row>
  </sheetData>
  <mergeCells count="2">
    <mergeCell ref="J13:M13"/>
    <mergeCell ref="J29:M29"/>
  </mergeCells>
  <conditionalFormatting sqref="H16">
    <cfRule type="cellIs" dxfId="1" priority="2" operator="lessThan">
      <formula>0</formula>
    </cfRule>
  </conditionalFormatting>
  <conditionalFormatting sqref="H33">
    <cfRule type="cellIs" dxfId="0" priority="1" operator="lessThan">
      <formula>0</formula>
    </cfRule>
  </conditionalFormatting>
  <hyperlinks>
    <hyperlink ref="B55" r:id="rId1" display="https://www.cmegroup.com/articles/2023/understanding-the-cme-group-fedwatch-tool-methodology.html" xr:uid="{10B319ED-400D-4054-B0B3-3750263CFCB5}"/>
    <hyperlink ref="B56" r:id="rId2" display="https://www.ice.com/products/68361266/Three-Month-SONIA-Index-Futures/data" xr:uid="{3602DE27-1F94-4D00-8D21-32FD8B084AD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9AC1-C1BE-425E-BFE2-9051668BC55F}">
  <dimension ref="A1:A3"/>
  <sheetViews>
    <sheetView workbookViewId="0">
      <selection activeCell="C21" sqref="C21"/>
    </sheetView>
  </sheetViews>
  <sheetFormatPr defaultRowHeight="14.25" x14ac:dyDescent="0.2"/>
  <sheetData>
    <row r="1" spans="1:1" x14ac:dyDescent="0.2">
      <c r="A1" t="s">
        <v>52</v>
      </c>
    </row>
    <row r="2" spans="1:1" x14ac:dyDescent="0.2">
      <c r="A2" t="s">
        <v>53</v>
      </c>
    </row>
    <row r="3" spans="1:1" x14ac:dyDescent="0.2">
      <c r="A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Model_example_using2anchor</vt:lpstr>
      <vt:lpstr>Note_using the next Q as anchor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Lobao, Arthur</dc:creator>
  <cp:lastModifiedBy>Office</cp:lastModifiedBy>
  <dcterms:created xsi:type="dcterms:W3CDTF">2022-08-02T14:45:14Z</dcterms:created>
  <dcterms:modified xsi:type="dcterms:W3CDTF">2025-05-22T23:02:39Z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