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0" windowWidth="15360" windowHeight="9015"/>
  </bookViews>
  <sheets>
    <sheet name="C39" sheetId="5" r:id="rId1"/>
    <sheet name="Proxy" sheetId="4" r:id="rId2"/>
    <sheet name="Size Estimate Regression" sheetId="2" r:id="rId3"/>
    <sheet name="Time Estimate Regression" sheetId="3" r:id="rId4"/>
  </sheets>
  <definedNames>
    <definedName name="beta0" localSheetId="2">'Size Estimate Regression'!$C$20</definedName>
    <definedName name="beta0" localSheetId="3">'Time Estimate Regression'!$C$20</definedName>
    <definedName name="beta0">#REF!</definedName>
    <definedName name="beta1" localSheetId="2">'Size Estimate Regression'!$B$20</definedName>
    <definedName name="beta1" localSheetId="3">'Time Estimate Regression'!$B$20</definedName>
    <definedName name="beta1">#REF!</definedName>
    <definedName name="estLOC" localSheetId="2">'Size Estimate Regression'!$B$23</definedName>
    <definedName name="estLOC" localSheetId="3">'Time Estimate Regression'!$B$23</definedName>
    <definedName name="estLOC">#REF!</definedName>
    <definedName name="lpi" localSheetId="2">'Size Estimate Regression'!$B$30</definedName>
    <definedName name="lpi" localSheetId="3">'Time Estimate Regression'!$B$30</definedName>
    <definedName name="lpi">#REF!</definedName>
    <definedName name="n" localSheetId="3">'Time Estimate Regression'!$B$16</definedName>
    <definedName name="n">'Size Estimate Regression'!$B$16</definedName>
    <definedName name="pi_pct" localSheetId="2">'Size Estimate Regression'!$B$31</definedName>
    <definedName name="pi_pct" localSheetId="3">'Time Estimate Regression'!$B$31</definedName>
    <definedName name="pi_pct">#REF!</definedName>
    <definedName name="range" localSheetId="2">'Size Estimate Regression'!$B$28</definedName>
    <definedName name="range" localSheetId="3">'Time Estimate Regression'!$B$28</definedName>
    <definedName name="range">#REF!</definedName>
    <definedName name="std_dev" localSheetId="2">'Size Estimate Regression'!$B$26</definedName>
    <definedName name="std_dev" localSheetId="3">'Time Estimate Regression'!$B$26</definedName>
    <definedName name="std_dev">#REF!</definedName>
    <definedName name="t_dist" localSheetId="2">'Size Estimate Regression'!$B$27</definedName>
    <definedName name="t_dist" localSheetId="3">'Time Estimate Regression'!$B$27</definedName>
    <definedName name="t_dist">#REF!</definedName>
    <definedName name="upi" localSheetId="2">'Size Estimate Regression'!$B$29</definedName>
    <definedName name="upi" localSheetId="3">'Time Estimate Regression'!$B$29</definedName>
    <definedName name="upi">#REF!</definedName>
    <definedName name="variance" localSheetId="2">'Size Estimate Regression'!$B$25</definedName>
    <definedName name="variance" localSheetId="3">'Time Estimate Regression'!$B$25</definedName>
    <definedName name="variance">#REF!</definedName>
    <definedName name="Xavg" localSheetId="2">'Size Estimate Regression'!$B$15</definedName>
    <definedName name="Xavg" localSheetId="3">'Time Estimate Regression'!$B$15</definedName>
    <definedName name="Xavg">#REF!</definedName>
    <definedName name="Xi2Sum" localSheetId="3">'Time Estimate Regression'!$E$14</definedName>
    <definedName name="Xi2Sum">'Size Estimate Regression'!$E$14</definedName>
    <definedName name="XiYiSum" localSheetId="3">'Time Estimate Regression'!$D$14</definedName>
    <definedName name="XiYiSum">'Size Estimate Regression'!$D$14</definedName>
    <definedName name="XSum" localSheetId="3">'Time Estimate Regression'!$B$14</definedName>
    <definedName name="XSum">'Size Estimate Regression'!$B$14</definedName>
    <definedName name="Yavg" localSheetId="2">'Size Estimate Regression'!$C$15</definedName>
    <definedName name="Yavg" localSheetId="3">'Time Estimate Regression'!$C$15</definedName>
    <definedName name="Yavg">#REF!</definedName>
    <definedName name="Yi2Sum" localSheetId="3">'Time Estimate Regression'!$H$14</definedName>
    <definedName name="Yi2Sum">'Size Estimate Regression'!$H$14</definedName>
    <definedName name="YSum" localSheetId="3">'Time Estimate Regression'!$C$14</definedName>
    <definedName name="YSum">'Size Estimate Regression'!$C$14</definedName>
  </definedNames>
  <calcPr calcId="125725"/>
</workbook>
</file>

<file path=xl/calcChain.xml><?xml version="1.0" encoding="utf-8"?>
<calcChain xmlns="http://schemas.openxmlformats.org/spreadsheetml/2006/main">
  <c r="C14" i="2"/>
  <c r="C15"/>
  <c r="D10"/>
  <c r="D14"/>
  <c r="H10"/>
  <c r="H14" s="1"/>
  <c r="B14"/>
  <c r="B15"/>
  <c r="G10" s="1"/>
  <c r="E10"/>
  <c r="E14"/>
  <c r="G8" i="4"/>
  <c r="G6"/>
  <c r="C182"/>
  <c r="C181"/>
  <c r="C180"/>
  <c r="C179"/>
  <c r="C178"/>
  <c r="C177"/>
  <c r="C176"/>
  <c r="C175"/>
  <c r="C174"/>
  <c r="B164"/>
  <c r="C164" s="1"/>
  <c r="C173"/>
  <c r="C172"/>
  <c r="C171"/>
  <c r="C170"/>
  <c r="C169"/>
  <c r="C168"/>
  <c r="C167"/>
  <c r="C166"/>
  <c r="C165"/>
  <c r="C163"/>
  <c r="B162"/>
  <c r="C162" s="1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B132"/>
  <c r="D8" i="2"/>
  <c r="D9"/>
  <c r="D180" i="4" l="1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B103"/>
  <c r="B89"/>
  <c r="C54"/>
  <c r="C53"/>
  <c r="C52"/>
  <c r="C51"/>
  <c r="C50"/>
  <c r="C49"/>
  <c r="C59"/>
  <c r="C60"/>
  <c r="C61"/>
  <c r="C62"/>
  <c r="C37"/>
  <c r="C36"/>
  <c r="C35"/>
  <c r="C34"/>
  <c r="C33"/>
  <c r="C32"/>
  <c r="C31"/>
  <c r="C30"/>
  <c r="C29"/>
  <c r="C28"/>
  <c r="C27"/>
  <c r="C26"/>
  <c r="C25"/>
  <c r="C19"/>
  <c r="C18"/>
  <c r="C17"/>
  <c r="C16"/>
  <c r="C15"/>
  <c r="C14"/>
  <c r="C3"/>
  <c r="C13"/>
  <c r="C12"/>
  <c r="G44" i="5"/>
  <c r="G22"/>
  <c r="G30"/>
  <c r="I49"/>
  <c r="G49"/>
  <c r="G37"/>
  <c r="I37"/>
  <c r="C2" i="4"/>
  <c r="C4"/>
  <c r="C5"/>
  <c r="C6"/>
  <c r="C7"/>
  <c r="C8"/>
  <c r="C9"/>
  <c r="C10"/>
  <c r="C11"/>
  <c r="C21"/>
  <c r="C22"/>
  <c r="C23"/>
  <c r="C24"/>
  <c r="C39"/>
  <c r="C40"/>
  <c r="C41"/>
  <c r="C42"/>
  <c r="C43"/>
  <c r="C44"/>
  <c r="C45"/>
  <c r="C46"/>
  <c r="C47"/>
  <c r="C48"/>
  <c r="C55"/>
  <c r="C56"/>
  <c r="C57"/>
  <c r="C58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B16" i="2"/>
  <c r="B27" s="1"/>
  <c r="D4"/>
  <c r="D5"/>
  <c r="D6"/>
  <c r="D7"/>
  <c r="E4"/>
  <c r="E5"/>
  <c r="E6"/>
  <c r="E7"/>
  <c r="E8"/>
  <c r="E9"/>
  <c r="H4"/>
  <c r="H5"/>
  <c r="H6"/>
  <c r="H7"/>
  <c r="H8"/>
  <c r="H9"/>
  <c r="G4"/>
  <c r="B16" i="3"/>
  <c r="B27" s="1"/>
  <c r="D4"/>
  <c r="D5"/>
  <c r="D6"/>
  <c r="D7"/>
  <c r="D8"/>
  <c r="D9"/>
  <c r="D10"/>
  <c r="D11"/>
  <c r="D12"/>
  <c r="D13"/>
  <c r="B14"/>
  <c r="C14"/>
  <c r="E4"/>
  <c r="E5"/>
  <c r="E6"/>
  <c r="E7"/>
  <c r="E8"/>
  <c r="E9"/>
  <c r="E10"/>
  <c r="E11"/>
  <c r="E12"/>
  <c r="E13"/>
  <c r="E14"/>
  <c r="H4"/>
  <c r="H5"/>
  <c r="H6"/>
  <c r="H7"/>
  <c r="H8"/>
  <c r="H9"/>
  <c r="H10"/>
  <c r="H11"/>
  <c r="H12"/>
  <c r="H13"/>
  <c r="B15"/>
  <c r="G8" s="1"/>
  <c r="C15"/>
  <c r="G13"/>
  <c r="F13"/>
  <c r="G12"/>
  <c r="F12"/>
  <c r="G11"/>
  <c r="F11"/>
  <c r="G10"/>
  <c r="G9"/>
  <c r="D160" i="4" l="1"/>
  <c r="D130"/>
  <c r="D182"/>
  <c r="D145"/>
  <c r="D169"/>
  <c r="D161"/>
  <c r="D122"/>
  <c r="D138"/>
  <c r="D181"/>
  <c r="D165"/>
  <c r="D152"/>
  <c r="D153"/>
  <c r="D118"/>
  <c r="D126"/>
  <c r="D134"/>
  <c r="D142"/>
  <c r="D173"/>
  <c r="D179"/>
  <c r="D171"/>
  <c r="D167"/>
  <c r="D163"/>
  <c r="D156"/>
  <c r="D148"/>
  <c r="D157"/>
  <c r="D149"/>
  <c r="D116"/>
  <c r="D120"/>
  <c r="D124"/>
  <c r="D128"/>
  <c r="D132"/>
  <c r="D136"/>
  <c r="D140"/>
  <c r="D174"/>
  <c r="D178"/>
  <c r="D112"/>
  <c r="D110"/>
  <c r="D108"/>
  <c r="D106"/>
  <c r="D104"/>
  <c r="D102"/>
  <c r="D100"/>
  <c r="D98"/>
  <c r="D96"/>
  <c r="D94"/>
  <c r="D92"/>
  <c r="D90"/>
  <c r="D172"/>
  <c r="D170"/>
  <c r="D168"/>
  <c r="D166"/>
  <c r="D164"/>
  <c r="D162"/>
  <c r="D158"/>
  <c r="D154"/>
  <c r="D150"/>
  <c r="D146"/>
  <c r="D159"/>
  <c r="D155"/>
  <c r="D151"/>
  <c r="D147"/>
  <c r="D115"/>
  <c r="D117"/>
  <c r="D119"/>
  <c r="D121"/>
  <c r="D123"/>
  <c r="D125"/>
  <c r="D127"/>
  <c r="D129"/>
  <c r="D131"/>
  <c r="D133"/>
  <c r="D135"/>
  <c r="D137"/>
  <c r="D139"/>
  <c r="D141"/>
  <c r="D143"/>
  <c r="D175"/>
  <c r="D176"/>
  <c r="D177"/>
  <c r="G5" i="3"/>
  <c r="G7"/>
  <c r="G6"/>
  <c r="G4"/>
  <c r="G39" i="5"/>
  <c r="B23" i="2" s="1"/>
  <c r="D113" i="4"/>
  <c r="D111"/>
  <c r="D109"/>
  <c r="D107"/>
  <c r="D105"/>
  <c r="D103"/>
  <c r="D101"/>
  <c r="D99"/>
  <c r="D97"/>
  <c r="D95"/>
  <c r="D93"/>
  <c r="D91"/>
  <c r="D89"/>
  <c r="D14" i="3"/>
  <c r="H14"/>
  <c r="D51" i="4"/>
  <c r="I39" i="5"/>
  <c r="G8" i="2"/>
  <c r="G6"/>
  <c r="G9"/>
  <c r="G7"/>
  <c r="G5"/>
  <c r="G14" s="1"/>
  <c r="G14" i="3" l="1"/>
  <c r="D20"/>
  <c r="B20" s="1"/>
  <c r="I40" i="5" s="1"/>
  <c r="B23" i="3"/>
  <c r="G43" i="5"/>
  <c r="D54" i="4"/>
  <c r="D53"/>
  <c r="D52"/>
  <c r="D15"/>
  <c r="D50"/>
  <c r="D49"/>
  <c r="D61"/>
  <c r="D62"/>
  <c r="D60"/>
  <c r="D59"/>
  <c r="D37"/>
  <c r="D36"/>
  <c r="D35"/>
  <c r="D34"/>
  <c r="D33"/>
  <c r="D32"/>
  <c r="D31"/>
  <c r="D30"/>
  <c r="D29"/>
  <c r="D28"/>
  <c r="D27"/>
  <c r="D26"/>
  <c r="D25"/>
  <c r="D19"/>
  <c r="D18"/>
  <c r="D17"/>
  <c r="D16"/>
  <c r="D3"/>
  <c r="D14"/>
  <c r="D13"/>
  <c r="D12"/>
  <c r="D23"/>
  <c r="D6"/>
  <c r="D43"/>
  <c r="D77"/>
  <c r="D10"/>
  <c r="D57"/>
  <c r="D69"/>
  <c r="D85"/>
  <c r="D22"/>
  <c r="D56"/>
  <c r="D84"/>
  <c r="G27"/>
  <c r="H27" s="1"/>
  <c r="D21"/>
  <c r="D8"/>
  <c r="D4"/>
  <c r="D39"/>
  <c r="D47"/>
  <c r="D65"/>
  <c r="D73"/>
  <c r="D81"/>
  <c r="D5"/>
  <c r="D68"/>
  <c r="D41"/>
  <c r="D45"/>
  <c r="D55"/>
  <c r="D67"/>
  <c r="D71"/>
  <c r="D75"/>
  <c r="D79"/>
  <c r="D83"/>
  <c r="D87"/>
  <c r="D9"/>
  <c r="D42"/>
  <c r="D76"/>
  <c r="D11"/>
  <c r="D7"/>
  <c r="D24"/>
  <c r="D46"/>
  <c r="D64"/>
  <c r="D72"/>
  <c r="D80"/>
  <c r="D2"/>
  <c r="D40"/>
  <c r="D44"/>
  <c r="D48"/>
  <c r="D58"/>
  <c r="D66"/>
  <c r="D70"/>
  <c r="D74"/>
  <c r="D78"/>
  <c r="D82"/>
  <c r="D86"/>
  <c r="D20" i="2"/>
  <c r="B20" s="1"/>
  <c r="G40" i="5" s="1"/>
  <c r="G7" i="4" l="1"/>
  <c r="G9" s="1"/>
  <c r="G29" s="1"/>
  <c r="H29" s="1"/>
  <c r="C20" i="2"/>
  <c r="C20" i="3"/>
  <c r="B24" l="1"/>
  <c r="F10"/>
  <c r="G41" i="5"/>
  <c r="G42" s="1"/>
  <c r="F10" i="2"/>
  <c r="G26" i="4"/>
  <c r="H26" s="1"/>
  <c r="G25"/>
  <c r="H25" s="1"/>
  <c r="G28"/>
  <c r="H28" s="1"/>
  <c r="B24" i="2"/>
  <c r="F9"/>
  <c r="F7"/>
  <c r="F5"/>
  <c r="F4"/>
  <c r="F8"/>
  <c r="F6"/>
  <c r="I45" i="5"/>
  <c r="I41"/>
  <c r="F9" i="3"/>
  <c r="F8"/>
  <c r="F7"/>
  <c r="F5"/>
  <c r="F4"/>
  <c r="F6"/>
  <c r="F14" i="2" l="1"/>
  <c r="F14" i="3"/>
  <c r="B25" s="1"/>
  <c r="B26" s="1"/>
  <c r="B28" s="1"/>
  <c r="I46" i="5" s="1"/>
  <c r="B25" i="2"/>
  <c r="B26" s="1"/>
  <c r="B28" s="1"/>
  <c r="G46" i="5" s="1"/>
  <c r="B29" i="3" l="1"/>
  <c r="I47" i="5" s="1"/>
  <c r="B30" i="3"/>
  <c r="I48" i="5" s="1"/>
  <c r="B30" i="2"/>
  <c r="G48" i="5" s="1"/>
  <c r="B29" i="2"/>
  <c r="G47" i="5" s="1"/>
</calcChain>
</file>

<file path=xl/sharedStrings.xml><?xml version="1.0" encoding="utf-8"?>
<sst xmlns="http://schemas.openxmlformats.org/spreadsheetml/2006/main" count="351" uniqueCount="169">
  <si>
    <t>Program Number I</t>
  </si>
  <si>
    <t>Actual New and Changed LOC, Yi</t>
  </si>
  <si>
    <t>XiYi</t>
  </si>
  <si>
    <t>Sum</t>
  </si>
  <si>
    <t>Average</t>
  </si>
  <si>
    <t>n</t>
  </si>
  <si>
    <t>Regression</t>
  </si>
  <si>
    <t>beta1</t>
  </si>
  <si>
    <t>beta0</t>
  </si>
  <si>
    <t>PSP Regression Example</t>
  </si>
  <si>
    <t>Using equations 5.2, page 122 (or table A27, page 545)</t>
  </si>
  <si>
    <t>Current Program</t>
  </si>
  <si>
    <t>Estimated LOC</t>
  </si>
  <si>
    <t>Predicted LOC</t>
  </si>
  <si>
    <t>(Yi-b0-b1Xi)^2</t>
  </si>
  <si>
    <t>Variance</t>
  </si>
  <si>
    <t>Std Deviation</t>
  </si>
  <si>
    <t xml:space="preserve">          t</t>
  </si>
  <si>
    <t>Range</t>
  </si>
  <si>
    <t>(Xi-Xavg)^2</t>
  </si>
  <si>
    <t>Upper Prediction Interval</t>
  </si>
  <si>
    <t>Lower Prediction Interval</t>
  </si>
  <si>
    <t>Prediction Interval Percent</t>
  </si>
  <si>
    <t>Predicted Time</t>
  </si>
  <si>
    <t>r^2</t>
  </si>
  <si>
    <t>Yi^ 2</t>
  </si>
  <si>
    <t>Xi^2</t>
  </si>
  <si>
    <t>Estimated Object LOC, Xi</t>
  </si>
  <si>
    <t>Actual Time (min), Yi</t>
  </si>
  <si>
    <t>Inputs are in yellow, data used to find beta1 are in turquoise;beta0 and beta1 are in lavendar</t>
  </si>
  <si>
    <t>average of logs</t>
  </si>
  <si>
    <t>variance</t>
  </si>
  <si>
    <t>std dev</t>
  </si>
  <si>
    <t>Main</t>
  </si>
  <si>
    <t>Size (LOC)</t>
  </si>
  <si>
    <t>Ln(Size)</t>
  </si>
  <si>
    <t>(Ln(Size)-AveSize)^2</t>
  </si>
  <si>
    <t>sum of column D</t>
  </si>
  <si>
    <t>very small = ave - 2*std dev</t>
  </si>
  <si>
    <t>medium = average</t>
  </si>
  <si>
    <t>extra large = ave + 2*std dev</t>
  </si>
  <si>
    <t>small = ave - std dev</t>
  </si>
  <si>
    <t>large = ave + std dev</t>
  </si>
  <si>
    <t>LN(midpoint)</t>
  </si>
  <si>
    <t>Midpoints (LOC)</t>
  </si>
  <si>
    <t>Student</t>
  </si>
  <si>
    <t>Date</t>
  </si>
  <si>
    <t>Instructor</t>
  </si>
  <si>
    <t>G. Booker</t>
  </si>
  <si>
    <t>Program #</t>
  </si>
  <si>
    <t>BASE PROGRAM</t>
  </si>
  <si>
    <t>Estimate</t>
  </si>
  <si>
    <t>Actual</t>
  </si>
  <si>
    <t>OBJECT LOC</t>
  </si>
  <si>
    <t>BASE ADDITIONS:</t>
  </si>
  <si>
    <t xml:space="preserve">TYPE </t>
  </si>
  <si>
    <t>METHODS</t>
  </si>
  <si>
    <t>REL. SIZE</t>
  </si>
  <si>
    <t>Estimate LOC</t>
  </si>
  <si>
    <t>Actual LOC</t>
  </si>
  <si>
    <t>NEW OBJECTS:</t>
  </si>
  <si>
    <t xml:space="preserve"> METHODS</t>
  </si>
  <si>
    <t xml:space="preserve">Estimate LOC </t>
  </si>
  <si>
    <t>(New Reuse*)</t>
  </si>
  <si>
    <t>L</t>
  </si>
  <si>
    <t xml:space="preserve">  TOTAL NEW OBJECTS (NO)      =&gt;    =&gt;    =&gt;    =&gt;    =&gt;    =&gt;    =&gt; </t>
  </si>
  <si>
    <t>REUSED OBJECTS</t>
  </si>
  <si>
    <t xml:space="preserve">   REUSED TOTAL (R)   =&gt;    =&gt;    =&gt;    =&gt;    =&gt;    =&gt;    =&gt;    =&gt;    =&gt;</t>
  </si>
  <si>
    <t xml:space="preserve">SIZE    </t>
  </si>
  <si>
    <t xml:space="preserve">Regression Parameter: </t>
  </si>
  <si>
    <t>b1</t>
  </si>
  <si>
    <t>Regression Parameter:</t>
  </si>
  <si>
    <t>b0</t>
  </si>
  <si>
    <t>Estimated Total New Reused (sum of * LOC):</t>
  </si>
  <si>
    <t>Prediction Range:</t>
  </si>
  <si>
    <t>Upper Prediction Interval:</t>
  </si>
  <si>
    <t>Lower Prediction Interval:</t>
  </si>
  <si>
    <t>Prediction Interval Percent:</t>
  </si>
  <si>
    <t>Table C39 Size Estimating Template (p. 683)</t>
  </si>
  <si>
    <t>Estimated Object LOC (E) = BA + NO + M:</t>
  </si>
  <si>
    <t>Estimated New and Changed LOC (N) = b0 + b1*E:</t>
  </si>
  <si>
    <t>Estimated Total Development Time (hrs) = b0 + b1*E</t>
  </si>
  <si>
    <t>Should feed into C47, C49, C55 as total planned time</t>
  </si>
  <si>
    <t>PIP should be equal for both regressions</t>
  </si>
  <si>
    <t>Type</t>
  </si>
  <si>
    <t>For low R^2, Time Estimate Method 5C1 used</t>
  </si>
  <si>
    <t>TIME</t>
  </si>
  <si>
    <t>Estimated Total LOC T = N + B - D - M + R:</t>
  </si>
  <si>
    <t>(N) should feed into total new and changed code in C55</t>
  </si>
  <si>
    <t>Actual LOC = beta0 + beta1*(Estimated LOC)</t>
  </si>
  <si>
    <t>Actual Time = beta0 + beta1*(Estimated LOC)</t>
  </si>
  <si>
    <t>minutes</t>
  </si>
  <si>
    <t>is adjusted (N) on C39 and C55</t>
  </si>
  <si>
    <t>LOC</t>
  </si>
  <si>
    <t xml:space="preserve">      TOTAL BASE ADDITIONS (BA)      =&gt;    =&gt;    =&gt;    =&gt;    =&gt;</t>
  </si>
  <si>
    <t xml:space="preserve">   BASE SIZE (B)    =&gt;    =&gt;    =&gt;    =&gt;    =&gt;    =&gt;    =&gt;    =&gt;</t>
  </si>
  <si>
    <t xml:space="preserve">   LOC DELETED (D)     =&gt;    =&gt;    =&gt;    =&gt;    =&gt;    =&gt;    =&gt;    =&gt;</t>
  </si>
  <si>
    <t xml:space="preserve">   LOC MODIFIED (M)   =&gt;    =&gt;    =&gt;    =&gt;    =&gt;    =&gt;    =&gt;    =&gt;</t>
  </si>
  <si>
    <t>2A</t>
  </si>
  <si>
    <t>2B</t>
  </si>
  <si>
    <t>3B</t>
  </si>
  <si>
    <t>Greg Vannoni</t>
  </si>
  <si>
    <t>MainFrame</t>
  </si>
  <si>
    <t>displayError</t>
  </si>
  <si>
    <t>displayWarning</t>
  </si>
  <si>
    <t>displayArrayList</t>
  </si>
  <si>
    <t>getJListPane</t>
  </si>
  <si>
    <t>getReadWriteMode</t>
  </si>
  <si>
    <t>getSingleNumberInput</t>
  </si>
  <si>
    <t>getNumbersInput</t>
  </si>
  <si>
    <t>getQuantityOfNumbers</t>
  </si>
  <si>
    <t>getFileLocation</t>
  </si>
  <si>
    <t>initializeAndDisplay</t>
  </si>
  <si>
    <t>control</t>
  </si>
  <si>
    <t>MyFileReader</t>
  </si>
  <si>
    <t>getFileContents</t>
  </si>
  <si>
    <t>MyFileWriter</t>
  </si>
  <si>
    <t>setFileContents</t>
  </si>
  <si>
    <t>FileModeType</t>
  </si>
  <si>
    <t>toString</t>
  </si>
  <si>
    <t>getJListAsArray</t>
  </si>
  <si>
    <t>displaySingleString</t>
  </si>
  <si>
    <t>getModifyAction</t>
  </si>
  <si>
    <t>getReadWriteModifyMode</t>
  </si>
  <si>
    <t>Assignment 1B</t>
  </si>
  <si>
    <t>Assignment 2A</t>
  </si>
  <si>
    <t>Assignment 2B</t>
  </si>
  <si>
    <t>getJListScrollPane</t>
  </si>
  <si>
    <t>CountingStandard</t>
  </si>
  <si>
    <t>isLogicalLineOfCode</t>
  </si>
  <si>
    <t>LOCCounter</t>
  </si>
  <si>
    <t>getLogicalVisualLOC</t>
  </si>
  <si>
    <t>countLogicalLOC</t>
  </si>
  <si>
    <t>countPhysicalLOC</t>
  </si>
  <si>
    <t>FileModifyType</t>
  </si>
  <si>
    <t>initializeAndDisplayWithPrompt</t>
  </si>
  <si>
    <t>Assignment 3B</t>
  </si>
  <si>
    <t>Assignment 4B</t>
  </si>
  <si>
    <t>4B</t>
  </si>
  <si>
    <t>D</t>
  </si>
  <si>
    <t>6B</t>
  </si>
  <si>
    <t>5B</t>
  </si>
  <si>
    <t>Assignment 5B</t>
  </si>
  <si>
    <t>displayArrayListSingleRow</t>
  </si>
  <si>
    <t>getJListAsArrayList</t>
  </si>
  <si>
    <t>getJListAsArrayListOfArrayList</t>
  </si>
  <si>
    <t>displaySingleRow</t>
  </si>
  <si>
    <t>removeSingleRow</t>
  </si>
  <si>
    <t>setFileContentsWithArray</t>
  </si>
  <si>
    <t>setFileContentsWithList</t>
  </si>
  <si>
    <t>C</t>
  </si>
  <si>
    <t>7B</t>
  </si>
  <si>
    <t>Call to getUserInput for estimated value</t>
  </si>
  <si>
    <t>Add display for projected value</t>
  </si>
  <si>
    <t>Add calculations in RegressionCalc for projected value</t>
  </si>
  <si>
    <t>Add calculations for prediction interval</t>
  </si>
  <si>
    <t>Add table for prediction</t>
  </si>
  <si>
    <t>I</t>
  </si>
  <si>
    <t>S</t>
  </si>
  <si>
    <t>Assignment 6B</t>
  </si>
  <si>
    <t>RegressionCalc</t>
  </si>
  <si>
    <t>convertStringDataToDoubleData</t>
  </si>
  <si>
    <t>calculateTimeEstimateRegression</t>
  </si>
  <si>
    <t>calculateSizeEstimateRegression</t>
  </si>
  <si>
    <t>calculateEstimateRegression</t>
  </si>
  <si>
    <t>Round</t>
  </si>
  <si>
    <t>getBeta0Values</t>
  </si>
  <si>
    <t>getBeta1Values</t>
  </si>
  <si>
    <t>getSupportingRegressionValues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</si>
</sst>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"/>
  </numFmts>
  <fonts count="18">
    <font>
      <sz val="10"/>
      <name val="Arial"/>
    </font>
    <font>
      <b/>
      <sz val="10"/>
      <name val="Arial"/>
    </font>
    <font>
      <sz val="10"/>
      <name val="Arial"/>
    </font>
    <font>
      <b/>
      <sz val="16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</font>
    <font>
      <b/>
      <i/>
      <sz val="14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sz val="9"/>
      <name val="Arial"/>
      <family val="2"/>
    </font>
    <font>
      <sz val="10"/>
      <name val="Symbol"/>
      <family val="1"/>
      <charset val="2"/>
    </font>
    <font>
      <i/>
      <sz val="10"/>
      <color indexed="53"/>
      <name val="Arial"/>
      <family val="2"/>
    </font>
    <font>
      <b/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6" fillId="0" borderId="0" xfId="0" applyFont="1" applyAlignment="1">
      <alignment wrapText="1"/>
    </xf>
    <xf numFmtId="1" fontId="0" fillId="0" borderId="0" xfId="0" applyNumberFormat="1"/>
    <xf numFmtId="0" fontId="1" fillId="0" borderId="0" xfId="0" quotePrefix="1" applyFont="1"/>
    <xf numFmtId="2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0" fontId="6" fillId="0" borderId="0" xfId="0" quotePrefix="1" applyFont="1" applyAlignment="1">
      <alignment wrapText="1"/>
    </xf>
    <xf numFmtId="9" fontId="0" fillId="2" borderId="0" xfId="0" applyNumberFormat="1" applyFill="1"/>
    <xf numFmtId="0" fontId="7" fillId="0" borderId="0" xfId="0" quotePrefix="1" applyFont="1"/>
    <xf numFmtId="165" fontId="0" fillId="2" borderId="0" xfId="0" applyNumberFormat="1" applyFill="1"/>
    <xf numFmtId="166" fontId="0" fillId="0" borderId="0" xfId="0" applyNumberFormat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6" fontId="0" fillId="3" borderId="0" xfId="0" applyNumberFormat="1" applyFill="1"/>
    <xf numFmtId="164" fontId="0" fillId="0" borderId="0" xfId="0" applyNumberFormat="1"/>
    <xf numFmtId="164" fontId="5" fillId="0" borderId="0" xfId="0" applyNumberFormat="1" applyFont="1"/>
    <xf numFmtId="0" fontId="0" fillId="0" borderId="0" xfId="0" quotePrefix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Border="1" applyAlignment="1">
      <alignment vertical="top"/>
    </xf>
    <xf numFmtId="0" fontId="10" fillId="0" borderId="0" xfId="0" applyFont="1" applyAlignment="1"/>
    <xf numFmtId="0" fontId="10" fillId="0" borderId="0" xfId="0" applyFont="1" applyAlignment="1">
      <alignment vertical="top"/>
    </xf>
    <xf numFmtId="0" fontId="10" fillId="0" borderId="1" xfId="0" applyFont="1" applyBorder="1" applyAlignment="1">
      <alignment vertical="top"/>
    </xf>
    <xf numFmtId="0" fontId="12" fillId="0" borderId="0" xfId="0" applyFont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2" xfId="0" applyFont="1" applyBorder="1" applyAlignment="1">
      <alignment horizontal="right" vertical="top" wrapText="1"/>
    </xf>
    <xf numFmtId="0" fontId="10" fillId="0" borderId="0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right" vertical="top" wrapText="1"/>
    </xf>
    <xf numFmtId="0" fontId="5" fillId="0" borderId="0" xfId="0" applyFont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wrapText="1"/>
    </xf>
    <xf numFmtId="0" fontId="14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2" xfId="0" applyFont="1" applyBorder="1" applyAlignment="1">
      <alignment vertical="top"/>
    </xf>
    <xf numFmtId="0" fontId="10" fillId="0" borderId="2" xfId="0" applyFont="1" applyBorder="1" applyAlignment="1">
      <alignment horizontal="right" vertical="top"/>
    </xf>
    <xf numFmtId="0" fontId="10" fillId="0" borderId="1" xfId="0" applyFont="1" applyBorder="1" applyAlignment="1">
      <alignment horizontal="right" vertical="top"/>
    </xf>
    <xf numFmtId="0" fontId="10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0" xfId="0" applyFont="1" applyBorder="1"/>
    <xf numFmtId="0" fontId="14" fillId="0" borderId="0" xfId="0" applyFont="1"/>
    <xf numFmtId="0" fontId="10" fillId="0" borderId="0" xfId="0" applyFont="1" applyBorder="1" applyAlignment="1">
      <alignment horizontal="right" vertical="top"/>
    </xf>
    <xf numFmtId="0" fontId="10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0" fillId="0" borderId="3" xfId="0" applyFont="1" applyBorder="1" applyAlignment="1">
      <alignment horizontal="right" vertical="top"/>
    </xf>
    <xf numFmtId="1" fontId="16" fillId="0" borderId="1" xfId="0" applyNumberFormat="1" applyFont="1" applyBorder="1" applyAlignment="1">
      <alignment horizontal="right" vertical="top"/>
    </xf>
    <xf numFmtId="165" fontId="10" fillId="0" borderId="2" xfId="0" applyNumberFormat="1" applyFont="1" applyBorder="1" applyAlignment="1">
      <alignment horizontal="right" vertical="top"/>
    </xf>
    <xf numFmtId="2" fontId="10" fillId="0" borderId="0" xfId="0" applyNumberFormat="1" applyFont="1"/>
    <xf numFmtId="9" fontId="10" fillId="0" borderId="1" xfId="1" applyFont="1" applyBorder="1" applyAlignment="1">
      <alignment horizontal="right" vertical="top"/>
    </xf>
    <xf numFmtId="0" fontId="10" fillId="0" borderId="0" xfId="0" applyFont="1" applyBorder="1" applyAlignment="1"/>
    <xf numFmtId="164" fontId="10" fillId="0" borderId="3" xfId="0" applyNumberFormat="1" applyFont="1" applyBorder="1" applyAlignment="1">
      <alignment horizontal="right" vertical="top"/>
    </xf>
    <xf numFmtId="164" fontId="10" fillId="0" borderId="0" xfId="0" applyNumberFormat="1" applyFont="1"/>
    <xf numFmtId="0" fontId="10" fillId="0" borderId="0" xfId="0" applyFont="1" applyBorder="1" applyAlignment="1">
      <alignment horizontal="left" vertical="top"/>
    </xf>
    <xf numFmtId="0" fontId="7" fillId="0" borderId="0" xfId="0" applyFont="1"/>
    <xf numFmtId="1" fontId="0" fillId="0" borderId="0" xfId="0" applyNumberFormat="1" applyAlignment="1">
      <alignment horizontal="left" indent="4"/>
    </xf>
    <xf numFmtId="0" fontId="10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1" fontId="0" fillId="2" borderId="0" xfId="0" applyNumberFormat="1" applyFill="1"/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0" fontId="10" fillId="5" borderId="0" xfId="0" applyFont="1" applyFill="1"/>
    <xf numFmtId="0" fontId="10" fillId="5" borderId="0" xfId="0" applyFont="1" applyFill="1" applyAlignment="1">
      <alignment vertical="top"/>
    </xf>
    <xf numFmtId="0" fontId="10" fillId="5" borderId="0" xfId="0" applyFont="1" applyFill="1" applyAlignment="1">
      <alignment vertical="top" wrapText="1"/>
    </xf>
    <xf numFmtId="1" fontId="10" fillId="5" borderId="0" xfId="0" applyNumberFormat="1" applyFont="1" applyFill="1" applyBorder="1" applyAlignment="1">
      <alignment horizontal="right" vertical="top" wrapText="1"/>
    </xf>
    <xf numFmtId="0" fontId="10" fillId="5" borderId="0" xfId="0" applyFont="1" applyFill="1" applyBorder="1" applyAlignment="1">
      <alignment horizontal="right" vertical="top" wrapText="1"/>
    </xf>
    <xf numFmtId="0" fontId="10" fillId="5" borderId="0" xfId="0" applyFont="1" applyFill="1" applyAlignment="1">
      <alignment horizontal="center" vertical="top"/>
    </xf>
    <xf numFmtId="0" fontId="10" fillId="5" borderId="0" xfId="0" applyFont="1" applyFill="1" applyBorder="1" applyAlignment="1">
      <alignment horizontal="center" vertical="top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applyFont="1" applyBorder="1" applyAlignment="1">
      <alignment horizontal="center" vertical="top" wrapText="1"/>
    </xf>
    <xf numFmtId="0" fontId="10" fillId="5" borderId="0" xfId="0" applyFont="1" applyFill="1" applyBorder="1" applyAlignment="1">
      <alignment horizontal="center" vertical="top" wrapText="1"/>
    </xf>
    <xf numFmtId="164" fontId="10" fillId="0" borderId="0" xfId="0" applyNumberFormat="1" applyFont="1" applyAlignment="1">
      <alignment horizontal="center" vertical="top"/>
    </xf>
    <xf numFmtId="0" fontId="17" fillId="0" borderId="0" xfId="0" applyFont="1" applyAlignment="1"/>
    <xf numFmtId="0" fontId="10" fillId="0" borderId="2" xfId="0" applyFont="1" applyBorder="1" applyAlignment="1">
      <alignment vertical="top" wrapText="1"/>
    </xf>
    <xf numFmtId="1" fontId="10" fillId="0" borderId="2" xfId="0" applyNumberFormat="1" applyFont="1" applyFill="1" applyBorder="1" applyAlignment="1">
      <alignment horizontal="right" vertical="top"/>
    </xf>
    <xf numFmtId="164" fontId="10" fillId="0" borderId="3" xfId="0" applyNumberFormat="1" applyFont="1" applyFill="1" applyBorder="1" applyAlignment="1">
      <alignment horizontal="right" vertical="top"/>
    </xf>
    <xf numFmtId="0" fontId="10" fillId="0" borderId="0" xfId="0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right" vertical="top"/>
    </xf>
    <xf numFmtId="9" fontId="10" fillId="0" borderId="1" xfId="0" applyNumberFormat="1" applyFont="1" applyFill="1" applyBorder="1" applyAlignment="1">
      <alignment horizontal="right" vertical="top"/>
    </xf>
    <xf numFmtId="1" fontId="5" fillId="0" borderId="0" xfId="0" applyNumberFormat="1" applyFont="1"/>
    <xf numFmtId="166" fontId="6" fillId="0" borderId="3" xfId="0" applyNumberFormat="1" applyFont="1" applyFill="1" applyBorder="1" applyAlignment="1">
      <alignment horizontal="right" vertical="top"/>
    </xf>
    <xf numFmtId="1" fontId="5" fillId="0" borderId="2" xfId="0" applyNumberFormat="1" applyFont="1" applyBorder="1" applyAlignment="1">
      <alignment horizontal="right" vertical="top"/>
    </xf>
    <xf numFmtId="165" fontId="0" fillId="4" borderId="0" xfId="0" applyNumberFormat="1" applyFill="1" applyAlignment="1">
      <alignment horizontal="center"/>
    </xf>
    <xf numFmtId="1" fontId="10" fillId="0" borderId="2" xfId="0" applyNumberFormat="1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 wrapText="1"/>
    </xf>
    <xf numFmtId="14" fontId="10" fillId="0" borderId="0" xfId="0" applyNumberFormat="1" applyFont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10" fillId="0" borderId="0" xfId="0" applyFont="1" applyBorder="1" applyAlignment="1">
      <alignment vertical="top" wrapText="1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9" fillId="0" borderId="0" xfId="0" applyFont="1" applyAlignment="1">
      <alignment horizontal="left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0</xdr:col>
      <xdr:colOff>152400</xdr:colOff>
      <xdr:row>40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62625"/>
          <a:ext cx="152400" cy="19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63"/>
  <sheetViews>
    <sheetView tabSelected="1" topLeftCell="A4" zoomScaleNormal="100" workbookViewId="0">
      <selection activeCell="K55" sqref="K55"/>
    </sheetView>
  </sheetViews>
  <sheetFormatPr defaultRowHeight="12.75"/>
  <cols>
    <col min="1" max="1" width="19.42578125" style="26" customWidth="1"/>
    <col min="2" max="6" width="9.140625" style="26"/>
    <col min="7" max="7" width="12.42578125" style="26" bestFit="1" customWidth="1"/>
    <col min="8" max="8" width="8" style="78" bestFit="1" customWidth="1"/>
    <col min="9" max="9" width="11.5703125" style="26" bestFit="1" customWidth="1"/>
    <col min="10" max="47" width="9.140625" style="25"/>
    <col min="48" max="16384" width="9.140625" style="26"/>
  </cols>
  <sheetData>
    <row r="1" spans="1:22" ht="18.75">
      <c r="A1" s="102" t="s">
        <v>78</v>
      </c>
      <c r="B1" s="102"/>
      <c r="C1" s="102"/>
      <c r="D1" s="102"/>
      <c r="E1" s="102"/>
      <c r="F1" s="102"/>
      <c r="G1" s="102"/>
      <c r="H1" s="102"/>
      <c r="I1" s="102"/>
    </row>
    <row r="2" spans="1:22">
      <c r="A2" s="27" t="s">
        <v>45</v>
      </c>
      <c r="B2" s="28" t="s">
        <v>101</v>
      </c>
      <c r="C2" s="29"/>
      <c r="D2" s="29"/>
      <c r="E2" s="29"/>
      <c r="F2" s="29"/>
      <c r="G2" s="30" t="s">
        <v>46</v>
      </c>
      <c r="I2" s="97">
        <v>40249</v>
      </c>
    </row>
    <row r="3" spans="1:22">
      <c r="A3" s="27" t="s">
        <v>47</v>
      </c>
      <c r="B3" s="28" t="s">
        <v>48</v>
      </c>
      <c r="C3" s="29"/>
      <c r="D3" s="29"/>
      <c r="E3" s="29"/>
      <c r="F3" s="29"/>
      <c r="G3" s="30" t="s">
        <v>49</v>
      </c>
      <c r="I3" s="67" t="s">
        <v>151</v>
      </c>
    </row>
    <row r="4" spans="1:22">
      <c r="A4" s="71"/>
      <c r="B4" s="71"/>
      <c r="C4" s="71"/>
      <c r="D4" s="71"/>
      <c r="E4" s="71"/>
      <c r="F4" s="71"/>
      <c r="G4" s="71"/>
      <c r="H4" s="79"/>
      <c r="I4" s="71"/>
    </row>
    <row r="5" spans="1:22" ht="12.75" customHeight="1">
      <c r="A5" s="103" t="s">
        <v>50</v>
      </c>
      <c r="B5" s="103"/>
      <c r="C5" s="103"/>
      <c r="D5" s="103"/>
      <c r="E5" s="104"/>
      <c r="F5" s="104"/>
      <c r="G5" s="32" t="s">
        <v>51</v>
      </c>
      <c r="I5" s="32" t="s">
        <v>52</v>
      </c>
      <c r="J5" s="33"/>
      <c r="K5" s="34"/>
      <c r="L5" s="34"/>
      <c r="M5" s="34"/>
      <c r="N5" s="34"/>
    </row>
    <row r="6" spans="1:22" ht="12.75" customHeight="1">
      <c r="A6" s="30" t="s">
        <v>95</v>
      </c>
      <c r="B6" s="27"/>
      <c r="C6" s="27"/>
      <c r="D6" s="27"/>
      <c r="E6" s="27"/>
      <c r="F6" s="27"/>
      <c r="G6" s="96">
        <v>494</v>
      </c>
      <c r="H6" s="80"/>
      <c r="I6" s="35">
        <v>494</v>
      </c>
      <c r="J6" s="36"/>
      <c r="K6" s="34"/>
      <c r="L6" s="34"/>
      <c r="M6" s="34"/>
      <c r="N6" s="34"/>
    </row>
    <row r="7" spans="1:22" ht="12.75" customHeight="1">
      <c r="A7" s="30" t="s">
        <v>96</v>
      </c>
      <c r="B7" s="27"/>
      <c r="C7" s="27"/>
      <c r="D7" s="27"/>
      <c r="E7" s="27"/>
      <c r="F7" s="27"/>
      <c r="G7" s="94">
        <v>5</v>
      </c>
      <c r="H7" s="80"/>
      <c r="I7" s="37"/>
      <c r="J7" s="36"/>
      <c r="K7" s="34"/>
      <c r="L7" s="34"/>
      <c r="M7" s="34"/>
      <c r="N7" s="34"/>
    </row>
    <row r="8" spans="1:22" ht="12.75" customHeight="1">
      <c r="A8" s="30" t="s">
        <v>97</v>
      </c>
      <c r="B8" s="27"/>
      <c r="C8" s="27"/>
      <c r="D8" s="27"/>
      <c r="E8" s="27"/>
      <c r="F8" s="27"/>
      <c r="G8" s="94">
        <v>15</v>
      </c>
      <c r="H8" s="80"/>
      <c r="I8" s="37"/>
      <c r="J8" s="36"/>
      <c r="K8" s="34"/>
      <c r="L8" s="34"/>
      <c r="M8" s="34"/>
      <c r="N8" s="34"/>
    </row>
    <row r="9" spans="1:22" ht="12.75" customHeight="1">
      <c r="A9" s="72"/>
      <c r="B9" s="73"/>
      <c r="C9" s="73"/>
      <c r="D9" s="73"/>
      <c r="E9" s="73"/>
      <c r="F9" s="73"/>
      <c r="G9" s="74"/>
      <c r="H9" s="81"/>
      <c r="I9" s="75"/>
      <c r="J9" s="36"/>
      <c r="K9" s="34"/>
      <c r="L9" s="34"/>
      <c r="M9" s="34"/>
      <c r="N9" s="34"/>
    </row>
    <row r="10" spans="1:22" ht="12.75" customHeight="1">
      <c r="A10" s="38" t="s">
        <v>53</v>
      </c>
      <c r="B10" s="38"/>
      <c r="C10" s="38"/>
      <c r="D10" s="30"/>
      <c r="E10" s="30"/>
      <c r="F10" s="30"/>
      <c r="G10" s="30"/>
      <c r="H10" s="53"/>
      <c r="I10" s="30"/>
      <c r="J10" s="39"/>
      <c r="K10" s="39"/>
      <c r="L10" s="39"/>
      <c r="M10" s="39"/>
      <c r="N10" s="39"/>
      <c r="O10" s="99"/>
      <c r="P10" s="99"/>
      <c r="Q10" s="99"/>
      <c r="R10" s="99"/>
      <c r="S10" s="99"/>
      <c r="T10" s="99"/>
      <c r="U10" s="99"/>
      <c r="V10" s="40"/>
    </row>
    <row r="11" spans="1:22" ht="15.75" customHeight="1">
      <c r="A11" s="100" t="s">
        <v>54</v>
      </c>
      <c r="B11" s="100"/>
      <c r="C11" s="41"/>
      <c r="D11" s="41" t="s">
        <v>55</v>
      </c>
      <c r="E11" s="41" t="s">
        <v>56</v>
      </c>
      <c r="F11" s="41" t="s">
        <v>57</v>
      </c>
      <c r="G11" s="42" t="s">
        <v>58</v>
      </c>
      <c r="H11" s="41"/>
      <c r="I11" s="42" t="s">
        <v>59</v>
      </c>
      <c r="J11" s="43"/>
      <c r="K11" s="43"/>
    </row>
    <row r="12" spans="1:22" ht="25.5">
      <c r="A12" s="84" t="s">
        <v>152</v>
      </c>
      <c r="B12" s="44"/>
      <c r="C12" s="39"/>
      <c r="D12" s="66" t="s">
        <v>157</v>
      </c>
      <c r="E12" s="66">
        <v>1</v>
      </c>
      <c r="F12" s="66" t="s">
        <v>158</v>
      </c>
      <c r="G12" s="66">
        <v>2</v>
      </c>
      <c r="H12" s="43"/>
      <c r="I12" s="45"/>
    </row>
    <row r="13" spans="1:22" ht="25.5">
      <c r="A13" s="84" t="s">
        <v>153</v>
      </c>
      <c r="B13" s="31"/>
      <c r="C13" s="39"/>
      <c r="D13" s="67" t="s">
        <v>157</v>
      </c>
      <c r="E13" s="67">
        <v>1</v>
      </c>
      <c r="F13" s="67" t="s">
        <v>158</v>
      </c>
      <c r="G13" s="67">
        <v>2</v>
      </c>
      <c r="H13" s="43"/>
      <c r="I13" s="46"/>
    </row>
    <row r="14" spans="1:22" ht="38.25">
      <c r="A14" s="84" t="s">
        <v>154</v>
      </c>
      <c r="B14" s="31"/>
      <c r="C14" s="39"/>
      <c r="D14" s="67" t="s">
        <v>150</v>
      </c>
      <c r="E14" s="67">
        <v>1</v>
      </c>
      <c r="F14" s="67" t="s">
        <v>64</v>
      </c>
      <c r="G14" s="95">
        <v>16</v>
      </c>
      <c r="H14" s="43"/>
      <c r="I14" s="46"/>
    </row>
    <row r="15" spans="1:22" ht="25.5">
      <c r="A15" s="84" t="s">
        <v>155</v>
      </c>
      <c r="B15" s="31"/>
      <c r="C15" s="39"/>
      <c r="D15" s="67" t="s">
        <v>150</v>
      </c>
      <c r="E15" s="67">
        <v>1</v>
      </c>
      <c r="F15" s="67" t="s">
        <v>64</v>
      </c>
      <c r="G15" s="95">
        <v>16</v>
      </c>
      <c r="H15" s="43"/>
      <c r="I15" s="46"/>
    </row>
    <row r="16" spans="1:22" ht="25.5">
      <c r="A16" s="84" t="s">
        <v>156</v>
      </c>
      <c r="B16" s="31"/>
      <c r="C16" s="39"/>
      <c r="D16" s="67" t="s">
        <v>139</v>
      </c>
      <c r="E16" s="67">
        <v>1</v>
      </c>
      <c r="F16" s="67" t="s">
        <v>158</v>
      </c>
      <c r="G16" s="95">
        <v>2</v>
      </c>
      <c r="H16" s="43"/>
      <c r="I16" s="46"/>
    </row>
    <row r="17" spans="1:47">
      <c r="A17" s="84"/>
      <c r="B17" s="31"/>
      <c r="C17" s="39"/>
      <c r="D17" s="67"/>
      <c r="E17" s="67"/>
      <c r="F17" s="67"/>
      <c r="G17" s="95"/>
      <c r="H17" s="43"/>
      <c r="I17" s="46"/>
    </row>
    <row r="18" spans="1:47">
      <c r="A18" s="84"/>
      <c r="B18" s="31"/>
      <c r="C18" s="39"/>
      <c r="D18" s="67"/>
      <c r="E18" s="67"/>
      <c r="F18" s="67"/>
      <c r="G18" s="95"/>
      <c r="H18" s="43"/>
      <c r="I18" s="46"/>
    </row>
    <row r="19" spans="1:47">
      <c r="A19" s="84"/>
      <c r="B19" s="31"/>
      <c r="C19" s="39"/>
      <c r="D19" s="67"/>
      <c r="E19" s="67"/>
      <c r="F19" s="67"/>
      <c r="G19" s="95"/>
      <c r="H19" s="43"/>
      <c r="I19" s="46"/>
    </row>
    <row r="20" spans="1:47">
      <c r="A20" s="44"/>
      <c r="B20" s="31"/>
      <c r="C20" s="39"/>
      <c r="D20" s="67"/>
      <c r="E20" s="67"/>
      <c r="F20" s="67"/>
      <c r="G20" s="47"/>
      <c r="H20" s="43"/>
      <c r="I20" s="46"/>
    </row>
    <row r="21" spans="1:47" ht="12.75" customHeight="1">
      <c r="B21" s="30"/>
      <c r="C21" s="30"/>
      <c r="D21" s="53"/>
      <c r="E21" s="53"/>
      <c r="F21" s="53"/>
      <c r="G21" s="31"/>
      <c r="H21" s="53"/>
      <c r="I21" s="31"/>
    </row>
    <row r="22" spans="1:47">
      <c r="A22" s="30" t="s">
        <v>94</v>
      </c>
      <c r="B22" s="30"/>
      <c r="C22" s="30"/>
      <c r="D22" s="53"/>
      <c r="E22" s="53"/>
      <c r="F22" s="53"/>
      <c r="G22" s="53">
        <f>SUM(G12:G21)</f>
        <v>38</v>
      </c>
      <c r="H22" s="53"/>
      <c r="I22" s="30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47" s="51" customFormat="1" ht="24">
      <c r="A23" s="100" t="s">
        <v>60</v>
      </c>
      <c r="B23" s="101"/>
      <c r="C23" s="48"/>
      <c r="D23" s="41" t="s">
        <v>55</v>
      </c>
      <c r="E23" s="41" t="s">
        <v>61</v>
      </c>
      <c r="F23" s="41" t="s">
        <v>57</v>
      </c>
      <c r="G23" s="32" t="s">
        <v>62</v>
      </c>
      <c r="H23" s="32" t="s">
        <v>63</v>
      </c>
      <c r="I23" s="32" t="s">
        <v>59</v>
      </c>
      <c r="J23" s="49"/>
      <c r="K23" s="49"/>
      <c r="L23" s="49"/>
      <c r="M23" s="49"/>
      <c r="N23" s="49"/>
      <c r="O23" s="49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</row>
    <row r="24" spans="1:47">
      <c r="A24" s="44"/>
      <c r="B24" s="44"/>
      <c r="C24" s="44"/>
      <c r="D24" s="66"/>
      <c r="E24" s="66"/>
      <c r="F24" s="66"/>
      <c r="G24" s="66"/>
      <c r="H24" s="53"/>
      <c r="I24" s="45"/>
    </row>
    <row r="25" spans="1:47">
      <c r="A25" s="31"/>
      <c r="B25" s="31"/>
      <c r="C25" s="31"/>
      <c r="D25" s="67"/>
      <c r="E25" s="67"/>
      <c r="F25" s="67"/>
      <c r="G25" s="67"/>
      <c r="H25" s="53"/>
      <c r="I25" s="46"/>
    </row>
    <row r="26" spans="1:47">
      <c r="A26" s="31"/>
      <c r="B26" s="31"/>
      <c r="C26" s="31"/>
      <c r="D26" s="67"/>
      <c r="E26" s="67"/>
      <c r="F26" s="67"/>
      <c r="G26" s="67"/>
      <c r="H26" s="53"/>
      <c r="I26" s="46"/>
    </row>
    <row r="27" spans="1:47">
      <c r="A27" s="31"/>
      <c r="B27" s="31"/>
      <c r="C27" s="31"/>
      <c r="D27" s="67"/>
      <c r="E27" s="67"/>
      <c r="F27" s="67"/>
      <c r="G27" s="67"/>
      <c r="H27" s="53"/>
      <c r="I27" s="46"/>
    </row>
    <row r="28" spans="1:47">
      <c r="A28" s="31"/>
      <c r="B28" s="31"/>
      <c r="C28" s="31"/>
      <c r="D28" s="67"/>
      <c r="E28" s="67"/>
      <c r="F28" s="67"/>
      <c r="G28" s="67"/>
      <c r="H28" s="53"/>
      <c r="I28" s="46"/>
    </row>
    <row r="29" spans="1:47">
      <c r="A29" s="44"/>
      <c r="B29" s="44"/>
      <c r="C29" s="44"/>
      <c r="D29" s="67"/>
      <c r="E29" s="67"/>
      <c r="F29" s="67"/>
      <c r="G29" s="67"/>
      <c r="H29" s="53"/>
      <c r="I29" s="46"/>
    </row>
    <row r="30" spans="1:47" ht="12.75" customHeight="1">
      <c r="A30" s="30" t="s">
        <v>65</v>
      </c>
      <c r="B30" s="30"/>
      <c r="C30" s="30"/>
      <c r="D30" s="53"/>
      <c r="E30" s="53"/>
      <c r="F30" s="53"/>
      <c r="G30" s="53">
        <f>SUM(G24:G29)</f>
        <v>0</v>
      </c>
      <c r="H30" s="53"/>
      <c r="I30" s="30"/>
      <c r="J30" s="39"/>
      <c r="K30" s="39"/>
      <c r="L30" s="39"/>
      <c r="M30" s="39"/>
      <c r="N30" s="39"/>
      <c r="O30" s="39"/>
      <c r="P30" s="52"/>
      <c r="Q30" s="52"/>
      <c r="R30" s="52"/>
      <c r="S30" s="52"/>
      <c r="T30" s="52"/>
      <c r="U30" s="52"/>
      <c r="V30" s="52"/>
    </row>
    <row r="31" spans="1:47">
      <c r="A31" s="72"/>
      <c r="B31" s="72"/>
      <c r="C31" s="72"/>
      <c r="D31" s="76"/>
      <c r="E31" s="76"/>
      <c r="F31" s="76"/>
      <c r="G31" s="72"/>
      <c r="H31" s="76"/>
      <c r="I31" s="72"/>
      <c r="J31" s="39"/>
      <c r="K31" s="39"/>
      <c r="L31" s="39"/>
      <c r="M31" s="39"/>
      <c r="N31" s="39"/>
      <c r="O31" s="39"/>
      <c r="P31" s="43"/>
      <c r="Q31" s="43"/>
      <c r="R31" s="43"/>
      <c r="S31" s="43"/>
      <c r="T31" s="43"/>
      <c r="U31" s="43"/>
      <c r="V31" s="43"/>
    </row>
    <row r="32" spans="1:47" ht="12.75" customHeight="1">
      <c r="A32" s="38" t="s">
        <v>66</v>
      </c>
      <c r="B32" s="38"/>
      <c r="C32" s="38"/>
      <c r="D32" s="41" t="s">
        <v>55</v>
      </c>
      <c r="E32" s="41" t="s">
        <v>56</v>
      </c>
      <c r="F32" s="41" t="s">
        <v>57</v>
      </c>
      <c r="G32" s="42" t="s">
        <v>58</v>
      </c>
      <c r="H32" s="41"/>
      <c r="I32" s="42" t="s">
        <v>59</v>
      </c>
      <c r="J32" s="39"/>
      <c r="K32" s="39"/>
      <c r="L32" s="39"/>
      <c r="M32" s="39"/>
      <c r="N32" s="39"/>
      <c r="O32" s="39"/>
      <c r="P32" s="43"/>
      <c r="Q32" s="43"/>
      <c r="R32" s="43"/>
      <c r="S32" s="43"/>
      <c r="T32" s="43"/>
      <c r="U32" s="43"/>
      <c r="V32" s="43"/>
    </row>
    <row r="33" spans="1:22">
      <c r="A33" s="44" t="s">
        <v>108</v>
      </c>
      <c r="B33" s="44"/>
      <c r="C33" s="44"/>
      <c r="D33" s="66" t="s">
        <v>157</v>
      </c>
      <c r="E33" s="66">
        <v>1</v>
      </c>
      <c r="F33" s="66" t="s">
        <v>64</v>
      </c>
      <c r="G33" s="66">
        <v>16</v>
      </c>
      <c r="H33" s="53"/>
      <c r="I33" s="45"/>
      <c r="J33" s="39"/>
    </row>
    <row r="34" spans="1:22">
      <c r="A34" s="31"/>
      <c r="B34" s="31"/>
      <c r="C34" s="31"/>
      <c r="D34" s="67"/>
      <c r="E34" s="67"/>
      <c r="F34" s="67"/>
      <c r="G34" s="67"/>
      <c r="H34" s="53"/>
      <c r="I34" s="46"/>
      <c r="J34" s="39"/>
    </row>
    <row r="35" spans="1:22">
      <c r="A35" s="98"/>
      <c r="B35" s="98"/>
      <c r="C35" s="44"/>
      <c r="D35" s="67"/>
      <c r="E35" s="67"/>
      <c r="F35" s="67"/>
      <c r="G35" s="67"/>
      <c r="H35" s="53"/>
      <c r="I35" s="46"/>
      <c r="J35" s="39"/>
    </row>
    <row r="36" spans="1:22">
      <c r="A36" s="44"/>
      <c r="B36" s="44"/>
      <c r="C36" s="44"/>
      <c r="D36" s="31"/>
      <c r="E36" s="31"/>
      <c r="F36" s="31"/>
      <c r="G36" s="67"/>
      <c r="H36" s="53"/>
      <c r="I36" s="46"/>
      <c r="J36" s="39"/>
    </row>
    <row r="37" spans="1:22" ht="12.75" customHeight="1">
      <c r="A37" s="30" t="s">
        <v>67</v>
      </c>
      <c r="B37" s="30"/>
      <c r="C37" s="30"/>
      <c r="D37" s="30"/>
      <c r="E37" s="30"/>
      <c r="F37" s="30"/>
      <c r="G37" s="53">
        <f>SUM(G33:G36)</f>
        <v>16</v>
      </c>
      <c r="H37" s="53"/>
      <c r="I37" s="30">
        <f>SUM(I33:I36)</f>
        <v>0</v>
      </c>
      <c r="J37" s="39"/>
      <c r="K37" s="39"/>
      <c r="L37" s="39"/>
      <c r="M37" s="39"/>
      <c r="N37" s="39"/>
      <c r="O37" s="39"/>
      <c r="P37" s="52"/>
      <c r="Q37" s="52"/>
      <c r="R37" s="52"/>
      <c r="S37" s="52"/>
      <c r="T37" s="52"/>
      <c r="U37" s="52"/>
      <c r="V37" s="52"/>
    </row>
    <row r="38" spans="1:22" ht="12.75" customHeight="1">
      <c r="A38" s="72"/>
      <c r="B38" s="72"/>
      <c r="C38" s="72"/>
      <c r="D38" s="72"/>
      <c r="E38" s="72"/>
      <c r="F38" s="72"/>
      <c r="G38" s="77" t="s">
        <v>68</v>
      </c>
      <c r="H38" s="76"/>
      <c r="I38" s="77" t="s">
        <v>86</v>
      </c>
      <c r="J38" s="43"/>
    </row>
    <row r="39" spans="1:22" ht="12.75" customHeight="1">
      <c r="A39" s="30" t="s">
        <v>79</v>
      </c>
      <c r="B39" s="30"/>
      <c r="C39" s="30"/>
      <c r="D39" s="30"/>
      <c r="E39" s="30"/>
      <c r="F39" s="30"/>
      <c r="G39" s="92">
        <f>G22+G30+G8</f>
        <v>53</v>
      </c>
      <c r="H39" s="53"/>
      <c r="I39" s="85">
        <f>G22+G30+G8</f>
        <v>53</v>
      </c>
      <c r="J39" s="43"/>
    </row>
    <row r="40" spans="1:22" ht="12.75" customHeight="1">
      <c r="A40" s="30" t="s">
        <v>69</v>
      </c>
      <c r="B40" s="30"/>
      <c r="C40" s="30"/>
      <c r="D40" s="54" t="s">
        <v>70</v>
      </c>
      <c r="E40" s="30"/>
      <c r="F40" s="30"/>
      <c r="G40" s="61">
        <f>'Size Estimate Regression'!beta1</f>
        <v>1.6199261992619927</v>
      </c>
      <c r="H40" s="82"/>
      <c r="I40" s="86">
        <f>'Time Estimate Regression'!beta1</f>
        <v>5.8106501143417173</v>
      </c>
      <c r="J40" s="43"/>
    </row>
    <row r="41" spans="1:22" ht="12.75" customHeight="1">
      <c r="A41" s="30" t="s">
        <v>71</v>
      </c>
      <c r="B41" s="30"/>
      <c r="C41" s="30"/>
      <c r="D41" s="54" t="s">
        <v>72</v>
      </c>
      <c r="E41" s="30"/>
      <c r="F41" s="30"/>
      <c r="G41" s="61">
        <f>'Size Estimate Regression'!beta0</f>
        <v>0</v>
      </c>
      <c r="H41" s="82"/>
      <c r="I41" s="86">
        <f>'Time Estimate Regression'!beta0</f>
        <v>15.55230316889913</v>
      </c>
      <c r="J41" s="52"/>
    </row>
    <row r="42" spans="1:22" ht="12.75" customHeight="1">
      <c r="A42" s="30" t="s">
        <v>80</v>
      </c>
      <c r="B42" s="30"/>
      <c r="C42" s="30"/>
      <c r="D42" s="30"/>
      <c r="E42" s="30"/>
      <c r="F42" s="30"/>
      <c r="G42" s="62">
        <f>G41+G40*G39</f>
        <v>85.85608856088561</v>
      </c>
      <c r="H42" s="82"/>
      <c r="I42" s="86"/>
      <c r="J42" s="63" t="s">
        <v>88</v>
      </c>
    </row>
    <row r="43" spans="1:22" ht="12.75" customHeight="1">
      <c r="A43" s="30" t="s">
        <v>87</v>
      </c>
      <c r="B43" s="30"/>
      <c r="C43" s="30"/>
      <c r="D43" s="30"/>
      <c r="E43" s="30"/>
      <c r="F43" s="30"/>
      <c r="G43" s="56">
        <f>G39+G6-G7-G8+G37</f>
        <v>543</v>
      </c>
      <c r="H43" s="53"/>
      <c r="I43" s="87"/>
      <c r="J43" s="52"/>
    </row>
    <row r="44" spans="1:22" ht="12.75" customHeight="1">
      <c r="A44" s="30" t="s">
        <v>73</v>
      </c>
      <c r="B44" s="30"/>
      <c r="C44" s="30"/>
      <c r="D44" s="30"/>
      <c r="E44" s="30"/>
      <c r="F44" s="30"/>
      <c r="G44" s="46">
        <f>SUM(G24:G25)</f>
        <v>0</v>
      </c>
      <c r="H44" s="53"/>
      <c r="I44" s="87"/>
      <c r="J44" s="52"/>
    </row>
    <row r="45" spans="1:22" ht="12.75" customHeight="1">
      <c r="A45" s="30" t="s">
        <v>81</v>
      </c>
      <c r="B45" s="30"/>
      <c r="C45" s="30"/>
      <c r="D45" s="30"/>
      <c r="E45" s="30"/>
      <c r="F45" s="30"/>
      <c r="G45" s="55"/>
      <c r="H45" s="53"/>
      <c r="I45" s="91">
        <f>'Time Estimate Regression'!B24</f>
        <v>323.51675922901012</v>
      </c>
      <c r="J45" s="63" t="s">
        <v>82</v>
      </c>
    </row>
    <row r="46" spans="1:22" ht="12.75" customHeight="1">
      <c r="A46" s="30" t="s">
        <v>74</v>
      </c>
      <c r="B46" s="30"/>
      <c r="C46" s="30"/>
      <c r="D46" s="30"/>
      <c r="E46" s="30"/>
      <c r="F46" s="30"/>
      <c r="G46" s="57">
        <f>'Size Estimate Regression'!range</f>
        <v>68.373898494607062</v>
      </c>
      <c r="H46" s="53"/>
      <c r="I46" s="88">
        <f>'Time Estimate Regression'!range</f>
        <v>151.18734619034009</v>
      </c>
      <c r="J46" s="52"/>
    </row>
    <row r="47" spans="1:22" ht="12.75" customHeight="1">
      <c r="A47" s="30" t="s">
        <v>75</v>
      </c>
      <c r="B47" s="30"/>
      <c r="C47" s="30"/>
      <c r="D47" s="30"/>
      <c r="E47" s="30"/>
      <c r="F47" s="30"/>
      <c r="G47" s="58">
        <f>'Size Estimate Regression'!upi</f>
        <v>154.22998705549267</v>
      </c>
      <c r="H47" s="53"/>
      <c r="I47" s="88">
        <f>'Time Estimate Regression'!upi</f>
        <v>474.70410541935019</v>
      </c>
      <c r="J47" s="52"/>
    </row>
    <row r="48" spans="1:22" ht="12.75" customHeight="1">
      <c r="A48" s="30" t="s">
        <v>76</v>
      </c>
      <c r="B48" s="30"/>
      <c r="C48" s="30"/>
      <c r="D48" s="30"/>
      <c r="E48" s="30"/>
      <c r="F48" s="30"/>
      <c r="G48" s="58">
        <f>'Size Estimate Regression'!lpi</f>
        <v>17.482190066278548</v>
      </c>
      <c r="H48" s="53"/>
      <c r="I48" s="88">
        <f>'Time Estimate Regression'!lpi</f>
        <v>172.32941303867003</v>
      </c>
      <c r="J48" s="52"/>
    </row>
    <row r="49" spans="1:22" ht="12.75" customHeight="1">
      <c r="A49" s="39" t="s">
        <v>77</v>
      </c>
      <c r="B49" s="39"/>
      <c r="C49" s="39"/>
      <c r="D49" s="39"/>
      <c r="E49" s="39"/>
      <c r="F49" s="39"/>
      <c r="G49" s="59">
        <f>'Size Estimate Regression'!pi_pct</f>
        <v>0.7</v>
      </c>
      <c r="H49" s="53"/>
      <c r="I49" s="89">
        <f>'Time Estimate Regression'!pi_pct</f>
        <v>0.7</v>
      </c>
      <c r="J49" s="63" t="s">
        <v>83</v>
      </c>
    </row>
    <row r="50" spans="1:22">
      <c r="A50" s="29"/>
      <c r="B50" s="29"/>
      <c r="C50" s="29"/>
      <c r="D50" s="29"/>
      <c r="E50" s="29"/>
      <c r="F50" s="29"/>
      <c r="G50" s="29"/>
      <c r="I50" s="29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</row>
    <row r="51" spans="1:22">
      <c r="A51" s="29"/>
      <c r="B51" s="29"/>
      <c r="C51" s="29"/>
      <c r="D51" s="29"/>
      <c r="E51" s="29"/>
      <c r="F51" s="29"/>
      <c r="G51" s="29"/>
      <c r="I51" s="29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</row>
    <row r="52" spans="1:22" ht="19.5">
      <c r="A52" s="29"/>
      <c r="B52" s="29"/>
      <c r="C52" s="29"/>
      <c r="D52" s="29"/>
      <c r="E52" s="29"/>
      <c r="F52" s="29"/>
      <c r="G52" s="29"/>
      <c r="I52" s="83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</row>
    <row r="53" spans="1:22">
      <c r="A53" s="29"/>
      <c r="B53" s="29"/>
      <c r="C53" s="29"/>
      <c r="D53" s="29"/>
      <c r="E53" s="29"/>
      <c r="F53" s="29"/>
      <c r="G53" s="29"/>
      <c r="I53" s="29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</row>
    <row r="54" spans="1:22">
      <c r="A54" s="29"/>
      <c r="B54" s="29"/>
      <c r="C54" s="29"/>
      <c r="D54" s="29"/>
      <c r="E54" s="29"/>
      <c r="F54" s="29"/>
      <c r="G54" s="29"/>
      <c r="I54" s="29"/>
      <c r="J54" s="60"/>
      <c r="K54" s="60"/>
      <c r="L54" s="60"/>
      <c r="M54" s="60"/>
      <c r="N54" s="60"/>
    </row>
    <row r="55" spans="1:22">
      <c r="A55" s="29"/>
      <c r="B55" s="29"/>
      <c r="C55" s="29"/>
      <c r="D55" s="29"/>
      <c r="E55" s="29"/>
      <c r="F55" s="29"/>
      <c r="G55" s="29"/>
      <c r="I55" s="29"/>
      <c r="J55" s="60"/>
      <c r="K55" s="60"/>
      <c r="L55" s="60"/>
      <c r="M55" s="60"/>
      <c r="N55" s="60"/>
    </row>
    <row r="56" spans="1:22">
      <c r="A56" s="29"/>
      <c r="B56" s="29"/>
      <c r="C56" s="29"/>
      <c r="D56" s="29"/>
      <c r="E56" s="29"/>
      <c r="F56" s="29"/>
      <c r="G56" s="29"/>
      <c r="I56" s="29"/>
      <c r="J56" s="60"/>
      <c r="K56" s="60"/>
      <c r="L56" s="60"/>
      <c r="M56" s="60"/>
      <c r="N56" s="60"/>
    </row>
    <row r="57" spans="1:22">
      <c r="A57" s="29"/>
      <c r="B57" s="29"/>
      <c r="C57" s="29"/>
      <c r="D57" s="29"/>
      <c r="E57" s="29"/>
      <c r="F57" s="29"/>
      <c r="G57" s="29"/>
      <c r="I57" s="29"/>
      <c r="J57" s="60"/>
      <c r="K57" s="60"/>
      <c r="L57" s="60"/>
      <c r="M57" s="60"/>
      <c r="N57" s="60"/>
    </row>
    <row r="58" spans="1:22">
      <c r="A58" s="29"/>
      <c r="B58" s="29"/>
      <c r="C58" s="29"/>
      <c r="D58" s="29"/>
      <c r="E58" s="29"/>
      <c r="F58" s="29"/>
      <c r="G58" s="29"/>
      <c r="I58" s="29"/>
      <c r="J58" s="60"/>
      <c r="K58" s="60"/>
      <c r="L58" s="60"/>
      <c r="M58" s="60"/>
      <c r="N58" s="60"/>
    </row>
    <row r="59" spans="1:22">
      <c r="A59" s="29"/>
      <c r="B59" s="29"/>
      <c r="C59" s="29"/>
      <c r="D59" s="29"/>
      <c r="E59" s="29"/>
      <c r="F59" s="29"/>
      <c r="G59" s="29"/>
      <c r="I59" s="29"/>
      <c r="J59" s="60"/>
      <c r="K59" s="60"/>
      <c r="L59" s="60"/>
      <c r="M59" s="60"/>
      <c r="N59" s="60"/>
    </row>
    <row r="60" spans="1:22">
      <c r="A60" s="29"/>
      <c r="B60" s="29"/>
      <c r="C60" s="29"/>
      <c r="D60" s="29"/>
      <c r="E60" s="29"/>
      <c r="F60" s="29"/>
      <c r="G60" s="29"/>
      <c r="I60" s="29"/>
      <c r="J60" s="60"/>
      <c r="K60" s="60"/>
      <c r="L60" s="60"/>
      <c r="M60" s="60"/>
      <c r="N60" s="60"/>
    </row>
    <row r="61" spans="1:22">
      <c r="A61" s="29"/>
      <c r="B61" s="29"/>
      <c r="C61" s="29"/>
      <c r="D61" s="29"/>
      <c r="E61" s="29"/>
      <c r="F61" s="29"/>
      <c r="G61" s="29"/>
      <c r="I61" s="29"/>
      <c r="J61" s="60"/>
      <c r="K61" s="60"/>
      <c r="L61" s="60"/>
      <c r="M61" s="60"/>
      <c r="N61" s="60"/>
    </row>
    <row r="62" spans="1:22">
      <c r="A62" s="29"/>
      <c r="B62" s="29"/>
      <c r="C62" s="29"/>
      <c r="D62" s="29"/>
      <c r="E62" s="29"/>
      <c r="F62" s="29"/>
      <c r="G62" s="29"/>
      <c r="I62" s="29"/>
      <c r="J62" s="60"/>
      <c r="K62" s="60"/>
      <c r="L62" s="60"/>
      <c r="M62" s="60"/>
      <c r="N62" s="60"/>
    </row>
    <row r="63" spans="1:22">
      <c r="A63" s="29"/>
      <c r="B63" s="29"/>
      <c r="C63" s="29"/>
      <c r="D63" s="29"/>
      <c r="E63" s="29"/>
      <c r="F63" s="29"/>
      <c r="G63" s="29"/>
      <c r="I63" s="29"/>
      <c r="J63" s="60"/>
      <c r="K63" s="60"/>
      <c r="L63" s="60"/>
      <c r="M63" s="60"/>
      <c r="N63" s="60"/>
    </row>
  </sheetData>
  <mergeCells count="7">
    <mergeCell ref="A35:B35"/>
    <mergeCell ref="O10:U10"/>
    <mergeCell ref="A11:B11"/>
    <mergeCell ref="A23:B23"/>
    <mergeCell ref="A1:I1"/>
    <mergeCell ref="A5:D5"/>
    <mergeCell ref="E5:F5"/>
  </mergeCells>
  <phoneticPr fontId="8" type="noConversion"/>
  <dataValidations count="7">
    <dataValidation allowBlank="1" showInputMessage="1" showErrorMessage="1" prompt="N  =  b0 + b1*E" sqref="I45"/>
    <dataValidation allowBlank="1" showInputMessage="1" showErrorMessage="1" prompt="LPI = N - Range" sqref="I48"/>
    <dataValidation allowBlank="1" showInputMessage="1" showErrorMessage="1" prompt="UPI = N + Range " sqref="I47"/>
    <dataValidation allowBlank="1" showInputMessage="1" showErrorMessage="1" promptTitle="Estimated Total LOC" prompt="T = N + B - D - M + R_x000a_" sqref="G43"/>
    <dataValidation allowBlank="1" showInputMessage="1" showErrorMessage="1" promptTitle="Estimated Object LOC" prompt="E=BA + NO + M" sqref="G39 I39"/>
    <dataValidation allowBlank="1" showInputMessage="1" showErrorMessage="1" promptTitle="Relative Size" prompt="VS-Very Small, S-Small, M-Medium, L-Large, VL-Very Large" sqref="F11 F32 F23"/>
    <dataValidation allowBlank="1" showInputMessage="1" showErrorMessage="1" promptTitle="Type" prompt="L-Logic, I-I/O, C-Calculation, T-Text, D-Data, S-Set-up" sqref="D32 D11 D23"/>
  </dataValidations>
  <pageMargins left="0.75" right="0.75" top="1" bottom="1" header="0.5" footer="0.5"/>
  <pageSetup orientation="portrait" r:id="rId1"/>
  <headerFooter alignWithMargins="0"/>
  <drawing r:id="rId2"/>
  <legacyDrawing r:id="rId3"/>
  <oleObjects>
    <oleObject progId="Equation.3" shapeId="1026" r:id="rId4"/>
    <oleObject progId="Equation.3" shapeId="1027" r:id="rId5"/>
    <oleObject progId="Equation.3" shapeId="1028" r:id="rId6"/>
    <oleObject progId="Equation.3" shapeId="1029" r:id="rId7"/>
    <oleObject progId="Equation.3" shapeId="1030" r:id="rId8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82"/>
  <sheetViews>
    <sheetView topLeftCell="A9" workbookViewId="0">
      <selection activeCell="G9" sqref="G9"/>
    </sheetView>
  </sheetViews>
  <sheetFormatPr defaultRowHeight="12.75"/>
  <cols>
    <col min="1" max="1" width="27.5703125" bestFit="1" customWidth="1"/>
    <col min="2" max="2" width="10.140625" bestFit="1" customWidth="1"/>
    <col min="3" max="3" width="12" bestFit="1" customWidth="1"/>
    <col min="4" max="4" width="18.28515625" bestFit="1" customWidth="1"/>
    <col min="5" max="5" width="9.42578125" customWidth="1"/>
    <col min="6" max="6" width="25" bestFit="1" customWidth="1"/>
    <col min="7" max="7" width="12.5703125" bestFit="1" customWidth="1"/>
    <col min="8" max="8" width="15.42578125" bestFit="1" customWidth="1"/>
  </cols>
  <sheetData>
    <row r="1" spans="1:8">
      <c r="A1" s="7" t="s">
        <v>124</v>
      </c>
      <c r="B1" t="s">
        <v>34</v>
      </c>
      <c r="C1" t="s">
        <v>35</v>
      </c>
      <c r="D1" s="24" t="s">
        <v>36</v>
      </c>
      <c r="E1" t="s">
        <v>84</v>
      </c>
    </row>
    <row r="2" spans="1:8">
      <c r="A2" s="64" t="s">
        <v>33</v>
      </c>
      <c r="B2">
        <v>32</v>
      </c>
      <c r="C2" s="22">
        <f>LN(B2)</f>
        <v>3.4657359027997265</v>
      </c>
      <c r="D2" s="22">
        <f>(C2-$G$6)^2</f>
        <v>3.1765944655033707</v>
      </c>
      <c r="E2" s="62" t="s">
        <v>113</v>
      </c>
    </row>
    <row r="3" spans="1:8">
      <c r="A3" s="64" t="s">
        <v>102</v>
      </c>
      <c r="B3">
        <v>1</v>
      </c>
      <c r="C3" s="22">
        <f>LN(B3)</f>
        <v>0</v>
      </c>
      <c r="D3" s="22">
        <f>(C3-$G$6)^2</f>
        <v>2.8339553285370878</v>
      </c>
    </row>
    <row r="4" spans="1:8">
      <c r="A4" s="26" t="s">
        <v>103</v>
      </c>
      <c r="B4">
        <v>2</v>
      </c>
      <c r="C4" s="22">
        <f t="shared" ref="C4:C87" si="0">LN(B4)</f>
        <v>0.69314718055994529</v>
      </c>
      <c r="D4" s="22">
        <f t="shared" ref="D4:D87" si="1">(C4-$G$6)^2</f>
        <v>0.98067110025753867</v>
      </c>
      <c r="E4" s="22"/>
    </row>
    <row r="5" spans="1:8">
      <c r="A5" s="26" t="s">
        <v>104</v>
      </c>
      <c r="B5">
        <v>2</v>
      </c>
      <c r="C5" s="22">
        <f t="shared" si="0"/>
        <v>0.69314718055994529</v>
      </c>
      <c r="D5" s="22">
        <f t="shared" si="1"/>
        <v>0.98067110025753867</v>
      </c>
      <c r="E5" s="22"/>
    </row>
    <row r="6" spans="1:8">
      <c r="A6" s="26" t="s">
        <v>105</v>
      </c>
      <c r="B6">
        <v>3</v>
      </c>
      <c r="C6" s="22">
        <f t="shared" si="0"/>
        <v>1.0986122886681098</v>
      </c>
      <c r="D6" s="22">
        <f t="shared" si="1"/>
        <v>0.34201827392982842</v>
      </c>
      <c r="E6" s="22"/>
      <c r="F6" s="7" t="s">
        <v>30</v>
      </c>
      <c r="G6" s="23">
        <f>AVERAGE(C2:C182)</f>
        <v>1.6834355730282902</v>
      </c>
      <c r="H6" s="22"/>
    </row>
    <row r="7" spans="1:8">
      <c r="A7" s="26" t="s">
        <v>106</v>
      </c>
      <c r="B7">
        <v>3</v>
      </c>
      <c r="C7" s="22">
        <f t="shared" si="0"/>
        <v>1.0986122886681098</v>
      </c>
      <c r="D7" s="22">
        <f t="shared" si="1"/>
        <v>0.34201827392982842</v>
      </c>
      <c r="E7" s="22"/>
      <c r="F7" t="s">
        <v>37</v>
      </c>
      <c r="G7" s="22">
        <f>SUM(D2:D192)</f>
        <v>211.54469539590247</v>
      </c>
      <c r="H7" s="22"/>
    </row>
    <row r="8" spans="1:8">
      <c r="A8" s="26" t="s">
        <v>107</v>
      </c>
      <c r="B8">
        <v>6</v>
      </c>
      <c r="C8" s="22">
        <f t="shared" si="0"/>
        <v>1.791759469228055</v>
      </c>
      <c r="D8" s="22">
        <f t="shared" si="1"/>
        <v>1.1734066487897417E-2</v>
      </c>
      <c r="E8" s="22"/>
      <c r="F8" t="s">
        <v>31</v>
      </c>
      <c r="G8" s="22">
        <f>G7/COUNT(D2:D182)</f>
        <v>1.2088268308337284</v>
      </c>
      <c r="H8" s="22"/>
    </row>
    <row r="9" spans="1:8">
      <c r="A9" s="26" t="s">
        <v>108</v>
      </c>
      <c r="B9">
        <v>11</v>
      </c>
      <c r="C9" s="22">
        <f t="shared" si="0"/>
        <v>2.3978952727983707</v>
      </c>
      <c r="D9" s="22">
        <f t="shared" si="1"/>
        <v>0.51045266259555355</v>
      </c>
      <c r="E9" s="22"/>
      <c r="F9" s="7" t="s">
        <v>32</v>
      </c>
      <c r="G9" s="23">
        <f>SQRT(G8)</f>
        <v>1.0994666119686074</v>
      </c>
      <c r="H9" s="22"/>
    </row>
    <row r="10" spans="1:8">
      <c r="A10" s="26" t="s">
        <v>109</v>
      </c>
      <c r="B10">
        <v>6</v>
      </c>
      <c r="C10" s="22">
        <f t="shared" si="0"/>
        <v>1.791759469228055</v>
      </c>
      <c r="D10" s="22">
        <f t="shared" si="1"/>
        <v>1.1734066487897417E-2</v>
      </c>
      <c r="E10" s="22"/>
      <c r="F10" s="7"/>
      <c r="G10" s="23"/>
      <c r="H10" s="22"/>
    </row>
    <row r="11" spans="1:8">
      <c r="A11" s="26" t="s">
        <v>110</v>
      </c>
      <c r="B11">
        <v>11</v>
      </c>
      <c r="C11" s="22">
        <f t="shared" si="0"/>
        <v>2.3978952727983707</v>
      </c>
      <c r="D11" s="22">
        <f t="shared" si="1"/>
        <v>0.51045266259555355</v>
      </c>
      <c r="E11" s="22"/>
      <c r="F11" s="7"/>
      <c r="G11" s="23"/>
      <c r="H11" s="22"/>
    </row>
    <row r="12" spans="1:8">
      <c r="A12" s="26" t="s">
        <v>111</v>
      </c>
      <c r="B12">
        <v>12</v>
      </c>
      <c r="C12" s="22">
        <f t="shared" si="0"/>
        <v>2.4849066497880004</v>
      </c>
      <c r="D12" s="22">
        <f t="shared" si="1"/>
        <v>0.64235588688236922</v>
      </c>
      <c r="E12" s="22"/>
      <c r="F12" s="7"/>
      <c r="G12" s="23"/>
      <c r="H12" s="22"/>
    </row>
    <row r="13" spans="1:8">
      <c r="A13" s="26" t="s">
        <v>112</v>
      </c>
      <c r="B13">
        <v>25</v>
      </c>
      <c r="C13" s="22">
        <f t="shared" si="0"/>
        <v>3.2188758248682006</v>
      </c>
      <c r="D13" s="22">
        <f t="shared" si="1"/>
        <v>2.3575767669702077</v>
      </c>
      <c r="E13" s="22"/>
      <c r="F13" s="7"/>
      <c r="G13" s="23"/>
      <c r="H13" s="22"/>
    </row>
    <row r="14" spans="1:8">
      <c r="A14" s="64" t="s">
        <v>114</v>
      </c>
      <c r="B14">
        <v>4</v>
      </c>
      <c r="C14" s="22">
        <f t="shared" si="0"/>
        <v>1.3862943611198906</v>
      </c>
      <c r="D14" s="22">
        <f t="shared" si="1"/>
        <v>8.8292899814392437E-2</v>
      </c>
      <c r="E14" s="22"/>
      <c r="F14" s="7"/>
      <c r="G14" s="23"/>
      <c r="H14" s="22"/>
    </row>
    <row r="15" spans="1:8">
      <c r="A15" s="26" t="s">
        <v>115</v>
      </c>
      <c r="B15">
        <v>6</v>
      </c>
      <c r="C15" s="22">
        <f t="shared" si="0"/>
        <v>1.791759469228055</v>
      </c>
      <c r="D15" s="22">
        <f t="shared" si="1"/>
        <v>1.1734066487897417E-2</v>
      </c>
      <c r="E15" s="22"/>
      <c r="F15" s="7"/>
      <c r="G15" s="23"/>
      <c r="H15" s="22"/>
    </row>
    <row r="16" spans="1:8">
      <c r="A16" s="64" t="s">
        <v>116</v>
      </c>
      <c r="B16">
        <v>4</v>
      </c>
      <c r="C16" s="22">
        <f t="shared" si="0"/>
        <v>1.3862943611198906</v>
      </c>
      <c r="D16" s="22">
        <f t="shared" si="1"/>
        <v>8.8292899814392437E-2</v>
      </c>
      <c r="E16" s="22"/>
      <c r="F16" s="7"/>
      <c r="G16" s="23"/>
      <c r="H16" s="22"/>
    </row>
    <row r="17" spans="1:8">
      <c r="A17" s="26" t="s">
        <v>117</v>
      </c>
      <c r="B17">
        <v>5</v>
      </c>
      <c r="C17" s="22">
        <f t="shared" si="0"/>
        <v>1.6094379124341003</v>
      </c>
      <c r="D17" s="22">
        <f t="shared" si="1"/>
        <v>5.4756537734129227E-3</v>
      </c>
      <c r="E17" s="22"/>
      <c r="F17" s="7"/>
      <c r="G17" s="23"/>
      <c r="H17" s="22"/>
    </row>
    <row r="18" spans="1:8">
      <c r="A18" s="64" t="s">
        <v>118</v>
      </c>
      <c r="B18">
        <v>5</v>
      </c>
      <c r="C18" s="22">
        <f t="shared" si="0"/>
        <v>1.6094379124341003</v>
      </c>
      <c r="D18" s="22">
        <f t="shared" si="1"/>
        <v>5.4756537734129227E-3</v>
      </c>
      <c r="E18" s="22"/>
      <c r="F18" s="7"/>
      <c r="G18" s="23"/>
      <c r="H18" s="22"/>
    </row>
    <row r="19" spans="1:8">
      <c r="A19" s="26" t="s">
        <v>119</v>
      </c>
      <c r="B19">
        <v>1</v>
      </c>
      <c r="C19" s="22">
        <f t="shared" si="0"/>
        <v>0</v>
      </c>
      <c r="D19" s="22">
        <f t="shared" si="1"/>
        <v>2.8339553285370878</v>
      </c>
      <c r="E19" s="22"/>
      <c r="F19" s="7"/>
      <c r="G19" s="23"/>
      <c r="H19" s="22"/>
    </row>
    <row r="20" spans="1:8">
      <c r="A20" s="7" t="s">
        <v>125</v>
      </c>
      <c r="C20" s="22"/>
      <c r="D20" s="22"/>
      <c r="E20" s="22"/>
      <c r="F20" s="7"/>
      <c r="G20" s="23"/>
      <c r="H20" s="22"/>
    </row>
    <row r="21" spans="1:8">
      <c r="A21" s="64" t="s">
        <v>33</v>
      </c>
      <c r="B21">
        <v>41</v>
      </c>
      <c r="C21" s="22">
        <f t="shared" si="0"/>
        <v>3.713572066704308</v>
      </c>
      <c r="D21" s="22">
        <f t="shared" si="1"/>
        <v>4.1214541829551568</v>
      </c>
      <c r="E21" s="22"/>
      <c r="F21" s="7"/>
      <c r="G21" s="23"/>
      <c r="H21" s="22"/>
    </row>
    <row r="22" spans="1:8">
      <c r="A22" s="64" t="s">
        <v>102</v>
      </c>
      <c r="B22">
        <v>1</v>
      </c>
      <c r="C22" s="22">
        <f t="shared" si="0"/>
        <v>0</v>
      </c>
      <c r="D22" s="22">
        <f t="shared" si="1"/>
        <v>2.8339553285370878</v>
      </c>
      <c r="E22" s="22"/>
      <c r="F22" s="7"/>
      <c r="G22" s="23"/>
      <c r="H22" s="22"/>
    </row>
    <row r="23" spans="1:8">
      <c r="A23" s="26" t="s">
        <v>103</v>
      </c>
      <c r="B23">
        <v>2</v>
      </c>
      <c r="C23" s="22">
        <f t="shared" si="0"/>
        <v>0.69314718055994529</v>
      </c>
      <c r="D23" s="22">
        <f t="shared" si="1"/>
        <v>0.98067110025753867</v>
      </c>
      <c r="E23" s="22"/>
      <c r="F23" s="7"/>
      <c r="G23" s="23"/>
      <c r="H23" s="22"/>
    </row>
    <row r="24" spans="1:8">
      <c r="A24" s="26" t="s">
        <v>105</v>
      </c>
      <c r="B24">
        <v>3</v>
      </c>
      <c r="C24" s="22">
        <f t="shared" si="0"/>
        <v>1.0986122886681098</v>
      </c>
      <c r="D24" s="22">
        <f t="shared" si="1"/>
        <v>0.34201827392982842</v>
      </c>
      <c r="E24" s="22"/>
      <c r="G24" s="62" t="s">
        <v>43</v>
      </c>
      <c r="H24" s="23" t="s">
        <v>44</v>
      </c>
    </row>
    <row r="25" spans="1:8">
      <c r="A25" s="26" t="s">
        <v>127</v>
      </c>
      <c r="B25">
        <v>4</v>
      </c>
      <c r="C25" s="22">
        <f t="shared" si="0"/>
        <v>1.3862943611198906</v>
      </c>
      <c r="D25" s="22">
        <f t="shared" si="1"/>
        <v>8.8292899814392437E-2</v>
      </c>
      <c r="E25" s="22"/>
      <c r="F25" t="s">
        <v>38</v>
      </c>
      <c r="G25" s="22">
        <f>G6-2*G9</f>
        <v>-0.51549765090892463</v>
      </c>
      <c r="H25" s="65">
        <f>EXP(G25)</f>
        <v>0.59720332187940217</v>
      </c>
    </row>
    <row r="26" spans="1:8">
      <c r="A26" s="26" t="s">
        <v>111</v>
      </c>
      <c r="B26">
        <v>12</v>
      </c>
      <c r="C26" s="22">
        <f t="shared" si="0"/>
        <v>2.4849066497880004</v>
      </c>
      <c r="D26" s="22">
        <f t="shared" si="1"/>
        <v>0.64235588688236922</v>
      </c>
      <c r="E26" s="22"/>
      <c r="F26" t="s">
        <v>41</v>
      </c>
      <c r="G26" s="22">
        <f>G6-G9</f>
        <v>0.58396896105968277</v>
      </c>
      <c r="H26" s="65">
        <f>EXP(G26)</f>
        <v>1.7931412337831476</v>
      </c>
    </row>
    <row r="27" spans="1:8">
      <c r="A27" s="26" t="s">
        <v>112</v>
      </c>
      <c r="B27">
        <v>26</v>
      </c>
      <c r="C27" s="22">
        <f t="shared" si="0"/>
        <v>3.2580965380214821</v>
      </c>
      <c r="D27" s="22">
        <f t="shared" si="1"/>
        <v>2.4795571546732904</v>
      </c>
      <c r="E27" s="22"/>
      <c r="F27" t="s">
        <v>39</v>
      </c>
      <c r="G27" s="22">
        <f>G6</f>
        <v>1.6834355730282902</v>
      </c>
      <c r="H27" s="65">
        <f>EXP(G27)</f>
        <v>5.3840214320553459</v>
      </c>
    </row>
    <row r="28" spans="1:8">
      <c r="A28" s="64" t="s">
        <v>114</v>
      </c>
      <c r="B28">
        <v>4</v>
      </c>
      <c r="C28" s="22">
        <f t="shared" si="0"/>
        <v>1.3862943611198906</v>
      </c>
      <c r="D28" s="22">
        <f t="shared" si="1"/>
        <v>8.8292899814392437E-2</v>
      </c>
      <c r="E28" s="22"/>
      <c r="F28" t="s">
        <v>42</v>
      </c>
      <c r="G28" s="22">
        <f>G6+G9</f>
        <v>2.7829021849968978</v>
      </c>
      <c r="H28" s="65">
        <f>EXP(G28)</f>
        <v>16.165869277164209</v>
      </c>
    </row>
    <row r="29" spans="1:8">
      <c r="A29" s="26" t="s">
        <v>115</v>
      </c>
      <c r="B29">
        <v>6</v>
      </c>
      <c r="C29" s="22">
        <f t="shared" si="0"/>
        <v>1.791759469228055</v>
      </c>
      <c r="D29" s="22">
        <f t="shared" si="1"/>
        <v>1.1734066487897417E-2</v>
      </c>
      <c r="E29" s="22"/>
      <c r="F29" t="s">
        <v>40</v>
      </c>
      <c r="G29" s="22">
        <f>G6+2*G9</f>
        <v>3.8823687969655047</v>
      </c>
      <c r="H29" s="65">
        <f>EXP(G29)</f>
        <v>48.539058171355919</v>
      </c>
    </row>
    <row r="30" spans="1:8">
      <c r="A30" s="64" t="s">
        <v>116</v>
      </c>
      <c r="B30">
        <v>4</v>
      </c>
      <c r="C30" s="22">
        <f t="shared" si="0"/>
        <v>1.3862943611198906</v>
      </c>
      <c r="D30" s="22">
        <f t="shared" si="1"/>
        <v>8.8292899814392437E-2</v>
      </c>
      <c r="E30" s="22"/>
    </row>
    <row r="31" spans="1:8">
      <c r="A31" s="26" t="s">
        <v>117</v>
      </c>
      <c r="B31">
        <v>5</v>
      </c>
      <c r="C31" s="22">
        <f t="shared" si="0"/>
        <v>1.6094379124341003</v>
      </c>
      <c r="D31" s="22">
        <f t="shared" si="1"/>
        <v>5.4756537734129227E-3</v>
      </c>
      <c r="E31" s="22"/>
    </row>
    <row r="32" spans="1:8">
      <c r="A32" s="64" t="s">
        <v>128</v>
      </c>
      <c r="B32">
        <v>10</v>
      </c>
      <c r="C32" s="22">
        <f t="shared" si="0"/>
        <v>2.3025850929940459</v>
      </c>
      <c r="D32" s="22">
        <f t="shared" si="1"/>
        <v>0.38334612807382573</v>
      </c>
      <c r="E32" s="22"/>
    </row>
    <row r="33" spans="1:5">
      <c r="A33" s="26" t="s">
        <v>129</v>
      </c>
      <c r="B33">
        <v>16</v>
      </c>
      <c r="C33" s="22">
        <f t="shared" si="0"/>
        <v>2.7725887222397811</v>
      </c>
      <c r="D33" s="22">
        <f t="shared" si="1"/>
        <v>1.1862545824373083</v>
      </c>
      <c r="E33" s="22"/>
    </row>
    <row r="34" spans="1:5">
      <c r="A34" s="64" t="s">
        <v>130</v>
      </c>
      <c r="B34">
        <v>2</v>
      </c>
      <c r="C34" s="22">
        <f t="shared" si="0"/>
        <v>0.69314718055994529</v>
      </c>
      <c r="D34" s="22">
        <f t="shared" si="1"/>
        <v>0.98067110025753867</v>
      </c>
      <c r="E34" s="22"/>
    </row>
    <row r="35" spans="1:5">
      <c r="A35" s="26" t="s">
        <v>131</v>
      </c>
      <c r="B35">
        <v>6</v>
      </c>
      <c r="C35" s="22">
        <f t="shared" si="0"/>
        <v>1.791759469228055</v>
      </c>
      <c r="D35" s="22">
        <f t="shared" si="1"/>
        <v>1.1734066487897417E-2</v>
      </c>
      <c r="E35" s="22"/>
    </row>
    <row r="36" spans="1:5">
      <c r="A36" s="26" t="s">
        <v>132</v>
      </c>
      <c r="B36">
        <v>6</v>
      </c>
      <c r="C36" s="22">
        <f t="shared" si="0"/>
        <v>1.791759469228055</v>
      </c>
      <c r="D36" s="22">
        <f t="shared" si="1"/>
        <v>1.1734066487897417E-2</v>
      </c>
      <c r="E36" s="22"/>
    </row>
    <row r="37" spans="1:5">
      <c r="A37" s="26" t="s">
        <v>133</v>
      </c>
      <c r="B37">
        <v>2</v>
      </c>
      <c r="C37" s="22">
        <f t="shared" si="0"/>
        <v>0.69314718055994529</v>
      </c>
      <c r="D37" s="22">
        <f t="shared" si="1"/>
        <v>0.98067110025753867</v>
      </c>
      <c r="E37" s="22"/>
    </row>
    <row r="38" spans="1:5">
      <c r="A38" s="7" t="s">
        <v>126</v>
      </c>
      <c r="C38" s="22"/>
      <c r="D38" s="22"/>
      <c r="E38" s="22"/>
    </row>
    <row r="39" spans="1:5">
      <c r="A39" s="26" t="s">
        <v>33</v>
      </c>
      <c r="B39">
        <v>46</v>
      </c>
      <c r="C39" s="22">
        <f t="shared" si="0"/>
        <v>3.8286413964890951</v>
      </c>
      <c r="D39" s="22">
        <f t="shared" si="1"/>
        <v>4.6019080250101512</v>
      </c>
      <c r="E39" s="22"/>
    </row>
    <row r="40" spans="1:5">
      <c r="A40" s="26" t="s">
        <v>102</v>
      </c>
      <c r="B40">
        <v>1</v>
      </c>
      <c r="C40" s="22">
        <f t="shared" si="0"/>
        <v>0</v>
      </c>
      <c r="D40" s="22">
        <f t="shared" si="1"/>
        <v>2.8339553285370878</v>
      </c>
      <c r="E40" s="22"/>
    </row>
    <row r="41" spans="1:5">
      <c r="A41" s="26" t="s">
        <v>103</v>
      </c>
      <c r="B41">
        <v>2</v>
      </c>
      <c r="C41" s="22">
        <f t="shared" si="0"/>
        <v>0.69314718055994529</v>
      </c>
      <c r="D41" s="22">
        <f t="shared" si="1"/>
        <v>0.98067110025753867</v>
      </c>
      <c r="E41" s="22"/>
    </row>
    <row r="42" spans="1:5">
      <c r="A42" s="26" t="s">
        <v>104</v>
      </c>
      <c r="B42">
        <v>2</v>
      </c>
      <c r="C42" s="22">
        <f t="shared" si="0"/>
        <v>0.69314718055994529</v>
      </c>
      <c r="D42" s="22">
        <f t="shared" si="1"/>
        <v>0.98067110025753867</v>
      </c>
      <c r="E42" s="22"/>
    </row>
    <row r="43" spans="1:5">
      <c r="A43" s="26" t="s">
        <v>105</v>
      </c>
      <c r="B43">
        <v>3</v>
      </c>
      <c r="C43" s="22">
        <f t="shared" si="0"/>
        <v>1.0986122886681098</v>
      </c>
      <c r="D43" s="22">
        <f t="shared" si="1"/>
        <v>0.34201827392982842</v>
      </c>
      <c r="E43" s="22"/>
    </row>
    <row r="44" spans="1:5">
      <c r="A44" s="26" t="s">
        <v>120</v>
      </c>
      <c r="B44">
        <v>4</v>
      </c>
      <c r="C44" s="22">
        <f t="shared" si="0"/>
        <v>1.3862943611198906</v>
      </c>
      <c r="D44" s="22">
        <f t="shared" si="1"/>
        <v>8.8292899814392437E-2</v>
      </c>
      <c r="E44" s="22"/>
    </row>
    <row r="45" spans="1:5">
      <c r="A45" s="26" t="s">
        <v>121</v>
      </c>
      <c r="B45">
        <v>4</v>
      </c>
      <c r="C45" s="22">
        <f t="shared" si="0"/>
        <v>1.3862943611198906</v>
      </c>
      <c r="D45" s="22">
        <f t="shared" si="1"/>
        <v>8.8292899814392437E-2</v>
      </c>
      <c r="E45" s="22"/>
    </row>
    <row r="46" spans="1:5">
      <c r="A46" s="26" t="s">
        <v>106</v>
      </c>
      <c r="B46">
        <v>2</v>
      </c>
      <c r="C46" s="22">
        <f t="shared" si="0"/>
        <v>0.69314718055994529</v>
      </c>
      <c r="D46" s="22">
        <f t="shared" si="1"/>
        <v>0.98067110025753867</v>
      </c>
      <c r="E46" s="22"/>
    </row>
    <row r="47" spans="1:5">
      <c r="A47" s="26" t="s">
        <v>122</v>
      </c>
      <c r="B47">
        <v>6</v>
      </c>
      <c r="C47" s="22">
        <f t="shared" si="0"/>
        <v>1.791759469228055</v>
      </c>
      <c r="D47" s="22">
        <f t="shared" si="1"/>
        <v>1.1734066487897417E-2</v>
      </c>
      <c r="E47" s="22"/>
    </row>
    <row r="48" spans="1:5">
      <c r="A48" s="26" t="s">
        <v>123</v>
      </c>
      <c r="B48">
        <v>6</v>
      </c>
      <c r="C48" s="22">
        <f t="shared" si="0"/>
        <v>1.791759469228055</v>
      </c>
      <c r="D48" s="22">
        <f t="shared" si="1"/>
        <v>1.1734066487897417E-2</v>
      </c>
      <c r="E48" s="22"/>
    </row>
    <row r="49" spans="1:5">
      <c r="A49" s="26" t="s">
        <v>108</v>
      </c>
      <c r="B49">
        <v>14</v>
      </c>
      <c r="C49" s="22">
        <f t="shared" si="0"/>
        <v>2.6390573296152584</v>
      </c>
      <c r="D49" s="22">
        <f t="shared" si="1"/>
        <v>0.91321294166236278</v>
      </c>
      <c r="E49" s="22"/>
    </row>
    <row r="50" spans="1:5">
      <c r="A50" s="26" t="s">
        <v>109</v>
      </c>
      <c r="B50">
        <v>6</v>
      </c>
      <c r="C50" s="22">
        <f t="shared" si="0"/>
        <v>1.791759469228055</v>
      </c>
      <c r="D50" s="22">
        <f t="shared" si="1"/>
        <v>1.1734066487897417E-2</v>
      </c>
      <c r="E50" s="22"/>
    </row>
    <row r="51" spans="1:5">
      <c r="A51" s="26" t="s">
        <v>110</v>
      </c>
      <c r="B51">
        <v>11</v>
      </c>
      <c r="C51" s="22">
        <f t="shared" si="0"/>
        <v>2.3978952727983707</v>
      </c>
      <c r="D51" s="22">
        <f t="shared" si="1"/>
        <v>0.51045266259555355</v>
      </c>
      <c r="E51" s="22"/>
    </row>
    <row r="52" spans="1:5">
      <c r="A52" s="26" t="s">
        <v>111</v>
      </c>
      <c r="B52">
        <v>12</v>
      </c>
      <c r="C52" s="22">
        <f t="shared" si="0"/>
        <v>2.4849066497880004</v>
      </c>
      <c r="D52" s="22">
        <f t="shared" si="1"/>
        <v>0.64235588688236922</v>
      </c>
      <c r="E52" s="22"/>
    </row>
    <row r="53" spans="1:5">
      <c r="A53" s="26" t="s">
        <v>112</v>
      </c>
      <c r="B53">
        <v>25</v>
      </c>
      <c r="C53" s="22">
        <f t="shared" si="0"/>
        <v>3.2188758248682006</v>
      </c>
      <c r="D53" s="22">
        <f t="shared" si="1"/>
        <v>2.3575767669702077</v>
      </c>
      <c r="E53" s="22"/>
    </row>
    <row r="54" spans="1:5">
      <c r="A54" s="26" t="s">
        <v>135</v>
      </c>
      <c r="B54">
        <v>66</v>
      </c>
      <c r="C54" s="22">
        <f t="shared" si="0"/>
        <v>4.1896547420264252</v>
      </c>
      <c r="D54" s="22">
        <f t="shared" si="1"/>
        <v>6.2811345230537032</v>
      </c>
      <c r="E54" s="22"/>
    </row>
    <row r="55" spans="1:5">
      <c r="A55" s="64" t="s">
        <v>118</v>
      </c>
      <c r="B55">
        <v>5</v>
      </c>
      <c r="C55" s="22">
        <f>LN(B55)</f>
        <v>1.6094379124341003</v>
      </c>
      <c r="D55" s="22">
        <f>(C55-$G$6)^2</f>
        <v>5.4756537734129227E-3</v>
      </c>
      <c r="E55" s="22"/>
    </row>
    <row r="56" spans="1:5">
      <c r="A56" s="26" t="s">
        <v>119</v>
      </c>
      <c r="B56">
        <v>1</v>
      </c>
      <c r="C56" s="22">
        <f>LN(B56)</f>
        <v>0</v>
      </c>
      <c r="D56" s="22">
        <f>(C56-$G$6)^2</f>
        <v>2.8339553285370878</v>
      </c>
      <c r="E56" s="22"/>
    </row>
    <row r="57" spans="1:5">
      <c r="A57" s="64" t="s">
        <v>134</v>
      </c>
      <c r="B57">
        <v>8</v>
      </c>
      <c r="C57" s="22">
        <f>LN(B57)</f>
        <v>2.0794415416798357</v>
      </c>
      <c r="D57" s="22">
        <f>(C57-$G$6)^2</f>
        <v>0.15682072720764889</v>
      </c>
      <c r="E57" s="22"/>
    </row>
    <row r="58" spans="1:5">
      <c r="A58" s="26" t="s">
        <v>119</v>
      </c>
      <c r="B58">
        <v>1</v>
      </c>
      <c r="C58" s="22">
        <f>LN(B58)</f>
        <v>0</v>
      </c>
      <c r="D58" s="22">
        <f>(C58-$G$6)^2</f>
        <v>2.8339553285370878</v>
      </c>
      <c r="E58" s="22"/>
    </row>
    <row r="59" spans="1:5">
      <c r="A59" s="64" t="s">
        <v>114</v>
      </c>
      <c r="B59">
        <v>4</v>
      </c>
      <c r="C59" s="22">
        <f t="shared" ref="C59:C62" si="2">LN(B59)</f>
        <v>1.3862943611198906</v>
      </c>
      <c r="D59" s="22">
        <f t="shared" ref="D59:D62" si="3">(C59-$G$6)^2</f>
        <v>8.8292899814392437E-2</v>
      </c>
      <c r="E59" s="22"/>
    </row>
    <row r="60" spans="1:5">
      <c r="A60" s="26" t="s">
        <v>115</v>
      </c>
      <c r="B60">
        <v>6</v>
      </c>
      <c r="C60" s="22">
        <f t="shared" si="2"/>
        <v>1.791759469228055</v>
      </c>
      <c r="D60" s="22">
        <f t="shared" si="3"/>
        <v>1.1734066487897417E-2</v>
      </c>
      <c r="E60" s="22"/>
    </row>
    <row r="61" spans="1:5">
      <c r="A61" s="64" t="s">
        <v>116</v>
      </c>
      <c r="B61">
        <v>4</v>
      </c>
      <c r="C61" s="22">
        <f t="shared" si="2"/>
        <v>1.3862943611198906</v>
      </c>
      <c r="D61" s="22">
        <f t="shared" si="3"/>
        <v>8.8292899814392437E-2</v>
      </c>
      <c r="E61" s="22"/>
    </row>
    <row r="62" spans="1:5">
      <c r="A62" s="26" t="s">
        <v>117</v>
      </c>
      <c r="B62">
        <v>5</v>
      </c>
      <c r="C62" s="22">
        <f t="shared" si="2"/>
        <v>1.6094379124341003</v>
      </c>
      <c r="D62" s="22">
        <f t="shared" si="3"/>
        <v>5.4756537734129227E-3</v>
      </c>
      <c r="E62" s="22"/>
    </row>
    <row r="63" spans="1:5">
      <c r="A63" s="7" t="s">
        <v>136</v>
      </c>
      <c r="C63" s="22"/>
      <c r="D63" s="22"/>
      <c r="E63" s="22"/>
    </row>
    <row r="64" spans="1:5">
      <c r="A64" s="26" t="s">
        <v>33</v>
      </c>
      <c r="B64">
        <v>46</v>
      </c>
      <c r="C64" s="22">
        <f t="shared" si="0"/>
        <v>3.8286413964890951</v>
      </c>
      <c r="D64" s="22">
        <f t="shared" si="1"/>
        <v>4.6019080250101512</v>
      </c>
      <c r="E64" s="22"/>
    </row>
    <row r="65" spans="1:5">
      <c r="A65" s="26" t="s">
        <v>102</v>
      </c>
      <c r="B65">
        <v>1</v>
      </c>
      <c r="C65" s="22">
        <f t="shared" si="0"/>
        <v>0</v>
      </c>
      <c r="D65" s="22">
        <f t="shared" si="1"/>
        <v>2.8339553285370878</v>
      </c>
      <c r="E65" s="22"/>
    </row>
    <row r="66" spans="1:5">
      <c r="A66" s="26" t="s">
        <v>103</v>
      </c>
      <c r="B66">
        <v>2</v>
      </c>
      <c r="C66" s="22">
        <f t="shared" si="0"/>
        <v>0.69314718055994529</v>
      </c>
      <c r="D66" s="22">
        <f t="shared" si="1"/>
        <v>0.98067110025753867</v>
      </c>
      <c r="E66" s="22"/>
    </row>
    <row r="67" spans="1:5">
      <c r="A67" s="26" t="s">
        <v>104</v>
      </c>
      <c r="B67">
        <v>5</v>
      </c>
      <c r="C67" s="22">
        <f t="shared" si="0"/>
        <v>1.6094379124341003</v>
      </c>
      <c r="D67" s="22">
        <f t="shared" si="1"/>
        <v>5.4756537734129227E-3</v>
      </c>
      <c r="E67" s="22"/>
    </row>
    <row r="68" spans="1:5">
      <c r="A68" s="26" t="s">
        <v>105</v>
      </c>
      <c r="B68">
        <v>3</v>
      </c>
      <c r="C68" s="22">
        <f t="shared" si="0"/>
        <v>1.0986122886681098</v>
      </c>
      <c r="D68" s="22">
        <f t="shared" si="1"/>
        <v>0.34201827392982842</v>
      </c>
      <c r="E68" s="22"/>
    </row>
    <row r="69" spans="1:5">
      <c r="A69" s="26" t="s">
        <v>120</v>
      </c>
      <c r="B69">
        <v>4</v>
      </c>
      <c r="C69" s="22">
        <f t="shared" si="0"/>
        <v>1.3862943611198906</v>
      </c>
      <c r="D69" s="22">
        <f t="shared" si="1"/>
        <v>8.8292899814392437E-2</v>
      </c>
      <c r="E69" s="22"/>
    </row>
    <row r="70" spans="1:5">
      <c r="A70" s="26" t="s">
        <v>121</v>
      </c>
      <c r="B70">
        <v>4</v>
      </c>
      <c r="C70" s="22">
        <f t="shared" si="0"/>
        <v>1.3862943611198906</v>
      </c>
      <c r="D70" s="22">
        <f t="shared" si="1"/>
        <v>8.8292899814392437E-2</v>
      </c>
      <c r="E70" s="22"/>
    </row>
    <row r="71" spans="1:5">
      <c r="A71" s="26" t="s">
        <v>106</v>
      </c>
      <c r="B71">
        <v>2</v>
      </c>
      <c r="C71" s="22">
        <f t="shared" si="0"/>
        <v>0.69314718055994529</v>
      </c>
      <c r="D71" s="22">
        <f t="shared" si="1"/>
        <v>0.98067110025753867</v>
      </c>
      <c r="E71" s="22"/>
    </row>
    <row r="72" spans="1:5">
      <c r="A72" s="26" t="s">
        <v>122</v>
      </c>
      <c r="B72">
        <v>6</v>
      </c>
      <c r="C72" s="22">
        <f t="shared" si="0"/>
        <v>1.791759469228055</v>
      </c>
      <c r="D72" s="22">
        <f t="shared" si="1"/>
        <v>1.1734066487897417E-2</v>
      </c>
      <c r="E72" s="22"/>
    </row>
    <row r="73" spans="1:5">
      <c r="A73" s="26" t="s">
        <v>123</v>
      </c>
      <c r="B73">
        <v>6</v>
      </c>
      <c r="C73" s="22">
        <f t="shared" si="0"/>
        <v>1.791759469228055</v>
      </c>
      <c r="D73" s="22">
        <f t="shared" si="1"/>
        <v>1.1734066487897417E-2</v>
      </c>
      <c r="E73" s="22"/>
    </row>
    <row r="74" spans="1:5">
      <c r="A74" s="26" t="s">
        <v>108</v>
      </c>
      <c r="B74">
        <v>14</v>
      </c>
      <c r="C74" s="22">
        <f t="shared" si="0"/>
        <v>2.6390573296152584</v>
      </c>
      <c r="D74" s="22">
        <f t="shared" si="1"/>
        <v>0.91321294166236278</v>
      </c>
      <c r="E74" s="22"/>
    </row>
    <row r="75" spans="1:5">
      <c r="A75" s="26" t="s">
        <v>109</v>
      </c>
      <c r="B75">
        <v>6</v>
      </c>
      <c r="C75" s="22">
        <f t="shared" si="0"/>
        <v>1.791759469228055</v>
      </c>
      <c r="D75" s="22">
        <f t="shared" si="1"/>
        <v>1.1734066487897417E-2</v>
      </c>
      <c r="E75" s="22"/>
    </row>
    <row r="76" spans="1:5">
      <c r="A76" s="26" t="s">
        <v>110</v>
      </c>
      <c r="B76">
        <v>11</v>
      </c>
      <c r="C76" s="22">
        <f t="shared" si="0"/>
        <v>2.3978952727983707</v>
      </c>
      <c r="D76" s="22">
        <f t="shared" si="1"/>
        <v>0.51045266259555355</v>
      </c>
      <c r="E76" s="22"/>
    </row>
    <row r="77" spans="1:5">
      <c r="A77" s="26" t="s">
        <v>111</v>
      </c>
      <c r="B77">
        <v>12</v>
      </c>
      <c r="C77" s="22">
        <f t="shared" si="0"/>
        <v>2.4849066497880004</v>
      </c>
      <c r="D77" s="22">
        <f t="shared" si="1"/>
        <v>0.64235588688236922</v>
      </c>
      <c r="E77" s="22"/>
    </row>
    <row r="78" spans="1:5">
      <c r="A78" s="26" t="s">
        <v>112</v>
      </c>
      <c r="B78">
        <v>25</v>
      </c>
      <c r="C78" s="22">
        <f t="shared" si="0"/>
        <v>3.2188758248682006</v>
      </c>
      <c r="D78" s="22">
        <f t="shared" si="1"/>
        <v>2.3575767669702077</v>
      </c>
      <c r="E78" s="22"/>
    </row>
    <row r="79" spans="1:5">
      <c r="A79" s="26" t="s">
        <v>135</v>
      </c>
      <c r="B79">
        <v>66</v>
      </c>
      <c r="C79" s="22">
        <f t="shared" si="0"/>
        <v>4.1896547420264252</v>
      </c>
      <c r="D79" s="22">
        <f t="shared" si="1"/>
        <v>6.2811345230537032</v>
      </c>
      <c r="E79" s="22"/>
    </row>
    <row r="80" spans="1:5">
      <c r="A80" s="64" t="s">
        <v>118</v>
      </c>
      <c r="B80">
        <v>5</v>
      </c>
      <c r="C80" s="22">
        <f t="shared" si="0"/>
        <v>1.6094379124341003</v>
      </c>
      <c r="D80" s="22">
        <f t="shared" si="1"/>
        <v>5.4756537734129227E-3</v>
      </c>
      <c r="E80" s="22"/>
    </row>
    <row r="81" spans="1:5">
      <c r="A81" s="26" t="s">
        <v>119</v>
      </c>
      <c r="B81">
        <v>1</v>
      </c>
      <c r="C81" s="22">
        <f t="shared" si="0"/>
        <v>0</v>
      </c>
      <c r="D81" s="22">
        <f t="shared" si="1"/>
        <v>2.8339553285370878</v>
      </c>
      <c r="E81" s="22"/>
    </row>
    <row r="82" spans="1:5">
      <c r="A82" s="64" t="s">
        <v>134</v>
      </c>
      <c r="B82">
        <v>8</v>
      </c>
      <c r="C82" s="22">
        <f t="shared" si="0"/>
        <v>2.0794415416798357</v>
      </c>
      <c r="D82" s="22">
        <f t="shared" si="1"/>
        <v>0.15682072720764889</v>
      </c>
      <c r="E82" s="22"/>
    </row>
    <row r="83" spans="1:5">
      <c r="A83" s="26" t="s">
        <v>119</v>
      </c>
      <c r="B83">
        <v>1</v>
      </c>
      <c r="C83" s="22">
        <f t="shared" si="0"/>
        <v>0</v>
      </c>
      <c r="D83" s="22">
        <f t="shared" si="1"/>
        <v>2.8339553285370878</v>
      </c>
      <c r="E83" s="22"/>
    </row>
    <row r="84" spans="1:5">
      <c r="A84" s="64" t="s">
        <v>114</v>
      </c>
      <c r="B84">
        <v>4</v>
      </c>
      <c r="C84" s="22">
        <f t="shared" si="0"/>
        <v>1.3862943611198906</v>
      </c>
      <c r="D84" s="22">
        <f t="shared" si="1"/>
        <v>8.8292899814392437E-2</v>
      </c>
      <c r="E84" s="22"/>
    </row>
    <row r="85" spans="1:5">
      <c r="A85" s="26" t="s">
        <v>115</v>
      </c>
      <c r="B85">
        <v>6</v>
      </c>
      <c r="C85" s="22">
        <f t="shared" si="0"/>
        <v>1.791759469228055</v>
      </c>
      <c r="D85" s="22">
        <f t="shared" si="1"/>
        <v>1.1734066487897417E-2</v>
      </c>
      <c r="E85" s="22"/>
    </row>
    <row r="86" spans="1:5">
      <c r="A86" s="64" t="s">
        <v>116</v>
      </c>
      <c r="B86">
        <v>4</v>
      </c>
      <c r="C86" s="22">
        <f t="shared" si="0"/>
        <v>1.3862943611198906</v>
      </c>
      <c r="D86" s="22">
        <f t="shared" si="1"/>
        <v>8.8292899814392437E-2</v>
      </c>
      <c r="E86" s="22"/>
    </row>
    <row r="87" spans="1:5">
      <c r="A87" s="26" t="s">
        <v>117</v>
      </c>
      <c r="B87">
        <v>5</v>
      </c>
      <c r="C87" s="22">
        <f t="shared" si="0"/>
        <v>1.6094379124341003</v>
      </c>
      <c r="D87" s="22">
        <f t="shared" si="1"/>
        <v>5.4756537734129227E-3</v>
      </c>
      <c r="E87" s="22"/>
    </row>
    <row r="88" spans="1:5">
      <c r="A88" s="7" t="s">
        <v>137</v>
      </c>
      <c r="C88" s="22"/>
      <c r="D88" s="22"/>
    </row>
    <row r="89" spans="1:5">
      <c r="A89" s="64" t="s">
        <v>33</v>
      </c>
      <c r="B89">
        <f>46+28-4-6</f>
        <v>64</v>
      </c>
      <c r="C89" s="22">
        <f t="shared" ref="C89:C113" si="4">LN(B89)</f>
        <v>4.1588830833596715</v>
      </c>
      <c r="D89" s="22">
        <f t="shared" ref="D89:D113" si="5">(C89-$G$6)^2</f>
        <v>6.1278403764058353</v>
      </c>
    </row>
    <row r="90" spans="1:5">
      <c r="A90" s="26" t="s">
        <v>111</v>
      </c>
      <c r="B90">
        <v>4</v>
      </c>
      <c r="C90" s="22">
        <f t="shared" si="4"/>
        <v>1.3862943611198906</v>
      </c>
      <c r="D90" s="22">
        <f t="shared" si="5"/>
        <v>8.8292899814392437E-2</v>
      </c>
    </row>
    <row r="91" spans="1:5">
      <c r="A91" s="64" t="s">
        <v>102</v>
      </c>
      <c r="B91">
        <v>1</v>
      </c>
      <c r="C91" s="22">
        <f t="shared" si="4"/>
        <v>0</v>
      </c>
      <c r="D91" s="22">
        <f t="shared" si="5"/>
        <v>2.8339553285370878</v>
      </c>
    </row>
    <row r="92" spans="1:5">
      <c r="A92" s="26" t="s">
        <v>103</v>
      </c>
      <c r="B92">
        <v>2</v>
      </c>
      <c r="C92" s="22">
        <f t="shared" si="4"/>
        <v>0.69314718055994529</v>
      </c>
      <c r="D92" s="22">
        <f t="shared" si="5"/>
        <v>0.98067110025753867</v>
      </c>
    </row>
    <row r="93" spans="1:5">
      <c r="A93" s="26" t="s">
        <v>104</v>
      </c>
      <c r="B93">
        <v>5</v>
      </c>
      <c r="C93" s="22">
        <f t="shared" si="4"/>
        <v>1.6094379124341003</v>
      </c>
      <c r="D93" s="22">
        <f t="shared" si="5"/>
        <v>5.4756537734129227E-3</v>
      </c>
    </row>
    <row r="94" spans="1:5">
      <c r="A94" s="26" t="s">
        <v>105</v>
      </c>
      <c r="B94">
        <v>3</v>
      </c>
      <c r="C94" s="22">
        <f t="shared" si="4"/>
        <v>1.0986122886681098</v>
      </c>
      <c r="D94" s="22">
        <f t="shared" si="5"/>
        <v>0.34201827392982842</v>
      </c>
    </row>
    <row r="95" spans="1:5">
      <c r="A95" s="26" t="s">
        <v>120</v>
      </c>
      <c r="B95">
        <v>4</v>
      </c>
      <c r="C95" s="22">
        <f t="shared" si="4"/>
        <v>1.3862943611198906</v>
      </c>
      <c r="D95" s="22">
        <f t="shared" si="5"/>
        <v>8.8292899814392437E-2</v>
      </c>
    </row>
    <row r="96" spans="1:5">
      <c r="A96" s="26" t="s">
        <v>121</v>
      </c>
      <c r="B96">
        <v>4</v>
      </c>
      <c r="C96" s="22">
        <f t="shared" si="4"/>
        <v>1.3862943611198906</v>
      </c>
      <c r="D96" s="22">
        <f t="shared" si="5"/>
        <v>8.8292899814392437E-2</v>
      </c>
    </row>
    <row r="97" spans="1:4">
      <c r="A97" s="26" t="s">
        <v>106</v>
      </c>
      <c r="B97">
        <v>2</v>
      </c>
      <c r="C97" s="22">
        <f t="shared" si="4"/>
        <v>0.69314718055994529</v>
      </c>
      <c r="D97" s="22">
        <f t="shared" si="5"/>
        <v>0.98067110025753867</v>
      </c>
    </row>
    <row r="98" spans="1:4">
      <c r="A98" s="26" t="s">
        <v>122</v>
      </c>
      <c r="B98">
        <v>6</v>
      </c>
      <c r="C98" s="22">
        <f t="shared" si="4"/>
        <v>1.791759469228055</v>
      </c>
      <c r="D98" s="22">
        <f t="shared" si="5"/>
        <v>1.1734066487897417E-2</v>
      </c>
    </row>
    <row r="99" spans="1:4">
      <c r="A99" s="26" t="s">
        <v>123</v>
      </c>
      <c r="B99">
        <v>6</v>
      </c>
      <c r="C99" s="22">
        <f t="shared" si="4"/>
        <v>1.791759469228055</v>
      </c>
      <c r="D99" s="22">
        <f t="shared" si="5"/>
        <v>1.1734066487897417E-2</v>
      </c>
    </row>
    <row r="100" spans="1:4">
      <c r="A100" s="26" t="s">
        <v>108</v>
      </c>
      <c r="B100">
        <v>14</v>
      </c>
      <c r="C100" s="22">
        <f t="shared" si="4"/>
        <v>2.6390573296152584</v>
      </c>
      <c r="D100" s="22">
        <f t="shared" si="5"/>
        <v>0.91321294166236278</v>
      </c>
    </row>
    <row r="101" spans="1:4">
      <c r="A101" s="26" t="s">
        <v>109</v>
      </c>
      <c r="B101">
        <v>6</v>
      </c>
      <c r="C101" s="22">
        <f t="shared" si="4"/>
        <v>1.791759469228055</v>
      </c>
      <c r="D101" s="22">
        <f t="shared" si="5"/>
        <v>1.1734066487897417E-2</v>
      </c>
    </row>
    <row r="102" spans="1:4">
      <c r="A102" s="26" t="s">
        <v>110</v>
      </c>
      <c r="B102">
        <v>11</v>
      </c>
      <c r="C102" s="22">
        <f t="shared" si="4"/>
        <v>2.3978952727983707</v>
      </c>
      <c r="D102" s="22">
        <f t="shared" si="5"/>
        <v>0.51045266259555355</v>
      </c>
    </row>
    <row r="103" spans="1:4">
      <c r="A103" s="26" t="s">
        <v>111</v>
      </c>
      <c r="B103">
        <f>12+18</f>
        <v>30</v>
      </c>
      <c r="C103" s="22">
        <f t="shared" si="4"/>
        <v>3.4011973816621555</v>
      </c>
      <c r="D103" s="22">
        <f t="shared" si="5"/>
        <v>2.950705631201088</v>
      </c>
    </row>
    <row r="104" spans="1:4">
      <c r="A104" s="26" t="s">
        <v>112</v>
      </c>
      <c r="B104">
        <v>25</v>
      </c>
      <c r="C104" s="22">
        <f t="shared" si="4"/>
        <v>3.2188758248682006</v>
      </c>
      <c r="D104" s="22">
        <f t="shared" si="5"/>
        <v>2.3575767669702077</v>
      </c>
    </row>
    <row r="105" spans="1:4">
      <c r="A105" s="26" t="s">
        <v>135</v>
      </c>
      <c r="B105">
        <v>66</v>
      </c>
      <c r="C105" s="22">
        <f t="shared" si="4"/>
        <v>4.1896547420264252</v>
      </c>
      <c r="D105" s="22">
        <f t="shared" si="5"/>
        <v>6.2811345230537032</v>
      </c>
    </row>
    <row r="106" spans="1:4">
      <c r="A106" s="64" t="s">
        <v>118</v>
      </c>
      <c r="B106">
        <v>5</v>
      </c>
      <c r="C106" s="22">
        <f t="shared" si="4"/>
        <v>1.6094379124341003</v>
      </c>
      <c r="D106" s="22">
        <f t="shared" si="5"/>
        <v>5.4756537734129227E-3</v>
      </c>
    </row>
    <row r="107" spans="1:4">
      <c r="A107" s="26" t="s">
        <v>119</v>
      </c>
      <c r="B107">
        <v>1</v>
      </c>
      <c r="C107" s="22">
        <f t="shared" si="4"/>
        <v>0</v>
      </c>
      <c r="D107" s="22">
        <f t="shared" si="5"/>
        <v>2.8339553285370878</v>
      </c>
    </row>
    <row r="108" spans="1:4">
      <c r="A108" s="64" t="s">
        <v>134</v>
      </c>
      <c r="B108">
        <v>8</v>
      </c>
      <c r="C108" s="22">
        <f t="shared" si="4"/>
        <v>2.0794415416798357</v>
      </c>
      <c r="D108" s="22">
        <f t="shared" si="5"/>
        <v>0.15682072720764889</v>
      </c>
    </row>
    <row r="109" spans="1:4">
      <c r="A109" s="26" t="s">
        <v>119</v>
      </c>
      <c r="B109">
        <v>1</v>
      </c>
      <c r="C109" s="22">
        <f t="shared" si="4"/>
        <v>0</v>
      </c>
      <c r="D109" s="22">
        <f t="shared" si="5"/>
        <v>2.8339553285370878</v>
      </c>
    </row>
    <row r="110" spans="1:4">
      <c r="A110" s="64" t="s">
        <v>114</v>
      </c>
      <c r="B110">
        <v>4</v>
      </c>
      <c r="C110" s="22">
        <f t="shared" si="4"/>
        <v>1.3862943611198906</v>
      </c>
      <c r="D110" s="22">
        <f t="shared" si="5"/>
        <v>8.8292899814392437E-2</v>
      </c>
    </row>
    <row r="111" spans="1:4">
      <c r="A111" s="26" t="s">
        <v>115</v>
      </c>
      <c r="B111">
        <v>6</v>
      </c>
      <c r="C111" s="22">
        <f t="shared" si="4"/>
        <v>1.791759469228055</v>
      </c>
      <c r="D111" s="22">
        <f t="shared" si="5"/>
        <v>1.1734066487897417E-2</v>
      </c>
    </row>
    <row r="112" spans="1:4">
      <c r="A112" s="64" t="s">
        <v>116</v>
      </c>
      <c r="B112">
        <v>4</v>
      </c>
      <c r="C112" s="22">
        <f t="shared" si="4"/>
        <v>1.3862943611198906</v>
      </c>
      <c r="D112" s="22">
        <f t="shared" si="5"/>
        <v>8.8292899814392437E-2</v>
      </c>
    </row>
    <row r="113" spans="1:4">
      <c r="A113" s="26" t="s">
        <v>117</v>
      </c>
      <c r="B113">
        <v>5</v>
      </c>
      <c r="C113" s="22">
        <f t="shared" si="4"/>
        <v>1.6094379124341003</v>
      </c>
      <c r="D113" s="22">
        <f t="shared" si="5"/>
        <v>5.4756537734129227E-3</v>
      </c>
    </row>
    <row r="114" spans="1:4">
      <c r="A114" s="7" t="s">
        <v>142</v>
      </c>
      <c r="C114" s="22"/>
      <c r="D114" s="22"/>
    </row>
    <row r="115" spans="1:4">
      <c r="A115" s="64" t="s">
        <v>33</v>
      </c>
      <c r="B115">
        <v>80</v>
      </c>
      <c r="C115" s="22">
        <f t="shared" ref="C115:C143" si="6">LN(B115)</f>
        <v>4.3820266346738812</v>
      </c>
      <c r="D115" s="22">
        <f t="shared" ref="D115:D143" si="7">(C115-$G$6)^2</f>
        <v>7.2823937179934797</v>
      </c>
    </row>
    <row r="116" spans="1:4">
      <c r="A116" s="26" t="s">
        <v>111</v>
      </c>
      <c r="B116">
        <v>4</v>
      </c>
      <c r="C116" s="22">
        <f t="shared" si="6"/>
        <v>1.3862943611198906</v>
      </c>
      <c r="D116" s="22">
        <f t="shared" si="7"/>
        <v>8.8292899814392437E-2</v>
      </c>
    </row>
    <row r="117" spans="1:4">
      <c r="A117" s="64" t="s">
        <v>102</v>
      </c>
      <c r="B117">
        <v>1</v>
      </c>
      <c r="C117" s="22">
        <f t="shared" si="6"/>
        <v>0</v>
      </c>
      <c r="D117" s="22">
        <f t="shared" si="7"/>
        <v>2.8339553285370878</v>
      </c>
    </row>
    <row r="118" spans="1:4">
      <c r="A118" s="26" t="s">
        <v>103</v>
      </c>
      <c r="B118">
        <v>2</v>
      </c>
      <c r="C118" s="22">
        <f t="shared" si="6"/>
        <v>0.69314718055994529</v>
      </c>
      <c r="D118" s="22">
        <f t="shared" si="7"/>
        <v>0.98067110025753867</v>
      </c>
    </row>
    <row r="119" spans="1:4">
      <c r="A119" s="26" t="s">
        <v>104</v>
      </c>
      <c r="B119">
        <v>5</v>
      </c>
      <c r="C119" s="22">
        <f t="shared" si="6"/>
        <v>1.6094379124341003</v>
      </c>
      <c r="D119" s="22">
        <f t="shared" si="7"/>
        <v>5.4756537734129227E-3</v>
      </c>
    </row>
    <row r="120" spans="1:4">
      <c r="A120" s="26" t="s">
        <v>105</v>
      </c>
      <c r="B120">
        <v>6</v>
      </c>
      <c r="C120" s="22">
        <f t="shared" si="6"/>
        <v>1.791759469228055</v>
      </c>
      <c r="D120" s="22">
        <f t="shared" si="7"/>
        <v>1.1734066487897417E-2</v>
      </c>
    </row>
    <row r="121" spans="1:4">
      <c r="A121" s="26" t="s">
        <v>143</v>
      </c>
      <c r="B121">
        <v>5</v>
      </c>
      <c r="C121" s="22">
        <f t="shared" si="6"/>
        <v>1.6094379124341003</v>
      </c>
      <c r="D121" s="22">
        <f t="shared" si="7"/>
        <v>5.4756537734129227E-3</v>
      </c>
    </row>
    <row r="122" spans="1:4">
      <c r="A122" s="26" t="s">
        <v>144</v>
      </c>
      <c r="B122">
        <v>4</v>
      </c>
      <c r="C122" s="22">
        <f t="shared" si="6"/>
        <v>1.3862943611198906</v>
      </c>
      <c r="D122" s="22">
        <f t="shared" si="7"/>
        <v>8.8292899814392437E-2</v>
      </c>
    </row>
    <row r="123" spans="1:4">
      <c r="A123" s="26" t="s">
        <v>145</v>
      </c>
      <c r="B123">
        <v>9</v>
      </c>
      <c r="C123" s="22">
        <f t="shared" si="6"/>
        <v>2.1972245773362196</v>
      </c>
      <c r="D123" s="22">
        <f t="shared" si="7"/>
        <v>0.2639791409477335</v>
      </c>
    </row>
    <row r="124" spans="1:4">
      <c r="A124" s="26" t="s">
        <v>146</v>
      </c>
      <c r="B124">
        <v>1</v>
      </c>
      <c r="C124" s="22">
        <f t="shared" si="6"/>
        <v>0</v>
      </c>
      <c r="D124" s="22">
        <f t="shared" si="7"/>
        <v>2.8339553285370878</v>
      </c>
    </row>
    <row r="125" spans="1:4">
      <c r="A125" s="26" t="s">
        <v>147</v>
      </c>
      <c r="B125">
        <v>9</v>
      </c>
      <c r="C125" s="22">
        <f t="shared" si="6"/>
        <v>2.1972245773362196</v>
      </c>
      <c r="D125" s="22">
        <f t="shared" si="7"/>
        <v>0.2639791409477335</v>
      </c>
    </row>
    <row r="126" spans="1:4">
      <c r="A126" s="26" t="s">
        <v>106</v>
      </c>
      <c r="B126">
        <v>2</v>
      </c>
      <c r="C126" s="22">
        <f t="shared" si="6"/>
        <v>0.69314718055994529</v>
      </c>
      <c r="D126" s="22">
        <f t="shared" si="7"/>
        <v>0.98067110025753867</v>
      </c>
    </row>
    <row r="127" spans="1:4">
      <c r="A127" s="26" t="s">
        <v>122</v>
      </c>
      <c r="B127">
        <v>6</v>
      </c>
      <c r="C127" s="22">
        <f t="shared" si="6"/>
        <v>1.791759469228055</v>
      </c>
      <c r="D127" s="22">
        <f t="shared" si="7"/>
        <v>1.1734066487897417E-2</v>
      </c>
    </row>
    <row r="128" spans="1:4">
      <c r="A128" s="26" t="s">
        <v>123</v>
      </c>
      <c r="B128">
        <v>6</v>
      </c>
      <c r="C128" s="22">
        <f t="shared" si="6"/>
        <v>1.791759469228055</v>
      </c>
      <c r="D128" s="22">
        <f t="shared" si="7"/>
        <v>1.1734066487897417E-2</v>
      </c>
    </row>
    <row r="129" spans="1:4">
      <c r="A129" s="26" t="s">
        <v>108</v>
      </c>
      <c r="B129">
        <v>14</v>
      </c>
      <c r="C129" s="22">
        <f t="shared" si="6"/>
        <v>2.6390573296152584</v>
      </c>
      <c r="D129" s="22">
        <f t="shared" si="7"/>
        <v>0.91321294166236278</v>
      </c>
    </row>
    <row r="130" spans="1:4">
      <c r="A130" s="26" t="s">
        <v>109</v>
      </c>
      <c r="B130">
        <v>6</v>
      </c>
      <c r="C130" s="22">
        <f t="shared" si="6"/>
        <v>1.791759469228055</v>
      </c>
      <c r="D130" s="22">
        <f t="shared" si="7"/>
        <v>1.1734066487897417E-2</v>
      </c>
    </row>
    <row r="131" spans="1:4">
      <c r="A131" s="26" t="s">
        <v>110</v>
      </c>
      <c r="B131">
        <v>11</v>
      </c>
      <c r="C131" s="22">
        <f t="shared" si="6"/>
        <v>2.3978952727983707</v>
      </c>
      <c r="D131" s="22">
        <f t="shared" si="7"/>
        <v>0.51045266259555355</v>
      </c>
    </row>
    <row r="132" spans="1:4">
      <c r="A132" s="26" t="s">
        <v>111</v>
      </c>
      <c r="B132">
        <f>12+18</f>
        <v>30</v>
      </c>
      <c r="C132" s="22">
        <f t="shared" si="6"/>
        <v>3.4011973816621555</v>
      </c>
      <c r="D132" s="22">
        <f t="shared" si="7"/>
        <v>2.950705631201088</v>
      </c>
    </row>
    <row r="133" spans="1:4">
      <c r="A133" s="26" t="s">
        <v>112</v>
      </c>
      <c r="B133">
        <v>25</v>
      </c>
      <c r="C133" s="22">
        <f t="shared" si="6"/>
        <v>3.2188758248682006</v>
      </c>
      <c r="D133" s="22">
        <f t="shared" si="7"/>
        <v>2.3575767669702077</v>
      </c>
    </row>
    <row r="134" spans="1:4">
      <c r="A134" s="26" t="s">
        <v>135</v>
      </c>
      <c r="B134">
        <v>78</v>
      </c>
      <c r="C134" s="22">
        <f t="shared" si="6"/>
        <v>4.3567088266895917</v>
      </c>
      <c r="D134" s="22">
        <f t="shared" si="7"/>
        <v>7.1463898887408828</v>
      </c>
    </row>
    <row r="135" spans="1:4">
      <c r="A135" s="64" t="s">
        <v>118</v>
      </c>
      <c r="B135">
        <v>5</v>
      </c>
      <c r="C135" s="22">
        <f t="shared" si="6"/>
        <v>1.6094379124341003</v>
      </c>
      <c r="D135" s="22">
        <f t="shared" si="7"/>
        <v>5.4756537734129227E-3</v>
      </c>
    </row>
    <row r="136" spans="1:4">
      <c r="A136" s="26" t="s">
        <v>119</v>
      </c>
      <c r="B136">
        <v>1</v>
      </c>
      <c r="C136" s="22">
        <f t="shared" si="6"/>
        <v>0</v>
      </c>
      <c r="D136" s="22">
        <f t="shared" si="7"/>
        <v>2.8339553285370878</v>
      </c>
    </row>
    <row r="137" spans="1:4">
      <c r="A137" s="64" t="s">
        <v>134</v>
      </c>
      <c r="B137">
        <v>8</v>
      </c>
      <c r="C137" s="22">
        <f t="shared" si="6"/>
        <v>2.0794415416798357</v>
      </c>
      <c r="D137" s="22">
        <f t="shared" si="7"/>
        <v>0.15682072720764889</v>
      </c>
    </row>
    <row r="138" spans="1:4">
      <c r="A138" s="26" t="s">
        <v>119</v>
      </c>
      <c r="B138">
        <v>1</v>
      </c>
      <c r="C138" s="22">
        <f t="shared" si="6"/>
        <v>0</v>
      </c>
      <c r="D138" s="22">
        <f t="shared" si="7"/>
        <v>2.8339553285370878</v>
      </c>
    </row>
    <row r="139" spans="1:4">
      <c r="A139" s="64" t="s">
        <v>114</v>
      </c>
      <c r="B139">
        <v>4</v>
      </c>
      <c r="C139" s="22">
        <f t="shared" si="6"/>
        <v>1.3862943611198906</v>
      </c>
      <c r="D139" s="22">
        <f t="shared" si="7"/>
        <v>8.8292899814392437E-2</v>
      </c>
    </row>
    <row r="140" spans="1:4">
      <c r="A140" s="26" t="s">
        <v>115</v>
      </c>
      <c r="B140">
        <v>7</v>
      </c>
      <c r="C140" s="22">
        <f t="shared" si="6"/>
        <v>1.9459101490553132</v>
      </c>
      <c r="D140" s="22">
        <f t="shared" si="7"/>
        <v>6.8892903060565516E-2</v>
      </c>
    </row>
    <row r="141" spans="1:4">
      <c r="A141" s="64" t="s">
        <v>116</v>
      </c>
      <c r="B141">
        <v>4</v>
      </c>
      <c r="C141" s="22">
        <f t="shared" si="6"/>
        <v>1.3862943611198906</v>
      </c>
      <c r="D141" s="22">
        <f t="shared" si="7"/>
        <v>8.8292899814392437E-2</v>
      </c>
    </row>
    <row r="142" spans="1:4">
      <c r="A142" s="26" t="s">
        <v>148</v>
      </c>
      <c r="B142">
        <v>6</v>
      </c>
      <c r="C142" s="22">
        <f t="shared" si="6"/>
        <v>1.791759469228055</v>
      </c>
      <c r="D142" s="22">
        <f t="shared" si="7"/>
        <v>1.1734066487897417E-2</v>
      </c>
    </row>
    <row r="143" spans="1:4">
      <c r="A143" s="26" t="s">
        <v>149</v>
      </c>
      <c r="B143">
        <v>3</v>
      </c>
      <c r="C143" s="22">
        <f t="shared" si="6"/>
        <v>1.0986122886681098</v>
      </c>
      <c r="D143" s="22">
        <f t="shared" si="7"/>
        <v>0.34201827392982842</v>
      </c>
    </row>
    <row r="144" spans="1:4">
      <c r="A144" s="7" t="s">
        <v>159</v>
      </c>
      <c r="C144" s="22"/>
      <c r="D144" s="22"/>
    </row>
    <row r="145" spans="1:4">
      <c r="A145" s="64" t="s">
        <v>33</v>
      </c>
      <c r="B145">
        <v>104</v>
      </c>
      <c r="C145" s="22">
        <f t="shared" ref="C145:C182" si="8">LN(B145)</f>
        <v>4.6443908991413725</v>
      </c>
      <c r="D145" s="22">
        <f t="shared" ref="D145:D182" si="9">(C145-$G$6)^2</f>
        <v>8.7672564432374305</v>
      </c>
    </row>
    <row r="146" spans="1:4">
      <c r="A146" s="26" t="s">
        <v>111</v>
      </c>
      <c r="B146">
        <v>4</v>
      </c>
      <c r="C146" s="22">
        <f t="shared" si="8"/>
        <v>1.3862943611198906</v>
      </c>
      <c r="D146" s="22">
        <f t="shared" si="9"/>
        <v>8.8292899814392437E-2</v>
      </c>
    </row>
    <row r="147" spans="1:4">
      <c r="A147" s="64" t="s">
        <v>102</v>
      </c>
      <c r="B147">
        <v>1</v>
      </c>
      <c r="C147" s="22">
        <f t="shared" si="8"/>
        <v>0</v>
      </c>
      <c r="D147" s="22">
        <f t="shared" si="9"/>
        <v>2.8339553285370878</v>
      </c>
    </row>
    <row r="148" spans="1:4">
      <c r="A148" s="26" t="s">
        <v>103</v>
      </c>
      <c r="B148">
        <v>2</v>
      </c>
      <c r="C148" s="22">
        <f t="shared" si="8"/>
        <v>0.69314718055994529</v>
      </c>
      <c r="D148" s="22">
        <f t="shared" si="9"/>
        <v>0.98067110025753867</v>
      </c>
    </row>
    <row r="149" spans="1:4">
      <c r="A149" s="26" t="s">
        <v>104</v>
      </c>
      <c r="B149">
        <v>5</v>
      </c>
      <c r="C149" s="22">
        <f t="shared" si="8"/>
        <v>1.6094379124341003</v>
      </c>
      <c r="D149" s="22">
        <f t="shared" si="9"/>
        <v>5.4756537734129227E-3</v>
      </c>
    </row>
    <row r="150" spans="1:4">
      <c r="A150" s="26" t="s">
        <v>105</v>
      </c>
      <c r="B150">
        <v>6</v>
      </c>
      <c r="C150" s="22">
        <f t="shared" si="8"/>
        <v>1.791759469228055</v>
      </c>
      <c r="D150" s="22">
        <f t="shared" si="9"/>
        <v>1.1734066487897417E-2</v>
      </c>
    </row>
    <row r="151" spans="1:4">
      <c r="A151" s="26" t="s">
        <v>143</v>
      </c>
      <c r="B151">
        <v>5</v>
      </c>
      <c r="C151" s="22">
        <f t="shared" si="8"/>
        <v>1.6094379124341003</v>
      </c>
      <c r="D151" s="22">
        <f t="shared" si="9"/>
        <v>5.4756537734129227E-3</v>
      </c>
    </row>
    <row r="152" spans="1:4">
      <c r="A152" s="26" t="s">
        <v>144</v>
      </c>
      <c r="B152">
        <v>4</v>
      </c>
      <c r="C152" s="22">
        <f t="shared" si="8"/>
        <v>1.3862943611198906</v>
      </c>
      <c r="D152" s="22">
        <f t="shared" si="9"/>
        <v>8.8292899814392437E-2</v>
      </c>
    </row>
    <row r="153" spans="1:4">
      <c r="A153" s="26" t="s">
        <v>145</v>
      </c>
      <c r="B153">
        <v>9</v>
      </c>
      <c r="C153" s="22">
        <f t="shared" si="8"/>
        <v>2.1972245773362196</v>
      </c>
      <c r="D153" s="22">
        <f t="shared" si="9"/>
        <v>0.2639791409477335</v>
      </c>
    </row>
    <row r="154" spans="1:4">
      <c r="A154" s="26" t="s">
        <v>146</v>
      </c>
      <c r="B154">
        <v>1</v>
      </c>
      <c r="C154" s="22">
        <f t="shared" si="8"/>
        <v>0</v>
      </c>
      <c r="D154" s="22">
        <f t="shared" si="9"/>
        <v>2.8339553285370878</v>
      </c>
    </row>
    <row r="155" spans="1:4">
      <c r="A155" s="26" t="s">
        <v>147</v>
      </c>
      <c r="B155">
        <v>9</v>
      </c>
      <c r="C155" s="22">
        <f t="shared" si="8"/>
        <v>2.1972245773362196</v>
      </c>
      <c r="D155" s="22">
        <f t="shared" si="9"/>
        <v>0.2639791409477335</v>
      </c>
    </row>
    <row r="156" spans="1:4">
      <c r="A156" s="26" t="s">
        <v>106</v>
      </c>
      <c r="B156">
        <v>2</v>
      </c>
      <c r="C156" s="22">
        <f t="shared" si="8"/>
        <v>0.69314718055994529</v>
      </c>
      <c r="D156" s="22">
        <f t="shared" si="9"/>
        <v>0.98067110025753867</v>
      </c>
    </row>
    <row r="157" spans="1:4">
      <c r="A157" s="26" t="s">
        <v>122</v>
      </c>
      <c r="B157">
        <v>6</v>
      </c>
      <c r="C157" s="22">
        <f t="shared" si="8"/>
        <v>1.791759469228055</v>
      </c>
      <c r="D157" s="22">
        <f t="shared" si="9"/>
        <v>1.1734066487897417E-2</v>
      </c>
    </row>
    <row r="158" spans="1:4">
      <c r="A158" s="26" t="s">
        <v>123</v>
      </c>
      <c r="B158">
        <v>6</v>
      </c>
      <c r="C158" s="22">
        <f t="shared" si="8"/>
        <v>1.791759469228055</v>
      </c>
      <c r="D158" s="22">
        <f t="shared" si="9"/>
        <v>1.1734066487897417E-2</v>
      </c>
    </row>
    <row r="159" spans="1:4">
      <c r="A159" s="26" t="s">
        <v>108</v>
      </c>
      <c r="B159">
        <v>14</v>
      </c>
      <c r="C159" s="22">
        <f t="shared" si="8"/>
        <v>2.6390573296152584</v>
      </c>
      <c r="D159" s="22">
        <f t="shared" si="9"/>
        <v>0.91321294166236278</v>
      </c>
    </row>
    <row r="160" spans="1:4">
      <c r="A160" s="26" t="s">
        <v>109</v>
      </c>
      <c r="B160">
        <v>6</v>
      </c>
      <c r="C160" s="22">
        <f t="shared" si="8"/>
        <v>1.791759469228055</v>
      </c>
      <c r="D160" s="22">
        <f t="shared" si="9"/>
        <v>1.1734066487897417E-2</v>
      </c>
    </row>
    <row r="161" spans="1:4">
      <c r="A161" s="26" t="s">
        <v>110</v>
      </c>
      <c r="B161">
        <v>11</v>
      </c>
      <c r="C161" s="22">
        <f t="shared" si="8"/>
        <v>2.3978952727983707</v>
      </c>
      <c r="D161" s="22">
        <f t="shared" si="9"/>
        <v>0.51045266259555355</v>
      </c>
    </row>
    <row r="162" spans="1:4">
      <c r="A162" s="26" t="s">
        <v>111</v>
      </c>
      <c r="B162">
        <f>12+18</f>
        <v>30</v>
      </c>
      <c r="C162" s="22">
        <f t="shared" si="8"/>
        <v>3.4011973816621555</v>
      </c>
      <c r="D162" s="22">
        <f t="shared" si="9"/>
        <v>2.950705631201088</v>
      </c>
    </row>
    <row r="163" spans="1:4">
      <c r="A163" s="26" t="s">
        <v>112</v>
      </c>
      <c r="B163">
        <v>25</v>
      </c>
      <c r="C163" s="22">
        <f t="shared" si="8"/>
        <v>3.2188758248682006</v>
      </c>
      <c r="D163" s="22">
        <f t="shared" si="9"/>
        <v>2.3575767669702077</v>
      </c>
    </row>
    <row r="164" spans="1:4">
      <c r="A164" s="26" t="s">
        <v>135</v>
      </c>
      <c r="B164">
        <f>78+23</f>
        <v>101</v>
      </c>
      <c r="C164" s="22">
        <f t="shared" si="8"/>
        <v>4.6151205168412597</v>
      </c>
      <c r="D164" s="22">
        <f t="shared" si="9"/>
        <v>8.5947766097796556</v>
      </c>
    </row>
    <row r="165" spans="1:4">
      <c r="A165" s="64" t="s">
        <v>118</v>
      </c>
      <c r="B165">
        <v>5</v>
      </c>
      <c r="C165" s="22">
        <f t="shared" si="8"/>
        <v>1.6094379124341003</v>
      </c>
      <c r="D165" s="22">
        <f t="shared" si="9"/>
        <v>5.4756537734129227E-3</v>
      </c>
    </row>
    <row r="166" spans="1:4">
      <c r="A166" s="26" t="s">
        <v>119</v>
      </c>
      <c r="B166">
        <v>1</v>
      </c>
      <c r="C166" s="22">
        <f t="shared" si="8"/>
        <v>0</v>
      </c>
      <c r="D166" s="22">
        <f t="shared" si="9"/>
        <v>2.8339553285370878</v>
      </c>
    </row>
    <row r="167" spans="1:4">
      <c r="A167" s="64" t="s">
        <v>134</v>
      </c>
      <c r="B167">
        <v>8</v>
      </c>
      <c r="C167" s="22">
        <f t="shared" si="8"/>
        <v>2.0794415416798357</v>
      </c>
      <c r="D167" s="22">
        <f t="shared" si="9"/>
        <v>0.15682072720764889</v>
      </c>
    </row>
    <row r="168" spans="1:4">
      <c r="A168" s="26" t="s">
        <v>119</v>
      </c>
      <c r="B168">
        <v>1</v>
      </c>
      <c r="C168" s="22">
        <f t="shared" si="8"/>
        <v>0</v>
      </c>
      <c r="D168" s="22">
        <f t="shared" si="9"/>
        <v>2.8339553285370878</v>
      </c>
    </row>
    <row r="169" spans="1:4">
      <c r="A169" s="64" t="s">
        <v>114</v>
      </c>
      <c r="B169">
        <v>4</v>
      </c>
      <c r="C169" s="22">
        <f t="shared" si="8"/>
        <v>1.3862943611198906</v>
      </c>
      <c r="D169" s="22">
        <f t="shared" si="9"/>
        <v>8.8292899814392437E-2</v>
      </c>
    </row>
    <row r="170" spans="1:4">
      <c r="A170" s="26" t="s">
        <v>115</v>
      </c>
      <c r="B170">
        <v>7</v>
      </c>
      <c r="C170" s="22">
        <f t="shared" si="8"/>
        <v>1.9459101490553132</v>
      </c>
      <c r="D170" s="22">
        <f t="shared" si="9"/>
        <v>6.8892903060565516E-2</v>
      </c>
    </row>
    <row r="171" spans="1:4">
      <c r="A171" s="64" t="s">
        <v>116</v>
      </c>
      <c r="B171">
        <v>4</v>
      </c>
      <c r="C171" s="22">
        <f t="shared" si="8"/>
        <v>1.3862943611198906</v>
      </c>
      <c r="D171" s="22">
        <f t="shared" si="9"/>
        <v>8.8292899814392437E-2</v>
      </c>
    </row>
    <row r="172" spans="1:4">
      <c r="A172" s="26" t="s">
        <v>148</v>
      </c>
      <c r="B172">
        <v>6</v>
      </c>
      <c r="C172" s="22">
        <f t="shared" si="8"/>
        <v>1.791759469228055</v>
      </c>
      <c r="D172" s="22">
        <f t="shared" si="9"/>
        <v>1.1734066487897417E-2</v>
      </c>
    </row>
    <row r="173" spans="1:4">
      <c r="A173" s="26" t="s">
        <v>149</v>
      </c>
      <c r="B173">
        <v>3</v>
      </c>
      <c r="C173" s="22">
        <f t="shared" si="8"/>
        <v>1.0986122886681098</v>
      </c>
      <c r="D173" s="22">
        <f t="shared" si="9"/>
        <v>0.34201827392982842</v>
      </c>
    </row>
    <row r="174" spans="1:4">
      <c r="A174" s="64" t="s">
        <v>160</v>
      </c>
      <c r="B174">
        <v>20</v>
      </c>
      <c r="C174" s="22">
        <f t="shared" si="8"/>
        <v>2.9957322735539909</v>
      </c>
      <c r="D174" s="22">
        <f t="shared" si="9"/>
        <v>1.7221226302106405</v>
      </c>
    </row>
    <row r="175" spans="1:4">
      <c r="A175" t="s">
        <v>161</v>
      </c>
      <c r="B175">
        <v>7</v>
      </c>
      <c r="C175" s="22">
        <f t="shared" si="8"/>
        <v>1.9459101490553132</v>
      </c>
      <c r="D175" s="22">
        <f t="shared" si="9"/>
        <v>6.8892903060565516E-2</v>
      </c>
    </row>
    <row r="176" spans="1:4">
      <c r="A176" t="s">
        <v>162</v>
      </c>
      <c r="B176">
        <v>1</v>
      </c>
      <c r="C176" s="22">
        <f t="shared" si="8"/>
        <v>0</v>
      </c>
      <c r="D176" s="22">
        <f t="shared" si="9"/>
        <v>2.8339553285370878</v>
      </c>
    </row>
    <row r="177" spans="1:4">
      <c r="A177" t="s">
        <v>163</v>
      </c>
      <c r="B177">
        <v>1</v>
      </c>
      <c r="C177" s="22">
        <f t="shared" si="8"/>
        <v>0</v>
      </c>
      <c r="D177" s="22">
        <f t="shared" si="9"/>
        <v>2.8339553285370878</v>
      </c>
    </row>
    <row r="178" spans="1:4">
      <c r="A178" t="s">
        <v>164</v>
      </c>
      <c r="B178">
        <v>47</v>
      </c>
      <c r="C178" s="22">
        <f t="shared" si="8"/>
        <v>3.8501476017100584</v>
      </c>
      <c r="D178" s="22">
        <f t="shared" si="9"/>
        <v>4.6946410152342644</v>
      </c>
    </row>
    <row r="179" spans="1:4">
      <c r="A179" t="s">
        <v>165</v>
      </c>
      <c r="B179">
        <v>7</v>
      </c>
      <c r="C179" s="22">
        <f t="shared" si="8"/>
        <v>1.9459101490553132</v>
      </c>
      <c r="D179" s="22">
        <f t="shared" si="9"/>
        <v>6.8892903060565516E-2</v>
      </c>
    </row>
    <row r="180" spans="1:4">
      <c r="A180" t="s">
        <v>166</v>
      </c>
      <c r="B180">
        <v>1</v>
      </c>
      <c r="C180" s="22">
        <f t="shared" si="8"/>
        <v>0</v>
      </c>
      <c r="D180" s="22">
        <f t="shared" si="9"/>
        <v>2.8339553285370878</v>
      </c>
    </row>
    <row r="181" spans="1:4">
      <c r="A181" s="26" t="s">
        <v>167</v>
      </c>
      <c r="B181">
        <v>1</v>
      </c>
      <c r="C181" s="22">
        <f t="shared" si="8"/>
        <v>0</v>
      </c>
      <c r="D181" s="22">
        <f t="shared" si="9"/>
        <v>2.8339553285370878</v>
      </c>
    </row>
    <row r="182" spans="1:4">
      <c r="A182" s="26" t="s">
        <v>168</v>
      </c>
      <c r="B182">
        <v>1</v>
      </c>
      <c r="C182" s="22">
        <f t="shared" si="8"/>
        <v>0</v>
      </c>
      <c r="D182" s="22">
        <f t="shared" si="9"/>
        <v>2.8339553285370878</v>
      </c>
    </row>
  </sheetData>
  <phoneticPr fontId="8" type="noConversion"/>
  <pageMargins left="0.75" right="0.75" top="1" bottom="1" header="0.5" footer="0.5"/>
  <pageSetup orientation="portrait" horizont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C11" sqref="C11"/>
    </sheetView>
  </sheetViews>
  <sheetFormatPr defaultRowHeight="12.75"/>
  <cols>
    <col min="1" max="1" width="15.140625" customWidth="1"/>
    <col min="2" max="2" width="11.7109375" customWidth="1"/>
    <col min="3" max="3" width="14.140625" customWidth="1"/>
    <col min="4" max="4" width="10.42578125" customWidth="1"/>
    <col min="6" max="6" width="15.85546875" customWidth="1"/>
    <col min="7" max="7" width="11.5703125" customWidth="1"/>
  </cols>
  <sheetData>
    <row r="1" spans="1:8" ht="20.25">
      <c r="A1" s="3" t="s">
        <v>9</v>
      </c>
    </row>
    <row r="2" spans="1:8" ht="15.75">
      <c r="A2" s="4" t="s">
        <v>29</v>
      </c>
      <c r="B2" s="1"/>
    </row>
    <row r="3" spans="1:8" s="1" customFormat="1" ht="37.5" customHeight="1">
      <c r="A3" s="2" t="s">
        <v>0</v>
      </c>
      <c r="B3" s="2" t="s">
        <v>27</v>
      </c>
      <c r="C3" s="2" t="s">
        <v>1</v>
      </c>
      <c r="D3" s="1" t="s">
        <v>2</v>
      </c>
      <c r="E3" s="1" t="s">
        <v>26</v>
      </c>
      <c r="F3" s="10" t="s">
        <v>14</v>
      </c>
      <c r="G3" s="1" t="s">
        <v>19</v>
      </c>
      <c r="H3" s="1" t="s">
        <v>25</v>
      </c>
    </row>
    <row r="4" spans="1:8">
      <c r="B4" s="5"/>
      <c r="C4" s="5"/>
      <c r="D4">
        <f t="shared" ref="D4:D10" si="0">B4*C4</f>
        <v>0</v>
      </c>
      <c r="E4">
        <f t="shared" ref="E4:E10" si="1">B4^2</f>
        <v>0</v>
      </c>
      <c r="F4" s="22">
        <f t="shared" ref="F4:F10" si="2">(C4-C$20-(B$20*B4))^2</f>
        <v>0</v>
      </c>
      <c r="G4">
        <f t="shared" ref="G4:G10" si="3">(B4-B$15)^2</f>
        <v>2040.0277777777776</v>
      </c>
      <c r="H4">
        <f t="shared" ref="H4:H10" si="4">C4^2</f>
        <v>0</v>
      </c>
    </row>
    <row r="5" spans="1:8">
      <c r="A5" t="s">
        <v>98</v>
      </c>
      <c r="B5" s="5">
        <v>60</v>
      </c>
      <c r="C5" s="5">
        <v>92</v>
      </c>
      <c r="D5">
        <f t="shared" si="0"/>
        <v>5520</v>
      </c>
      <c r="E5">
        <f t="shared" si="1"/>
        <v>3600</v>
      </c>
      <c r="F5" s="22">
        <f t="shared" si="2"/>
        <v>26.993967947059552</v>
      </c>
      <c r="G5">
        <f t="shared" si="3"/>
        <v>220.02777777777786</v>
      </c>
      <c r="H5">
        <f t="shared" si="4"/>
        <v>8464</v>
      </c>
    </row>
    <row r="6" spans="1:8">
      <c r="A6" t="s">
        <v>99</v>
      </c>
      <c r="B6" s="5">
        <v>70</v>
      </c>
      <c r="C6" s="5">
        <v>81</v>
      </c>
      <c r="D6">
        <f t="shared" si="0"/>
        <v>5670</v>
      </c>
      <c r="E6">
        <f t="shared" si="1"/>
        <v>4900</v>
      </c>
      <c r="F6" s="22">
        <f t="shared" si="2"/>
        <v>1049.4252665404881</v>
      </c>
      <c r="G6">
        <f t="shared" si="3"/>
        <v>616.69444444444457</v>
      </c>
      <c r="H6">
        <f t="shared" si="4"/>
        <v>6561</v>
      </c>
    </row>
    <row r="7" spans="1:8">
      <c r="A7" t="s">
        <v>100</v>
      </c>
      <c r="B7" s="5">
        <v>5</v>
      </c>
      <c r="C7" s="5">
        <v>4</v>
      </c>
      <c r="D7">
        <f t="shared" si="0"/>
        <v>20</v>
      </c>
      <c r="E7">
        <f t="shared" si="1"/>
        <v>25</v>
      </c>
      <c r="F7" s="22">
        <f t="shared" si="2"/>
        <v>16.806974305905428</v>
      </c>
      <c r="G7">
        <f t="shared" si="3"/>
        <v>1613.3611111111109</v>
      </c>
      <c r="H7">
        <f t="shared" si="4"/>
        <v>16</v>
      </c>
    </row>
    <row r="8" spans="1:8">
      <c r="A8" s="26" t="s">
        <v>138</v>
      </c>
      <c r="B8" s="5">
        <v>53</v>
      </c>
      <c r="C8" s="5">
        <v>43</v>
      </c>
      <c r="D8">
        <f t="shared" si="0"/>
        <v>2279</v>
      </c>
      <c r="E8">
        <f t="shared" si="1"/>
        <v>2809</v>
      </c>
      <c r="F8" s="22">
        <f t="shared" si="2"/>
        <v>1836.6443267384705</v>
      </c>
      <c r="G8">
        <f t="shared" si="3"/>
        <v>61.36111111111115</v>
      </c>
      <c r="H8">
        <f t="shared" si="4"/>
        <v>1849</v>
      </c>
    </row>
    <row r="9" spans="1:8">
      <c r="A9" s="26" t="s">
        <v>141</v>
      </c>
      <c r="B9" s="5">
        <v>39</v>
      </c>
      <c r="C9" s="5">
        <v>57</v>
      </c>
      <c r="D9">
        <f t="shared" si="0"/>
        <v>2223</v>
      </c>
      <c r="E9">
        <f t="shared" si="1"/>
        <v>1521</v>
      </c>
      <c r="F9" s="22">
        <f t="shared" si="2"/>
        <v>38.156833376451857</v>
      </c>
      <c r="G9">
        <f t="shared" si="3"/>
        <v>38.02777777777775</v>
      </c>
      <c r="H9">
        <f t="shared" si="4"/>
        <v>3249</v>
      </c>
    </row>
    <row r="10" spans="1:8">
      <c r="A10" s="26" t="s">
        <v>140</v>
      </c>
      <c r="B10" s="5">
        <v>44</v>
      </c>
      <c r="C10" s="5">
        <v>162</v>
      </c>
      <c r="D10">
        <f t="shared" si="0"/>
        <v>7128</v>
      </c>
      <c r="E10">
        <f t="shared" si="1"/>
        <v>1936</v>
      </c>
      <c r="F10" s="22">
        <f t="shared" si="2"/>
        <v>8230.7075884042952</v>
      </c>
      <c r="G10">
        <f t="shared" si="3"/>
        <v>1.3611111111111056</v>
      </c>
      <c r="H10">
        <f t="shared" si="4"/>
        <v>26244</v>
      </c>
    </row>
    <row r="11" spans="1:8">
      <c r="B11" s="5"/>
      <c r="C11" s="5"/>
    </row>
    <row r="12" spans="1:8">
      <c r="B12" s="5"/>
      <c r="C12" s="5"/>
    </row>
    <row r="13" spans="1:8">
      <c r="B13" s="5"/>
      <c r="C13" s="5"/>
    </row>
    <row r="14" spans="1:8">
      <c r="A14" t="s">
        <v>3</v>
      </c>
      <c r="B14">
        <f>SUM(B4:B10)</f>
        <v>271</v>
      </c>
      <c r="C14">
        <f>SUM(C4:C10)</f>
        <v>439</v>
      </c>
      <c r="D14">
        <f>SUM(D4:D10)</f>
        <v>22840</v>
      </c>
      <c r="E14">
        <f>SUM(E4:E10)</f>
        <v>14791</v>
      </c>
      <c r="F14" s="18">
        <f>SUM(F4:F10)</f>
        <v>11198.73495731267</v>
      </c>
      <c r="G14" s="18">
        <f>SUM(G4:G10)</f>
        <v>4590.8611111111113</v>
      </c>
      <c r="H14">
        <f>SUM(H4:H10)</f>
        <v>46383</v>
      </c>
    </row>
    <row r="15" spans="1:8">
      <c r="A15" t="s">
        <v>4</v>
      </c>
      <c r="B15" s="11">
        <f>AVERAGE(B4:B10)</f>
        <v>45.166666666666664</v>
      </c>
      <c r="C15" s="11">
        <f>AVERAGE(C4:C10)</f>
        <v>73.166666666666671</v>
      </c>
    </row>
    <row r="16" spans="1:8">
      <c r="A16" t="s">
        <v>5</v>
      </c>
      <c r="B16" s="6">
        <f>COUNTA(B4:B13)</f>
        <v>6</v>
      </c>
    </row>
    <row r="18" spans="1:6">
      <c r="B18" t="s">
        <v>10</v>
      </c>
    </row>
    <row r="19" spans="1:6">
      <c r="A19" t="s">
        <v>6</v>
      </c>
      <c r="B19" s="19" t="s">
        <v>7</v>
      </c>
      <c r="C19" s="19" t="s">
        <v>8</v>
      </c>
      <c r="D19" s="19" t="s">
        <v>24</v>
      </c>
    </row>
    <row r="20" spans="1:6">
      <c r="B20" s="20">
        <f>IF(D20&lt;0.5,YSum/XSum,(D14-B16*B15*C15)/(E14-B16*B15*B15))</f>
        <v>1.6199261992619927</v>
      </c>
      <c r="C20" s="20">
        <f>IF(D20&lt;0.5,0,C15-B20*B15)</f>
        <v>0</v>
      </c>
      <c r="D20" s="93">
        <f>((n*XiYiSum-(XSum * YSum))/SQRT((n*Xi2Sum-(XSum)^2)*(n*Yi2Sum-(YSum)^2)))^2</f>
        <v>0.24932968029155447</v>
      </c>
      <c r="F20" s="64" t="s">
        <v>85</v>
      </c>
    </row>
    <row r="21" spans="1:6">
      <c r="B21" t="s">
        <v>89</v>
      </c>
    </row>
    <row r="22" spans="1:6">
      <c r="A22" s="7" t="s">
        <v>11</v>
      </c>
    </row>
    <row r="23" spans="1:6">
      <c r="A23" s="8" t="s">
        <v>12</v>
      </c>
      <c r="B23" s="68">
        <f>'C39'!G39</f>
        <v>53</v>
      </c>
    </row>
    <row r="24" spans="1:6">
      <c r="A24" s="8" t="s">
        <v>13</v>
      </c>
      <c r="B24" s="9">
        <f>B23*B20+C20</f>
        <v>85.85608856088561</v>
      </c>
      <c r="C24" t="s">
        <v>92</v>
      </c>
    </row>
    <row r="25" spans="1:6">
      <c r="A25" s="8" t="s">
        <v>15</v>
      </c>
      <c r="B25" s="12">
        <f>(1/(B16-2))*F14</f>
        <v>2799.6837393281676</v>
      </c>
    </row>
    <row r="26" spans="1:6">
      <c r="A26" s="8" t="s">
        <v>16</v>
      </c>
      <c r="B26" s="13">
        <f>SQRT(B25)</f>
        <v>52.912037754448349</v>
      </c>
    </row>
    <row r="27" spans="1:6">
      <c r="A27" s="14" t="s">
        <v>17</v>
      </c>
      <c r="B27" s="17">
        <f>TINV(1-pi_pct,n-2)</f>
        <v>1.1895668526093557</v>
      </c>
      <c r="D27" s="16"/>
    </row>
    <row r="28" spans="1:6">
      <c r="A28" s="8" t="s">
        <v>18</v>
      </c>
      <c r="B28" s="12">
        <f>SQRT((1+(1/B16)+((B23-B15)^2/G14))) * B26*B27</f>
        <v>68.373898494607062</v>
      </c>
      <c r="C28" t="s">
        <v>93</v>
      </c>
    </row>
    <row r="29" spans="1:6" ht="38.25">
      <c r="A29" s="8" t="s">
        <v>20</v>
      </c>
      <c r="B29" s="9">
        <f>B24+B28</f>
        <v>154.22998705549267</v>
      </c>
      <c r="C29" t="s">
        <v>93</v>
      </c>
    </row>
    <row r="30" spans="1:6" ht="38.25">
      <c r="A30" s="8" t="s">
        <v>21</v>
      </c>
      <c r="B30" s="9">
        <f>B24-B28</f>
        <v>17.482190066278548</v>
      </c>
      <c r="C30" t="s">
        <v>93</v>
      </c>
    </row>
    <row r="31" spans="1:6" ht="32.25" customHeight="1">
      <c r="A31" s="8" t="s">
        <v>22</v>
      </c>
      <c r="B31" s="15">
        <v>0.7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A5" sqref="A5"/>
    </sheetView>
  </sheetViews>
  <sheetFormatPr defaultRowHeight="12.75"/>
  <cols>
    <col min="1" max="1" width="15.140625" customWidth="1"/>
    <col min="2" max="2" width="11.7109375" customWidth="1"/>
    <col min="3" max="3" width="14.140625" customWidth="1"/>
    <col min="4" max="4" width="14.28515625" customWidth="1"/>
    <col min="6" max="6" width="15.85546875" customWidth="1"/>
    <col min="7" max="7" width="11.5703125" customWidth="1"/>
  </cols>
  <sheetData>
    <row r="1" spans="1:8" ht="20.25">
      <c r="A1" s="3" t="s">
        <v>9</v>
      </c>
    </row>
    <row r="2" spans="1:8" ht="15.75">
      <c r="A2" s="4" t="s">
        <v>29</v>
      </c>
      <c r="B2" s="1"/>
    </row>
    <row r="3" spans="1:8" s="1" customFormat="1" ht="37.5" customHeight="1">
      <c r="A3" s="2" t="s">
        <v>0</v>
      </c>
      <c r="B3" s="2" t="s">
        <v>27</v>
      </c>
      <c r="C3" s="2" t="s">
        <v>28</v>
      </c>
      <c r="D3" s="1" t="s">
        <v>2</v>
      </c>
      <c r="E3" s="1" t="s">
        <v>26</v>
      </c>
      <c r="F3" s="10" t="s">
        <v>14</v>
      </c>
      <c r="G3" s="1" t="s">
        <v>19</v>
      </c>
      <c r="H3" s="1" t="s">
        <v>25</v>
      </c>
    </row>
    <row r="4" spans="1:8">
      <c r="B4" s="5"/>
      <c r="C4" s="5"/>
      <c r="D4">
        <f t="shared" ref="D4:D13" si="0">B4*C4</f>
        <v>0</v>
      </c>
      <c r="E4">
        <f t="shared" ref="E4:E13" si="1">B4^2</f>
        <v>0</v>
      </c>
      <c r="F4" s="22">
        <f>(C4-C20-(B20*B4))^2</f>
        <v>241.8741338573499</v>
      </c>
      <c r="G4">
        <f>(B4-B15)^2</f>
        <v>2040.0277777777776</v>
      </c>
      <c r="H4">
        <f t="shared" ref="H4:H13" si="2">C4^2</f>
        <v>0</v>
      </c>
    </row>
    <row r="5" spans="1:8">
      <c r="A5" t="s">
        <v>98</v>
      </c>
      <c r="B5" s="5">
        <v>60</v>
      </c>
      <c r="C5" s="5">
        <v>406</v>
      </c>
      <c r="D5">
        <f t="shared" si="0"/>
        <v>24360</v>
      </c>
      <c r="E5">
        <f t="shared" si="1"/>
        <v>3600</v>
      </c>
      <c r="F5" s="22">
        <f>(C5-C20-(B20*B5))^2</f>
        <v>1747.966557057566</v>
      </c>
      <c r="G5">
        <f>(B5-B15)^2</f>
        <v>220.02777777777786</v>
      </c>
      <c r="H5">
        <f t="shared" si="2"/>
        <v>164836</v>
      </c>
    </row>
    <row r="6" spans="1:8">
      <c r="A6" t="s">
        <v>99</v>
      </c>
      <c r="B6" s="5">
        <v>70</v>
      </c>
      <c r="C6" s="5">
        <v>560</v>
      </c>
      <c r="D6">
        <f t="shared" si="0"/>
        <v>39200</v>
      </c>
      <c r="E6">
        <f t="shared" si="1"/>
        <v>4900</v>
      </c>
      <c r="F6" s="22">
        <f>(C6-C20-(B20*B6))^2</f>
        <v>18961.89280779651</v>
      </c>
      <c r="G6">
        <f>(B6-B15)^2</f>
        <v>616.69444444444457</v>
      </c>
      <c r="H6">
        <f t="shared" si="2"/>
        <v>313600</v>
      </c>
    </row>
    <row r="7" spans="1:8">
      <c r="A7" t="s">
        <v>100</v>
      </c>
      <c r="B7" s="5">
        <v>5</v>
      </c>
      <c r="C7" s="5">
        <v>132</v>
      </c>
      <c r="D7">
        <f t="shared" si="0"/>
        <v>660</v>
      </c>
      <c r="E7">
        <f t="shared" si="1"/>
        <v>25</v>
      </c>
      <c r="F7" s="22">
        <f>IF(B7&gt;0, (C7-C20-(B20*B7))^2,0)</f>
        <v>7637.7892369858055</v>
      </c>
      <c r="G7">
        <f>IF(B7&gt;0, (B7-B15)^2, 0)</f>
        <v>1613.3611111111109</v>
      </c>
      <c r="H7">
        <f t="shared" si="2"/>
        <v>17424</v>
      </c>
    </row>
    <row r="8" spans="1:8">
      <c r="A8" s="26" t="s">
        <v>138</v>
      </c>
      <c r="B8" s="5">
        <v>53</v>
      </c>
      <c r="C8" s="5">
        <v>195</v>
      </c>
      <c r="D8">
        <f t="shared" si="0"/>
        <v>10335</v>
      </c>
      <c r="E8">
        <f t="shared" si="1"/>
        <v>2809</v>
      </c>
      <c r="F8" s="22">
        <f>IF(B8&gt;0, (C8-C20-(B20*B8))^2, 0)</f>
        <v>16516.557402727358</v>
      </c>
      <c r="G8">
        <f>IF(B8&gt;0, (B8-B15)^2, 0)</f>
        <v>61.36111111111115</v>
      </c>
      <c r="H8">
        <f t="shared" si="2"/>
        <v>38025</v>
      </c>
    </row>
    <row r="9" spans="1:8">
      <c r="A9" s="26" t="s">
        <v>141</v>
      </c>
      <c r="B9" s="5">
        <v>39</v>
      </c>
      <c r="C9" s="5">
        <v>179</v>
      </c>
      <c r="D9">
        <f t="shared" si="0"/>
        <v>6981</v>
      </c>
      <c r="E9">
        <f t="shared" si="1"/>
        <v>1521</v>
      </c>
      <c r="F9" s="22">
        <f>IF(B9&gt;0, (C9-C20-(B20*B9))^2, 0)</f>
        <v>3990.1529702367902</v>
      </c>
      <c r="G9">
        <f>IF(B9&gt;0, (B9-B15)^2, 0)</f>
        <v>38.02777777777775</v>
      </c>
      <c r="H9">
        <f t="shared" si="2"/>
        <v>32041</v>
      </c>
    </row>
    <row r="10" spans="1:8">
      <c r="A10" s="26" t="s">
        <v>140</v>
      </c>
      <c r="B10" s="5">
        <v>44</v>
      </c>
      <c r="C10" s="5">
        <v>196</v>
      </c>
      <c r="D10">
        <f t="shared" si="0"/>
        <v>8624</v>
      </c>
      <c r="E10">
        <f t="shared" si="1"/>
        <v>1936</v>
      </c>
      <c r="F10">
        <f>IF(B10&gt;0, (C10-C20-(B20*B10))^2, 0)</f>
        <v>5658.1850304230011</v>
      </c>
      <c r="G10">
        <f>IF(B10&gt;0, (B10-B15)^2, 0)</f>
        <v>1.3611111111111056</v>
      </c>
      <c r="H10">
        <f t="shared" si="2"/>
        <v>38416</v>
      </c>
    </row>
    <row r="11" spans="1:8">
      <c r="B11" s="5"/>
      <c r="C11" s="5"/>
      <c r="D11">
        <f t="shared" si="0"/>
        <v>0</v>
      </c>
      <c r="E11">
        <f t="shared" si="1"/>
        <v>0</v>
      </c>
      <c r="F11">
        <f>IF(B11&gt;0, (C11-C20-(B20*B11))^2, 0)</f>
        <v>0</v>
      </c>
      <c r="G11">
        <f>IF(B11&gt;0, (B11-B15)^2, 0)</f>
        <v>0</v>
      </c>
      <c r="H11">
        <f t="shared" si="2"/>
        <v>0</v>
      </c>
    </row>
    <row r="12" spans="1:8">
      <c r="B12" s="5"/>
      <c r="C12" s="5"/>
      <c r="D12">
        <f t="shared" si="0"/>
        <v>0</v>
      </c>
      <c r="E12">
        <f t="shared" si="1"/>
        <v>0</v>
      </c>
      <c r="F12">
        <f>IF(B12&gt;0, (C12-C20-(B20*B12))^2, 0)</f>
        <v>0</v>
      </c>
      <c r="G12">
        <f>IF(B12&gt;0, (B12-B15)^2, 0)</f>
        <v>0</v>
      </c>
      <c r="H12">
        <f t="shared" si="2"/>
        <v>0</v>
      </c>
    </row>
    <row r="13" spans="1:8">
      <c r="B13" s="5"/>
      <c r="C13" s="5"/>
      <c r="D13">
        <f t="shared" si="0"/>
        <v>0</v>
      </c>
      <c r="E13">
        <f t="shared" si="1"/>
        <v>0</v>
      </c>
      <c r="F13">
        <f>IF(B13&gt;0, (C13-C20-(B20*B13))^2, 0)</f>
        <v>0</v>
      </c>
      <c r="G13">
        <f>IF(B13&gt;0, (B13-B15)^2, 0)</f>
        <v>0</v>
      </c>
      <c r="H13">
        <f t="shared" si="2"/>
        <v>0</v>
      </c>
    </row>
    <row r="14" spans="1:8">
      <c r="A14" t="s">
        <v>3</v>
      </c>
      <c r="B14">
        <f t="shared" ref="B14:H14" si="3">SUM(B4:B13)</f>
        <v>271</v>
      </c>
      <c r="C14">
        <f t="shared" si="3"/>
        <v>1668</v>
      </c>
      <c r="D14" s="6">
        <f t="shared" si="3"/>
        <v>90160</v>
      </c>
      <c r="E14" s="6">
        <f t="shared" si="3"/>
        <v>14791</v>
      </c>
      <c r="F14" s="21">
        <f t="shared" si="3"/>
        <v>54754.418139084381</v>
      </c>
      <c r="G14" s="21">
        <f t="shared" si="3"/>
        <v>4590.8611111111113</v>
      </c>
      <c r="H14" s="6">
        <f t="shared" si="3"/>
        <v>604342</v>
      </c>
    </row>
    <row r="15" spans="1:8">
      <c r="A15" t="s">
        <v>4</v>
      </c>
      <c r="B15" s="6">
        <f>AVERAGE(B4:B13)</f>
        <v>45.166666666666664</v>
      </c>
      <c r="C15" s="6">
        <f>AVERAGE(C4:C13)</f>
        <v>278</v>
      </c>
    </row>
    <row r="16" spans="1:8">
      <c r="A16" t="s">
        <v>5</v>
      </c>
      <c r="B16" s="6">
        <f>COUNTA(B4:B13)</f>
        <v>6</v>
      </c>
    </row>
    <row r="18" spans="1:6">
      <c r="B18" t="s">
        <v>10</v>
      </c>
    </row>
    <row r="19" spans="1:6">
      <c r="A19" t="s">
        <v>6</v>
      </c>
      <c r="B19" s="19" t="s">
        <v>7</v>
      </c>
      <c r="C19" s="19" t="s">
        <v>8</v>
      </c>
      <c r="D19" s="19" t="s">
        <v>24</v>
      </c>
    </row>
    <row r="20" spans="1:6">
      <c r="B20" s="20">
        <f>IF(D20&lt;0.5,YSum/XSum,(D14-B16*B15*C15)/(E14-B16*B15*B15))</f>
        <v>5.8106501143417173</v>
      </c>
      <c r="C20" s="20">
        <f>IF(D20&lt;0.5,0,C15-B20*B15)</f>
        <v>15.55230316889913</v>
      </c>
      <c r="D20" s="20">
        <f>((n*XiYiSum-(XSum * YSum))/SQRT((n*Xi2Sum-(XSum)^2)*(n*Yi2Sum-(YSum)^2)))^2</f>
        <v>0.61239107492123723</v>
      </c>
      <c r="F20" s="64" t="s">
        <v>85</v>
      </c>
    </row>
    <row r="21" spans="1:6">
      <c r="B21" t="s">
        <v>90</v>
      </c>
    </row>
    <row r="22" spans="1:6">
      <c r="A22" s="7" t="s">
        <v>11</v>
      </c>
    </row>
    <row r="23" spans="1:6">
      <c r="A23" s="8" t="s">
        <v>12</v>
      </c>
      <c r="B23" s="68">
        <f>'C39'!G39</f>
        <v>53</v>
      </c>
    </row>
    <row r="24" spans="1:6">
      <c r="A24" s="8" t="s">
        <v>23</v>
      </c>
      <c r="B24" s="90">
        <f>B23*B20+C20</f>
        <v>323.51675922901012</v>
      </c>
      <c r="C24" t="s">
        <v>91</v>
      </c>
    </row>
    <row r="25" spans="1:6">
      <c r="A25" s="8" t="s">
        <v>15</v>
      </c>
      <c r="B25" s="69">
        <f>(1/(B16-2))*F14</f>
        <v>13688.604534771095</v>
      </c>
    </row>
    <row r="26" spans="1:6">
      <c r="A26" s="8" t="s">
        <v>16</v>
      </c>
      <c r="B26" s="69">
        <f>SQRT(B25)</f>
        <v>116.9983099654482</v>
      </c>
    </row>
    <row r="27" spans="1:6">
      <c r="A27" s="14" t="s">
        <v>17</v>
      </c>
      <c r="B27" s="70">
        <f>TINV(1-pi_pct,n-2)</f>
        <v>1.1895668526093557</v>
      </c>
      <c r="D27" s="16"/>
    </row>
    <row r="28" spans="1:6">
      <c r="A28" s="8" t="s">
        <v>18</v>
      </c>
      <c r="B28" s="69">
        <f>SQRT((1+(1/B16)+((B23-B15)^2/G14))) * B26*B27</f>
        <v>151.18734619034009</v>
      </c>
      <c r="C28" t="s">
        <v>91</v>
      </c>
    </row>
    <row r="29" spans="1:6" ht="38.25">
      <c r="A29" s="8" t="s">
        <v>20</v>
      </c>
      <c r="B29" s="9">
        <f>B24+B28</f>
        <v>474.70410541935019</v>
      </c>
      <c r="C29" t="s">
        <v>91</v>
      </c>
    </row>
    <row r="30" spans="1:6" ht="38.25">
      <c r="A30" s="8" t="s">
        <v>21</v>
      </c>
      <c r="B30" s="9">
        <f>B24-B28</f>
        <v>172.32941303867003</v>
      </c>
      <c r="C30" t="s">
        <v>91</v>
      </c>
    </row>
    <row r="31" spans="1:6" ht="32.25" customHeight="1">
      <c r="A31" s="8" t="s">
        <v>22</v>
      </c>
      <c r="B31" s="15">
        <v>0.7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C39</vt:lpstr>
      <vt:lpstr>Proxy</vt:lpstr>
      <vt:lpstr>Size Estimate Regression</vt:lpstr>
      <vt:lpstr>Time Estimate Regression</vt:lpstr>
      <vt:lpstr>'Size Estimate Regression'!beta0</vt:lpstr>
      <vt:lpstr>'Time Estimate Regression'!beta0</vt:lpstr>
      <vt:lpstr>'Size Estimate Regression'!beta1</vt:lpstr>
      <vt:lpstr>'Time Estimate Regression'!beta1</vt:lpstr>
      <vt:lpstr>'Size Estimate Regression'!estLOC</vt:lpstr>
      <vt:lpstr>'Time Estimate Regression'!estLOC</vt:lpstr>
      <vt:lpstr>'Size Estimate Regression'!lpi</vt:lpstr>
      <vt:lpstr>'Time Estimate Regression'!lpi</vt:lpstr>
      <vt:lpstr>'Time Estimate Regression'!n</vt:lpstr>
      <vt:lpstr>n</vt:lpstr>
      <vt:lpstr>'Size Estimate Regression'!pi_pct</vt:lpstr>
      <vt:lpstr>'Time Estimate Regression'!pi_pct</vt:lpstr>
      <vt:lpstr>'Size Estimate Regression'!range</vt:lpstr>
      <vt:lpstr>'Time Estimate Regression'!range</vt:lpstr>
      <vt:lpstr>'Size Estimate Regression'!std_dev</vt:lpstr>
      <vt:lpstr>'Time Estimate Regression'!std_dev</vt:lpstr>
      <vt:lpstr>'Size Estimate Regression'!t_dist</vt:lpstr>
      <vt:lpstr>'Time Estimate Regression'!t_dist</vt:lpstr>
      <vt:lpstr>'Size Estimate Regression'!upi</vt:lpstr>
      <vt:lpstr>'Time Estimate Regression'!upi</vt:lpstr>
      <vt:lpstr>'Size Estimate Regression'!variance</vt:lpstr>
      <vt:lpstr>'Time Estimate Regression'!variance</vt:lpstr>
      <vt:lpstr>'Size Estimate Regression'!Xavg</vt:lpstr>
      <vt:lpstr>'Time Estimate Regression'!Xavg</vt:lpstr>
      <vt:lpstr>'Time Estimate Regression'!Xi2Sum</vt:lpstr>
      <vt:lpstr>Xi2Sum</vt:lpstr>
      <vt:lpstr>'Time Estimate Regression'!XiYiSum</vt:lpstr>
      <vt:lpstr>XiYiSum</vt:lpstr>
      <vt:lpstr>'Time Estimate Regression'!XSum</vt:lpstr>
      <vt:lpstr>XSum</vt:lpstr>
      <vt:lpstr>'Size Estimate Regression'!Yavg</vt:lpstr>
      <vt:lpstr>'Time Estimate Regression'!Yavg</vt:lpstr>
      <vt:lpstr>'Time Estimate Regression'!Yi2Sum</vt:lpstr>
      <vt:lpstr>Yi2Sum</vt:lpstr>
      <vt:lpstr>'Time Estimate Regression'!YSum</vt:lpstr>
      <vt:lpstr>YSum</vt:lpstr>
    </vt:vector>
  </TitlesOfParts>
  <Company>Computing Resource Center -- 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 Center</dc:creator>
  <cp:lastModifiedBy>Grog</cp:lastModifiedBy>
  <dcterms:created xsi:type="dcterms:W3CDTF">1996-10-22T17:52:24Z</dcterms:created>
  <dcterms:modified xsi:type="dcterms:W3CDTF">2010-03-13T06:18:34Z</dcterms:modified>
</cp:coreProperties>
</file>