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cynth1a/Library/Containers/com.microsoft.Excel/Data/Desktop/"/>
    </mc:Choice>
  </mc:AlternateContent>
  <xr:revisionPtr revIDLastSave="0" documentId="13_ncr:1_{1306EB3A-B22A-5843-BE9D-3CE8395E4292}" xr6:coauthVersionLast="36" xr6:coauthVersionMax="36" xr10:uidLastSave="{00000000-0000-0000-0000-000000000000}"/>
  <bookViews>
    <workbookView xWindow="0" yWindow="460" windowWidth="28040" windowHeight="17540" xr2:uid="{00000000-000D-0000-FFFF-FFFF00000000}"/>
  </bookViews>
  <sheets>
    <sheet name="Calculations" sheetId="1" r:id="rId1"/>
  </sheets>
  <calcPr calcId="181029"/>
</workbook>
</file>

<file path=xl/calcChain.xml><?xml version="1.0" encoding="utf-8"?>
<calcChain xmlns="http://schemas.openxmlformats.org/spreadsheetml/2006/main">
  <c r="F29" i="1" l="1"/>
  <c r="E29" i="1"/>
  <c r="D29" i="1"/>
  <c r="C29" i="1"/>
  <c r="B29" i="1"/>
  <c r="F27" i="1"/>
  <c r="E27" i="1"/>
  <c r="D27" i="1"/>
  <c r="C27" i="1"/>
  <c r="B27" i="1"/>
  <c r="B26" i="1"/>
  <c r="B16" i="1"/>
  <c r="B21" i="1" s="1"/>
  <c r="B15" i="1"/>
  <c r="C15" i="1" s="1"/>
  <c r="C16" i="1" s="1"/>
  <c r="B2" i="1"/>
  <c r="B1" i="1"/>
  <c r="B7" i="1" s="1"/>
  <c r="B9" i="1" l="1"/>
  <c r="B11" i="1" s="1"/>
  <c r="B12" i="1" s="1"/>
  <c r="C7" i="1"/>
  <c r="C9" i="1" s="1"/>
  <c r="C11" i="1" s="1"/>
  <c r="C12" i="1" s="1"/>
  <c r="C17" i="1"/>
  <c r="C18" i="1" s="1"/>
  <c r="C30" i="1"/>
  <c r="C22" i="1"/>
  <c r="C21" i="1"/>
  <c r="B30" i="1"/>
  <c r="B22" i="1"/>
  <c r="B23" i="1" s="1"/>
  <c r="B17" i="1"/>
  <c r="D7" i="1"/>
  <c r="D15" i="1"/>
  <c r="B18" i="1"/>
  <c r="C23" i="1" l="1"/>
  <c r="C24" i="1" s="1"/>
  <c r="D21" i="1"/>
  <c r="D9" i="1"/>
  <c r="D11" i="1" s="1"/>
  <c r="D12" i="1" s="1"/>
  <c r="E7" i="1"/>
  <c r="D16" i="1"/>
  <c r="E15" i="1"/>
  <c r="B24" i="1"/>
  <c r="E9" i="1" l="1"/>
  <c r="E11" i="1" s="1"/>
  <c r="E12" i="1" s="1"/>
  <c r="F7" i="1"/>
  <c r="F9" i="1" s="1"/>
  <c r="F11" i="1" s="1"/>
  <c r="F12" i="1" s="1"/>
  <c r="C28" i="1"/>
  <c r="C31" i="1" s="1"/>
  <c r="C33" i="1" s="1"/>
  <c r="C35" i="1" s="1"/>
  <c r="B28" i="1"/>
  <c r="B31" i="1" s="1"/>
  <c r="B35" i="1" s="1"/>
  <c r="D17" i="1"/>
  <c r="D18" i="1" s="1"/>
  <c r="D24" i="1" s="1"/>
  <c r="D22" i="1"/>
  <c r="D30" i="1"/>
  <c r="E16" i="1"/>
  <c r="F15" i="1"/>
  <c r="F16" i="1" s="1"/>
  <c r="D23" i="1"/>
  <c r="E21" i="1"/>
  <c r="D28" i="1" l="1"/>
  <c r="D31" i="1" s="1"/>
  <c r="D33" i="1" s="1"/>
  <c r="D35" i="1" s="1"/>
  <c r="F30" i="1"/>
  <c r="F17" i="1"/>
  <c r="F22" i="1"/>
  <c r="F18" i="1"/>
  <c r="F21" i="1"/>
  <c r="B33" i="1"/>
  <c r="E22" i="1"/>
  <c r="E23" i="1" s="1"/>
  <c r="E17" i="1"/>
  <c r="E18" i="1" s="1"/>
  <c r="E30" i="1"/>
  <c r="E24" i="1" l="1"/>
  <c r="F23" i="1"/>
  <c r="F24" i="1" s="1"/>
  <c r="F28" i="1" l="1"/>
  <c r="F31" i="1" s="1"/>
  <c r="F33" i="1" s="1"/>
  <c r="F35" i="1" s="1"/>
  <c r="E28" i="1"/>
  <c r="E31" i="1" s="1"/>
  <c r="E33" i="1" s="1"/>
  <c r="E35" i="1" s="1"/>
  <c r="B36" i="1" s="1"/>
</calcChain>
</file>

<file path=xl/sharedStrings.xml><?xml version="1.0" encoding="utf-8"?>
<sst xmlns="http://schemas.openxmlformats.org/spreadsheetml/2006/main" count="44" uniqueCount="42">
  <si>
    <t>Annual Growth Rate of Beer Consumption</t>
  </si>
  <si>
    <t>Annual Wholesale Price Growth rate</t>
  </si>
  <si>
    <t>Per Capita Beer Consumption of Oregon</t>
  </si>
  <si>
    <t>Year</t>
  </si>
  <si>
    <t>Assumptions</t>
  </si>
  <si>
    <t>Reference</t>
  </si>
  <si>
    <t xml:space="preserve">Per Capita Beer Consumption </t>
  </si>
  <si>
    <t>Using calculated growth rate of 1.62%</t>
  </si>
  <si>
    <t>Population</t>
  </si>
  <si>
    <t>Total Consumption</t>
  </si>
  <si>
    <t>market share</t>
  </si>
  <si>
    <t>Total Consumption for Conquistador (Consumer)</t>
  </si>
  <si>
    <t>Total Consumption for Conquistador (Retailer)</t>
  </si>
  <si>
    <t>Assume purchase intention: 81% - certainly will, 27% - maybe will, 9% - not sure, 3% - maybe will not, 1% - certainly will not.</t>
  </si>
  <si>
    <t>https://www.ipsos.com/en/ipsos-encyclopedia-purchase-intentions</t>
  </si>
  <si>
    <t xml:space="preserve">Bottle Wholesale Data </t>
  </si>
  <si>
    <t>price per pack (0.56 gallon/ pack)</t>
  </si>
  <si>
    <t>Assume Conquistador's price is 16% higher than $3.18 (highest price) because of premium brand positioning</t>
  </si>
  <si>
    <t xml:space="preserve">Price per gallon </t>
  </si>
  <si>
    <t>assume price increase with 2.7% (calculted average increase rate)</t>
  </si>
  <si>
    <t>Sales quantity (gallon)</t>
  </si>
  <si>
    <t>Revenue</t>
  </si>
  <si>
    <t xml:space="preserve">Keg Wholesale Data </t>
  </si>
  <si>
    <t>Price per gallon</t>
  </si>
  <si>
    <t>Assume annual price increase is 2.7%</t>
  </si>
  <si>
    <t>Total revenue</t>
  </si>
  <si>
    <t>Total revenue from bottle and keg beer</t>
  </si>
  <si>
    <t>Initial Investment</t>
  </si>
  <si>
    <t>Total Fixed Cost</t>
  </si>
  <si>
    <t>Total Variable Cost</t>
  </si>
  <si>
    <t>Loan Interest</t>
  </si>
  <si>
    <t>Assume interest rate for loan is 7.44%</t>
  </si>
  <si>
    <t>http://www.freddiemac.com/pmms/pmms30.html</t>
  </si>
  <si>
    <t>Tax</t>
  </si>
  <si>
    <t>Total Cost</t>
  </si>
  <si>
    <t>Net Profit</t>
  </si>
  <si>
    <t>Annual Discount Rate</t>
  </si>
  <si>
    <t>Fed Annual discount rate</t>
  </si>
  <si>
    <t>https://fred.stlouisfed.org/series/MDISCRT#0</t>
  </si>
  <si>
    <t>NPV</t>
  </si>
  <si>
    <t>Total NPV</t>
  </si>
  <si>
    <t>books.google.com/books?id=C0KUJ0F3XB4C&amp;pg=PA106&amp;lpg=PA106&amp;dq=how+much+does+price+premium+beer+brands+higher+than+average+brands+in+1999&amp;source=bl&amp;ots=2f09v4kfKf&amp;sig=ACfU3U1ghqD3uXdOUAHFhJdUS-JC-V-WTA&amp;hl=zh-CN&amp;sa=X&amp;ved=2ahUKEwi_pITUgZPnAhXuguAKHZy9DjYQ6AEwCXoECAgQAQ#v=onepage&amp;q=how much does price premium beer brands higher than average brands in 1999&amp;f=false.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</si>
</sst>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>
    <font>
      <sz val="10"/>
      <color rgb="FF000000"/>
      <name val="Arial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9"/>
      <color rgb="FF000000"/>
      <name val="Inconsolata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0" borderId="1" xfId="0" applyFont="1" applyBorder="1" applyAlignment="1"/>
    <xf numFmtId="10" fontId="2" fillId="0" borderId="2" xfId="0" applyNumberFormat="1" applyFont="1" applyBorder="1" applyAlignment="1"/>
    <xf numFmtId="0" fontId="2" fillId="0" borderId="0" xfId="0" applyFont="1" applyAlignment="1"/>
    <xf numFmtId="0" fontId="1" fillId="0" borderId="3" xfId="0" applyFont="1" applyBorder="1" applyAlignment="1"/>
    <xf numFmtId="10" fontId="2" fillId="0" borderId="4" xfId="0" applyNumberFormat="1" applyFont="1" applyBorder="1" applyAlignment="1"/>
    <xf numFmtId="0" fontId="1" fillId="0" borderId="5" xfId="0" applyFont="1" applyBorder="1" applyAlignment="1"/>
    <xf numFmtId="2" fontId="3" fillId="0" borderId="6" xfId="0" applyNumberFormat="1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3" fillId="0" borderId="3" xfId="0" applyFont="1" applyBorder="1" applyAlignment="1"/>
    <xf numFmtId="2" fontId="2" fillId="0" borderId="0" xfId="0" applyNumberFormat="1" applyFont="1"/>
    <xf numFmtId="3" fontId="3" fillId="0" borderId="0" xfId="0" applyNumberFormat="1" applyFont="1" applyAlignment="1"/>
    <xf numFmtId="3" fontId="2" fillId="2" borderId="0" xfId="0" applyNumberFormat="1" applyFont="1" applyFill="1" applyAlignment="1"/>
    <xf numFmtId="9" fontId="2" fillId="0" borderId="0" xfId="0" applyNumberFormat="1" applyFont="1" applyAlignment="1"/>
    <xf numFmtId="9" fontId="3" fillId="0" borderId="0" xfId="0" applyNumberFormat="1" applyFont="1" applyAlignment="1"/>
    <xf numFmtId="3" fontId="2" fillId="0" borderId="0" xfId="0" applyNumberFormat="1" applyFont="1"/>
    <xf numFmtId="164" fontId="2" fillId="0" borderId="0" xfId="0" applyNumberFormat="1" applyFont="1" applyAlignment="1"/>
    <xf numFmtId="164" fontId="2" fillId="0" borderId="0" xfId="0" applyNumberFormat="1" applyFont="1"/>
    <xf numFmtId="0" fontId="3" fillId="0" borderId="3" xfId="0" applyFont="1" applyBorder="1"/>
    <xf numFmtId="164" fontId="3" fillId="0" borderId="0" xfId="0" applyNumberFormat="1" applyFont="1" applyAlignment="1"/>
    <xf numFmtId="4" fontId="2" fillId="0" borderId="0" xfId="0" applyNumberFormat="1" applyFont="1" applyAlignment="1"/>
    <xf numFmtId="10" fontId="2" fillId="0" borderId="0" xfId="0" applyNumberFormat="1" applyFont="1" applyAlignment="1"/>
    <xf numFmtId="164" fontId="2" fillId="0" borderId="9" xfId="0" applyNumberFormat="1" applyFont="1" applyBorder="1"/>
    <xf numFmtId="0" fontId="3" fillId="0" borderId="9" xfId="0" applyFont="1" applyBorder="1"/>
    <xf numFmtId="10" fontId="3" fillId="0" borderId="0" xfId="0" applyNumberFormat="1" applyFont="1" applyAlignment="1"/>
    <xf numFmtId="2" fontId="2" fillId="0" borderId="0" xfId="0" applyNumberFormat="1" applyFont="1" applyBorder="1"/>
    <xf numFmtId="3" fontId="3" fillId="0" borderId="0" xfId="0" applyNumberFormat="1" applyFont="1" applyBorder="1" applyAlignment="1"/>
    <xf numFmtId="3" fontId="2" fillId="2" borderId="0" xfId="0" applyNumberFormat="1" applyFont="1" applyFill="1" applyBorder="1" applyAlignment="1"/>
    <xf numFmtId="9" fontId="3" fillId="0" borderId="0" xfId="0" applyNumberFormat="1" applyFont="1" applyBorder="1" applyAlignment="1"/>
    <xf numFmtId="3" fontId="2" fillId="0" borderId="0" xfId="0" applyNumberFormat="1" applyFont="1" applyBorder="1"/>
    <xf numFmtId="0" fontId="3" fillId="0" borderId="0" xfId="0" applyFont="1" applyBorder="1"/>
    <xf numFmtId="164" fontId="2" fillId="0" borderId="0" xfId="0" applyNumberFormat="1" applyFont="1" applyBorder="1" applyAlignment="1"/>
    <xf numFmtId="164" fontId="2" fillId="0" borderId="0" xfId="0" applyNumberFormat="1" applyFont="1" applyBorder="1"/>
    <xf numFmtId="164" fontId="3" fillId="0" borderId="0" xfId="0" applyNumberFormat="1" applyFont="1" applyBorder="1" applyAlignment="1"/>
    <xf numFmtId="4" fontId="2" fillId="0" borderId="0" xfId="0" applyNumberFormat="1" applyFont="1" applyBorder="1" applyAlignment="1"/>
    <xf numFmtId="10" fontId="3" fillId="0" borderId="0" xfId="0" applyNumberFormat="1" applyFont="1" applyBorder="1" applyAlignment="1"/>
    <xf numFmtId="0" fontId="1" fillId="0" borderId="10" xfId="0" applyFont="1" applyBorder="1" applyAlignment="1"/>
    <xf numFmtId="0" fontId="1" fillId="0" borderId="11" xfId="0" applyFont="1" applyBorder="1" applyAlignment="1"/>
    <xf numFmtId="0" fontId="4" fillId="0" borderId="12" xfId="0" applyFont="1" applyBorder="1" applyAlignment="1">
      <alignment wrapText="1"/>
    </xf>
    <xf numFmtId="0" fontId="0" fillId="0" borderId="13" xfId="0" applyFont="1" applyBorder="1" applyAlignment="1"/>
    <xf numFmtId="0" fontId="4" fillId="0" borderId="12" xfId="0" applyFont="1" applyBorder="1"/>
    <xf numFmtId="0" fontId="3" fillId="0" borderId="13" xfId="0" applyFont="1" applyBorder="1" applyAlignment="1">
      <alignment wrapText="1"/>
    </xf>
    <xf numFmtId="0" fontId="4" fillId="0" borderId="12" xfId="0" applyFont="1" applyBorder="1" applyAlignment="1"/>
    <xf numFmtId="0" fontId="6" fillId="0" borderId="13" xfId="0" applyFont="1" applyBorder="1" applyAlignment="1">
      <alignment wrapText="1"/>
    </xf>
    <xf numFmtId="0" fontId="5" fillId="2" borderId="13" xfId="0" applyFont="1" applyFill="1" applyBorder="1" applyAlignment="1">
      <alignment wrapText="1"/>
    </xf>
    <xf numFmtId="0" fontId="6" fillId="0" borderId="13" xfId="0" applyFont="1" applyBorder="1" applyAlignment="1"/>
    <xf numFmtId="0" fontId="3" fillId="0" borderId="13" xfId="0" applyFont="1" applyBorder="1" applyAlignment="1"/>
    <xf numFmtId="0" fontId="0" fillId="0" borderId="12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sz="1800">
                <a:solidFill>
                  <a:schemeClr val="tx1"/>
                </a:solidFill>
              </a:rPr>
              <a:t>NPV by Year</a:t>
            </a:r>
          </a:p>
        </c:rich>
      </c:tx>
      <c:layout>
        <c:manualLayout>
          <c:xMode val="edge"/>
          <c:yMode val="edge"/>
          <c:x val="0.45041459369817582"/>
          <c:y val="2.8070175438596492E-2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82170E"/>
            </a:solidFill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8BFF-7345-B002-CA5B7C3854FC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b="0" i="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8BFF-7345-B002-CA5B7C3854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Calculations!$B$35</c:f>
              <c:numCache>
                <c:formatCode>"$"#,##0.00</c:formatCode>
                <c:ptCount val="1"/>
                <c:pt idx="0">
                  <c:v>-1960006.6324801324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8BFF-7345-B002-CA5B7C3854FC}"/>
            </c:ext>
          </c:extLst>
        </c:ser>
        <c:ser>
          <c:idx val="1"/>
          <c:order val="1"/>
          <c:spPr>
            <a:solidFill>
              <a:srgbClr val="EA4335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Calculations!$C$35</c:f>
              <c:numCache>
                <c:formatCode>"$"#,##0.00</c:formatCode>
                <c:ptCount val="1"/>
                <c:pt idx="0">
                  <c:v>-179499.10063571471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8BFF-7345-B002-CA5B7C3854FC}"/>
            </c:ext>
          </c:extLst>
        </c:ser>
        <c:ser>
          <c:idx val="2"/>
          <c:order val="2"/>
          <c:spPr>
            <a:solidFill>
              <a:srgbClr val="4285F4"/>
            </a:solidFill>
          </c:spPr>
          <c:invertIfNegative val="1"/>
          <c:dLbls>
            <c:dLbl>
              <c:idx val="0"/>
              <c:layout>
                <c:manualLayout>
                  <c:x val="-1.5625000000001146E-3"/>
                  <c:y val="7.92079002084404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BFF-7345-B002-CA5B7C3854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Calculations!$D$35</c:f>
              <c:numCache>
                <c:formatCode>"$"#,##0.00</c:formatCode>
                <c:ptCount val="1"/>
                <c:pt idx="0">
                  <c:v>19412.314816718517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8BFF-7345-B002-CA5B7C3854FC}"/>
            </c:ext>
          </c:extLst>
        </c:ser>
        <c:ser>
          <c:idx val="3"/>
          <c:order val="3"/>
          <c:spPr>
            <a:solidFill>
              <a:srgbClr val="4285F4"/>
            </a:solidFill>
          </c:spPr>
          <c:invertIfNegative val="1"/>
          <c:dLbls>
            <c:dLbl>
              <c:idx val="0"/>
              <c:layout>
                <c:manualLayout>
                  <c:x val="-1.5625000000000001E-3"/>
                  <c:y val="0.1518151420661775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BFF-7345-B002-CA5B7C3854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Calculations!$E$35</c:f>
              <c:numCache>
                <c:formatCode>"$"#,##0.00</c:formatCode>
                <c:ptCount val="1"/>
                <c:pt idx="0">
                  <c:v>252585.9193649845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8BFF-7345-B002-CA5B7C3854FC}"/>
            </c:ext>
          </c:extLst>
        </c:ser>
        <c:ser>
          <c:idx val="4"/>
          <c:order val="4"/>
          <c:spPr>
            <a:solidFill>
              <a:srgbClr val="4285F4"/>
            </a:solidFill>
          </c:spPr>
          <c:invertIfNegative val="1"/>
          <c:dLbls>
            <c:dLbl>
              <c:idx val="0"/>
              <c:layout>
                <c:manualLayout>
                  <c:x val="0"/>
                  <c:y val="0.165016458767584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BFF-7345-B002-CA5B7C3854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Calculations!$F$35</c:f>
              <c:numCache>
                <c:formatCode>"$"#,##0.00</c:formatCode>
                <c:ptCount val="1"/>
                <c:pt idx="0">
                  <c:v>261530.17361325535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5-8BFF-7345-B002-CA5B7C385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53"/>
        <c:axId val="138341671"/>
        <c:axId val="209590438"/>
      </c:barChart>
      <c:catAx>
        <c:axId val="138341671"/>
        <c:scaling>
          <c:orientation val="minMax"/>
        </c:scaling>
        <c:delete val="1"/>
        <c:axPos val="b"/>
        <c:majorTickMark val="cross"/>
        <c:minorTickMark val="cross"/>
        <c:tickLblPos val="nextTo"/>
        <c:crossAx val="209590438"/>
        <c:crosses val="autoZero"/>
        <c:auto val="1"/>
        <c:lblAlgn val="ctr"/>
        <c:lblOffset val="100"/>
        <c:noMultiLvlLbl val="1"/>
      </c:catAx>
      <c:valAx>
        <c:axId val="209590438"/>
        <c:scaling>
          <c:orientation val="minMax"/>
          <c:min val="-200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NPV Value</a:t>
                </a:r>
              </a:p>
            </c:rich>
          </c:tx>
          <c:overlay val="0"/>
        </c:title>
        <c:numFmt formatCode="&quot;$&quot;#,##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34167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37</xdr:row>
      <xdr:rowOff>76200</xdr:rowOff>
    </xdr:from>
    <xdr:ext cx="8458200" cy="43815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3</xdr:col>
      <xdr:colOff>114300</xdr:colOff>
      <xdr:row>40</xdr:row>
      <xdr:rowOff>101600</xdr:rowOff>
    </xdr:from>
    <xdr:to>
      <xdr:col>3</xdr:col>
      <xdr:colOff>838200</xdr:colOff>
      <xdr:row>41</xdr:row>
      <xdr:rowOff>127000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587D481E-55B6-2B45-AF19-792A213D5B3A}"/>
            </a:ext>
          </a:extLst>
        </xdr:cNvPr>
        <xdr:cNvSpPr txBox="1"/>
      </xdr:nvSpPr>
      <xdr:spPr>
        <a:xfrm>
          <a:off x="5461000" y="7721600"/>
          <a:ext cx="723900" cy="2159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100"/>
            <a:t>2002</a:t>
          </a:r>
          <a:endParaRPr lang="en-US" sz="1100"/>
        </a:p>
      </xdr:txBody>
    </xdr:sp>
    <xdr:clientData/>
  </xdr:twoCellAnchor>
  <xdr:twoCellAnchor>
    <xdr:from>
      <xdr:col>4</xdr:col>
      <xdr:colOff>127000</xdr:colOff>
      <xdr:row>40</xdr:row>
      <xdr:rowOff>101600</xdr:rowOff>
    </xdr:from>
    <xdr:to>
      <xdr:col>4</xdr:col>
      <xdr:colOff>850900</xdr:colOff>
      <xdr:row>41</xdr:row>
      <xdr:rowOff>127000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1A97E314-F7B7-E040-9FAC-AFBDB6D52DE5}"/>
            </a:ext>
          </a:extLst>
        </xdr:cNvPr>
        <xdr:cNvSpPr txBox="1"/>
      </xdr:nvSpPr>
      <xdr:spPr>
        <a:xfrm>
          <a:off x="6578600" y="7721600"/>
          <a:ext cx="723900" cy="2159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100"/>
            <a:t>2003</a:t>
          </a:r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0.25938</cdr:x>
      <cdr:y>0.22772</cdr:y>
    </cdr:from>
    <cdr:to>
      <cdr:x>0.35313</cdr:x>
      <cdr:y>0.29373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F185365-0F56-F44B-BD7A-A4DB94B03E26}"/>
            </a:ext>
          </a:extLst>
        </cdr:cNvPr>
        <cdr:cNvSpPr txBox="1"/>
      </cdr:nvSpPr>
      <cdr:spPr>
        <a:xfrm xmlns:a="http://schemas.openxmlformats.org/drawingml/2006/main">
          <a:off x="2108200" y="876300"/>
          <a:ext cx="762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1999</a:t>
          </a:r>
          <a:endParaRPr lang="en-US" sz="1100"/>
        </a:p>
      </cdr:txBody>
    </cdr:sp>
  </cdr:relSizeAnchor>
  <cdr:relSizeAnchor xmlns:cdr="http://schemas.openxmlformats.org/drawingml/2006/chartDrawing">
    <cdr:from>
      <cdr:x>0.44375</cdr:x>
      <cdr:y>0.37954</cdr:y>
    </cdr:from>
    <cdr:to>
      <cdr:x>0.55625</cdr:x>
      <cdr:y>0.61716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FB9B907-5608-004F-A2BF-0F2D32BD9093}"/>
            </a:ext>
          </a:extLst>
        </cdr:cNvPr>
        <cdr:cNvSpPr txBox="1"/>
      </cdr:nvSpPr>
      <cdr:spPr>
        <a:xfrm xmlns:a="http://schemas.openxmlformats.org/drawingml/2006/main">
          <a:off x="3606800" y="14605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0.28906</cdr:x>
      <cdr:y>0.33333</cdr:y>
    </cdr:from>
    <cdr:to>
      <cdr:x>0.40156</cdr:x>
      <cdr:y>0.57096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8B55D153-BAB3-4E4A-BE3C-1C531C132359}"/>
            </a:ext>
          </a:extLst>
        </cdr:cNvPr>
        <cdr:cNvSpPr txBox="1"/>
      </cdr:nvSpPr>
      <cdr:spPr>
        <a:xfrm xmlns:a="http://schemas.openxmlformats.org/drawingml/2006/main">
          <a:off x="2349500" y="12827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0.39219</cdr:x>
      <cdr:y>0.23102</cdr:y>
    </cdr:from>
    <cdr:to>
      <cdr:x>0.50781</cdr:x>
      <cdr:y>0.28713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4FA7DDE-87CB-EB4F-A7D9-E0372F58E2A9}"/>
            </a:ext>
          </a:extLst>
        </cdr:cNvPr>
        <cdr:cNvSpPr txBox="1"/>
      </cdr:nvSpPr>
      <cdr:spPr>
        <a:xfrm xmlns:a="http://schemas.openxmlformats.org/drawingml/2006/main">
          <a:off x="3187700" y="889000"/>
          <a:ext cx="939800" cy="215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2000</a:t>
          </a:r>
          <a:endParaRPr lang="en-US" sz="1100"/>
        </a:p>
      </cdr:txBody>
    </cdr:sp>
  </cdr:relSizeAnchor>
  <cdr:relSizeAnchor xmlns:cdr="http://schemas.openxmlformats.org/drawingml/2006/chartDrawing">
    <cdr:from>
      <cdr:x>0.53438</cdr:x>
      <cdr:y>0.23102</cdr:y>
    </cdr:from>
    <cdr:to>
      <cdr:x>0.62344</cdr:x>
      <cdr:y>0.28713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3C4578F9-8E79-8C46-BA8B-C4DCB1345D22}"/>
            </a:ext>
          </a:extLst>
        </cdr:cNvPr>
        <cdr:cNvSpPr txBox="1"/>
      </cdr:nvSpPr>
      <cdr:spPr>
        <a:xfrm xmlns:a="http://schemas.openxmlformats.org/drawingml/2006/main">
          <a:off x="4343400" y="889000"/>
          <a:ext cx="723900" cy="215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2001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MDISCRT" TargetMode="External"/><Relationship Id="rId2" Type="http://schemas.openxmlformats.org/officeDocument/2006/relationships/hyperlink" Target="http://www.freddiemac.com/pmms/pmms30.html" TargetMode="External"/><Relationship Id="rId1" Type="http://schemas.openxmlformats.org/officeDocument/2006/relationships/hyperlink" Target="https://www.ipsos.com/en/ipsos-encyclopedia-purchase-intentions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40"/>
  <sheetViews>
    <sheetView showGridLines="0" tabSelected="1" workbookViewId="0">
      <selection activeCell="G53" sqref="G53"/>
    </sheetView>
  </sheetViews>
  <sheetFormatPr baseColWidth="10" defaultColWidth="14.5" defaultRowHeight="15.75" customHeight="1"/>
  <cols>
    <col min="1" max="1" width="41.1640625" customWidth="1"/>
    <col min="6" max="6" width="13" customWidth="1"/>
    <col min="7" max="7" width="85.33203125" customWidth="1"/>
    <col min="8" max="8" width="85.1640625" customWidth="1"/>
  </cols>
  <sheetData>
    <row r="1" spans="1:8" ht="15.75" customHeight="1">
      <c r="A1" s="1" t="s">
        <v>0</v>
      </c>
      <c r="B1" s="2">
        <f>((46.8-46)/46+(47.5-46.8)/46.8)/2</f>
        <v>1.6174284652545522E-2</v>
      </c>
      <c r="E1" s="3"/>
    </row>
    <row r="2" spans="1:8" ht="15.75" customHeight="1">
      <c r="A2" s="4" t="s">
        <v>1</v>
      </c>
      <c r="B2" s="5">
        <f>((15.15-14.81)/14.81+(15.62-15.15)/15.15)/2</f>
        <v>2.6990281742556389E-2</v>
      </c>
      <c r="E2" s="3"/>
    </row>
    <row r="3" spans="1:8" ht="15.75" customHeight="1">
      <c r="A3" s="6" t="s">
        <v>2</v>
      </c>
      <c r="B3" s="7">
        <v>47.5</v>
      </c>
      <c r="E3" s="3"/>
    </row>
    <row r="4" spans="1:8" ht="15.75" customHeight="1">
      <c r="A4" s="3"/>
      <c r="B4" s="3"/>
      <c r="C4" s="3"/>
      <c r="D4" s="3"/>
      <c r="E4" s="3"/>
    </row>
    <row r="5" spans="1:8" ht="15.75" customHeight="1">
      <c r="A5" s="3"/>
      <c r="B5" s="3"/>
      <c r="C5" s="3"/>
      <c r="D5" s="3"/>
      <c r="E5" s="3"/>
    </row>
    <row r="6" spans="1:8" ht="15.75" customHeight="1">
      <c r="A6" s="8" t="s">
        <v>3</v>
      </c>
      <c r="B6" s="9">
        <v>1999</v>
      </c>
      <c r="C6" s="9">
        <v>2000</v>
      </c>
      <c r="D6" s="9">
        <v>2001</v>
      </c>
      <c r="E6" s="9">
        <v>2002</v>
      </c>
      <c r="F6" s="9">
        <v>2003</v>
      </c>
      <c r="G6" s="37" t="s">
        <v>4</v>
      </c>
      <c r="H6" s="38" t="s">
        <v>5</v>
      </c>
    </row>
    <row r="7" spans="1:8" ht="15.75" customHeight="1">
      <c r="A7" s="10" t="s">
        <v>6</v>
      </c>
      <c r="B7" s="11">
        <f>B3*(1+$B$1)</f>
        <v>48.268278520995906</v>
      </c>
      <c r="C7" s="11">
        <f t="shared" ref="C7:F7" si="0">B7*(1+$B$1)</f>
        <v>49.048983397482843</v>
      </c>
      <c r="D7" s="11">
        <f t="shared" si="0"/>
        <v>49.842315616871709</v>
      </c>
      <c r="E7" s="11">
        <f t="shared" si="0"/>
        <v>50.648479417401006</v>
      </c>
      <c r="F7" s="26">
        <f t="shared" si="0"/>
        <v>51.467682340716642</v>
      </c>
      <c r="G7" s="39" t="s">
        <v>7</v>
      </c>
      <c r="H7" s="40"/>
    </row>
    <row r="8" spans="1:8" ht="15.75" customHeight="1">
      <c r="A8" s="10" t="s">
        <v>8</v>
      </c>
      <c r="B8" s="12">
        <v>45500</v>
      </c>
      <c r="C8" s="12">
        <v>52800</v>
      </c>
      <c r="D8" s="12">
        <v>63600</v>
      </c>
      <c r="E8" s="12">
        <v>75500</v>
      </c>
      <c r="F8" s="27">
        <v>87100</v>
      </c>
      <c r="G8" s="41"/>
      <c r="H8" s="40"/>
    </row>
    <row r="9" spans="1:8" ht="15.75" customHeight="1">
      <c r="A9" s="10" t="s">
        <v>9</v>
      </c>
      <c r="B9" s="13">
        <f t="shared" ref="B9:F9" si="1">B7*B8</f>
        <v>2196206.6727053137</v>
      </c>
      <c r="C9" s="13">
        <f t="shared" si="1"/>
        <v>2589786.3233870943</v>
      </c>
      <c r="D9" s="13">
        <f t="shared" si="1"/>
        <v>3169971.2732330407</v>
      </c>
      <c r="E9" s="13">
        <f t="shared" si="1"/>
        <v>3823960.1960137761</v>
      </c>
      <c r="F9" s="28">
        <f t="shared" si="1"/>
        <v>4482835.1318764193</v>
      </c>
      <c r="G9" s="41"/>
      <c r="H9" s="40"/>
    </row>
    <row r="10" spans="1:8" ht="15.75" customHeight="1">
      <c r="A10" s="10" t="s">
        <v>10</v>
      </c>
      <c r="B10" s="14">
        <v>0.25</v>
      </c>
      <c r="C10" s="14">
        <v>0.3</v>
      </c>
      <c r="D10" s="14">
        <v>0.33</v>
      </c>
      <c r="E10" s="15">
        <v>0.35</v>
      </c>
      <c r="F10" s="29">
        <v>0.36</v>
      </c>
      <c r="G10" s="41"/>
      <c r="H10" s="40"/>
    </row>
    <row r="11" spans="1:8" ht="15.75" customHeight="1">
      <c r="A11" s="10" t="s">
        <v>11</v>
      </c>
      <c r="B11" s="16">
        <f t="shared" ref="B11:F11" si="2">B9*B10</f>
        <v>549051.66817632841</v>
      </c>
      <c r="C11" s="16">
        <f t="shared" si="2"/>
        <v>776935.89701612829</v>
      </c>
      <c r="D11" s="16">
        <f t="shared" si="2"/>
        <v>1046090.5201669035</v>
      </c>
      <c r="E11" s="16">
        <f t="shared" si="2"/>
        <v>1338386.0686048216</v>
      </c>
      <c r="F11" s="30">
        <f t="shared" si="2"/>
        <v>1613820.6474755108</v>
      </c>
      <c r="G11" s="41"/>
      <c r="H11" s="40"/>
    </row>
    <row r="12" spans="1:8" ht="15.75" customHeight="1">
      <c r="A12" s="10" t="s">
        <v>12</v>
      </c>
      <c r="B12" s="16">
        <f t="shared" ref="B12:F12" si="3">B11*88.7%*81%+B11*5.7%*27%+B11*4%*9%+B11*1.6%*3%</f>
        <v>405167.18801403989</v>
      </c>
      <c r="C12" s="16">
        <f t="shared" si="3"/>
        <v>573332.07584408182</v>
      </c>
      <c r="D12" s="16">
        <f t="shared" si="3"/>
        <v>771952.03845196497</v>
      </c>
      <c r="E12" s="16">
        <f t="shared" si="3"/>
        <v>987648.61546624231</v>
      </c>
      <c r="F12" s="30">
        <f t="shared" si="3"/>
        <v>1190902.8085980786</v>
      </c>
      <c r="G12" s="39" t="s">
        <v>13</v>
      </c>
      <c r="H12" s="42" t="s">
        <v>14</v>
      </c>
    </row>
    <row r="13" spans="1:8" ht="15.75" customHeight="1">
      <c r="A13" s="10"/>
      <c r="F13" s="31"/>
      <c r="G13" s="39"/>
      <c r="H13" s="40"/>
    </row>
    <row r="14" spans="1:8" ht="15.75" customHeight="1">
      <c r="A14" s="4" t="s">
        <v>15</v>
      </c>
      <c r="F14" s="31"/>
      <c r="G14" s="41"/>
      <c r="H14" s="40"/>
    </row>
    <row r="15" spans="1:8" ht="15.75" customHeight="1">
      <c r="A15" s="10" t="s">
        <v>16</v>
      </c>
      <c r="B15" s="17">
        <f>3.18*1.16</f>
        <v>3.6888000000000001</v>
      </c>
      <c r="C15" s="17">
        <f t="shared" ref="C15:F15" si="4">B$15*(1+$B$2)</f>
        <v>3.7883617512919425</v>
      </c>
      <c r="D15" s="17">
        <f t="shared" si="4"/>
        <v>3.8906107023020366</v>
      </c>
      <c r="E15" s="17">
        <f t="shared" si="4"/>
        <v>3.9956193813077743</v>
      </c>
      <c r="F15" s="32">
        <f t="shared" si="4"/>
        <v>4.10346227414529</v>
      </c>
      <c r="G15" s="43" t="s">
        <v>17</v>
      </c>
      <c r="H15" s="44" t="s">
        <v>41</v>
      </c>
    </row>
    <row r="16" spans="1:8" ht="15.75" customHeight="1">
      <c r="A16" s="10" t="s">
        <v>18</v>
      </c>
      <c r="B16" s="18">
        <f t="shared" ref="B16:F16" si="5">B$15/0.56</f>
        <v>6.5871428571428563</v>
      </c>
      <c r="C16" s="18">
        <f t="shared" si="5"/>
        <v>6.7649316987356114</v>
      </c>
      <c r="D16" s="18">
        <f t="shared" si="5"/>
        <v>6.9475191112536363</v>
      </c>
      <c r="E16" s="18">
        <f t="shared" si="5"/>
        <v>7.1350346094781676</v>
      </c>
      <c r="F16" s="33">
        <f t="shared" si="5"/>
        <v>7.3276112038308741</v>
      </c>
      <c r="G16" s="43" t="s">
        <v>19</v>
      </c>
      <c r="H16" s="45"/>
    </row>
    <row r="17" spans="1:8" ht="15.75" customHeight="1">
      <c r="A17" s="10" t="s">
        <v>20</v>
      </c>
      <c r="B17" s="16">
        <f t="shared" ref="B17:F17" si="6">B$12*0.75</f>
        <v>303875.39101052994</v>
      </c>
      <c r="C17" s="16">
        <f t="shared" si="6"/>
        <v>429999.05688306136</v>
      </c>
      <c r="D17" s="16">
        <f t="shared" si="6"/>
        <v>578964.02883897373</v>
      </c>
      <c r="E17" s="16">
        <f t="shared" si="6"/>
        <v>740736.46159968176</v>
      </c>
      <c r="F17" s="30">
        <f t="shared" si="6"/>
        <v>893177.10644855886</v>
      </c>
      <c r="G17" s="41"/>
      <c r="H17" s="40"/>
    </row>
    <row r="18" spans="1:8" ht="15.75" customHeight="1">
      <c r="A18" s="4" t="s">
        <v>21</v>
      </c>
      <c r="B18" s="18">
        <f t="shared" ref="B18:E18" si="7">B16*B17</f>
        <v>2001670.611356505</v>
      </c>
      <c r="C18" s="18">
        <f t="shared" si="7"/>
        <v>2908914.2503346391</v>
      </c>
      <c r="D18" s="18">
        <f t="shared" si="7"/>
        <v>4022363.6550871716</v>
      </c>
      <c r="E18" s="18">
        <f t="shared" si="7"/>
        <v>5285180.290016125</v>
      </c>
      <c r="F18" s="33">
        <f>F16*E17</f>
        <v>5427828.7951038657</v>
      </c>
      <c r="G18" s="41"/>
      <c r="H18" s="40"/>
    </row>
    <row r="19" spans="1:8" ht="15.75" customHeight="1">
      <c r="A19" s="4"/>
      <c r="F19" s="31"/>
      <c r="G19" s="41"/>
      <c r="H19" s="40"/>
    </row>
    <row r="20" spans="1:8" ht="15.75" customHeight="1">
      <c r="A20" s="4" t="s">
        <v>22</v>
      </c>
      <c r="F20" s="31"/>
      <c r="G20" s="41"/>
      <c r="H20" s="40"/>
    </row>
    <row r="21" spans="1:8" ht="15.75" customHeight="1">
      <c r="A21" s="10" t="s">
        <v>23</v>
      </c>
      <c r="B21" s="18">
        <f>$B$16*0.45</f>
        <v>2.9642142857142852</v>
      </c>
      <c r="C21" s="18">
        <f t="shared" ref="C21:F21" si="8">B$21*(1+2.7%)</f>
        <v>3.0442480714285707</v>
      </c>
      <c r="D21" s="18">
        <f t="shared" si="8"/>
        <v>3.1264427693571419</v>
      </c>
      <c r="E21" s="18">
        <f t="shared" si="8"/>
        <v>3.2108567241297843</v>
      </c>
      <c r="F21" s="33">
        <f t="shared" si="8"/>
        <v>3.2975498556812881</v>
      </c>
      <c r="G21" s="43" t="s">
        <v>24</v>
      </c>
      <c r="H21" s="40"/>
    </row>
    <row r="22" spans="1:8" ht="15.75" customHeight="1">
      <c r="A22" s="10" t="s">
        <v>20</v>
      </c>
      <c r="B22" s="16">
        <f t="shared" ref="B22:F22" si="9">B$12*0.25</f>
        <v>101291.79700350997</v>
      </c>
      <c r="C22" s="16">
        <f t="shared" si="9"/>
        <v>143333.01896102045</v>
      </c>
      <c r="D22" s="16">
        <f t="shared" si="9"/>
        <v>192988.00961299124</v>
      </c>
      <c r="E22" s="16">
        <f t="shared" si="9"/>
        <v>246912.15386656058</v>
      </c>
      <c r="F22" s="30">
        <f t="shared" si="9"/>
        <v>297725.70214951964</v>
      </c>
      <c r="G22" s="41"/>
      <c r="H22" s="40"/>
    </row>
    <row r="23" spans="1:8" ht="15.75" customHeight="1">
      <c r="A23" s="10" t="s">
        <v>21</v>
      </c>
      <c r="B23" s="18">
        <f t="shared" ref="B23:F23" si="10">B21*B22</f>
        <v>300250.59170347569</v>
      </c>
      <c r="C23" s="18">
        <f t="shared" si="10"/>
        <v>436341.26654412126</v>
      </c>
      <c r="D23" s="18">
        <f t="shared" si="10"/>
        <v>603365.96722716303</v>
      </c>
      <c r="E23" s="18">
        <f t="shared" si="10"/>
        <v>792799.54951181391</v>
      </c>
      <c r="F23" s="33">
        <f t="shared" si="10"/>
        <v>981765.3461557586</v>
      </c>
      <c r="G23" s="41"/>
      <c r="H23" s="40"/>
    </row>
    <row r="24" spans="1:8" ht="15.75" customHeight="1">
      <c r="A24" s="4" t="s">
        <v>25</v>
      </c>
      <c r="B24" s="18">
        <f t="shared" ref="B24:F24" si="11">B18+B23</f>
        <v>2301921.2030599806</v>
      </c>
      <c r="C24" s="18">
        <f t="shared" si="11"/>
        <v>3345255.5168787604</v>
      </c>
      <c r="D24" s="18">
        <f t="shared" si="11"/>
        <v>4625729.6223143348</v>
      </c>
      <c r="E24" s="18">
        <f t="shared" si="11"/>
        <v>6077979.8395279385</v>
      </c>
      <c r="F24" s="33">
        <f t="shared" si="11"/>
        <v>6409594.1412596246</v>
      </c>
      <c r="G24" s="43" t="s">
        <v>26</v>
      </c>
      <c r="H24" s="40"/>
    </row>
    <row r="25" spans="1:8" ht="15.75" customHeight="1">
      <c r="A25" s="19"/>
      <c r="F25" s="31"/>
      <c r="G25" s="41"/>
      <c r="H25" s="40"/>
    </row>
    <row r="26" spans="1:8" ht="15.75" customHeight="1">
      <c r="A26" s="10" t="s">
        <v>27</v>
      </c>
      <c r="B26" s="17">
        <f>1600000</f>
        <v>1600000</v>
      </c>
      <c r="C26" s="20">
        <v>0</v>
      </c>
      <c r="D26" s="20">
        <v>0</v>
      </c>
      <c r="E26" s="20">
        <v>0</v>
      </c>
      <c r="F26" s="34">
        <v>0</v>
      </c>
      <c r="G26" s="41"/>
      <c r="H26" s="40"/>
    </row>
    <row r="27" spans="1:8" ht="15.75" customHeight="1">
      <c r="A27" s="10" t="s">
        <v>28</v>
      </c>
      <c r="B27" s="17">
        <f t="shared" ref="B27:F27" si="12">204000+450000</f>
        <v>654000</v>
      </c>
      <c r="C27" s="17">
        <f t="shared" si="12"/>
        <v>654000</v>
      </c>
      <c r="D27" s="17">
        <f t="shared" si="12"/>
        <v>654000</v>
      </c>
      <c r="E27" s="17">
        <f t="shared" si="12"/>
        <v>654000</v>
      </c>
      <c r="F27" s="32">
        <f t="shared" si="12"/>
        <v>654000</v>
      </c>
      <c r="G27" s="41"/>
      <c r="H27" s="40"/>
    </row>
    <row r="28" spans="1:8" ht="15.75" customHeight="1">
      <c r="A28" s="10" t="s">
        <v>29</v>
      </c>
      <c r="B28" s="18">
        <f t="shared" ref="B28:F28" si="13">B24*80.3%</f>
        <v>1848442.7260571644</v>
      </c>
      <c r="C28" s="18">
        <f t="shared" si="13"/>
        <v>2686240.1800536443</v>
      </c>
      <c r="D28" s="18">
        <f t="shared" si="13"/>
        <v>3714460.8867184105</v>
      </c>
      <c r="E28" s="18">
        <f t="shared" si="13"/>
        <v>4880617.811140934</v>
      </c>
      <c r="F28" s="33">
        <f t="shared" si="13"/>
        <v>5146904.0954314778</v>
      </c>
      <c r="G28" s="41"/>
      <c r="H28" s="40"/>
    </row>
    <row r="29" spans="1:8" ht="15.75" customHeight="1">
      <c r="A29" s="10" t="s">
        <v>30</v>
      </c>
      <c r="B29" s="21">
        <f t="shared" ref="B29:F29" si="14">1000000*7.44%</f>
        <v>74400.000000000015</v>
      </c>
      <c r="C29" s="21">
        <f t="shared" si="14"/>
        <v>74400.000000000015</v>
      </c>
      <c r="D29" s="21">
        <f t="shared" si="14"/>
        <v>74400.000000000015</v>
      </c>
      <c r="E29" s="21">
        <f t="shared" si="14"/>
        <v>74400.000000000015</v>
      </c>
      <c r="F29" s="35">
        <f t="shared" si="14"/>
        <v>74400.000000000015</v>
      </c>
      <c r="G29" s="43" t="s">
        <v>31</v>
      </c>
      <c r="H29" s="46" t="s">
        <v>32</v>
      </c>
    </row>
    <row r="30" spans="1:8" ht="15.75" customHeight="1">
      <c r="A30" s="10" t="s">
        <v>33</v>
      </c>
      <c r="B30" s="18">
        <f t="shared" ref="B30:F30" si="15">B12*0.21</f>
        <v>85085.109482948377</v>
      </c>
      <c r="C30" s="18">
        <f t="shared" si="15"/>
        <v>120399.73592725718</v>
      </c>
      <c r="D30" s="18">
        <f t="shared" si="15"/>
        <v>162109.92807491263</v>
      </c>
      <c r="E30" s="18">
        <f t="shared" si="15"/>
        <v>207406.20924791088</v>
      </c>
      <c r="F30" s="33">
        <f t="shared" si="15"/>
        <v>250089.58980559648</v>
      </c>
      <c r="G30" s="41"/>
      <c r="H30" s="40"/>
    </row>
    <row r="31" spans="1:8" ht="15.75" customHeight="1">
      <c r="A31" s="4" t="s">
        <v>34</v>
      </c>
      <c r="B31" s="18">
        <f t="shared" ref="B31:F31" si="16">SUM(B26:B30)</f>
        <v>4261927.835540113</v>
      </c>
      <c r="C31" s="18">
        <f t="shared" si="16"/>
        <v>3535039.9159809016</v>
      </c>
      <c r="D31" s="18">
        <f t="shared" si="16"/>
        <v>4604970.8147933241</v>
      </c>
      <c r="E31" s="18">
        <f t="shared" si="16"/>
        <v>5816424.0203888454</v>
      </c>
      <c r="F31" s="33">
        <f t="shared" si="16"/>
        <v>6125393.6852370743</v>
      </c>
      <c r="G31" s="41"/>
      <c r="H31" s="40"/>
    </row>
    <row r="32" spans="1:8" ht="15.75" customHeight="1">
      <c r="A32" s="19"/>
      <c r="F32" s="31"/>
      <c r="G32" s="41"/>
      <c r="H32" s="40"/>
    </row>
    <row r="33" spans="1:8" ht="15.75" customHeight="1">
      <c r="A33" s="4" t="s">
        <v>35</v>
      </c>
      <c r="B33" s="18">
        <f t="shared" ref="B33:F33" si="17">B24-B31</f>
        <v>-1960006.6324801324</v>
      </c>
      <c r="C33" s="18">
        <f t="shared" si="17"/>
        <v>-189784.39910214115</v>
      </c>
      <c r="D33" s="18">
        <f t="shared" si="17"/>
        <v>20758.807521010749</v>
      </c>
      <c r="E33" s="18">
        <f t="shared" si="17"/>
        <v>261555.81913909316</v>
      </c>
      <c r="F33" s="33">
        <f t="shared" si="17"/>
        <v>284200.45602255035</v>
      </c>
      <c r="G33" s="41"/>
      <c r="H33" s="40"/>
    </row>
    <row r="34" spans="1:8" ht="15.75" customHeight="1">
      <c r="A34" s="10" t="s">
        <v>36</v>
      </c>
      <c r="B34" s="22">
        <v>4.6199999999999998E-2</v>
      </c>
      <c r="C34" s="22">
        <v>5.7299999999999997E-2</v>
      </c>
      <c r="D34" s="22">
        <v>3.4099999999999998E-2</v>
      </c>
      <c r="E34" s="22">
        <v>1.17E-2</v>
      </c>
      <c r="F34" s="36">
        <v>2.1000000000000001E-2</v>
      </c>
      <c r="G34" s="43" t="s">
        <v>37</v>
      </c>
      <c r="H34" s="47" t="s">
        <v>38</v>
      </c>
    </row>
    <row r="35" spans="1:8" ht="15.75" customHeight="1">
      <c r="A35" s="4" t="s">
        <v>39</v>
      </c>
      <c r="B35" s="18">
        <f>B24-B31</f>
        <v>-1960006.6324801324</v>
      </c>
      <c r="C35" s="18">
        <f>C33/(1+C34)</f>
        <v>-179499.10063571471</v>
      </c>
      <c r="D35" s="18">
        <f>D33/(1+D34)^2</f>
        <v>19412.314816718517</v>
      </c>
      <c r="E35" s="18">
        <f>E33/(1+E34)^3</f>
        <v>252585.9193649845</v>
      </c>
      <c r="F35" s="33">
        <f>F33/(1+F34)^4</f>
        <v>261530.17361325535</v>
      </c>
      <c r="G35" s="48"/>
      <c r="H35" s="40"/>
    </row>
    <row r="36" spans="1:8" ht="15.75" customHeight="1">
      <c r="A36" s="6" t="s">
        <v>40</v>
      </c>
      <c r="B36" s="23">
        <f>SUM(B35:F35)</f>
        <v>-1605977.3253208888</v>
      </c>
      <c r="C36" s="24"/>
      <c r="D36" s="24"/>
      <c r="E36" s="24"/>
      <c r="F36" s="24"/>
      <c r="G36" s="49"/>
      <c r="H36" s="50"/>
    </row>
    <row r="38" spans="1:8" ht="15.75" customHeight="1">
      <c r="B38" s="25"/>
      <c r="C38" s="25"/>
      <c r="D38" s="25"/>
      <c r="E38" s="25"/>
      <c r="F38" s="25"/>
    </row>
    <row r="40" spans="1:8" ht="15.75" customHeight="1">
      <c r="B40" s="25"/>
      <c r="C40" s="25"/>
      <c r="D40" s="25"/>
      <c r="E40" s="25"/>
      <c r="F40" s="25"/>
    </row>
  </sheetData>
  <hyperlinks>
    <hyperlink ref="H12" r:id="rId1" xr:uid="{00000000-0004-0000-0000-000000000000}"/>
    <hyperlink ref="H29" r:id="rId2" xr:uid="{00000000-0004-0000-0000-000002000000}"/>
    <hyperlink ref="H34" r:id="rId3" location="0" xr:uid="{00000000-0004-0000-0000-000003000000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2020-01-21T02:23:33Z</dcterms:modified>
</cp:coreProperties>
</file>